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41" windowHeight="9391" tabRatio="823" activeTab="1"/>
  </bookViews>
  <sheets>
    <sheet name="清算项目基本情况表" sheetId="29" r:id="rId1"/>
    <sheet name="土地增值税税源明细表" sheetId="5" r:id="rId2"/>
    <sheet name="附表1-面积统计表" sheetId="32" r:id="rId3"/>
    <sheet name="附表2-收入统计表" sheetId="8" r:id="rId4"/>
    <sheet name="附表3-扣除项目分摊表" sheetId="6" r:id="rId5"/>
    <sheet name="附表4-项目间分摊信息采集表" sheetId="38" r:id="rId6"/>
    <sheet name="附表5-扣除项目统计表" sheetId="30" r:id="rId7"/>
    <sheet name="附表6-收入明细采集底稿" sheetId="9" r:id="rId8"/>
    <sheet name="附表7-扣除项目明细采集底稿" sheetId="31" r:id="rId9"/>
    <sheet name="附表8-合同明细采集底稿" sheetId="37" r:id="rId10"/>
    <sheet name="工程造价采集表" sheetId="42" r:id="rId11"/>
    <sheet name="数据对照表" sheetId="39" r:id="rId12"/>
  </sheets>
  <externalReferences>
    <externalReference r:id="rId14"/>
  </externalReferences>
  <definedNames>
    <definedName name="_xlnm._FilterDatabase" localSheetId="5" hidden="1">'附表4-项目间分摊信息采集表'!$A$1:$I$14</definedName>
    <definedName name="_xlnm._FilterDatabase" localSheetId="9" hidden="1">'附表8-合同明细采集底稿'!$A$5:$AB$61</definedName>
    <definedName name="_xlnm._FilterDatabase" localSheetId="7" hidden="1">'附表6-收入明细采集底稿'!$A$6:$Z$222</definedName>
    <definedName name="_xlnm._FilterDatabase" localSheetId="8" hidden="1">'附表7-扣除项目明细采集底稿'!$A$6:$AH$125</definedName>
    <definedName name="_xlnm.Print_Area" localSheetId="2">'附表1-面积统计表'!$A$1:$K$35</definedName>
    <definedName name="_xlnm.Print_Area" localSheetId="3">'附表2-收入统计表'!$A$1:$F$13</definedName>
    <definedName name="_xlnm.Print_Area" localSheetId="4">'附表3-扣除项目分摊表'!$A$1:$N$27</definedName>
    <definedName name="_xlnm.Print_Area" localSheetId="6">'附表5-扣除项目统计表'!$1:$87</definedName>
    <definedName name="_xlnm.Print_Area" localSheetId="7">'附表6-收入明细采集底稿'!$A$1:$Z$75</definedName>
    <definedName name="_xlnm.Print_Area" localSheetId="8">'附表7-扣除项目明细采集底稿'!$A:$AB</definedName>
    <definedName name="_xlnm.Print_Area" localSheetId="0">清算项目基本情况表!$A$1:$AI$40</definedName>
    <definedName name="_xlnm.Print_Area" localSheetId="1">土地增值税税源明细表!$A$1:$L$48</definedName>
    <definedName name="_xlnm.Print_Titles" localSheetId="4">'附表3-扣除项目分摊表'!$3:$5</definedName>
    <definedName name="_xlnm.Print_Titles" localSheetId="6">'附表5-扣除项目统计表'!$3:$5</definedName>
    <definedName name="_xlnm.Print_Titles" localSheetId="7">'附表6-收入明细采集底稿'!$3:$4</definedName>
    <definedName name="_xlnm.Print_Titles" localSheetId="8">'附表7-扣除项目明细采集底稿'!$3:$4</definedName>
    <definedName name="_xlnm.Print_Titles" localSheetId="1">土地增值税税源明细表!$10:$10</definedName>
    <definedName name="核算项目">#REF!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dengd</author>
  </authors>
  <commentList>
    <comment ref="Q71" authorId="0">
      <text>
        <r>
          <rPr>
            <b/>
            <sz val="9"/>
            <rFont val="宋体"/>
            <charset val="134"/>
          </rPr>
          <t>dengd:</t>
        </r>
        <r>
          <rPr>
            <sz val="9"/>
            <rFont val="宋体"/>
            <charset val="134"/>
          </rPr>
          <t xml:space="preserve">
提了软装部分</t>
        </r>
      </text>
    </comment>
  </commentList>
</comments>
</file>

<file path=xl/comments2.xml><?xml version="1.0" encoding="utf-8"?>
<comments xmlns="http://schemas.openxmlformats.org/spreadsheetml/2006/main">
  <authors>
    <author>aa</author>
  </authors>
  <commentList>
    <comment ref="G6" authorId="0">
      <text>
        <r>
          <rPr>
            <b/>
            <sz val="9"/>
            <rFont val="宋体"/>
            <charset val="134"/>
          </rPr>
          <t>aa:2023年12月20结算审定126360，由于商业未做</t>
        </r>
      </text>
    </comment>
  </commentList>
</comments>
</file>

<file path=xl/sharedStrings.xml><?xml version="1.0" encoding="utf-8"?>
<sst xmlns="http://schemas.openxmlformats.org/spreadsheetml/2006/main" count="6139" uniqueCount="1646">
  <si>
    <r>
      <rPr>
        <sz val="26"/>
        <color theme="1"/>
        <rFont val="方正小标宋简体"/>
        <charset val="134"/>
      </rPr>
      <t>T10000</t>
    </r>
    <r>
      <rPr>
        <sz val="26"/>
        <color theme="1"/>
        <rFont val="微软雅黑"/>
        <charset val="134"/>
      </rPr>
      <t>清算项目基本情况表</t>
    </r>
  </si>
  <si>
    <t>（从事房地产开发的纳税人适用）</t>
  </si>
  <si>
    <t>纳税人识别号：</t>
  </si>
  <si>
    <t>91652801576209018D</t>
  </si>
  <si>
    <t>纳税人名称：</t>
  </si>
  <si>
    <t>新疆通力房地产开发有限公司库尔勒分公司</t>
  </si>
  <si>
    <t>*填表日期：</t>
  </si>
  <si>
    <t>2023-07-25</t>
  </si>
  <si>
    <t>金额单位:人民币元(列至角分)</t>
  </si>
  <si>
    <t>面积单位:平方米</t>
  </si>
  <si>
    <t>项目基本情况</t>
  </si>
  <si>
    <t>*项目名称</t>
  </si>
  <si>
    <t>春和景苑</t>
  </si>
  <si>
    <t>*项目编码</t>
  </si>
  <si>
    <t>Z65280120200013</t>
  </si>
  <si>
    <t>*是否属于分期开发项目</t>
  </si>
  <si>
    <t>是</t>
  </si>
  <si>
    <t>*项目地址</t>
  </si>
  <si>
    <t>库尔勒市新城辖区幸福路南侧、杜鹃河东侧、68号小区</t>
  </si>
  <si>
    <t>*总预算成本</t>
  </si>
  <si>
    <t>*项目所在地主管税务机关</t>
  </si>
  <si>
    <t>国家税务总局库尔勒市税务局</t>
  </si>
  <si>
    <t>*项目所在地主管税务所（科/分局）</t>
  </si>
  <si>
    <t>库尔勒市税务局税源管理一股</t>
  </si>
  <si>
    <t>*土地使用权出（转）让合同签订日期</t>
  </si>
  <si>
    <t>*开发土地总面积</t>
  </si>
  <si>
    <t>*开发建筑总面积</t>
  </si>
  <si>
    <t>*项目总地价款</t>
  </si>
  <si>
    <t>*容积率</t>
  </si>
  <si>
    <t>*绿地率</t>
  </si>
  <si>
    <t>项目开工日期</t>
  </si>
  <si>
    <t>2019-08-15</t>
  </si>
  <si>
    <t>整体竣工日期</t>
  </si>
  <si>
    <t>2021-12-10</t>
  </si>
  <si>
    <t>最后一个销（预）售证取得时间</t>
  </si>
  <si>
    <t>2019-11-20</t>
  </si>
  <si>
    <t>发改部门立项信息</t>
  </si>
  <si>
    <t>序号</t>
  </si>
  <si>
    <t>投资项目代码</t>
  </si>
  <si>
    <t>项目名称</t>
  </si>
  <si>
    <t>项目总投资</t>
  </si>
  <si>
    <t>建筑面积</t>
  </si>
  <si>
    <t>1</t>
  </si>
  <si>
    <t>2018036</t>
  </si>
  <si>
    <t>春和景苑建设项目</t>
  </si>
  <si>
    <t>土地使用权信息</t>
  </si>
  <si>
    <t>不动产权证号</t>
  </si>
  <si>
    <t>不动产单元号</t>
  </si>
  <si>
    <t>权利类型</t>
  </si>
  <si>
    <t>权利性质</t>
  </si>
  <si>
    <t>用途</t>
  </si>
  <si>
    <t>面积</t>
  </si>
  <si>
    <t>使用期限</t>
  </si>
  <si>
    <t>土地使用权证发证日期</t>
  </si>
  <si>
    <t>00019443</t>
  </si>
  <si>
    <t>652801  005068  GB00054</t>
  </si>
  <si>
    <t>国有建设用地使用权</t>
  </si>
  <si>
    <t>出让</t>
  </si>
  <si>
    <t>房地产开发企业的开发用地</t>
  </si>
  <si>
    <t>2010-05-24</t>
  </si>
  <si>
    <t>建设用地规划许可信息</t>
  </si>
  <si>
    <t>建设用地规划许可证编号</t>
  </si>
  <si>
    <t>用地项目名称</t>
  </si>
  <si>
    <t>用地位置</t>
  </si>
  <si>
    <t>用地面积</t>
  </si>
  <si>
    <t>建设规模</t>
  </si>
  <si>
    <t>发证日期</t>
  </si>
  <si>
    <t>地字第652800201400002</t>
  </si>
  <si>
    <t>商住楼</t>
  </si>
  <si>
    <t>68号小区、新城区幸福路南侧</t>
  </si>
  <si>
    <t>2014-01-02</t>
  </si>
  <si>
    <t>建设工程规划许可信息</t>
  </si>
  <si>
    <t>建设工程规划许可证编号</t>
  </si>
  <si>
    <t>建设项目名称</t>
  </si>
  <si>
    <t>建设位置</t>
  </si>
  <si>
    <t>*发证日期</t>
  </si>
  <si>
    <t>建字第652800201800425</t>
  </si>
  <si>
    <t>2#住宅楼</t>
  </si>
  <si>
    <t>68号小区，幸福路南侧</t>
  </si>
  <si>
    <t>2018-09-07</t>
  </si>
  <si>
    <t>2</t>
  </si>
  <si>
    <t>建字第652800201800426</t>
  </si>
  <si>
    <t>3#住宅楼</t>
  </si>
  <si>
    <t>3</t>
  </si>
  <si>
    <t>建字第652800201800424</t>
  </si>
  <si>
    <t>1#住宅楼</t>
  </si>
  <si>
    <t>建筑工程施工许可信息</t>
  </si>
  <si>
    <t>建筑工程施工许可证编号</t>
  </si>
  <si>
    <t>工程名称</t>
  </si>
  <si>
    <t>建设地址</t>
  </si>
  <si>
    <t>合同价格</t>
  </si>
  <si>
    <t>施工单位名称</t>
  </si>
  <si>
    <t>合同开工日期</t>
  </si>
  <si>
    <t>合同竣工日期</t>
  </si>
  <si>
    <t>652801201908090201</t>
  </si>
  <si>
    <t>春和景苑建设项目1#2#3#楼</t>
  </si>
  <si>
    <t>库尔勒市幸福路</t>
  </si>
  <si>
    <t>新疆正杰建筑集团有限公司</t>
  </si>
  <si>
    <t>2019-08-09</t>
  </si>
  <si>
    <t>预售许可信息</t>
  </si>
  <si>
    <t>预售许可证编号</t>
  </si>
  <si>
    <r>
      <rPr>
        <sz val="14"/>
        <color theme="1"/>
        <rFont val="宋体"/>
        <charset val="134"/>
      </rPr>
      <t>预售款专用帐户网点、帐号</t>
    </r>
    <r>
      <rPr>
        <sz val="14"/>
        <color theme="1"/>
        <rFont val="Times New Roman"/>
        <charset val="134"/>
      </rPr>
      <t> </t>
    </r>
  </si>
  <si>
    <t>预售房屋建筑面积</t>
  </si>
  <si>
    <t>预售套数</t>
  </si>
  <si>
    <t>住宅</t>
  </si>
  <si>
    <t>商业用房</t>
  </si>
  <si>
    <t>办公用房</t>
  </si>
  <si>
    <t>车位车库</t>
  </si>
  <si>
    <t>其他</t>
  </si>
  <si>
    <t>合计</t>
  </si>
  <si>
    <r>
      <rPr>
        <sz val="14"/>
        <color theme="1"/>
        <rFont val="宋体"/>
        <charset val="134"/>
      </rPr>
      <t>车位车库</t>
    </r>
    <r>
      <rPr>
        <sz val="14"/>
        <color theme="1"/>
        <rFont val="Times New Roman"/>
        <charset val="134"/>
      </rPr>
      <t> </t>
    </r>
  </si>
  <si>
    <t>新建房许字（2019）26号-库尔勒市</t>
  </si>
  <si>
    <t/>
  </si>
  <si>
    <t>新建房许字（2019）27号-库尔勒市</t>
  </si>
  <si>
    <t>新建房许字（2019）25号-库尔勒市</t>
  </si>
  <si>
    <t xml:space="preserve">现售备案信息 </t>
  </si>
  <si>
    <t>现售备案证书编号</t>
  </si>
  <si>
    <t>现售房屋建筑面积</t>
  </si>
  <si>
    <t>建设工程竣工验收信息</t>
  </si>
  <si>
    <t>竣工的建筑工程施工许可证编号</t>
  </si>
  <si>
    <t>验收日期</t>
  </si>
  <si>
    <t>*备案日期</t>
  </si>
  <si>
    <t>竣工工程造价</t>
  </si>
  <si>
    <t>竣工面积</t>
  </si>
  <si>
    <r>
      <rPr>
        <sz val="20"/>
        <rFont val="方正小标宋简体"/>
        <charset val="134"/>
      </rPr>
      <t>T20000</t>
    </r>
    <r>
      <rPr>
        <sz val="20"/>
        <rFont val="微软雅黑"/>
        <charset val="134"/>
      </rPr>
      <t>土地增值税税源明细表</t>
    </r>
  </si>
  <si>
    <t>税款所属期间：</t>
  </si>
  <si>
    <t xml:space="preserve">      2019年11 月20日 至2025年 8月30日</t>
  </si>
  <si>
    <t>纳税人识别号(统一社会信用代码):</t>
  </si>
  <si>
    <t xml:space="preserve">纳税人名称: </t>
  </si>
  <si>
    <t>项目编码</t>
  </si>
  <si>
    <t>项目地址</t>
  </si>
  <si>
    <t>分配方法</t>
  </si>
  <si>
    <t>三分法</t>
  </si>
  <si>
    <t>项目总可售面积</t>
  </si>
  <si>
    <t>自用和出租面积</t>
  </si>
  <si>
    <t>已售面积</t>
  </si>
  <si>
    <t>其中:普通住宅已售面积</t>
  </si>
  <si>
    <t>其中:非普通住宅已售面积</t>
  </si>
  <si>
    <t>其中:其他类型房地产已售面积</t>
  </si>
  <si>
    <t>清算后剩余可售面积</t>
  </si>
  <si>
    <t>其中:普通住宅剩余可售面积</t>
  </si>
  <si>
    <t>其中:非普通住宅剩余可售面积</t>
  </si>
  <si>
    <t>其中:其他类型房地产剩余可售面积</t>
  </si>
  <si>
    <t>项目</t>
  </si>
  <si>
    <t>行次</t>
  </si>
  <si>
    <t>普通住宅</t>
  </si>
  <si>
    <t>非普通住宅</t>
  </si>
  <si>
    <t>其他类型房产</t>
  </si>
  <si>
    <t>总额</t>
  </si>
  <si>
    <t>一、转让房地产收入总额</t>
  </si>
  <si>
    <t>1=2+3+4</t>
  </si>
  <si>
    <t>1.货币收入</t>
  </si>
  <si>
    <t>2.实物收入及其他收入</t>
  </si>
  <si>
    <t>3.视同销售收入</t>
  </si>
  <si>
    <t>二、扣除项目金额合计</t>
  </si>
  <si>
    <t>5=6+7+14+17+21+22</t>
  </si>
  <si>
    <t>1.取得土地使用权所支付的金额</t>
  </si>
  <si>
    <t>其中：不可加计扣除金额</t>
  </si>
  <si>
    <t>6-1</t>
  </si>
  <si>
    <t>2.房地产开发成本</t>
  </si>
  <si>
    <t>7=8+9+10+11+12+13</t>
  </si>
  <si>
    <t>其中：土地征用及拆迁补偿费</t>
  </si>
  <si>
    <t xml:space="preserve">      前期工程费</t>
  </si>
  <si>
    <t xml:space="preserve">      建筑安装工程费</t>
  </si>
  <si>
    <t xml:space="preserve">      基础设施费</t>
  </si>
  <si>
    <t xml:space="preserve">      公共配套设施费</t>
  </si>
  <si>
    <t xml:space="preserve">      开发间接费用</t>
  </si>
  <si>
    <t>7-1</t>
  </si>
  <si>
    <t>3.房地产开发费用</t>
  </si>
  <si>
    <t>14=15+16</t>
  </si>
  <si>
    <t>其中：利息支出</t>
  </si>
  <si>
    <t xml:space="preserve">      其他房地产开发费用</t>
  </si>
  <si>
    <t>4.与转让房地产有关的税金等</t>
  </si>
  <si>
    <t>17=18+19+20</t>
  </si>
  <si>
    <t>其中：营业税</t>
  </si>
  <si>
    <t xml:space="preserve">      城市维护建设税</t>
  </si>
  <si>
    <t xml:space="preserve">      教育费附加</t>
  </si>
  <si>
    <t>5.财政部规定的其他扣除项目</t>
  </si>
  <si>
    <t>6.代收费用</t>
  </si>
  <si>
    <t>三、增值额</t>
  </si>
  <si>
    <t>23=1-5</t>
  </si>
  <si>
    <t>四、增值额与扣除项目金额之比（%）</t>
  </si>
  <si>
    <t>24=23÷5</t>
  </si>
  <si>
    <t>五、适用税率（%）</t>
  </si>
  <si>
    <t>六、速算扣除系数（%）</t>
  </si>
  <si>
    <t>七、应缴土地增值税税额</t>
  </si>
  <si>
    <t>27=23*25-5*26</t>
  </si>
  <si>
    <t>八、减免税额</t>
  </si>
  <si>
    <t>28=30+32+34</t>
  </si>
  <si>
    <t>其中：减免税（1）</t>
  </si>
  <si>
    <t>减免性质代码和项目名称(1)</t>
  </si>
  <si>
    <t>减免税额(1)</t>
  </si>
  <si>
    <t xml:space="preserve">      减免税（2）</t>
  </si>
  <si>
    <t>减免性质代码和项目名称(2)</t>
  </si>
  <si>
    <t>减免税额(2)</t>
  </si>
  <si>
    <t xml:space="preserve">      减免税（3）</t>
  </si>
  <si>
    <t>减免性质代码和项目名称(3)</t>
  </si>
  <si>
    <t>减免税额(3)</t>
  </si>
  <si>
    <t>九、已缴土地增值税税额</t>
  </si>
  <si>
    <t>十、应补（退）土地增值税税额</t>
  </si>
  <si>
    <t>36=27-28-35</t>
  </si>
  <si>
    <r>
      <rPr>
        <sz val="16"/>
        <rFont val="方正小标宋简体"/>
        <charset val="134"/>
      </rPr>
      <t>T21000</t>
    </r>
    <r>
      <rPr>
        <sz val="16"/>
        <rFont val="微软雅黑"/>
        <charset val="134"/>
      </rPr>
      <t>附表</t>
    </r>
    <r>
      <rPr>
        <sz val="16"/>
        <rFont val="方正小标宋简体"/>
        <charset val="134"/>
      </rPr>
      <t>1-</t>
    </r>
    <r>
      <rPr>
        <sz val="16"/>
        <rFont val="微软雅黑"/>
        <charset val="134"/>
      </rPr>
      <t>面积统计表</t>
    </r>
  </si>
  <si>
    <t xml:space="preserve">面积基本信息  </t>
  </si>
  <si>
    <t>房屋类型</t>
  </si>
  <si>
    <t>测绘总建筑面积</t>
  </si>
  <si>
    <t>不可销售建筑面积</t>
  </si>
  <si>
    <t>总可售建筑面积</t>
  </si>
  <si>
    <t>已售建筑面积</t>
  </si>
  <si>
    <t>剩余可售建筑面积</t>
  </si>
  <si>
    <t>自用建筑面积</t>
  </si>
  <si>
    <t>出租建筑面积</t>
  </si>
  <si>
    <t>说明</t>
  </si>
  <si>
    <t>1=2+3</t>
  </si>
  <si>
    <t>4</t>
  </si>
  <si>
    <t>5=3-4
5≥6+7</t>
  </si>
  <si>
    <t>6</t>
  </si>
  <si>
    <t>7</t>
  </si>
  <si>
    <t>8</t>
  </si>
  <si>
    <t>面积比例信息</t>
  </si>
  <si>
    <t>可售面积</t>
  </si>
  <si>
    <t>销售比例</t>
  </si>
  <si>
    <t>自用比例</t>
  </si>
  <si>
    <t>出租比例</t>
  </si>
  <si>
    <t>销售、出租、自用比例</t>
  </si>
  <si>
    <t>9</t>
  </si>
  <si>
    <t>10</t>
  </si>
  <si>
    <t>11=10÷9</t>
  </si>
  <si>
    <t>12</t>
  </si>
  <si>
    <t>13</t>
  </si>
  <si>
    <t>14</t>
  </si>
  <si>
    <t>15</t>
  </si>
  <si>
    <r>
      <rPr>
        <sz val="16"/>
        <color indexed="8"/>
        <rFont val="方正小标宋简体"/>
        <charset val="134"/>
      </rPr>
      <t>T22000</t>
    </r>
    <r>
      <rPr>
        <sz val="16"/>
        <color rgb="FF000000"/>
        <rFont val="微软雅黑"/>
        <charset val="134"/>
      </rPr>
      <t>附表</t>
    </r>
    <r>
      <rPr>
        <sz val="16"/>
        <color indexed="8"/>
        <rFont val="方正小标宋简体"/>
        <charset val="134"/>
      </rPr>
      <t>2-</t>
    </r>
    <r>
      <rPr>
        <sz val="16"/>
        <color rgb="FF000000"/>
        <rFont val="微软雅黑"/>
        <charset val="134"/>
      </rPr>
      <t>收入统计表</t>
    </r>
  </si>
  <si>
    <t>清算类别</t>
  </si>
  <si>
    <t>货币收入</t>
  </si>
  <si>
    <t>实物收入及其他收入</t>
  </si>
  <si>
    <t>视同销售收入</t>
  </si>
  <si>
    <t>小计</t>
  </si>
  <si>
    <t>4=1+2+3</t>
  </si>
  <si>
    <r>
      <rPr>
        <sz val="16"/>
        <color rgb="FF000000"/>
        <rFont val="方正小标宋简体"/>
        <charset val="134"/>
      </rPr>
      <t>T23000</t>
    </r>
    <r>
      <rPr>
        <sz val="16"/>
        <color rgb="FF000000"/>
        <rFont val="微软雅黑"/>
        <charset val="134"/>
      </rPr>
      <t>附表</t>
    </r>
    <r>
      <rPr>
        <sz val="16"/>
        <color rgb="FF000000"/>
        <rFont val="方正小标宋简体"/>
        <charset val="134"/>
      </rPr>
      <t>3-</t>
    </r>
    <r>
      <rPr>
        <sz val="16"/>
        <color rgb="FF000000"/>
        <rFont val="微软雅黑"/>
        <charset val="134"/>
      </rPr>
      <t>扣除项目分摊表</t>
    </r>
  </si>
  <si>
    <t>科目名称</t>
  </si>
  <si>
    <t>总扣除金额</t>
  </si>
  <si>
    <t>本次扣除比例</t>
  </si>
  <si>
    <t>本次扣除金额</t>
  </si>
  <si>
    <t>分摊方法</t>
  </si>
  <si>
    <t>5</t>
  </si>
  <si>
    <t>9=1*6</t>
  </si>
  <si>
    <t>10=2*7</t>
  </si>
  <si>
    <t>11=3*8</t>
  </si>
  <si>
    <t>12=9+10+11</t>
  </si>
  <si>
    <t>扣除项目金额合计</t>
  </si>
  <si>
    <t>1=2+4+12+15+21+22</t>
  </si>
  <si>
    <t>可售建筑面积法</t>
  </si>
  <si>
    <t>4=5+6+7+8+9+10</t>
  </si>
  <si>
    <t>11</t>
  </si>
  <si>
    <t>12=13+14</t>
  </si>
  <si>
    <t>与加计扣除一致</t>
  </si>
  <si>
    <t>15=16+17+18+19+20</t>
  </si>
  <si>
    <t>16</t>
  </si>
  <si>
    <t>17</t>
  </si>
  <si>
    <t>18</t>
  </si>
  <si>
    <t xml:space="preserve">      地方教育附加</t>
  </si>
  <si>
    <t>19</t>
  </si>
  <si>
    <t xml:space="preserve">      其他税（费）</t>
  </si>
  <si>
    <t>20</t>
  </si>
  <si>
    <t>21=[(2-3)+(4-11)]*20%</t>
  </si>
  <si>
    <t>22</t>
  </si>
  <si>
    <t>附表4-项目间分摊信息采集表</t>
  </si>
  <si>
    <t>*是否已办理项目报告</t>
  </si>
  <si>
    <t>开发土地总面积</t>
  </si>
  <si>
    <t>其他分摊方法数额</t>
  </si>
  <si>
    <t>备注</t>
  </si>
  <si>
    <t>否</t>
  </si>
  <si>
    <t>本次清算项目</t>
  </si>
  <si>
    <t>春和景苑二期</t>
  </si>
  <si>
    <r>
      <rPr>
        <sz val="14"/>
        <rFont val="方正小标宋简体"/>
        <charset val="134"/>
      </rPr>
      <t>T23200</t>
    </r>
    <r>
      <rPr>
        <sz val="14"/>
        <rFont val="微软雅黑"/>
        <charset val="134"/>
      </rPr>
      <t>附表</t>
    </r>
    <r>
      <rPr>
        <sz val="14"/>
        <rFont val="方正小标宋简体"/>
        <charset val="134"/>
      </rPr>
      <t>5-</t>
    </r>
    <r>
      <rPr>
        <sz val="14"/>
        <rFont val="微软雅黑"/>
        <charset val="134"/>
      </rPr>
      <t>扣除项目统计表</t>
    </r>
  </si>
  <si>
    <t>直接归集成本费用</t>
  </si>
  <si>
    <t>共同成本费用</t>
  </si>
  <si>
    <t>8=5+6+7</t>
  </si>
  <si>
    <t>9=4+8</t>
  </si>
  <si>
    <t>其中</t>
  </si>
  <si>
    <t>房地产开发成本</t>
  </si>
  <si>
    <t>计算扣除</t>
  </si>
  <si>
    <t>其它房地产开发费用</t>
  </si>
  <si>
    <t>与转让房地产有关的税金</t>
  </si>
  <si>
    <t>营业税</t>
  </si>
  <si>
    <t>城市维护建设税</t>
  </si>
  <si>
    <t>教育费附加</t>
  </si>
  <si>
    <t>地方教育费附加</t>
  </si>
  <si>
    <t>其他税（费）</t>
  </si>
  <si>
    <t>财政部规定的其他扣除项目</t>
  </si>
  <si>
    <t>代收费用</t>
  </si>
  <si>
    <r>
      <rPr>
        <sz val="16"/>
        <color rgb="FF000000"/>
        <rFont val="方正小标宋简体"/>
        <charset val="134"/>
      </rPr>
      <t>T22100</t>
    </r>
    <r>
      <rPr>
        <sz val="16"/>
        <color rgb="FF000000"/>
        <rFont val="微软雅黑"/>
        <charset val="134"/>
      </rPr>
      <t>附表</t>
    </r>
    <r>
      <rPr>
        <sz val="16"/>
        <color rgb="FF000000"/>
        <rFont val="方正小标宋简体"/>
        <charset val="134"/>
      </rPr>
      <t>6-</t>
    </r>
    <r>
      <rPr>
        <sz val="16"/>
        <color rgb="FF000000"/>
        <rFont val="微软雅黑"/>
        <charset val="134"/>
      </rPr>
      <t>收入明细采集底稿</t>
    </r>
  </si>
  <si>
    <t>幢号</t>
  </si>
  <si>
    <t>单元号</t>
  </si>
  <si>
    <t>*楼层</t>
  </si>
  <si>
    <t>*房号</t>
  </si>
  <si>
    <t>*房屋类型</t>
  </si>
  <si>
    <t>*房屋状态</t>
  </si>
  <si>
    <t>*收入类型</t>
  </si>
  <si>
    <t>（网签）合同编号</t>
  </si>
  <si>
    <t>*合同签订时间</t>
  </si>
  <si>
    <t>合同金额</t>
  </si>
  <si>
    <t>购房人姓名</t>
  </si>
  <si>
    <t>合同建筑面积（㎡）</t>
  </si>
  <si>
    <t>合同套内面积（㎡）</t>
  </si>
  <si>
    <t>*实测建筑面积（㎡）</t>
  </si>
  <si>
    <t>实测套内面积（㎡）</t>
  </si>
  <si>
    <t>朝向</t>
  </si>
  <si>
    <t>发票代码</t>
  </si>
  <si>
    <t>发票号码</t>
  </si>
  <si>
    <t>发票金额</t>
  </si>
  <si>
    <t>发票税额</t>
  </si>
  <si>
    <t>发票价税合计</t>
  </si>
  <si>
    <t>*土地增值税应税收入</t>
  </si>
  <si>
    <t>土地增值税应税单价</t>
  </si>
  <si>
    <t>情况说明</t>
  </si>
  <si>
    <t>总计</t>
  </si>
  <si>
    <t>*</t>
  </si>
  <si>
    <t>筛选小计</t>
  </si>
  <si>
    <t>列次</t>
  </si>
  <si>
    <t>13≥14</t>
  </si>
  <si>
    <t>15≥16</t>
  </si>
  <si>
    <t>21</t>
  </si>
  <si>
    <t>22=20+21</t>
  </si>
  <si>
    <t>23</t>
  </si>
  <si>
    <t>24=23÷15</t>
  </si>
  <si>
    <t>25</t>
  </si>
  <si>
    <t>101</t>
  </si>
  <si>
    <t>未售</t>
  </si>
  <si>
    <t>102</t>
  </si>
  <si>
    <t>已售</t>
  </si>
  <si>
    <t>2020-10-22</t>
  </si>
  <si>
    <t>吴凯</t>
  </si>
  <si>
    <t>065001900105</t>
  </si>
  <si>
    <t>01913696</t>
  </si>
  <si>
    <t>201</t>
  </si>
  <si>
    <t>2021-01-07</t>
  </si>
  <si>
    <t>王义平、魏先琴</t>
  </si>
  <si>
    <t>01913685</t>
  </si>
  <si>
    <t>202</t>
  </si>
  <si>
    <t>周洪全、王海霞</t>
  </si>
  <si>
    <t>065001800105</t>
  </si>
  <si>
    <t>09204148</t>
  </si>
  <si>
    <t>301</t>
  </si>
  <si>
    <t>2020-12-15</t>
  </si>
  <si>
    <t>洪先锋</t>
  </si>
  <si>
    <t>09204185</t>
  </si>
  <si>
    <t>302</t>
  </si>
  <si>
    <t>2020-06-04</t>
  </si>
  <si>
    <t>张凤</t>
  </si>
  <si>
    <t>09204212</t>
  </si>
  <si>
    <t>401</t>
  </si>
  <si>
    <t>2021-01-08</t>
  </si>
  <si>
    <t>屈信福、王玉华</t>
  </si>
  <si>
    <t>09204206</t>
  </si>
  <si>
    <t>402</t>
  </si>
  <si>
    <t>2020-07-16</t>
  </si>
  <si>
    <t>张奎祖</t>
  </si>
  <si>
    <t>09204171</t>
  </si>
  <si>
    <t>501</t>
  </si>
  <si>
    <t>2021-03-23</t>
  </si>
  <si>
    <t>邓琪琦</t>
  </si>
  <si>
    <t>09204239</t>
  </si>
  <si>
    <t>502</t>
  </si>
  <si>
    <t>苏毅</t>
  </si>
  <si>
    <t>01913689</t>
  </si>
  <si>
    <t>601</t>
  </si>
  <si>
    <t>2025-06-16</t>
  </si>
  <si>
    <t>范忠绪</t>
  </si>
  <si>
    <t>25652000000034959572</t>
  </si>
  <si>
    <t>602</t>
  </si>
  <si>
    <t>王金东、李秋艳</t>
  </si>
  <si>
    <t>09204179</t>
  </si>
  <si>
    <t>2021-04-15</t>
  </si>
  <si>
    <t>杨丹</t>
  </si>
  <si>
    <t>01913686</t>
  </si>
  <si>
    <t>2021-12-07</t>
  </si>
  <si>
    <t>梁国松</t>
  </si>
  <si>
    <t>01913624</t>
  </si>
  <si>
    <t>2020-12-22</t>
  </si>
  <si>
    <t>阿依妮萨·热合曼</t>
  </si>
  <si>
    <t>09204269</t>
  </si>
  <si>
    <t>2021-01-24</t>
  </si>
  <si>
    <t>丁辉</t>
  </si>
  <si>
    <t>01913688</t>
  </si>
  <si>
    <t>2020-12-14</t>
  </si>
  <si>
    <t>欧阳志成</t>
  </si>
  <si>
    <t>01913646</t>
  </si>
  <si>
    <t>2020-03-20</t>
  </si>
  <si>
    <t>李玉红</t>
  </si>
  <si>
    <t>01913691</t>
  </si>
  <si>
    <t>2021-01-15</t>
  </si>
  <si>
    <t>马海龙</t>
  </si>
  <si>
    <t>09204205</t>
  </si>
  <si>
    <t>2021-01-13</t>
  </si>
  <si>
    <t>彭家龙、郭秀娟</t>
  </si>
  <si>
    <t>09204207</t>
  </si>
  <si>
    <t>2021-02-08</t>
  </si>
  <si>
    <t>刘燕、张民</t>
  </si>
  <si>
    <t>01913690</t>
  </si>
  <si>
    <t>2021-01-10</t>
  </si>
  <si>
    <t>白天华、任六碧</t>
  </si>
  <si>
    <t>09204290</t>
  </si>
  <si>
    <t>2021-09-29</t>
  </si>
  <si>
    <t>王万霞</t>
  </si>
  <si>
    <t>09204245</t>
  </si>
  <si>
    <t>24</t>
  </si>
  <si>
    <t>2021-01-18</t>
  </si>
  <si>
    <t>史少辉</t>
  </si>
  <si>
    <t>01913699</t>
  </si>
  <si>
    <t>2021-08-02</t>
  </si>
  <si>
    <t>衡聪</t>
  </si>
  <si>
    <t>09204180</t>
  </si>
  <si>
    <t>26</t>
  </si>
  <si>
    <t>2022-03-29</t>
  </si>
  <si>
    <t>付万兵</t>
  </si>
  <si>
    <t>01928564</t>
  </si>
  <si>
    <t>27</t>
  </si>
  <si>
    <t>2021-03-26</t>
  </si>
  <si>
    <t>王秋茹、马宁</t>
  </si>
  <si>
    <t>01913687</t>
  </si>
  <si>
    <t>28</t>
  </si>
  <si>
    <t>2021-03-31</t>
  </si>
  <si>
    <t>王敬、唐程</t>
  </si>
  <si>
    <t>09204222</t>
  </si>
  <si>
    <t>29</t>
  </si>
  <si>
    <t>2020-09-19</t>
  </si>
  <si>
    <t>陈玮</t>
  </si>
  <si>
    <t>09204234</t>
  </si>
  <si>
    <t>30</t>
  </si>
  <si>
    <t>2022-01-14</t>
  </si>
  <si>
    <t>张雄</t>
  </si>
  <si>
    <t>01913737</t>
  </si>
  <si>
    <t>31</t>
  </si>
  <si>
    <t>张波、蒲秋萍</t>
  </si>
  <si>
    <t>09204169</t>
  </si>
  <si>
    <t>32</t>
  </si>
  <si>
    <t>2021-05-25</t>
  </si>
  <si>
    <t>温国茹、赵丰艳</t>
  </si>
  <si>
    <t>09204154</t>
  </si>
  <si>
    <t>33</t>
  </si>
  <si>
    <t>2021-06-23</t>
  </si>
  <si>
    <t>于艳红</t>
  </si>
  <si>
    <t>01913647</t>
  </si>
  <si>
    <t>34</t>
  </si>
  <si>
    <t>高常升</t>
  </si>
  <si>
    <t>01913643</t>
  </si>
  <si>
    <t>35</t>
  </si>
  <si>
    <t>2020-07-02</t>
  </si>
  <si>
    <t>刘强</t>
  </si>
  <si>
    <t>01913692</t>
  </si>
  <si>
    <t>36</t>
  </si>
  <si>
    <t>2021-03-17</t>
  </si>
  <si>
    <t>巴图道尔吉、明拜来克</t>
  </si>
  <si>
    <t>01913661</t>
  </si>
  <si>
    <t>37</t>
  </si>
  <si>
    <t>-1</t>
  </si>
  <si>
    <t>-101</t>
  </si>
  <si>
    <t>其他营业性房产</t>
  </si>
  <si>
    <t>不可售</t>
  </si>
  <si>
    <t>38</t>
  </si>
  <si>
    <t>-102</t>
  </si>
  <si>
    <t>39</t>
  </si>
  <si>
    <t>-103</t>
  </si>
  <si>
    <t>40</t>
  </si>
  <si>
    <t>-104</t>
  </si>
  <si>
    <t>41</t>
  </si>
  <si>
    <t>-105</t>
  </si>
  <si>
    <t>42</t>
  </si>
  <si>
    <t>-106</t>
  </si>
  <si>
    <t>43</t>
  </si>
  <si>
    <t>-107</t>
  </si>
  <si>
    <t>44</t>
  </si>
  <si>
    <t>-108</t>
  </si>
  <si>
    <t>45</t>
  </si>
  <si>
    <t>-109</t>
  </si>
  <si>
    <t>46</t>
  </si>
  <si>
    <t>-110</t>
  </si>
  <si>
    <t>47</t>
  </si>
  <si>
    <t>-111</t>
  </si>
  <si>
    <t>48</t>
  </si>
  <si>
    <t>-112</t>
  </si>
  <si>
    <t>49</t>
  </si>
  <si>
    <t>-113</t>
  </si>
  <si>
    <t>50</t>
  </si>
  <si>
    <t>-114</t>
  </si>
  <si>
    <t>51</t>
  </si>
  <si>
    <t>-115</t>
  </si>
  <si>
    <t>52</t>
  </si>
  <si>
    <t>-116</t>
  </si>
  <si>
    <t>53</t>
  </si>
  <si>
    <t>-117</t>
  </si>
  <si>
    <t>54</t>
  </si>
  <si>
    <t>-118</t>
  </si>
  <si>
    <t>55</t>
  </si>
  <si>
    <t>-119</t>
  </si>
  <si>
    <t>56</t>
  </si>
  <si>
    <t>-120</t>
  </si>
  <si>
    <t>57</t>
  </si>
  <si>
    <t>-121</t>
  </si>
  <si>
    <t>58</t>
  </si>
  <si>
    <t>-122</t>
  </si>
  <si>
    <t>59</t>
  </si>
  <si>
    <t>-123</t>
  </si>
  <si>
    <t>60</t>
  </si>
  <si>
    <t>-124</t>
  </si>
  <si>
    <t>61</t>
  </si>
  <si>
    <t>-125</t>
  </si>
  <si>
    <t>62</t>
  </si>
  <si>
    <t>-126</t>
  </si>
  <si>
    <t>63</t>
  </si>
  <si>
    <t>-127</t>
  </si>
  <si>
    <t>64</t>
  </si>
  <si>
    <t>-128</t>
  </si>
  <si>
    <t>65</t>
  </si>
  <si>
    <t>-129</t>
  </si>
  <si>
    <t>66</t>
  </si>
  <si>
    <t>-130</t>
  </si>
  <si>
    <t>67</t>
  </si>
  <si>
    <t>-131</t>
  </si>
  <si>
    <t>68</t>
  </si>
  <si>
    <t>-132</t>
  </si>
  <si>
    <t>69</t>
  </si>
  <si>
    <t>-133</t>
  </si>
  <si>
    <t>70</t>
  </si>
  <si>
    <t>-134</t>
  </si>
  <si>
    <t>71</t>
  </si>
  <si>
    <t>-135</t>
  </si>
  <si>
    <t>72</t>
  </si>
  <si>
    <t>-136</t>
  </si>
  <si>
    <t>73</t>
  </si>
  <si>
    <t>2021-01-25</t>
  </si>
  <si>
    <t>王军强</t>
  </si>
  <si>
    <t>24652000000047576763</t>
  </si>
  <si>
    <t>74</t>
  </si>
  <si>
    <t>2020-06-09</t>
  </si>
  <si>
    <t>卢辉、韩岩岩</t>
  </si>
  <si>
    <t>09204195</t>
  </si>
  <si>
    <t>75</t>
  </si>
  <si>
    <t>2021-05-18</t>
  </si>
  <si>
    <t>李柯磊</t>
  </si>
  <si>
    <t>09204187</t>
  </si>
  <si>
    <t>76</t>
  </si>
  <si>
    <t>马庆军</t>
  </si>
  <si>
    <t>09204164</t>
  </si>
  <si>
    <t>77</t>
  </si>
  <si>
    <t>田河龙、马芙蓉</t>
  </si>
  <si>
    <t>065002100105</t>
  </si>
  <si>
    <t>01496820</t>
  </si>
  <si>
    <t>78</t>
  </si>
  <si>
    <t>2020-06-11</t>
  </si>
  <si>
    <t>王万东、李红果</t>
  </si>
  <si>
    <t>01913660</t>
  </si>
  <si>
    <t>79</t>
  </si>
  <si>
    <t>2020-01-12</t>
  </si>
  <si>
    <t>任金伟、敬双秋</t>
  </si>
  <si>
    <t>01913639</t>
  </si>
  <si>
    <t>80</t>
  </si>
  <si>
    <t>2020-10-19</t>
  </si>
  <si>
    <t>范福郎</t>
  </si>
  <si>
    <t>09204232</t>
  </si>
  <si>
    <t>81</t>
  </si>
  <si>
    <t>戴文腾</t>
  </si>
  <si>
    <t>01913716</t>
  </si>
  <si>
    <t>82</t>
  </si>
  <si>
    <t>2020-07-23</t>
  </si>
  <si>
    <t>王亚丽</t>
  </si>
  <si>
    <t>01913651</t>
  </si>
  <si>
    <t>83</t>
  </si>
  <si>
    <t>李军、许福荣</t>
  </si>
  <si>
    <t>01913700</t>
  </si>
  <si>
    <t>84</t>
  </si>
  <si>
    <t>2021-01-04</t>
  </si>
  <si>
    <t>熊悦</t>
  </si>
  <si>
    <t>09204178</t>
  </si>
  <si>
    <t>85</t>
  </si>
  <si>
    <t>2020-07-06</t>
  </si>
  <si>
    <t>史福存</t>
  </si>
  <si>
    <t>01913717</t>
  </si>
  <si>
    <t>86</t>
  </si>
  <si>
    <t>2022-02-19</t>
  </si>
  <si>
    <t>曾花</t>
  </si>
  <si>
    <t>01928482</t>
  </si>
  <si>
    <t>87</t>
  </si>
  <si>
    <t>2020-10-20</t>
  </si>
  <si>
    <t>刘华、李户荣</t>
  </si>
  <si>
    <t>09204233</t>
  </si>
  <si>
    <t>88</t>
  </si>
  <si>
    <t>2021-03-27</t>
  </si>
  <si>
    <t>亚森·巴拉提</t>
  </si>
  <si>
    <t>01913702</t>
  </si>
  <si>
    <t>89</t>
  </si>
  <si>
    <t>2021-01-12</t>
  </si>
  <si>
    <t>杨耀康</t>
  </si>
  <si>
    <t>01913693</t>
  </si>
  <si>
    <t>90</t>
  </si>
  <si>
    <t>2021-04-05</t>
  </si>
  <si>
    <t>克热木·吾斯曼、热彦古力·阿不拉</t>
  </si>
  <si>
    <t>01913701</t>
  </si>
  <si>
    <t>91</t>
  </si>
  <si>
    <t>2021-01-20</t>
  </si>
  <si>
    <t>吕端成、李秀英</t>
  </si>
  <si>
    <t>01913741</t>
  </si>
  <si>
    <t>92</t>
  </si>
  <si>
    <t>2021-04-20</t>
  </si>
  <si>
    <t>郭建宏</t>
  </si>
  <si>
    <t>01913695</t>
  </si>
  <si>
    <t>93</t>
  </si>
  <si>
    <t>2020-09-21</t>
  </si>
  <si>
    <t>胡洋</t>
  </si>
  <si>
    <t>09204235</t>
  </si>
  <si>
    <t>94</t>
  </si>
  <si>
    <t>2021-12-31</t>
  </si>
  <si>
    <t>魏建超</t>
  </si>
  <si>
    <t>01913727</t>
  </si>
  <si>
    <t>95</t>
  </si>
  <si>
    <t>2021-01-27</t>
  </si>
  <si>
    <t>李志强</t>
  </si>
  <si>
    <t>09204177</t>
  </si>
  <si>
    <t>96</t>
  </si>
  <si>
    <t>2023-04-26</t>
  </si>
  <si>
    <t>亚森江·艾木提</t>
  </si>
  <si>
    <t>01537138</t>
  </si>
  <si>
    <t>97</t>
  </si>
  <si>
    <t>2024-09-20</t>
  </si>
  <si>
    <t>李童</t>
  </si>
  <si>
    <t>24652000000054053875</t>
  </si>
  <si>
    <t>98</t>
  </si>
  <si>
    <t>99</t>
  </si>
  <si>
    <t>安尼瓦·艾买提</t>
  </si>
  <si>
    <t>065002200105</t>
  </si>
  <si>
    <t>03022265</t>
  </si>
  <si>
    <t>100</t>
  </si>
  <si>
    <t>2022-01-27</t>
  </si>
  <si>
    <t>张彩旗</t>
  </si>
  <si>
    <t>01928481</t>
  </si>
  <si>
    <t>103</t>
  </si>
  <si>
    <t>2022-07-20</t>
  </si>
  <si>
    <t>王新升</t>
  </si>
  <si>
    <t>01500511</t>
  </si>
  <si>
    <t>104</t>
  </si>
  <si>
    <t>2021-11-09</t>
  </si>
  <si>
    <t>康志城</t>
  </si>
  <si>
    <t>01913623</t>
  </si>
  <si>
    <t>105</t>
  </si>
  <si>
    <t>2022-01-25</t>
  </si>
  <si>
    <t>刘军</t>
  </si>
  <si>
    <t>01913746</t>
  </si>
  <si>
    <t>106</t>
  </si>
  <si>
    <t>2021-10-08</t>
  </si>
  <si>
    <t>刘静</t>
  </si>
  <si>
    <t>01913694</t>
  </si>
  <si>
    <t>107</t>
  </si>
  <si>
    <t>2023-07-13</t>
  </si>
  <si>
    <t>阿布力孜·阿布来提</t>
  </si>
  <si>
    <t>01537171</t>
  </si>
  <si>
    <t>108</t>
  </si>
  <si>
    <t>2023-02-06</t>
  </si>
  <si>
    <t>荆彦忠</t>
  </si>
  <si>
    <t>01500544</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</si>
  <si>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</si>
  <si>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</si>
  <si>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</si>
  <si>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</si>
  <si>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</si>
  <si>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</si>
  <si>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</si>
  <si>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</si>
  <si>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</si>
  <si>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</si>
  <si>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</si>
  <si>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</si>
  <si>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</si>
  <si>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</si>
  <si>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</si>
  <si>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</si>
  <si>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</si>
  <si>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</si>
  <si>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</si>
  <si>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</si>
  <si>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</si>
  <si>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</si>
  <si>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</si>
  <si>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</si>
  <si>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</si>
  <si>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</si>
  <si>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</si>
  <si>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</si>
  <si>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</si>
  <si>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</si>
  <si>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</si>
  <si>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</si>
  <si>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</si>
  <si>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</si>
  <si>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</si>
  <si>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</si>
  <si>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</si>
  <si>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2021-02-26</t>
  </si>
  <si>
    <t>马沛宁</t>
  </si>
  <si>
    <t>01913713</t>
  </si>
  <si>
    <t>146</t>
  </si>
  <si>
    <t>2022-04-06</t>
  </si>
  <si>
    <t>秦亚红</t>
  </si>
  <si>
    <t>01928532</t>
  </si>
  <si>
    <t>147</t>
  </si>
  <si>
    <t>吴运建</t>
  </si>
  <si>
    <t>05001800105</t>
  </si>
  <si>
    <t>09204199</t>
  </si>
  <si>
    <t>148</t>
  </si>
  <si>
    <t>2020-11-25</t>
  </si>
  <si>
    <t>邓义、王世娟</t>
  </si>
  <si>
    <t>01913642</t>
  </si>
  <si>
    <t>149</t>
  </si>
  <si>
    <t>2021-08-06</t>
  </si>
  <si>
    <t>文雪纲、王锡梅</t>
  </si>
  <si>
    <t>09204186</t>
  </si>
  <si>
    <t>150</t>
  </si>
  <si>
    <t>王燕锋</t>
  </si>
  <si>
    <t>01913711</t>
  </si>
  <si>
    <t>151</t>
  </si>
  <si>
    <t>2020-11-12</t>
  </si>
  <si>
    <t>卢彤</t>
  </si>
  <si>
    <t>01913594</t>
  </si>
  <si>
    <t>152</t>
  </si>
  <si>
    <t>2020-07-15</t>
  </si>
  <si>
    <t>张卫龙</t>
  </si>
  <si>
    <t>01913641</t>
  </si>
  <si>
    <t>153</t>
  </si>
  <si>
    <t>2020-09-22</t>
  </si>
  <si>
    <t>丁亭亭</t>
  </si>
  <si>
    <t>01913704</t>
  </si>
  <si>
    <t>154</t>
  </si>
  <si>
    <t>卢素珍</t>
  </si>
  <si>
    <t>01913589</t>
  </si>
  <si>
    <t>155</t>
  </si>
  <si>
    <t>李祥旺</t>
  </si>
  <si>
    <t>01913644</t>
  </si>
  <si>
    <t>156</t>
  </si>
  <si>
    <t>2020-12-07</t>
  </si>
  <si>
    <t>欧惠玲、吴晓军</t>
  </si>
  <si>
    <t>09204203</t>
  </si>
  <si>
    <t>157</t>
  </si>
  <si>
    <t>2020-11-06</t>
  </si>
  <si>
    <t>贾茂洪、韩艳丽</t>
  </si>
  <si>
    <t>01913663</t>
  </si>
  <si>
    <t>158</t>
  </si>
  <si>
    <t>2020-06-01</t>
  </si>
  <si>
    <t>魏宏刚</t>
  </si>
  <si>
    <t>01913638</t>
  </si>
  <si>
    <t>159</t>
  </si>
  <si>
    <t>2020-12-08</t>
  </si>
  <si>
    <t>刘敏、朱书亮</t>
  </si>
  <si>
    <t>01913715</t>
  </si>
  <si>
    <t>160</t>
  </si>
  <si>
    <t>2020-12-12</t>
  </si>
  <si>
    <t>欧阳瑜、杨跃林</t>
  </si>
  <si>
    <t>09204200</t>
  </si>
  <si>
    <t>161</t>
  </si>
  <si>
    <t>彭东</t>
  </si>
  <si>
    <t>01913707</t>
  </si>
  <si>
    <t>162</t>
  </si>
  <si>
    <t>2020-03-15</t>
  </si>
  <si>
    <t>张龙</t>
  </si>
  <si>
    <t>01913705</t>
  </si>
  <si>
    <t>163</t>
  </si>
  <si>
    <t>2020-07-01</t>
  </si>
  <si>
    <t>唐晓娟</t>
  </si>
  <si>
    <t>01913706</t>
  </si>
  <si>
    <t>164</t>
  </si>
  <si>
    <t>2020-12-01</t>
  </si>
  <si>
    <t>戚素贞</t>
  </si>
  <si>
    <t>09189178</t>
  </si>
  <si>
    <t>165</t>
  </si>
  <si>
    <t>2021-09-10</t>
  </si>
  <si>
    <t>郑彦永</t>
  </si>
  <si>
    <t>09204230</t>
  </si>
  <si>
    <t>166</t>
  </si>
  <si>
    <t>王欢</t>
  </si>
  <si>
    <t>01913709</t>
  </si>
  <si>
    <t>167</t>
  </si>
  <si>
    <t>艾尼沙汗·买木提</t>
  </si>
  <si>
    <t>01913645</t>
  </si>
  <si>
    <t>168</t>
  </si>
  <si>
    <t>2021-01-14</t>
  </si>
  <si>
    <t>唐继华</t>
  </si>
  <si>
    <t>01913738</t>
  </si>
  <si>
    <t>169</t>
  </si>
  <si>
    <t>2020-10-21</t>
  </si>
  <si>
    <t>王疆棋</t>
  </si>
  <si>
    <t>01913710</t>
  </si>
  <si>
    <t>170</t>
  </si>
  <si>
    <t>2021-01-19</t>
  </si>
  <si>
    <t>高华东、李心梅</t>
  </si>
  <si>
    <t>01913640</t>
  </si>
  <si>
    <t>171</t>
  </si>
  <si>
    <t>2020-03-31</t>
  </si>
  <si>
    <t>刘思汉</t>
  </si>
  <si>
    <t>09189185</t>
  </si>
  <si>
    <t>172</t>
  </si>
  <si>
    <t>徐军、刘金娥</t>
  </si>
  <si>
    <t>09204231</t>
  </si>
  <si>
    <t>173</t>
  </si>
  <si>
    <t>2021-06-07</t>
  </si>
  <si>
    <t>黄浩浩</t>
  </si>
  <si>
    <t>09204223</t>
  </si>
  <si>
    <t>174</t>
  </si>
  <si>
    <t>2020-06-16</t>
  </si>
  <si>
    <t>梁尔振</t>
  </si>
  <si>
    <t>01913673</t>
  </si>
  <si>
    <t>175</t>
  </si>
  <si>
    <t>2020-10-16</t>
  </si>
  <si>
    <t>马立国、吕宝珍</t>
  </si>
  <si>
    <t>01913714</t>
  </si>
  <si>
    <t>176</t>
  </si>
  <si>
    <t>2021-01-21</t>
  </si>
  <si>
    <t>傅隆华</t>
  </si>
  <si>
    <t>01913712</t>
  </si>
  <si>
    <t>177</t>
  </si>
  <si>
    <t>2020-10-30</t>
  </si>
  <si>
    <t>刘超</t>
  </si>
  <si>
    <t>01913659</t>
  </si>
  <si>
    <t>178</t>
  </si>
  <si>
    <t>2021-02-23</t>
  </si>
  <si>
    <t>纪贵忠</t>
  </si>
  <si>
    <t>09204146</t>
  </si>
  <si>
    <t>179</t>
  </si>
  <si>
    <t>2020-05-13</t>
  </si>
  <si>
    <t>向芳</t>
  </si>
  <si>
    <t>01913670</t>
  </si>
  <si>
    <t>180</t>
  </si>
  <si>
    <t>2021-08-31</t>
  </si>
  <si>
    <t>戴江、邓海燕</t>
  </si>
  <si>
    <t>09204221</t>
  </si>
  <si>
    <t>181</t>
  </si>
  <si>
    <t>182</t>
  </si>
  <si>
    <t>183</t>
  </si>
  <si>
    <t>184</t>
  </si>
  <si>
    <t>185</t>
  </si>
  <si>
    <t>186</t>
  </si>
  <si>
    <t>187</t>
  </si>
  <si>
    <t>188</t>
  </si>
  <si>
    <t>189</t>
  </si>
  <si>
    <t>190</t>
  </si>
  <si>
    <t>191</t>
  </si>
  <si>
    <t>192</t>
  </si>
  <si>
    <t>193</t>
  </si>
  <si>
    <t>194</t>
  </si>
  <si>
    <t>195</t>
  </si>
  <si>
    <t>196</t>
  </si>
  <si>
    <t>197</t>
  </si>
  <si>
    <t>198</t>
  </si>
  <si>
    <t>199</t>
  </si>
  <si>
    <t>200</t>
  </si>
  <si>
    <t>203</t>
  </si>
  <si>
    <t>204</t>
  </si>
  <si>
    <t>205</t>
  </si>
  <si>
    <t>206</t>
  </si>
  <si>
    <t>207</t>
  </si>
  <si>
    <t>208</t>
  </si>
  <si>
    <t>209</t>
  </si>
  <si>
    <t>210</t>
  </si>
  <si>
    <t>211</t>
  </si>
  <si>
    <t>212</t>
  </si>
  <si>
    <t>213</t>
  </si>
  <si>
    <t>214</t>
  </si>
  <si>
    <t>215</t>
  </si>
  <si>
    <t>216</t>
  </si>
  <si>
    <r>
      <rPr>
        <sz val="16"/>
        <rFont val="方正小标宋简体"/>
        <charset val="134"/>
      </rPr>
      <t>T23210</t>
    </r>
    <r>
      <rPr>
        <sz val="16"/>
        <rFont val="微软雅黑"/>
        <charset val="134"/>
      </rPr>
      <t>附表</t>
    </r>
    <r>
      <rPr>
        <sz val="16"/>
        <rFont val="方正小标宋简体"/>
        <charset val="134"/>
      </rPr>
      <t>7-</t>
    </r>
    <r>
      <rPr>
        <sz val="16"/>
        <rFont val="微软雅黑"/>
        <charset val="134"/>
      </rPr>
      <t>扣除项目明细采集底稿</t>
    </r>
  </si>
  <si>
    <t>*记账日期</t>
  </si>
  <si>
    <t>*记账凭证号码</t>
  </si>
  <si>
    <t>*科目名称</t>
  </si>
  <si>
    <t>*二级科目名称</t>
  </si>
  <si>
    <t>内容摘要</t>
  </si>
  <si>
    <t>合同编号</t>
  </si>
  <si>
    <t>合同名称</t>
  </si>
  <si>
    <t>合同类别</t>
  </si>
  <si>
    <t>收款单位</t>
  </si>
  <si>
    <t>*凭据类型</t>
  </si>
  <si>
    <t>发票(凭据)代码</t>
  </si>
  <si>
    <t>发票(凭据)号码</t>
  </si>
  <si>
    <t>*发票(凭据)金额</t>
  </si>
  <si>
    <t>*付款金额</t>
  </si>
  <si>
    <t>*记账金额</t>
  </si>
  <si>
    <t>申报调整金额</t>
  </si>
  <si>
    <t>*申报扣除的记账金额</t>
  </si>
  <si>
    <t>分摊至本项目比例</t>
  </si>
  <si>
    <t>*本项目扣除金额</t>
  </si>
  <si>
    <t>*成本对象类型</t>
  </si>
  <si>
    <t>*普通住宅分摊金额</t>
  </si>
  <si>
    <t>*非普通住宅分摊金额</t>
  </si>
  <si>
    <t>*其他类型房产分摊金额</t>
  </si>
  <si>
    <t>*分摊方法</t>
  </si>
  <si>
    <t>分摊方法说明</t>
  </si>
  <si>
    <t>*是否可加计扣除</t>
  </si>
  <si>
    <t>17=15+16</t>
  </si>
  <si>
    <t>19=17*18</t>
  </si>
  <si>
    <t>23=19-22-24</t>
  </si>
  <si>
    <t>0078</t>
  </si>
  <si>
    <t>前期工程费</t>
  </si>
  <si>
    <t>设计费用</t>
  </si>
  <si>
    <t>春和景苑项目设计费</t>
  </si>
  <si>
    <t>春和景苑1#</t>
  </si>
  <si>
    <t>增值税专用发票</t>
  </si>
  <si>
    <t>6500181130</t>
  </si>
  <si>
    <t>01862931</t>
  </si>
  <si>
    <t>可加计</t>
  </si>
  <si>
    <t>仅认可1-3#住宅楼的含税设计费126360，/1.06=119207.55</t>
  </si>
  <si>
    <t>0010</t>
  </si>
  <si>
    <t>春和景苑红蓝线测绘费</t>
  </si>
  <si>
    <t>库尔勒天拓勘察测绘院</t>
  </si>
  <si>
    <t>01933325</t>
  </si>
  <si>
    <t>1总规</t>
  </si>
  <si>
    <t>0016</t>
  </si>
  <si>
    <t>其他前期工程费</t>
  </si>
  <si>
    <t>春和景苑公示费</t>
  </si>
  <si>
    <t>库尔勒天拓规划设计研究院</t>
  </si>
  <si>
    <t>6500174130</t>
  </si>
  <si>
    <t>02900013</t>
  </si>
  <si>
    <t>补未抵扣</t>
  </si>
  <si>
    <t>公示什么？专票943.4</t>
  </si>
  <si>
    <t>0038</t>
  </si>
  <si>
    <t>春和景苑设计费</t>
  </si>
  <si>
    <t>01942404</t>
  </si>
  <si>
    <t>0066</t>
  </si>
  <si>
    <t>春和景苑施工图审查费</t>
  </si>
  <si>
    <t>春和33#</t>
  </si>
  <si>
    <t>01854910</t>
  </si>
  <si>
    <t>0007</t>
  </si>
  <si>
    <t>春和景苑公示牌制作费及红线图扫描费</t>
  </si>
  <si>
    <t>库尔勒春磊广告制作中心</t>
  </si>
  <si>
    <t>增值税普通发票</t>
  </si>
  <si>
    <t>065001800111</t>
  </si>
  <si>
    <t>01985124</t>
  </si>
  <si>
    <t>0023</t>
  </si>
  <si>
    <t>预付设计费</t>
  </si>
  <si>
    <t>02900087</t>
  </si>
  <si>
    <t>未抵扣进项，二期全额扣除</t>
  </si>
  <si>
    <t>未抵扣进项</t>
  </si>
  <si>
    <t>0011</t>
  </si>
  <si>
    <t>春和景苑造价咨询费</t>
  </si>
  <si>
    <t>春和景苑3#</t>
  </si>
  <si>
    <t>6500162160</t>
  </si>
  <si>
    <t>00835695</t>
  </si>
  <si>
    <t>期间费用</t>
  </si>
  <si>
    <t>属于开发费用</t>
  </si>
  <si>
    <t>基础设施费</t>
  </si>
  <si>
    <t>供水工程支出</t>
  </si>
  <si>
    <t>春和景苑供水管道安装工程</t>
  </si>
  <si>
    <t>春和13#</t>
  </si>
  <si>
    <t>6500191130</t>
  </si>
  <si>
    <t>01532013</t>
  </si>
  <si>
    <t>无合同，发票金额含36696.17，支付为36696.17，按照合同金额计入35300.85/1.09=32386.1，其余调减</t>
  </si>
  <si>
    <t>0062</t>
  </si>
  <si>
    <t>春和景苑放线费</t>
  </si>
  <si>
    <t>01501304</t>
  </si>
  <si>
    <t>0015</t>
  </si>
  <si>
    <t>春和景苑人防费</t>
  </si>
  <si>
    <t>库尔勒市财政局</t>
  </si>
  <si>
    <t>其他凭据</t>
  </si>
  <si>
    <t>0085</t>
  </si>
  <si>
    <t>测绘费用</t>
  </si>
  <si>
    <t>春和景苑测绘费</t>
  </si>
  <si>
    <t>巴州新矿测绘中心</t>
  </si>
  <si>
    <t>6500182130</t>
  </si>
  <si>
    <t>05206566</t>
  </si>
  <si>
    <t>0030</t>
  </si>
  <si>
    <t>建筑安装工程费</t>
  </si>
  <si>
    <t>其他建筑安装工程费</t>
  </si>
  <si>
    <t>春和景苑监理费</t>
  </si>
  <si>
    <t>春和景苑4#</t>
  </si>
  <si>
    <t>6500182160</t>
  </si>
  <si>
    <t>00008554</t>
  </si>
  <si>
    <t>合同金额147237.48，发票不含111914，无支付</t>
  </si>
  <si>
    <t>0088</t>
  </si>
  <si>
    <t>0073</t>
  </si>
  <si>
    <t>勘探费用</t>
  </si>
  <si>
    <t>沁春锦苑、春和景苑工程勘察费</t>
  </si>
  <si>
    <t>春和景苑2#</t>
  </si>
  <si>
    <t>01757264</t>
  </si>
  <si>
    <t>1-3#住宅楼及商业用房，便民超市、警卫室建设项目</t>
  </si>
  <si>
    <t>地上建筑工程费用</t>
  </si>
  <si>
    <t>春和景苑工程款</t>
  </si>
  <si>
    <t>春和景苑5#</t>
  </si>
  <si>
    <t>01603167；
01603166</t>
  </si>
  <si>
    <t>正杰全部支付13558027为有效支付，/1.09=12438556.88，调减1967733.02</t>
  </si>
  <si>
    <t>0008</t>
  </si>
  <si>
    <t>非税收入票据</t>
  </si>
  <si>
    <t>2020-05-31</t>
  </si>
  <si>
    <t>记 - 148</t>
  </si>
  <si>
    <t>5-8巴州智诚春和景苑监理费发票到</t>
  </si>
  <si>
    <t>6500193160</t>
  </si>
  <si>
    <t>00186956</t>
  </si>
  <si>
    <t>总公司签合同，三分公司和铁门关分公司开票和支付，合同金额147237.48，发票不含111914，支付混乱</t>
  </si>
  <si>
    <t>记 - 119</t>
  </si>
  <si>
    <t>7-23支付正杰春和景苑工程款（许）</t>
  </si>
  <si>
    <t>6500193130</t>
  </si>
  <si>
    <t>03893037</t>
  </si>
  <si>
    <t>2020-10-14</t>
  </si>
  <si>
    <t>记 - 50</t>
  </si>
  <si>
    <t>10-13付新疆华汇春和景苑电梯款</t>
  </si>
  <si>
    <t>春和景苑7#</t>
  </si>
  <si>
    <t>03750621</t>
  </si>
  <si>
    <t>有效支付1136776,还有716413为分不清哪个项目的支付</t>
  </si>
  <si>
    <t>2020-10-15</t>
  </si>
  <si>
    <t>记 - 71</t>
  </si>
  <si>
    <t>10-14付正杰春和景苑工程款（许）</t>
  </si>
  <si>
    <t>03771809</t>
  </si>
  <si>
    <t>2020-10-31</t>
  </si>
  <si>
    <t>记 - 240</t>
  </si>
  <si>
    <t>10-26华汇建安春和景苑电梯安装费发票到</t>
  </si>
  <si>
    <t>04040606</t>
  </si>
  <si>
    <t>2020-11-05</t>
  </si>
  <si>
    <t>记 - 23</t>
  </si>
  <si>
    <t>11-03付天拓空间春和景苑测绘费（红线图）</t>
  </si>
  <si>
    <t>新疆天拓空间信息测绘院有限公司</t>
  </si>
  <si>
    <t>09511694</t>
  </si>
  <si>
    <t>无支付</t>
  </si>
  <si>
    <t>2020-11-18</t>
  </si>
  <si>
    <t>记 - 97</t>
  </si>
  <si>
    <t>通讯工程支出</t>
  </si>
  <si>
    <t>11-12付巴州昱人数字门牌信息费</t>
  </si>
  <si>
    <t>03904464</t>
  </si>
  <si>
    <t>记 - 112</t>
  </si>
  <si>
    <t>11-13华汇春和景苑电梯安装发票到</t>
  </si>
  <si>
    <t>09543583</t>
  </si>
  <si>
    <t>2020-11-19</t>
  </si>
  <si>
    <t>记 - 131</t>
  </si>
  <si>
    <t>11-19支付正杰春和景苑工程款</t>
  </si>
  <si>
    <t>09553609</t>
  </si>
  <si>
    <t>2020-12-25</t>
  </si>
  <si>
    <t>记 - 255</t>
  </si>
  <si>
    <t>12-25支付正杰春和景苑工程款</t>
  </si>
  <si>
    <t>09553715；
09553714</t>
  </si>
  <si>
    <t>2021-01-16</t>
  </si>
  <si>
    <t>记 - 87</t>
  </si>
  <si>
    <t>1-15支付正杰春和景苑工程款（许）</t>
  </si>
  <si>
    <t>09553733</t>
  </si>
  <si>
    <t>2021-01-29</t>
  </si>
  <si>
    <t>记 - 193</t>
  </si>
  <si>
    <t>1-28支付新疆正杰春和景苑工程款</t>
  </si>
  <si>
    <t>09553746</t>
  </si>
  <si>
    <t>2021-04-09</t>
  </si>
  <si>
    <t>记 - 49</t>
  </si>
  <si>
    <t>4-9付昌源水务春和供水管道安装</t>
  </si>
  <si>
    <t>09803267</t>
  </si>
  <si>
    <t>合同发票支付</t>
  </si>
  <si>
    <t>2021-04-13</t>
  </si>
  <si>
    <t>记 - 72</t>
  </si>
  <si>
    <t>4-12正杰春和景苑工程款发票到（许）</t>
  </si>
  <si>
    <t>09649378</t>
  </si>
  <si>
    <t>2021-04-14</t>
  </si>
  <si>
    <t>记 - 90</t>
  </si>
  <si>
    <t>供电工程支出</t>
  </si>
  <si>
    <t>4-13预付鑫磊机电春和景苑箱变款</t>
  </si>
  <si>
    <t>春和景苑10#</t>
  </si>
  <si>
    <t>6500201130</t>
  </si>
  <si>
    <t>06428180；06428181</t>
  </si>
  <si>
    <t>支付了101410,/1.13为89743.36，调减59995.58</t>
  </si>
  <si>
    <t>2021-04-23</t>
  </si>
  <si>
    <t>记 - 201</t>
  </si>
  <si>
    <t>4-23支付拓宇春和电力外网设备安装款</t>
  </si>
  <si>
    <t>春和景苑11#</t>
  </si>
  <si>
    <t>09734797</t>
  </si>
  <si>
    <t>合同金额211815，支付84726，2021.8.10支付39800，共支付124526，换算成/1.09=114244.04，调减96683.31</t>
  </si>
  <si>
    <t>2021-04-29</t>
  </si>
  <si>
    <t>记 - 247</t>
  </si>
  <si>
    <t>其他设施工程发生的支出</t>
  </si>
  <si>
    <t>4-29支付巴州方程式春和广告费</t>
  </si>
  <si>
    <t>巴州方程视广告有限公司（刘亭）</t>
  </si>
  <si>
    <t>00196124</t>
  </si>
  <si>
    <t>2021-05-15</t>
  </si>
  <si>
    <t>记 - 86</t>
  </si>
  <si>
    <t>5-15预付江苏中义春和景苑消防工程款</t>
  </si>
  <si>
    <t>春和12#</t>
  </si>
  <si>
    <t>09583352</t>
  </si>
  <si>
    <t>给水、排水、消防工程合同金额109万，发票金额60万，</t>
  </si>
  <si>
    <t>记 - 105</t>
  </si>
  <si>
    <t>5-18泰丰线缆春和发票到</t>
  </si>
  <si>
    <t>春和11#</t>
  </si>
  <si>
    <t>1300203130</t>
  </si>
  <si>
    <t>08918746</t>
  </si>
  <si>
    <t>税务局未认可</t>
  </si>
  <si>
    <t>已支付</t>
  </si>
  <si>
    <t>记 - 108</t>
  </si>
  <si>
    <t>5-11春和改扩道路票据到</t>
  </si>
  <si>
    <t>收取违反城市绿化条例，属于开发费用</t>
  </si>
  <si>
    <t>记 - 110</t>
  </si>
  <si>
    <t>5-18新疆昌源水务水表发票到</t>
  </si>
  <si>
    <t>新疆昌源水务集团库尔勒银泉供水有限公司</t>
  </si>
  <si>
    <t>09528806</t>
  </si>
  <si>
    <t>这个是不是更换水表</t>
  </si>
  <si>
    <t>2021-05-20</t>
  </si>
  <si>
    <t>记 - 125</t>
  </si>
  <si>
    <t>绿化费用</t>
  </si>
  <si>
    <t>5-19支付巴州绿叶园林春和配套工程款</t>
  </si>
  <si>
    <t>春和14#</t>
  </si>
  <si>
    <t>6500203130</t>
  </si>
  <si>
    <t>00518204；00518204；00518206</t>
  </si>
  <si>
    <t>绿化及配套发票无法区分，全部分摊</t>
  </si>
  <si>
    <t>便民超市及文化活动中心，建筑面积120.92，地上一层砖混结构；警卫室，面积53平方米，地上一层，砖混结构</t>
  </si>
  <si>
    <t>记 - 162</t>
  </si>
  <si>
    <t>七通一平支出</t>
  </si>
  <si>
    <t>5-25支付春和垃圾清运费</t>
  </si>
  <si>
    <t>春和34#</t>
  </si>
  <si>
    <t>00196404</t>
  </si>
  <si>
    <t>垃圾运费，属于开发费用</t>
  </si>
  <si>
    <t>2021-05-27</t>
  </si>
  <si>
    <t>记 - 194</t>
  </si>
  <si>
    <t>5-27支付航锐春和购电缆</t>
  </si>
  <si>
    <t>库尔勒航锐电力器材经营部</t>
  </si>
  <si>
    <t>065002000211</t>
  </si>
  <si>
    <t>59626152</t>
  </si>
  <si>
    <t>零星购买电缆电线，无合同，已支付</t>
  </si>
  <si>
    <t>2021-06-09</t>
  </si>
  <si>
    <t>记 - 43</t>
  </si>
  <si>
    <t>排污工程支出</t>
  </si>
  <si>
    <t>6-6乌鲁木齐三源春和玻璃钢化粪池发票到</t>
  </si>
  <si>
    <t>春和16#</t>
  </si>
  <si>
    <t>01914997</t>
  </si>
  <si>
    <t>临时购买，无法确认本项目成本</t>
  </si>
  <si>
    <t>有合同有发票有支付</t>
  </si>
  <si>
    <t>记 - 176</t>
  </si>
  <si>
    <t>6-21巴州国鑫管道春和排水管道安装款发票到</t>
  </si>
  <si>
    <t>春和17#</t>
  </si>
  <si>
    <t>00167723</t>
  </si>
  <si>
    <t>2021-06-30</t>
  </si>
  <si>
    <t>记 - 231</t>
  </si>
  <si>
    <t>调2020年11月37#凭证沁春锦苑四期项目设计费（开发成本）错入春和景苑项目</t>
  </si>
  <si>
    <t>2021-07-05</t>
  </si>
  <si>
    <t>记 - 21</t>
  </si>
  <si>
    <t>7-5支付青橄榄春和监控及弱电工程款</t>
  </si>
  <si>
    <t>春和18#</t>
  </si>
  <si>
    <t>00467487</t>
  </si>
  <si>
    <t>支付有误</t>
  </si>
  <si>
    <t>2021-07-09</t>
  </si>
  <si>
    <t>记 - 53</t>
  </si>
  <si>
    <t>7-8支付库尔勒箴言五金店（任康）春和亮化材料款</t>
  </si>
  <si>
    <t>春和39#</t>
  </si>
  <si>
    <t>065002000111</t>
  </si>
  <si>
    <t>38445860；38445861</t>
  </si>
  <si>
    <t>亮化洗墙灯、亮化线条灯、气孔梅花管；支付给了任康，与这个店什么关系？</t>
  </si>
  <si>
    <t>记 - 58</t>
  </si>
  <si>
    <t>7-07智诚春和景苑监理费发票到</t>
  </si>
  <si>
    <t>01102307</t>
  </si>
  <si>
    <t>2021-07-14</t>
  </si>
  <si>
    <t>7-14支付库尔勒诗篇五金店（党峥）春和监控材料款</t>
  </si>
  <si>
    <t>春和40#</t>
  </si>
  <si>
    <t>41154230；41154231</t>
  </si>
  <si>
    <t>液晶拼接屏、监控设备，监控硬盘，支付给党峥什么关系</t>
  </si>
  <si>
    <t>2021-07-19</t>
  </si>
  <si>
    <t>记 - 123</t>
  </si>
  <si>
    <t>7-15付正工电缆春和电缆款</t>
  </si>
  <si>
    <t>春和20#</t>
  </si>
  <si>
    <t>1300211130</t>
  </si>
  <si>
    <t>08661448</t>
  </si>
  <si>
    <t>记 - 124</t>
  </si>
  <si>
    <t>7-19预付李建新春和运费</t>
  </si>
  <si>
    <t>00651088</t>
  </si>
  <si>
    <t>7-15预付新疆益诚设计费</t>
  </si>
  <si>
    <t>春和19#</t>
  </si>
  <si>
    <t>00577639；00577640</t>
  </si>
  <si>
    <t>合同3万元，发票含42347，调减12347/1.06=11648.11</t>
  </si>
  <si>
    <t>春和景苑9#</t>
  </si>
  <si>
    <t>2021-07-26</t>
  </si>
  <si>
    <t>记 - 156</t>
  </si>
  <si>
    <t>7-26支付新疆天拓春和景苑竣工测</t>
  </si>
  <si>
    <t>00642033</t>
  </si>
  <si>
    <t>属于开发费用，</t>
  </si>
  <si>
    <t>2021-08-11</t>
  </si>
  <si>
    <t>记 - 64</t>
  </si>
  <si>
    <t>8-10支付拓宇春和高低压配电柜安装工程款</t>
  </si>
  <si>
    <t>00530279</t>
  </si>
  <si>
    <t>记 - 66</t>
  </si>
  <si>
    <t>8-10支付春和购电缆材料款</t>
  </si>
  <si>
    <t>065002100111</t>
  </si>
  <si>
    <t>08095716</t>
  </si>
  <si>
    <t>2021-08-13</t>
  </si>
  <si>
    <t>记 - 73</t>
  </si>
  <si>
    <t>8-11支付徐增起春和运费</t>
  </si>
  <si>
    <t>春和35#</t>
  </si>
  <si>
    <t>00664237</t>
  </si>
  <si>
    <t>2021-08-20</t>
  </si>
  <si>
    <t>记 - 133</t>
  </si>
  <si>
    <t>供气工程支出</t>
  </si>
  <si>
    <t>8-19南天城建春和天然气工程款发票到</t>
  </si>
  <si>
    <t>春和景苑8#</t>
  </si>
  <si>
    <t>09804075</t>
  </si>
  <si>
    <t>已付</t>
  </si>
  <si>
    <t>2021-09-08</t>
  </si>
  <si>
    <t>记 - 24</t>
  </si>
  <si>
    <t>9-07支付绿叶春和配套及种植工程款</t>
  </si>
  <si>
    <t>00762944</t>
  </si>
  <si>
    <t>敷设灌溉管网、苗木草坪栽植、养护等</t>
  </si>
  <si>
    <t>记 - 27</t>
  </si>
  <si>
    <t>9-8正杰春和工程款发票到</t>
  </si>
  <si>
    <t>00570621；
00570622</t>
  </si>
  <si>
    <t>2021-09-16</t>
  </si>
  <si>
    <t>记 - 116</t>
  </si>
  <si>
    <t>9-15预付江苏中义春和景苑给排水、消防工程款</t>
  </si>
  <si>
    <t>00736547；00736548；00736549；00736550；</t>
  </si>
  <si>
    <t>支付54.75万，少支付5.25万，换算/1.09=48165.14</t>
  </si>
  <si>
    <t>2021-09-17</t>
  </si>
  <si>
    <t>9-16巴州星杰建筑装饰有限公司春和装饰服务发票到</t>
  </si>
  <si>
    <t>巴州星杰建筑装饰有限公司</t>
  </si>
  <si>
    <t>59530205</t>
  </si>
  <si>
    <t>无合同无支付</t>
  </si>
  <si>
    <t>记 - 138</t>
  </si>
  <si>
    <t>9-16支付巴州新矿春和基地测量费</t>
  </si>
  <si>
    <t>巴州新矿测绘有限责任公司</t>
  </si>
  <si>
    <t>00622312</t>
  </si>
  <si>
    <t>基地测绘</t>
  </si>
  <si>
    <t>2021-09-23</t>
  </si>
  <si>
    <t>记 - 169</t>
  </si>
  <si>
    <t>户内装修费用</t>
  </si>
  <si>
    <t>9-23预付巴州理想家春和样板房装修款</t>
  </si>
  <si>
    <t>春和24#</t>
  </si>
  <si>
    <t>00497250；
00497251；
00497252；
00498456；
00588457；</t>
  </si>
  <si>
    <t>样板房装修？请提供效果图</t>
  </si>
  <si>
    <t>2021-10-29</t>
  </si>
  <si>
    <t>记 - 150</t>
  </si>
  <si>
    <t>10-29补记魏忠华8月24日春和运费发票开具</t>
  </si>
  <si>
    <t>魏忠华</t>
  </si>
  <si>
    <t>00196742</t>
  </si>
  <si>
    <t>记 - 157</t>
  </si>
  <si>
    <t>10-20新疆智明春和外墙装修工程款发票到</t>
  </si>
  <si>
    <t>春和27#</t>
  </si>
  <si>
    <t>05818751
05818750</t>
  </si>
  <si>
    <t>合同46万，2021.11.4支付19.8万，2021.12.15支付11.88万，2022.1.10支付5.94万，2022.6.16支付6.08万，2024.1.18支付2.3万，全付了</t>
  </si>
  <si>
    <t>2021-11-08</t>
  </si>
  <si>
    <t>记 - 40</t>
  </si>
  <si>
    <t>11-08记10月18日春和园林绿化工程款发票到</t>
  </si>
  <si>
    <t>春和21#</t>
  </si>
  <si>
    <t>6500212130</t>
  </si>
  <si>
    <t>01921845；
01921846；
01939597；
01939598；
01939599；
01939600；
01939601；</t>
  </si>
  <si>
    <t>垃圾清挖、种植土回填、戈壁料回填，道路铺设、草坪栽植方案提升，开竣工时间2021.3.10-2021.5.10，验收2021.5.20</t>
  </si>
  <si>
    <t>记 - 45</t>
  </si>
  <si>
    <t>11-9正杰春和景苑工程款发票到</t>
  </si>
  <si>
    <t>05787053</t>
  </si>
  <si>
    <t>2021-11-15</t>
  </si>
  <si>
    <t>记 - 82</t>
  </si>
  <si>
    <t>11-13支付云帆超人商贸春和室外健身器材款</t>
  </si>
  <si>
    <t>春和30#</t>
  </si>
  <si>
    <t>00610967</t>
  </si>
  <si>
    <t>少支付523</t>
  </si>
  <si>
    <t>支付11229，少支付591,/13%=523</t>
  </si>
  <si>
    <t>2021-11-25</t>
  </si>
  <si>
    <t>记 - 152</t>
  </si>
  <si>
    <t>11-25巴州青橄榄春和智能化工程款发票到</t>
  </si>
  <si>
    <t>春和26#</t>
  </si>
  <si>
    <t>05931665；05931666；05931667；</t>
  </si>
  <si>
    <t>2021-11-26</t>
  </si>
  <si>
    <t>记 - 160</t>
  </si>
  <si>
    <t>10-08新疆鑫宇恒春和三网合一工程款发票到</t>
  </si>
  <si>
    <t>春和22#</t>
  </si>
  <si>
    <t>05768481</t>
  </si>
  <si>
    <t>合同发票33264.支付1662.8+1663.2=3326</t>
  </si>
  <si>
    <t>2021-11-30</t>
  </si>
  <si>
    <t>记 - 171</t>
  </si>
  <si>
    <t>11-29智诚春和与沁春锦苑25-30#监理费发票到</t>
  </si>
  <si>
    <t>01101876</t>
  </si>
  <si>
    <t>2021-12-11</t>
  </si>
  <si>
    <t>记 - 81</t>
  </si>
  <si>
    <t>照明工程支出</t>
  </si>
  <si>
    <t>12-09巴州方程式春和景苑、沁春锦苑商业楼体亮化工程款发票到</t>
  </si>
  <si>
    <t>春和25#</t>
  </si>
  <si>
    <t>6500201160</t>
  </si>
  <si>
    <t>00072269</t>
  </si>
  <si>
    <t>支付不全</t>
  </si>
  <si>
    <t>2021-12-16</t>
  </si>
  <si>
    <t>记 - 121</t>
  </si>
  <si>
    <t>12-15支付新疆智明春和外墙装修款</t>
  </si>
  <si>
    <t>05871054；
05871053</t>
  </si>
  <si>
    <t>2021-12-18</t>
  </si>
  <si>
    <t>记 - 141</t>
  </si>
  <si>
    <t>12-17南天城建天然气安装工程款发票到</t>
  </si>
  <si>
    <t>春和景苑28#</t>
  </si>
  <si>
    <t>05859155</t>
  </si>
  <si>
    <t>2021-12-28</t>
  </si>
  <si>
    <t>记 - 206</t>
  </si>
  <si>
    <t>12-27智明春和外墙装修工程开发票到</t>
  </si>
  <si>
    <t>6500213130</t>
  </si>
  <si>
    <t>02474032</t>
  </si>
  <si>
    <t>2021-12-30</t>
  </si>
  <si>
    <t>记 - 230</t>
  </si>
  <si>
    <t>12-30暂估春和设计费入账</t>
  </si>
  <si>
    <t>12-30暂估春和地埋式垃圾房成本入账</t>
  </si>
  <si>
    <t>记 - 232</t>
  </si>
  <si>
    <t>12-30暂估春和土建成本入账</t>
  </si>
  <si>
    <t>记 - 233</t>
  </si>
  <si>
    <t>12-30暂估春和电力外网成本入账</t>
  </si>
  <si>
    <t>记 - 234</t>
  </si>
  <si>
    <t>12-30暂估春和园林绿化及景观成本入账（巴州绿叶）</t>
  </si>
  <si>
    <t>2021-08-21</t>
  </si>
  <si>
    <t>记 - 144</t>
  </si>
  <si>
    <t>8-19大漠春和景苑绿化发票到</t>
  </si>
  <si>
    <t>01921837；
01921838；
01921839；
01921840；
01921841；
01921842；
01921843；</t>
  </si>
  <si>
    <t>2022-01-22</t>
  </si>
  <si>
    <t>记 - 85</t>
  </si>
  <si>
    <t>1-17预付正杰春和景苑工程款（许）发票到冲2021年12月232#凭证暂估</t>
  </si>
  <si>
    <t>02510793；
02510794；
02510795；</t>
  </si>
  <si>
    <t>2022/3/31</t>
  </si>
  <si>
    <t>记 - 13</t>
  </si>
  <si>
    <t>3-3支付智诚春和监理费</t>
  </si>
  <si>
    <t>01100988</t>
  </si>
  <si>
    <t>3-28正杰1月27日春和工程款发票到（许）冲2021年12月暂估</t>
  </si>
  <si>
    <t>3-28正杰1月27日春和工程款发票到（许）</t>
  </si>
  <si>
    <t>02510825</t>
  </si>
  <si>
    <t>2022-04-30</t>
  </si>
  <si>
    <t>记 - 134</t>
  </si>
  <si>
    <t>4-30调2022年3月13#凭证付智诚春和监理费成本冲2021年12月231#凭证暂估成本入账</t>
  </si>
  <si>
    <t>2022-05-21</t>
  </si>
  <si>
    <t>记 - 94</t>
  </si>
  <si>
    <t>5-18江苏中义春和给排水消防工程款发票到</t>
  </si>
  <si>
    <t>02517877</t>
  </si>
  <si>
    <t>5-18江苏中义春和给排水消防工程款发票到冲2021年12月231#凭证暂估成本</t>
  </si>
  <si>
    <t>记 - 96</t>
  </si>
  <si>
    <t>5-19新疆云景环保春和、沁春锦苑地埋式垃圾站发票到</t>
  </si>
  <si>
    <t>春和29#</t>
  </si>
  <si>
    <t>03624381</t>
  </si>
  <si>
    <t>怎么分摊？</t>
  </si>
  <si>
    <t>5-19新疆云景环保春和、沁春锦苑地埋式垃圾站发票到冲2021年12月231#凭证暂估入账</t>
  </si>
  <si>
    <t>记 - 111</t>
  </si>
  <si>
    <t>5-23智明春和景苑外墙装修决算增加量发票到</t>
  </si>
  <si>
    <t>02474051</t>
  </si>
  <si>
    <t>5-23智明春和景苑外墙装修决算增加量发票到冲2021年12月231#凭证暂估春和地埋式垃圾站成本</t>
  </si>
  <si>
    <t>5-25冠华决算定案新增春和后花园围栏制作发票到</t>
  </si>
  <si>
    <t>春和-37#</t>
  </si>
  <si>
    <t>02557900</t>
  </si>
  <si>
    <t>春和景苑后花园在哪里?</t>
  </si>
  <si>
    <t>5-25冠华决算定案新增春和后花园围栏制作发票到冲2021年12月231#凭证暂估春和成本入账</t>
  </si>
  <si>
    <t>2022-06-16</t>
  </si>
  <si>
    <t>6-15支付正杰春和景苑工程款</t>
  </si>
  <si>
    <t>6500221130</t>
  </si>
  <si>
    <t>05010585</t>
  </si>
  <si>
    <t>支付绿叶配套工程款</t>
  </si>
  <si>
    <t>春和15#</t>
  </si>
  <si>
    <t>6500223130</t>
  </si>
  <si>
    <t>09508353；
09508354；
09508355；
09508356；
09508357；
09508358；
09508359；</t>
  </si>
  <si>
    <t>2023/4/30</t>
  </si>
  <si>
    <t>4-30调2013年3月15#凭证缴纳城市配套费4547867.58元，其中玫瑰三期冲减518829.57元，余额4029038.01元已于后期开发沁春锦苑及春和景苑项目中在缴纳配套费时逐步冲减，现补充账务处理</t>
  </si>
  <si>
    <t>配套费如何计算得来？</t>
  </si>
  <si>
    <t>2023/5/12</t>
  </si>
  <si>
    <t>5-5缴纳春和景苑配套费契税</t>
  </si>
  <si>
    <t>2023/9/11</t>
  </si>
  <si>
    <t>9-25青橄榄春和景苑弱电工程前期多开发票（已认证）红冲发票开具</t>
  </si>
  <si>
    <t>6500231130</t>
  </si>
  <si>
    <t>06642254</t>
  </si>
  <si>
    <t>2023/12/30</t>
  </si>
  <si>
    <t>12-30根据2023年12月20日审定造价调春和开拓设计费由于总合同调减核对入账调整（红字需开票冲17018.4、暂估冲6236.79元）</t>
  </si>
  <si>
    <t>2024/1/25</t>
  </si>
  <si>
    <t>1-23正杰春和景苑项目工程款发票到</t>
  </si>
  <si>
    <t>2465200000006744714</t>
  </si>
  <si>
    <t>2024/8/30</t>
  </si>
  <si>
    <t>8-30银行存款日记账SGRJZ1487春和景苑工程款发票到</t>
  </si>
  <si>
    <t>2465200000004660345</t>
  </si>
  <si>
    <t>2025/6/19</t>
  </si>
  <si>
    <t>6-19巴州香柏树春和景苑智慧小区设备采购发票到</t>
  </si>
  <si>
    <t>春和32#</t>
  </si>
  <si>
    <t>25652000000035712694</t>
  </si>
  <si>
    <t>收到通力股份土方挖运发票</t>
  </si>
  <si>
    <t>春和36#</t>
  </si>
  <si>
    <t>25652000000050775975</t>
  </si>
  <si>
    <t>1总规，待定</t>
  </si>
  <si>
    <t>发票内容有误</t>
  </si>
  <si>
    <t>001</t>
  </si>
  <si>
    <t>根据企业提供的结算暂估成本（正在诉讼）</t>
  </si>
  <si>
    <t>无发票</t>
  </si>
  <si>
    <t>拓宇尚未结算暂估成本</t>
  </si>
  <si>
    <t>8-15通力建设春和景苑附属设施配套工程发票到</t>
  </si>
  <si>
    <t>春和-38#</t>
  </si>
  <si>
    <t>25652000000051792819</t>
  </si>
  <si>
    <t>8-15巴州绿叶绿化工程款发票到</t>
  </si>
  <si>
    <t>25652000000051828886</t>
  </si>
  <si>
    <t>25652000000063292613</t>
  </si>
  <si>
    <t>25652000000063971865</t>
  </si>
  <si>
    <t>25652000000063942561</t>
  </si>
  <si>
    <r>
      <rPr>
        <sz val="16"/>
        <color rgb="FF000000"/>
        <rFont val="方正小标宋简体"/>
        <charset val="134"/>
      </rPr>
      <t>T23220</t>
    </r>
    <r>
      <rPr>
        <sz val="16"/>
        <color rgb="FF000000"/>
        <rFont val="宋体"/>
        <charset val="134"/>
      </rPr>
      <t>附表</t>
    </r>
    <r>
      <rPr>
        <sz val="16"/>
        <color rgb="FF000000"/>
        <rFont val="Calibri"/>
        <charset val="134"/>
      </rPr>
      <t>8-</t>
    </r>
    <r>
      <rPr>
        <sz val="16"/>
        <color rgb="FF000000"/>
        <rFont val="宋体"/>
        <charset val="134"/>
      </rPr>
      <t>合同明细采集底稿</t>
    </r>
  </si>
  <si>
    <t>*合同编号</t>
  </si>
  <si>
    <t>*合同名称</t>
  </si>
  <si>
    <t>*收款单位</t>
  </si>
  <si>
    <t>合同签订日期</t>
  </si>
  <si>
    <t>结算金额</t>
  </si>
  <si>
    <t>*关联关系（是否）</t>
  </si>
  <si>
    <t>*甲方供材
（是否）</t>
  </si>
  <si>
    <t>*不同项目分摊
（是否）</t>
  </si>
  <si>
    <t>项目间共同成本费用分摊信息</t>
  </si>
  <si>
    <t>分期合同分摊方法</t>
  </si>
  <si>
    <t>分摊至本期项目扣除比例</t>
  </si>
  <si>
    <t>申报准予扣除的记账金额</t>
  </si>
  <si>
    <t>前期累计
分摊金额</t>
  </si>
  <si>
    <t>本期项目
扣除金额</t>
  </si>
  <si>
    <t>剩余
待摊金额</t>
  </si>
  <si>
    <t>共同成本费用应当分摊的项目名称（下拉选择）</t>
  </si>
  <si>
    <t>16=13-14-15</t>
  </si>
  <si>
    <t>项目1</t>
  </si>
  <si>
    <t>项目2</t>
  </si>
  <si>
    <t>项目3</t>
  </si>
  <si>
    <t>项目4</t>
  </si>
  <si>
    <t>项目5</t>
  </si>
  <si>
    <t>项目6</t>
  </si>
  <si>
    <t>项目7</t>
  </si>
  <si>
    <t>项目8</t>
  </si>
  <si>
    <t>项目9</t>
  </si>
  <si>
    <t>项目10</t>
  </si>
  <si>
    <t>建设工程设计合同（民用建设工程设计合同）</t>
  </si>
  <si>
    <t>技术合同</t>
  </si>
  <si>
    <t>库尔勒开拓规划设计研究院</t>
  </si>
  <si>
    <t>请填写</t>
  </si>
  <si>
    <t>建设工程勘察合同（春和1#-3#）</t>
  </si>
  <si>
    <t>巴州基安岩土工程勘察设计有限责任公司</t>
  </si>
  <si>
    <t>其他分摊方法</t>
  </si>
  <si>
    <t>建设工程造价咨询合同</t>
  </si>
  <si>
    <t>新疆华域建设工程项目管理咨询有限公司</t>
  </si>
  <si>
    <t>监理合同补充协议</t>
  </si>
  <si>
    <t>巴州智诚工程项目管理服务有限公司</t>
  </si>
  <si>
    <t>春和景苑1、2、3#住宅楼施工协议</t>
  </si>
  <si>
    <t>建设工程合同</t>
  </si>
  <si>
    <t>新疆正杰建筑集团有限公司（许兴德）</t>
  </si>
  <si>
    <t>春和景苑6#</t>
  </si>
  <si>
    <t>测绘合同书（春和1#2#3#）</t>
  </si>
  <si>
    <t>库尔勒天平房地产价格评估事务所（有限责任公司）</t>
  </si>
  <si>
    <t>春和电梯销售安装合同</t>
  </si>
  <si>
    <t>新疆华汇建安机械设备有限公司（许林）</t>
  </si>
  <si>
    <t>春和天然气安装工程委托建设管理协议书</t>
  </si>
  <si>
    <t>新疆南天城建（集团）股份有限公司</t>
  </si>
  <si>
    <t>春和景苑便民超市及警卫室设计费</t>
  </si>
  <si>
    <t>新疆益诚开拓空间规划建筑设计研究院有限公司</t>
  </si>
  <si>
    <t>电气外网供货安装合同春和</t>
  </si>
  <si>
    <t>巴州鑫磊机电设备开关有限责任公司</t>
  </si>
  <si>
    <t>电缆采购合同</t>
  </si>
  <si>
    <t>买卖合同</t>
  </si>
  <si>
    <t>泰丰线缆有限公司</t>
  </si>
  <si>
    <t>春和1#2#3#楼给排水</t>
  </si>
  <si>
    <t>江苏中义消防工程有限公司巴州分公司（巩红卫）</t>
  </si>
  <si>
    <t>供水管道安装</t>
  </si>
  <si>
    <t>新疆昌源水务集团库尔勒银泉供水有限公司工程分公司</t>
  </si>
  <si>
    <t>春和景苑配套工程</t>
  </si>
  <si>
    <t>巴州绿叶园林工程有限责任公司（谢辞）</t>
  </si>
  <si>
    <t>春和景苑绿化种植</t>
  </si>
  <si>
    <t>春和景苑玻璃钢化粪池</t>
  </si>
  <si>
    <t>乌鲁木齐三源众联复合材料有限公司</t>
  </si>
  <si>
    <t>春和排水管道安装工程</t>
  </si>
  <si>
    <t>巴州国鑫管道工程建筑有限责任公司</t>
  </si>
  <si>
    <t>春和监控及弱电工程</t>
  </si>
  <si>
    <t>巴州青橄榄电子科技有限公司（党曌）</t>
  </si>
  <si>
    <t>春和景苑小区外管网设计</t>
  </si>
  <si>
    <t>2020/3/3</t>
  </si>
  <si>
    <t>电线电缆</t>
  </si>
  <si>
    <t>正工电缆有限公司</t>
  </si>
  <si>
    <t>春和景苑小区园林景观工程施工协议</t>
  </si>
  <si>
    <t>乌鲁木齐大漠林海绿化有限责任公司（蔚晓芳）</t>
  </si>
  <si>
    <t>春和景苑三网合一FTTH工程施工合同（绿）</t>
  </si>
  <si>
    <t>新疆鑫宇恒建设工程有限公司（蒋华）</t>
  </si>
  <si>
    <t>补2021/3/10</t>
  </si>
  <si>
    <t>春和景苑样板间2-3-102装修合同</t>
  </si>
  <si>
    <t>巴州理想家建筑装饰有限公司（倪）</t>
  </si>
  <si>
    <t>春和1#2#3#亮化</t>
  </si>
  <si>
    <t>春和景苑弱电及弱电管道、道闸、单元人脸识别、楼宇可视</t>
  </si>
  <si>
    <t>春和景苑外墙装修</t>
  </si>
  <si>
    <t>新疆智明建设工程有限公司（金克)</t>
  </si>
  <si>
    <t>春和老年活动室天然气安装工程委托建设管理协议书</t>
  </si>
  <si>
    <t>沁春锦苑、春和地埋式垃圾处理站购销安装合同</t>
  </si>
  <si>
    <t>新疆云景环保科技有限公司(13999983055)</t>
  </si>
  <si>
    <t>春和室外健身器材</t>
  </si>
  <si>
    <t>库尔勒云帆超人商贸有限公司</t>
  </si>
  <si>
    <t>土方工程专业承包合同</t>
  </si>
  <si>
    <t>新疆通力建设集团股份有限公司</t>
  </si>
  <si>
    <t>春和景苑土方挖运</t>
  </si>
  <si>
    <t>李建新</t>
  </si>
  <si>
    <t>徐增起</t>
  </si>
  <si>
    <t>后花园围栏制作</t>
  </si>
  <si>
    <t>巴州冠华商贸有限公司</t>
  </si>
  <si>
    <t>春和景苑附属配套设施工程专业承包合同</t>
  </si>
  <si>
    <t>电气外网供货安装合同</t>
  </si>
  <si>
    <t>新疆拓宇电力建设工程有限公司何永权</t>
  </si>
  <si>
    <t>巴州建筑工程施工图设计文件审查中心</t>
  </si>
  <si>
    <t>春和景苑智慧小区设备采购合同</t>
  </si>
  <si>
    <t>巴州香柏树电子科技有限公司</t>
  </si>
  <si>
    <t>监控购买合同</t>
  </si>
  <si>
    <t>库尔勒箴言五金店</t>
  </si>
  <si>
    <t>库尔勒诗篇五金店</t>
  </si>
  <si>
    <t>窗帘</t>
  </si>
  <si>
    <t>家电</t>
  </si>
  <si>
    <t>家具</t>
  </si>
  <si>
    <r>
      <rPr>
        <sz val="16"/>
        <rFont val="方正小标宋简体"/>
        <charset val="134"/>
      </rPr>
      <t>T30000</t>
    </r>
    <r>
      <rPr>
        <sz val="16"/>
        <rFont val="Microsoft YaHei UI"/>
        <charset val="134"/>
      </rPr>
      <t>工程造价采集表</t>
    </r>
  </si>
  <si>
    <t>清算项目造价信息</t>
  </si>
  <si>
    <t>数据来源</t>
  </si>
  <si>
    <t>分类</t>
  </si>
  <si>
    <t>拓展字段1</t>
  </si>
  <si>
    <t>拓展字段2</t>
  </si>
  <si>
    <t>拓展字段3</t>
  </si>
  <si>
    <t>拓展字段4</t>
  </si>
  <si>
    <t>拓展字段5</t>
  </si>
  <si>
    <t>拓展字段6</t>
  </si>
  <si>
    <t>拓展字段7</t>
  </si>
  <si>
    <t>拓展字段8</t>
  </si>
  <si>
    <t>拓展字段9</t>
  </si>
  <si>
    <t>拓展字段10</t>
  </si>
  <si>
    <t>拓展字段11</t>
  </si>
  <si>
    <t>填报数据</t>
  </si>
  <si>
    <t>单位</t>
  </si>
  <si>
    <t>㎡</t>
  </si>
  <si>
    <t>数量</t>
  </si>
  <si>
    <t>本项目扣除金额</t>
  </si>
  <si>
    <t>单位扣除金额</t>
  </si>
  <si>
    <t>主体建筑基础造价信息</t>
  </si>
  <si>
    <t>楼栋类型</t>
  </si>
  <si>
    <t>房屋结构</t>
  </si>
  <si>
    <t>地质结构</t>
  </si>
  <si>
    <t>桩基类型</t>
  </si>
  <si>
    <t>交付标准</t>
  </si>
  <si>
    <t>外立面类型</t>
  </si>
  <si>
    <t>地上层数</t>
  </si>
  <si>
    <t>地下层数</t>
  </si>
  <si>
    <t>地上建筑面积</t>
  </si>
  <si>
    <t>地下建筑面积</t>
  </si>
  <si>
    <t>其中：人防设施面积</t>
  </si>
  <si>
    <t>总建筑面积</t>
  </si>
  <si>
    <t>地上总层高（m)</t>
  </si>
  <si>
    <t>开工日期</t>
  </si>
  <si>
    <t>竣工日期</t>
  </si>
  <si>
    <t>-1层</t>
  </si>
  <si>
    <t>-2层</t>
  </si>
  <si>
    <t>-3层及以下</t>
  </si>
  <si>
    <t>取得土地使用权所支付的金额</t>
  </si>
  <si>
    <t>土地征用及拆迁补偿费</t>
  </si>
  <si>
    <t>公共配套设施费</t>
  </si>
  <si>
    <t>开发间接费用</t>
  </si>
  <si>
    <t>房地产开发费用</t>
  </si>
  <si>
    <t>凭据类型</t>
  </si>
  <si>
    <t>二分法</t>
  </si>
  <si>
    <t>费用计算扣除方法</t>
  </si>
  <si>
    <t>支付的土地出让金额</t>
  </si>
  <si>
    <t>土地征用费用</t>
  </si>
  <si>
    <t>规划费用</t>
  </si>
  <si>
    <t>桩基础工程费用</t>
  </si>
  <si>
    <t>开发小区内道路工程支出</t>
  </si>
  <si>
    <t>居委会用房费用</t>
  </si>
  <si>
    <t>管理人员工资</t>
  </si>
  <si>
    <t>利息支出</t>
  </si>
  <si>
    <t>不可选择</t>
  </si>
  <si>
    <t>占地面积法</t>
  </si>
  <si>
    <t>住宅楼</t>
  </si>
  <si>
    <t>砖混</t>
  </si>
  <si>
    <t>均质地质</t>
  </si>
  <si>
    <t>天然基础</t>
  </si>
  <si>
    <t>精装交付</t>
  </si>
  <si>
    <t>标准外立面</t>
  </si>
  <si>
    <t>支付的地价款金额</t>
  </si>
  <si>
    <t>耕地占用税</t>
  </si>
  <si>
    <t>地下室工程费用</t>
  </si>
  <si>
    <t>派出所用房费用</t>
  </si>
  <si>
    <t>职工福利费</t>
  </si>
  <si>
    <t>总建筑面积法</t>
  </si>
  <si>
    <t>不可加计</t>
  </si>
  <si>
    <t>商业楼</t>
  </si>
  <si>
    <t>框架</t>
  </si>
  <si>
    <t>淤泥地质</t>
  </si>
  <si>
    <t>预制管桩</t>
  </si>
  <si>
    <t>简装交付</t>
  </si>
  <si>
    <t>玻璃幕墙</t>
  </si>
  <si>
    <t>其他合理方法</t>
  </si>
  <si>
    <t>可售建筑面积法（二分法）</t>
  </si>
  <si>
    <t>人工填写</t>
  </si>
  <si>
    <t>测绘总建筑面积法</t>
  </si>
  <si>
    <t>交纳的有关税费</t>
  </si>
  <si>
    <t>劳动力安置费</t>
  </si>
  <si>
    <t>项目可行性研究费用</t>
  </si>
  <si>
    <t>会所费用</t>
  </si>
  <si>
    <t>折旧费</t>
  </si>
  <si>
    <t>承揽合同</t>
  </si>
  <si>
    <t>商业裙楼</t>
  </si>
  <si>
    <t>框架剪力墙</t>
  </si>
  <si>
    <t>岩溶地质</t>
  </si>
  <si>
    <t>旋挖桩</t>
  </si>
  <si>
    <t>毛坯交付</t>
  </si>
  <si>
    <t>干挂石材</t>
  </si>
  <si>
    <t>安置动迁用房支出</t>
  </si>
  <si>
    <t>水文费用</t>
  </si>
  <si>
    <t>非机动车库（场）费用</t>
  </si>
  <si>
    <t>修理费</t>
  </si>
  <si>
    <t>营业税发票</t>
  </si>
  <si>
    <t>计容建筑面积法</t>
  </si>
  <si>
    <t>产权转移书据</t>
  </si>
  <si>
    <t>独栋别墅</t>
  </si>
  <si>
    <t>钢混</t>
  </si>
  <si>
    <t>其他地质</t>
  </si>
  <si>
    <t>钻（冲）孔桩</t>
  </si>
  <si>
    <t>其他外立面</t>
  </si>
  <si>
    <t>拆迁补偿费</t>
  </si>
  <si>
    <t>地质费用</t>
  </si>
  <si>
    <t>高档外立面工程费用</t>
  </si>
  <si>
    <t>地下人防设施费用</t>
  </si>
  <si>
    <t>办公费</t>
  </si>
  <si>
    <t>完税凭证</t>
  </si>
  <si>
    <t>层高系数法</t>
  </si>
  <si>
    <t>联排别墅</t>
  </si>
  <si>
    <t>全钢</t>
  </si>
  <si>
    <t>其他类型桩基</t>
  </si>
  <si>
    <t>手工填写分摊比例</t>
  </si>
  <si>
    <t>其他土地征用及拆迁补偿费</t>
  </si>
  <si>
    <t>排洪工程支出</t>
  </si>
  <si>
    <t>物业管理场所费用</t>
  </si>
  <si>
    <t>水电费</t>
  </si>
  <si>
    <t>运输合同</t>
  </si>
  <si>
    <t>配套设施</t>
  </si>
  <si>
    <t>预制装配</t>
  </si>
  <si>
    <t>居委会用房</t>
  </si>
  <si>
    <t>变电站费用</t>
  </si>
  <si>
    <t>劳动保护费</t>
  </si>
  <si>
    <t>未取得凭据</t>
  </si>
  <si>
    <t>借款合同</t>
  </si>
  <si>
    <t>其他类型楼栋</t>
  </si>
  <si>
    <t>派出所用房</t>
  </si>
  <si>
    <t>热力站费用</t>
  </si>
  <si>
    <t>周转房摊销费</t>
  </si>
  <si>
    <t>融资租赁合同</t>
  </si>
  <si>
    <t>会所</t>
  </si>
  <si>
    <t>环卫工程支出</t>
  </si>
  <si>
    <t>水厂费用</t>
  </si>
  <si>
    <t>其他发生的间接费用</t>
  </si>
  <si>
    <t>租赁合同</t>
  </si>
  <si>
    <t>非机动车库（场）</t>
  </si>
  <si>
    <t>文体场馆费用</t>
  </si>
  <si>
    <t>保管合同</t>
  </si>
  <si>
    <t>地下人防设施</t>
  </si>
  <si>
    <t>学校费用</t>
  </si>
  <si>
    <t>仓储合同</t>
  </si>
  <si>
    <t>物业管理场所</t>
  </si>
  <si>
    <t>幼儿园费用</t>
  </si>
  <si>
    <t>财产保险合同</t>
  </si>
  <si>
    <t>变电站</t>
  </si>
  <si>
    <t>托儿所费用</t>
  </si>
  <si>
    <t>其他合同</t>
  </si>
  <si>
    <t>热力站</t>
  </si>
  <si>
    <t>医院费用</t>
  </si>
  <si>
    <t>水厂</t>
  </si>
  <si>
    <t>邮电通讯费用</t>
  </si>
  <si>
    <t>文体场馆</t>
  </si>
  <si>
    <t>其他非营业性房产费用</t>
  </si>
  <si>
    <t>学校</t>
  </si>
  <si>
    <t>幼儿园</t>
  </si>
  <si>
    <t>托儿所</t>
  </si>
  <si>
    <t>医院</t>
  </si>
  <si>
    <t>邮电通讯</t>
  </si>
  <si>
    <t>其他非营业性房产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</si>
</sst>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1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_);[Red]\(0.00\)"/>
    <numFmt numFmtId="178" formatCode="_ * #,##0_ ;_ * \-#,##0_ ;_ * &quot;-&quot;??_ ;_ @_ "/>
    <numFmt numFmtId="179" formatCode="#,##0_);[Red]\(#,##0\)"/>
    <numFmt numFmtId="180" formatCode="#,##0.00_);[Red]\(#,##0.00\)"/>
    <numFmt numFmtId="181" formatCode="#,##0.00_ "/>
    <numFmt numFmtId="182" formatCode="0.00_ "/>
    <numFmt numFmtId="183" formatCode="0_ "/>
    <numFmt numFmtId="184" formatCode="0.0000%"/>
    <numFmt numFmtId="185" formatCode="0.000000%"/>
  </numFmts>
  <fonts count="89">
    <font>
      <sz val="14"/>
      <color theme="1"/>
      <name val="宋体"/>
      <charset val="134"/>
    </font>
    <font>
      <sz val="10"/>
      <name val="宋体"/>
      <charset val="134"/>
      <scheme val="minor"/>
    </font>
    <font>
      <sz val="10"/>
      <color rgb="FF7030A0"/>
      <name val="宋体"/>
      <charset val="134"/>
      <scheme val="minor"/>
    </font>
    <font>
      <b/>
      <sz val="10"/>
      <name val="宋体"/>
      <charset val="134"/>
      <scheme val="minor"/>
    </font>
    <font>
      <sz val="10"/>
      <color theme="1"/>
      <name val="宋体"/>
      <charset val="134"/>
      <scheme val="minor"/>
    </font>
    <font>
      <sz val="10"/>
      <name val="宋体"/>
      <charset val="134"/>
    </font>
    <font>
      <b/>
      <sz val="10"/>
      <name val="宋体"/>
      <charset val="134"/>
    </font>
    <font>
      <b/>
      <sz val="12"/>
      <name val="宋体"/>
      <charset val="134"/>
    </font>
    <font>
      <sz val="12"/>
      <name val="宋体"/>
      <charset val="134"/>
    </font>
    <font>
      <sz val="16"/>
      <name val="方正小标宋简体"/>
      <charset val="134"/>
    </font>
    <font>
      <b/>
      <sz val="10"/>
      <color theme="1"/>
      <name val="宋体"/>
      <charset val="134"/>
      <scheme val="minor"/>
    </font>
    <font>
      <sz val="10"/>
      <color rgb="FFFF0000"/>
      <name val="宋体"/>
      <charset val="134"/>
      <scheme val="minor"/>
    </font>
    <font>
      <sz val="16"/>
      <color rgb="FF000000"/>
      <name val="方正小标宋简体"/>
      <charset val="134"/>
    </font>
    <font>
      <sz val="11"/>
      <color rgb="FF000000"/>
      <name val="Times New Roman"/>
      <charset val="134"/>
    </font>
    <font>
      <b/>
      <sz val="11"/>
      <name val="宋体"/>
      <charset val="134"/>
    </font>
    <font>
      <b/>
      <sz val="11"/>
      <color rgb="FF000000"/>
      <name val="宋体-简"/>
      <charset val="134"/>
    </font>
    <font>
      <sz val="10"/>
      <color indexed="8"/>
      <name val="宋体"/>
      <charset val="134"/>
    </font>
    <font>
      <sz val="11"/>
      <name val="宋体"/>
      <charset val="134"/>
    </font>
    <font>
      <sz val="8"/>
      <name val="宋体"/>
      <charset val="134"/>
    </font>
    <font>
      <sz val="8"/>
      <color indexed="8"/>
      <name val="宋体"/>
      <charset val="134"/>
    </font>
    <font>
      <b/>
      <sz val="10"/>
      <color theme="1"/>
      <name val="宋体"/>
      <charset val="134"/>
    </font>
    <font>
      <b/>
      <sz val="10"/>
      <color rgb="FF000000"/>
      <name val="宋体"/>
      <charset val="134"/>
    </font>
    <font>
      <sz val="8"/>
      <color theme="1"/>
      <name val="宋体"/>
      <charset val="134"/>
      <scheme val="minor"/>
    </font>
    <font>
      <sz val="8"/>
      <name val="SimSun"/>
      <charset val="134"/>
    </font>
    <font>
      <sz val="8"/>
      <name val="Calibri"/>
      <charset val="134"/>
    </font>
    <font>
      <sz val="8"/>
      <color rgb="FF000000"/>
      <name val="宋体"/>
      <charset val="134"/>
    </font>
    <font>
      <sz val="10"/>
      <color rgb="FFFF0000"/>
      <name val="宋体"/>
      <charset val="134"/>
    </font>
    <font>
      <sz val="9"/>
      <color rgb="FF000000"/>
      <name val="宋体"/>
      <charset val="134"/>
    </font>
    <font>
      <sz val="10"/>
      <color theme="1"/>
      <name val="宋体"/>
      <charset val="134"/>
    </font>
    <font>
      <sz val="9"/>
      <color theme="1"/>
      <name val="宋体"/>
      <charset val="134"/>
      <scheme val="minor"/>
    </font>
    <font>
      <sz val="11"/>
      <color rgb="FF000000"/>
      <name val="宋体"/>
      <charset val="134"/>
      <scheme val="minor"/>
    </font>
    <font>
      <sz val="11"/>
      <color rgb="FF000000"/>
      <name val="宋体"/>
      <charset val="134"/>
    </font>
    <font>
      <sz val="11"/>
      <color theme="1"/>
      <name val="宋体"/>
      <charset val="134"/>
      <scheme val="minor"/>
    </font>
    <font>
      <sz val="9"/>
      <color rgb="FF000000"/>
      <name val="宋体"/>
      <charset val="134"/>
      <scheme val="minor"/>
    </font>
    <font>
      <sz val="10"/>
      <color rgb="FF000000"/>
      <name val="宋体"/>
      <charset val="134"/>
      <scheme val="minor"/>
    </font>
    <font>
      <b/>
      <sz val="9"/>
      <name val="宋体"/>
      <charset val="134"/>
    </font>
    <font>
      <sz val="14"/>
      <name val="方正小标宋简体"/>
      <charset val="134"/>
    </font>
    <font>
      <sz val="12"/>
      <color theme="1"/>
      <name val="宋体"/>
      <charset val="134"/>
      <scheme val="minor"/>
    </font>
    <font>
      <sz val="10"/>
      <color theme="4"/>
      <name val="宋体"/>
      <charset val="134"/>
    </font>
    <font>
      <sz val="12"/>
      <color theme="1"/>
      <name val="宋体"/>
      <charset val="134"/>
    </font>
    <font>
      <b/>
      <sz val="11"/>
      <color rgb="FF000000"/>
      <name val="Times New Roman"/>
      <charset val="134"/>
    </font>
    <font>
      <sz val="10"/>
      <color rgb="FF000000"/>
      <name val="宋体"/>
      <charset val="134"/>
    </font>
    <font>
      <sz val="12"/>
      <color rgb="FF000000"/>
      <name val="宋体"/>
      <charset val="134"/>
    </font>
    <font>
      <sz val="16"/>
      <color indexed="8"/>
      <name val="方正小标宋简体"/>
      <charset val="134"/>
    </font>
    <font>
      <b/>
      <sz val="10"/>
      <color indexed="8"/>
      <name val="宋体"/>
      <charset val="134"/>
    </font>
    <font>
      <b/>
      <sz val="11"/>
      <color indexed="8"/>
      <name val="宋体"/>
      <charset val="134"/>
    </font>
    <font>
      <b/>
      <sz val="12"/>
      <name val="Times New Roman"/>
      <charset val="134"/>
    </font>
    <font>
      <sz val="12"/>
      <color rgb="FFFF0000"/>
      <name val="宋体"/>
      <charset val="134"/>
    </font>
    <font>
      <sz val="20"/>
      <name val="方正小标宋简体"/>
      <charset val="134"/>
    </font>
    <font>
      <sz val="14"/>
      <name val="宋体"/>
      <charset val="134"/>
    </font>
    <font>
      <sz val="14"/>
      <color indexed="8"/>
      <name val="宋体"/>
      <charset val="134"/>
    </font>
    <font>
      <sz val="14"/>
      <color rgb="FF232323"/>
      <name val="宋体"/>
      <charset val="134"/>
    </font>
    <font>
      <b/>
      <sz val="14"/>
      <color indexed="8"/>
      <name val="宋体"/>
      <charset val="134"/>
    </font>
    <font>
      <b/>
      <sz val="12"/>
      <color theme="1"/>
      <name val="宋体"/>
      <charset val="134"/>
    </font>
    <font>
      <sz val="26"/>
      <color theme="1"/>
      <name val="方正小标宋简体"/>
      <charset val="134"/>
    </font>
    <font>
      <sz val="20"/>
      <color theme="1"/>
      <name val="宋体"/>
      <charset val="134"/>
    </font>
    <font>
      <b/>
      <sz val="14"/>
      <color theme="1"/>
      <name val="宋体"/>
      <charset val="134"/>
    </font>
    <font>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6"/>
      <name val="微软雅黑"/>
      <charset val="134"/>
    </font>
    <font>
      <sz val="16"/>
      <color rgb="FF000000"/>
      <name val="微软雅黑"/>
      <charset val="134"/>
    </font>
    <font>
      <sz val="16"/>
      <name val="Microsoft YaHei UI"/>
      <charset val="134"/>
    </font>
    <font>
      <sz val="14"/>
      <color theme="1"/>
      <name val="Times New Roman"/>
      <charset val="134"/>
    </font>
    <font>
      <sz val="26"/>
      <color theme="1"/>
      <name val="微软雅黑"/>
      <charset val="134"/>
    </font>
    <font>
      <sz val="20"/>
      <name val="微软雅黑"/>
      <charset val="134"/>
    </font>
    <font>
      <sz val="16"/>
      <color rgb="FF000000"/>
      <name val="宋体"/>
      <charset val="134"/>
    </font>
    <font>
      <sz val="16"/>
      <color rgb="FF000000"/>
      <name val="Calibri"/>
      <charset val="134"/>
    </font>
    <font>
      <sz val="14"/>
      <name val="微软雅黑"/>
      <charset val="134"/>
    </font>
    <font>
      <b/>
      <sz val="9"/>
      <name val="宋体"/>
      <charset val="134"/>
    </font>
    <font>
      <sz val="9"/>
      <name val="宋体"/>
      <charset val="134"/>
    </font>
  </fonts>
  <fills count="45">
    <fill>
      <patternFill patternType="none"/>
    </fill>
    <fill>
      <patternFill patternType="gray125"/>
    </fill>
    <fill>
      <patternFill patternType="solid">
        <fgColor theme="0" tint="-0.149937437055574"/>
        <bgColor indexed="64"/>
      </patternFill>
    </fill>
    <fill>
      <patternFill patternType="solid">
        <fgColor theme="0" tint="-0.149906918546098"/>
        <bgColor indexed="64"/>
      </patternFill>
    </fill>
    <fill>
      <patternFill patternType="solid">
        <fgColor theme="0"/>
        <bgColor indexed="64"/>
      </patternFill>
    </fill>
    <fill>
      <patternFill patternType="solid">
        <fgColor theme="0" tint="-0.14996795556505"/>
        <bgColor indexed="64"/>
      </patternFill>
    </fill>
    <fill>
      <patternFill patternType="solid">
        <fgColor rgb="FFFFFF00"/>
        <bgColor indexed="64"/>
      </patternFill>
    </fill>
    <fill>
      <patternFill patternType="solid">
        <fgColor rgb="FFFF0000"/>
        <bgColor indexed="64"/>
      </patternFill>
    </fill>
    <fill>
      <patternFill patternType="solid">
        <fgColor rgb="FF00B0F0"/>
        <bgColor indexed="64"/>
      </patternFill>
    </fill>
    <fill>
      <patternFill patternType="solid">
        <fgColor rgb="FF00B050"/>
        <bgColor indexed="64"/>
      </patternFill>
    </fill>
    <fill>
      <patternFill patternType="solid">
        <fgColor theme="0" tint="-0.249977111117893"/>
        <bgColor indexed="64"/>
      </patternFill>
    </fill>
    <fill>
      <patternFill patternType="solid">
        <fgColor theme="0" tint="-0.149601733451338"/>
        <bgColor indexed="64"/>
      </patternFill>
    </fill>
    <fill>
      <patternFill patternType="solid">
        <fgColor rgb="FF92D050"/>
        <bgColor indexed="64"/>
      </patternFill>
    </fill>
    <fill>
      <patternFill patternType="solid">
        <fgColor indexed="6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diagonalUp="1">
      <left style="thin">
        <color auto="1"/>
      </left>
      <right style="thin">
        <color auto="1"/>
      </right>
      <top style="thin">
        <color auto="1"/>
      </top>
      <bottom style="thin">
        <color auto="1"/>
      </bottom>
      <diagonal style="thin">
        <color auto="1"/>
      </diagonal>
    </border>
    <border>
      <left style="medium">
        <color rgb="FF000000"/>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8" fillId="0" borderId="0" applyFont="0" applyFill="0" applyBorder="0" applyAlignment="0" applyProtection="0">
      <alignment vertical="center"/>
    </xf>
    <xf numFmtId="44" fontId="32" fillId="0" borderId="0" applyFont="0" applyFill="0" applyBorder="0" applyAlignment="0" applyProtection="0">
      <alignment vertical="center"/>
    </xf>
    <xf numFmtId="9" fontId="8" fillId="0" borderId="0" applyFont="0" applyFill="0" applyBorder="0" applyAlignment="0" applyProtection="0">
      <alignment vertical="center"/>
    </xf>
    <xf numFmtId="41" fontId="32" fillId="0" borderId="0" applyFont="0" applyFill="0" applyBorder="0" applyAlignment="0" applyProtection="0">
      <alignment vertical="center"/>
    </xf>
    <xf numFmtId="42" fontId="32" fillId="0" borderId="0" applyFont="0" applyFill="0" applyBorder="0" applyAlignment="0" applyProtection="0">
      <alignment vertical="center"/>
    </xf>
    <xf numFmtId="0" fontId="58"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32" fillId="14" borderId="12" applyNumberFormat="0" applyFont="0" applyAlignment="0" applyProtection="0">
      <alignment vertical="center"/>
    </xf>
    <xf numFmtId="0" fontId="60"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3" fillId="0" borderId="13" applyNumberFormat="0" applyFill="0" applyAlignment="0" applyProtection="0">
      <alignment vertical="center"/>
    </xf>
    <xf numFmtId="0" fontId="64" fillId="0" borderId="13" applyNumberFormat="0" applyFill="0" applyAlignment="0" applyProtection="0">
      <alignment vertical="center"/>
    </xf>
    <xf numFmtId="0" fontId="65" fillId="0" borderId="14" applyNumberFormat="0" applyFill="0" applyAlignment="0" applyProtection="0">
      <alignment vertical="center"/>
    </xf>
    <xf numFmtId="0" fontId="65" fillId="0" borderId="0" applyNumberFormat="0" applyFill="0" applyBorder="0" applyAlignment="0" applyProtection="0">
      <alignment vertical="center"/>
    </xf>
    <xf numFmtId="0" fontId="66" fillId="15" borderId="15" applyNumberFormat="0" applyAlignment="0" applyProtection="0">
      <alignment vertical="center"/>
    </xf>
    <xf numFmtId="0" fontId="67" fillId="16" borderId="16" applyNumberFormat="0" applyAlignment="0" applyProtection="0">
      <alignment vertical="center"/>
    </xf>
    <xf numFmtId="0" fontId="68" fillId="16" borderId="15" applyNumberFormat="0" applyAlignment="0" applyProtection="0">
      <alignment vertical="center"/>
    </xf>
    <xf numFmtId="0" fontId="69" fillId="17" borderId="17" applyNumberFormat="0" applyAlignment="0" applyProtection="0">
      <alignment vertical="center"/>
    </xf>
    <xf numFmtId="0" fontId="70" fillId="0" borderId="18" applyNumberFormat="0" applyFill="0" applyAlignment="0" applyProtection="0">
      <alignment vertical="center"/>
    </xf>
    <xf numFmtId="0" fontId="71" fillId="0" borderId="19" applyNumberFormat="0" applyFill="0" applyAlignment="0" applyProtection="0">
      <alignment vertical="center"/>
    </xf>
    <xf numFmtId="0" fontId="72" fillId="18" borderId="0" applyNumberFormat="0" applyBorder="0" applyAlignment="0" applyProtection="0">
      <alignment vertical="center"/>
    </xf>
    <xf numFmtId="0" fontId="73" fillId="19" borderId="0" applyNumberFormat="0" applyBorder="0" applyAlignment="0" applyProtection="0">
      <alignment vertical="center"/>
    </xf>
    <xf numFmtId="0" fontId="74" fillId="20" borderId="0" applyNumberFormat="0" applyBorder="0" applyAlignment="0" applyProtection="0">
      <alignment vertical="center"/>
    </xf>
    <xf numFmtId="0" fontId="75" fillId="21" borderId="0" applyNumberFormat="0" applyBorder="0" applyAlignment="0" applyProtection="0">
      <alignment vertical="center"/>
    </xf>
    <xf numFmtId="0" fontId="76" fillId="22" borderId="0" applyNumberFormat="0" applyBorder="0" applyAlignment="0" applyProtection="0">
      <alignment vertical="center"/>
    </xf>
    <xf numFmtId="0" fontId="76" fillId="23" borderId="0" applyNumberFormat="0" applyBorder="0" applyAlignment="0" applyProtection="0">
      <alignment vertical="center"/>
    </xf>
    <xf numFmtId="0" fontId="75" fillId="24" borderId="0" applyNumberFormat="0" applyBorder="0" applyAlignment="0" applyProtection="0">
      <alignment vertical="center"/>
    </xf>
    <xf numFmtId="0" fontId="75" fillId="25" borderId="0" applyNumberFormat="0" applyBorder="0" applyAlignment="0" applyProtection="0">
      <alignment vertical="center"/>
    </xf>
    <xf numFmtId="0" fontId="76" fillId="26" borderId="0" applyNumberFormat="0" applyBorder="0" applyAlignment="0" applyProtection="0">
      <alignment vertical="center"/>
    </xf>
    <xf numFmtId="0" fontId="76" fillId="27" borderId="0" applyNumberFormat="0" applyBorder="0" applyAlignment="0" applyProtection="0">
      <alignment vertical="center"/>
    </xf>
    <xf numFmtId="0" fontId="75" fillId="28" borderId="0" applyNumberFormat="0" applyBorder="0" applyAlignment="0" applyProtection="0">
      <alignment vertical="center"/>
    </xf>
    <xf numFmtId="0" fontId="75" fillId="29" borderId="0" applyNumberFormat="0" applyBorder="0" applyAlignment="0" applyProtection="0">
      <alignment vertical="center"/>
    </xf>
    <xf numFmtId="0" fontId="76" fillId="30" borderId="0" applyNumberFormat="0" applyBorder="0" applyAlignment="0" applyProtection="0">
      <alignment vertical="center"/>
    </xf>
    <xf numFmtId="0" fontId="76" fillId="31" borderId="0" applyNumberFormat="0" applyBorder="0" applyAlignment="0" applyProtection="0">
      <alignment vertical="center"/>
    </xf>
    <xf numFmtId="0" fontId="75" fillId="32" borderId="0" applyNumberFormat="0" applyBorder="0" applyAlignment="0" applyProtection="0">
      <alignment vertical="center"/>
    </xf>
    <xf numFmtId="0" fontId="75" fillId="33" borderId="0" applyNumberFormat="0" applyBorder="0" applyAlignment="0" applyProtection="0">
      <alignment vertical="center"/>
    </xf>
    <xf numFmtId="0" fontId="76" fillId="34" borderId="0" applyNumberFormat="0" applyBorder="0" applyAlignment="0" applyProtection="0">
      <alignment vertical="center"/>
    </xf>
    <xf numFmtId="0" fontId="76" fillId="35" borderId="0" applyNumberFormat="0" applyBorder="0" applyAlignment="0" applyProtection="0">
      <alignment vertical="center"/>
    </xf>
    <xf numFmtId="0" fontId="75" fillId="36" borderId="0" applyNumberFormat="0" applyBorder="0" applyAlignment="0" applyProtection="0">
      <alignment vertical="center"/>
    </xf>
    <xf numFmtId="0" fontId="75" fillId="37" borderId="0" applyNumberFormat="0" applyBorder="0" applyAlignment="0" applyProtection="0">
      <alignment vertical="center"/>
    </xf>
    <xf numFmtId="0" fontId="76" fillId="38" borderId="0" applyNumberFormat="0" applyBorder="0" applyAlignment="0" applyProtection="0">
      <alignment vertical="center"/>
    </xf>
    <xf numFmtId="0" fontId="76" fillId="39" borderId="0" applyNumberFormat="0" applyBorder="0" applyAlignment="0" applyProtection="0">
      <alignment vertical="center"/>
    </xf>
    <xf numFmtId="0" fontId="75" fillId="40" borderId="0" applyNumberFormat="0" applyBorder="0" applyAlignment="0" applyProtection="0">
      <alignment vertical="center"/>
    </xf>
    <xf numFmtId="0" fontId="75" fillId="41" borderId="0" applyNumberFormat="0" applyBorder="0" applyAlignment="0" applyProtection="0">
      <alignment vertical="center"/>
    </xf>
    <xf numFmtId="0" fontId="76" fillId="42" borderId="0" applyNumberFormat="0" applyBorder="0" applyAlignment="0" applyProtection="0">
      <alignment vertical="center"/>
    </xf>
    <xf numFmtId="0" fontId="76" fillId="43" borderId="0" applyNumberFormat="0" applyBorder="0" applyAlignment="0" applyProtection="0">
      <alignment vertical="center"/>
    </xf>
    <xf numFmtId="0" fontId="75" fillId="44" borderId="0" applyNumberFormat="0" applyBorder="0" applyAlignment="0" applyProtection="0">
      <alignment vertical="center"/>
    </xf>
    <xf numFmtId="0" fontId="8" fillId="0" borderId="0">
      <alignment vertical="center"/>
    </xf>
    <xf numFmtId="0" fontId="8" fillId="0" borderId="0"/>
    <xf numFmtId="0" fontId="77" fillId="0" borderId="0">
      <alignment vertical="center"/>
    </xf>
    <xf numFmtId="0" fontId="8" fillId="0" borderId="0">
      <alignment vertical="center"/>
    </xf>
    <xf numFmtId="0" fontId="8" fillId="0" borderId="0">
      <alignment vertical="center"/>
    </xf>
    <xf numFmtId="0" fontId="8" fillId="0" borderId="0"/>
  </cellStyleXfs>
  <cellXfs count="502">
    <xf numFmtId="3" fontId="0" fillId="0" borderId="1" xfId="0" applyNumberFormat="1" applyFont="1" applyBorder="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3" fillId="3" borderId="1" xfId="0" applyFont="1" applyFill="1" applyBorder="1" applyAlignment="1">
      <alignment horizontal="center" vertical="center"/>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50" applyFont="1" applyBorder="1" applyAlignment="1">
      <alignment horizontal="center" vertical="center"/>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center" vertical="center" wrapText="1"/>
    </xf>
    <xf numFmtId="0" fontId="5" fillId="0" borderId="0" xfId="49" applyFont="1" applyAlignment="1">
      <alignment vertical="center" wrapText="1"/>
    </xf>
    <xf numFmtId="0" fontId="6" fillId="0" borderId="0" xfId="49" applyFont="1" applyAlignment="1">
      <alignment vertical="center" wrapText="1"/>
    </xf>
    <xf numFmtId="0" fontId="7" fillId="0" borderId="0" xfId="49" applyFont="1">
      <alignment vertical="center"/>
    </xf>
    <xf numFmtId="0" fontId="6" fillId="0" borderId="0" xfId="49" applyFont="1" applyAlignment="1">
      <alignment horizontal="center" vertical="center" wrapText="1"/>
    </xf>
    <xf numFmtId="0" fontId="5" fillId="0" borderId="0" xfId="49" applyFont="1" applyAlignment="1">
      <alignment horizontal="center" vertical="center" wrapText="1"/>
    </xf>
    <xf numFmtId="43" fontId="5" fillId="0" borderId="0" xfId="1" applyFont="1" applyAlignment="1">
      <alignment horizontal="center" vertical="center" wrapText="1"/>
    </xf>
    <xf numFmtId="176" fontId="5" fillId="0" borderId="0" xfId="49" applyNumberFormat="1" applyFont="1" applyAlignment="1">
      <alignment vertical="center" wrapText="1"/>
    </xf>
    <xf numFmtId="176" fontId="5" fillId="0" borderId="0" xfId="49" applyNumberFormat="1" applyFont="1" applyAlignment="1">
      <alignment horizontal="center" vertical="center" wrapText="1"/>
    </xf>
    <xf numFmtId="0" fontId="8" fillId="0" borderId="0" xfId="49">
      <alignment vertical="center"/>
    </xf>
    <xf numFmtId="0" fontId="9" fillId="0" borderId="0" xfId="49" applyFont="1" applyAlignment="1">
      <alignment horizontal="center" vertical="center" wrapText="1"/>
    </xf>
    <xf numFmtId="0" fontId="5" fillId="0" borderId="4" xfId="49" applyFont="1" applyBorder="1" applyAlignment="1">
      <alignment horizontal="center" vertical="center" wrapText="1"/>
    </xf>
    <xf numFmtId="0" fontId="6" fillId="2" borderId="3" xfId="49" applyFont="1" applyFill="1" applyBorder="1" applyAlignment="1">
      <alignment horizontal="center" vertical="center" wrapText="1"/>
    </xf>
    <xf numFmtId="0" fontId="6" fillId="2" borderId="5" xfId="49" applyFont="1" applyFill="1" applyBorder="1" applyAlignment="1">
      <alignment horizontal="center" vertical="center" wrapText="1"/>
    </xf>
    <xf numFmtId="0" fontId="3" fillId="2" borderId="1" xfId="49" applyFont="1" applyFill="1" applyBorder="1" applyAlignment="1">
      <alignment horizontal="center" vertical="center"/>
    </xf>
    <xf numFmtId="0" fontId="3" fillId="2" borderId="6" xfId="49" applyFont="1" applyFill="1" applyBorder="1" applyAlignment="1">
      <alignment horizontal="center" vertical="center" wrapText="1"/>
    </xf>
    <xf numFmtId="0" fontId="3" fillId="2" borderId="1" xfId="49" applyFont="1" applyFill="1" applyBorder="1" applyAlignment="1">
      <alignment horizontal="center" vertical="center" wrapText="1"/>
    </xf>
    <xf numFmtId="177" fontId="3" fillId="2" borderId="1" xfId="49" applyNumberFormat="1" applyFont="1" applyFill="1" applyBorder="1" applyAlignment="1">
      <alignment horizontal="center" vertical="center" wrapText="1"/>
    </xf>
    <xf numFmtId="0" fontId="3" fillId="2" borderId="7" xfId="49" applyFont="1" applyFill="1" applyBorder="1" applyAlignment="1">
      <alignment horizontal="center" vertical="center" wrapText="1"/>
    </xf>
    <xf numFmtId="0" fontId="3" fillId="2" borderId="8" xfId="49" applyFont="1" applyFill="1" applyBorder="1" applyAlignment="1">
      <alignment horizontal="center" vertical="center" wrapText="1"/>
    </xf>
    <xf numFmtId="0" fontId="6" fillId="4" borderId="1" xfId="49" applyFont="1" applyFill="1" applyBorder="1" applyAlignment="1">
      <alignment horizontal="center" vertical="center" wrapText="1"/>
    </xf>
    <xf numFmtId="0" fontId="1" fillId="4" borderId="1" xfId="49" applyFont="1" applyFill="1" applyBorder="1" applyAlignment="1">
      <alignment horizontal="center" vertical="center" wrapText="1"/>
    </xf>
    <xf numFmtId="43" fontId="1" fillId="4" borderId="1" xfId="1" applyFont="1" applyFill="1" applyBorder="1" applyAlignment="1">
      <alignment horizontal="center" vertical="center" wrapText="1"/>
    </xf>
    <xf numFmtId="0" fontId="1" fillId="4" borderId="1" xfId="1" applyNumberFormat="1" applyFont="1" applyFill="1" applyBorder="1" applyAlignment="1">
      <alignment horizontal="center" vertical="center" wrapText="1"/>
    </xf>
    <xf numFmtId="43" fontId="1" fillId="4" borderId="1" xfId="1" applyFont="1" applyFill="1" applyBorder="1" applyAlignment="1">
      <alignment vertical="center" wrapText="1"/>
    </xf>
    <xf numFmtId="0" fontId="3" fillId="5" borderId="1" xfId="49" applyFont="1" applyFill="1" applyBorder="1" applyAlignment="1">
      <alignment horizontal="center" vertical="center" wrapText="1"/>
    </xf>
    <xf numFmtId="176" fontId="10" fillId="5" borderId="1" xfId="49" applyNumberFormat="1" applyFont="1" applyFill="1" applyBorder="1" applyAlignment="1">
      <alignment horizontal="center" vertical="center" wrapText="1"/>
    </xf>
    <xf numFmtId="0" fontId="3" fillId="5" borderId="6" xfId="49" applyFont="1" applyFill="1" applyBorder="1" applyAlignment="1">
      <alignment horizontal="center" vertical="center" wrapText="1"/>
    </xf>
    <xf numFmtId="176" fontId="3" fillId="5" borderId="1" xfId="49" applyNumberFormat="1" applyFont="1" applyFill="1" applyBorder="1" applyAlignment="1">
      <alignment horizontal="center" vertical="center" wrapText="1"/>
    </xf>
    <xf numFmtId="49" fontId="3" fillId="5" borderId="1" xfId="49" applyNumberFormat="1" applyFont="1" applyFill="1" applyBorder="1" applyAlignment="1">
      <alignment horizontal="center" vertical="center" wrapText="1"/>
    </xf>
    <xf numFmtId="0" fontId="3" fillId="5" borderId="8" xfId="49" applyFont="1" applyFill="1" applyBorder="1" applyAlignment="1">
      <alignment horizontal="center" vertical="center" wrapText="1"/>
    </xf>
    <xf numFmtId="49" fontId="1" fillId="4" borderId="1" xfId="49" applyNumberFormat="1" applyFont="1" applyFill="1" applyBorder="1" applyAlignment="1">
      <alignment horizontal="center" vertical="center" wrapText="1"/>
    </xf>
    <xf numFmtId="0" fontId="5" fillId="4" borderId="1" xfId="0" applyFont="1" applyFill="1" applyBorder="1" applyAlignment="1">
      <alignment vertical="center" wrapText="1"/>
    </xf>
    <xf numFmtId="0" fontId="1" fillId="4" borderId="1" xfId="49" applyFont="1" applyFill="1" applyBorder="1" applyAlignment="1">
      <alignment vertical="center" wrapText="1"/>
    </xf>
    <xf numFmtId="176" fontId="11" fillId="4" borderId="1" xfId="49" applyNumberFormat="1" applyFont="1" applyFill="1" applyBorder="1" applyAlignment="1">
      <alignment vertical="center" wrapText="1"/>
    </xf>
    <xf numFmtId="178" fontId="1" fillId="4" borderId="1" xfId="1" applyNumberFormat="1" applyFont="1" applyFill="1" applyBorder="1" applyAlignment="1">
      <alignment horizontal="center" vertical="center" wrapText="1"/>
    </xf>
    <xf numFmtId="176" fontId="1" fillId="4" borderId="1" xfId="49" applyNumberFormat="1" applyFont="1" applyFill="1" applyBorder="1" applyAlignment="1">
      <alignment vertical="center" wrapText="1"/>
    </xf>
    <xf numFmtId="0" fontId="5" fillId="4" borderId="1" xfId="49" applyFont="1" applyFill="1" applyBorder="1" applyAlignment="1">
      <alignment vertical="center" wrapText="1"/>
    </xf>
    <xf numFmtId="3" fontId="0" fillId="0" borderId="1" xfId="0" applyNumberFormat="1" applyFont="1" applyFill="1" applyBorder="1" applyAlignment="1">
      <alignment horizontal="center" vertical="center" wrapText="1"/>
    </xf>
    <xf numFmtId="3" fontId="0" fillId="6" borderId="1" xfId="0" applyNumberFormat="1" applyFont="1" applyFill="1" applyBorder="1" applyAlignment="1">
      <alignment horizontal="center" vertical="center" wrapText="1"/>
    </xf>
    <xf numFmtId="0" fontId="8" fillId="0" borderId="0" xfId="0" applyFont="1" applyAlignment="1">
      <alignment horizontal="center" vertical="center"/>
    </xf>
    <xf numFmtId="0" fontId="8" fillId="0" borderId="0" xfId="0" applyFont="1" applyAlignment="1">
      <alignment horizontal="center" vertical="center" wrapText="1"/>
    </xf>
    <xf numFmtId="43" fontId="8" fillId="0" borderId="0" xfId="1" applyFont="1" applyFill="1" applyAlignment="1">
      <alignment vertical="center"/>
    </xf>
    <xf numFmtId="0" fontId="12" fillId="0" borderId="0" xfId="0" applyFont="1" applyAlignment="1">
      <alignment horizontal="center" vertical="center"/>
    </xf>
    <xf numFmtId="0" fontId="13" fillId="0" borderId="0" xfId="0" applyFont="1" applyAlignment="1">
      <alignment horizontal="center"/>
    </xf>
    <xf numFmtId="49" fontId="14" fillId="3" borderId="1" xfId="0" applyNumberFormat="1" applyFont="1" applyFill="1" applyBorder="1" applyAlignment="1">
      <alignment horizontal="center" vertical="center" wrapText="1"/>
    </xf>
    <xf numFmtId="49" fontId="15" fillId="5" borderId="1" xfId="0" applyNumberFormat="1" applyFont="1" applyFill="1" applyBorder="1" applyAlignment="1">
      <alignment horizontal="center" vertical="center"/>
    </xf>
    <xf numFmtId="49" fontId="14" fillId="3" borderId="1" xfId="1" applyNumberFormat="1" applyFont="1" applyFill="1" applyBorder="1" applyAlignment="1">
      <alignment horizontal="center" vertical="center" wrapText="1"/>
    </xf>
    <xf numFmtId="49" fontId="14" fillId="3" borderId="1" xfId="3" applyNumberFormat="1" applyFont="1" applyFill="1" applyBorder="1" applyAlignment="1">
      <alignment horizontal="center" vertical="center" wrapText="1"/>
    </xf>
    <xf numFmtId="49" fontId="14" fillId="2" borderId="1" xfId="1" applyNumberFormat="1"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2" borderId="1" xfId="1" applyNumberFormat="1"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179" fontId="17" fillId="0" borderId="1" xfId="54" applyNumberFormat="1" applyFont="1" applyFill="1" applyBorder="1" applyAlignment="1">
      <alignment horizontal="left" vertical="center" wrapText="1"/>
    </xf>
    <xf numFmtId="176" fontId="17" fillId="0" borderId="1" xfId="54" applyNumberFormat="1" applyFont="1" applyFill="1" applyBorder="1" applyAlignment="1">
      <alignment horizontal="left" vertical="center" wrapText="1"/>
    </xf>
    <xf numFmtId="180" fontId="17" fillId="0" borderId="1" xfId="54" applyNumberFormat="1" applyFont="1" applyFill="1" applyBorder="1" applyAlignment="1">
      <alignment horizontal="right" vertical="center" wrapText="1"/>
    </xf>
    <xf numFmtId="181" fontId="17" fillId="0" borderId="1" xfId="54" applyNumberFormat="1" applyFont="1" applyFill="1" applyBorder="1" applyAlignment="1">
      <alignment horizontal="center" vertical="center" wrapText="1"/>
    </xf>
    <xf numFmtId="0" fontId="5" fillId="0" borderId="1" xfId="0" applyFont="1" applyFill="1" applyBorder="1" applyAlignment="1">
      <alignment horizontal="center" vertical="center"/>
    </xf>
    <xf numFmtId="10" fontId="5" fillId="0" borderId="1" xfId="3" applyNumberFormat="1" applyFont="1" applyFill="1" applyBorder="1" applyAlignment="1">
      <alignment horizontal="center" vertical="center" wrapText="1"/>
    </xf>
    <xf numFmtId="43" fontId="5" fillId="0" borderId="1" xfId="1" applyFont="1" applyFill="1" applyBorder="1" applyAlignment="1">
      <alignment vertical="center"/>
    </xf>
    <xf numFmtId="43" fontId="5" fillId="0" borderId="1" xfId="1" applyFont="1" applyFill="1" applyBorder="1">
      <alignment vertical="center"/>
    </xf>
    <xf numFmtId="43" fontId="5" fillId="0" borderId="1" xfId="0" applyNumberFormat="1" applyFont="1" applyFill="1" applyBorder="1">
      <alignment vertical="center"/>
    </xf>
    <xf numFmtId="0" fontId="5" fillId="0" borderId="1" xfId="0" applyFont="1" applyFill="1" applyBorder="1">
      <alignment vertical="center"/>
    </xf>
    <xf numFmtId="43" fontId="5" fillId="0" borderId="1" xfId="1" applyNumberFormat="1" applyFont="1" applyFill="1" applyBorder="1" applyAlignment="1">
      <alignment vertical="center"/>
    </xf>
    <xf numFmtId="0" fontId="17" fillId="0" borderId="1" xfId="54" applyFont="1" applyFill="1" applyBorder="1" applyAlignment="1">
      <alignment horizontal="left" vertical="center" wrapText="1"/>
    </xf>
    <xf numFmtId="0" fontId="17" fillId="0" borderId="1" xfId="54" applyFont="1" applyFill="1" applyBorder="1" applyAlignment="1" applyProtection="1">
      <alignment horizontal="left" vertical="center" wrapText="1"/>
      <protection locked="0"/>
    </xf>
    <xf numFmtId="176" fontId="5" fillId="0" borderId="1" xfId="0" applyNumberFormat="1" applyFont="1" applyFill="1" applyBorder="1" applyAlignment="1">
      <alignment horizontal="left" vertical="center"/>
    </xf>
    <xf numFmtId="0" fontId="16" fillId="6" borderId="1" xfId="0" applyFont="1" applyFill="1" applyBorder="1" applyAlignment="1">
      <alignment horizontal="center" vertical="center"/>
    </xf>
    <xf numFmtId="0" fontId="16" fillId="6" borderId="1" xfId="0" applyFont="1" applyFill="1" applyBorder="1" applyAlignment="1">
      <alignment horizontal="center" vertical="center" wrapText="1"/>
    </xf>
    <xf numFmtId="0" fontId="16" fillId="6" borderId="1" xfId="0" applyFont="1" applyFill="1" applyBorder="1" applyAlignment="1">
      <alignment horizontal="left" vertical="center" wrapText="1"/>
    </xf>
    <xf numFmtId="0" fontId="17" fillId="6" borderId="1" xfId="54" applyFont="1" applyFill="1" applyBorder="1" applyAlignment="1">
      <alignment horizontal="left" vertical="center" wrapText="1"/>
    </xf>
    <xf numFmtId="176" fontId="17" fillId="6" borderId="1" xfId="54" applyNumberFormat="1" applyFont="1" applyFill="1" applyBorder="1" applyAlignment="1">
      <alignment horizontal="left" vertical="center" wrapText="1"/>
    </xf>
    <xf numFmtId="43" fontId="5" fillId="6" borderId="1" xfId="1" applyNumberFormat="1" applyFont="1" applyFill="1" applyBorder="1" applyAlignment="1">
      <alignment vertical="center"/>
    </xf>
    <xf numFmtId="43" fontId="5" fillId="6" borderId="1" xfId="1" applyFont="1" applyFill="1" applyBorder="1" applyAlignment="1">
      <alignment vertical="center"/>
    </xf>
    <xf numFmtId="0" fontId="5" fillId="6" borderId="1" xfId="0" applyFont="1" applyFill="1" applyBorder="1" applyAlignment="1">
      <alignment horizontal="center" vertical="center"/>
    </xf>
    <xf numFmtId="10" fontId="5" fillId="6" borderId="1" xfId="3" applyNumberFormat="1" applyFont="1" applyFill="1" applyBorder="1" applyAlignment="1">
      <alignment horizontal="center" vertical="center" wrapText="1"/>
    </xf>
    <xf numFmtId="43" fontId="5" fillId="6" borderId="1" xfId="1" applyFont="1" applyFill="1" applyBorder="1">
      <alignment vertical="center"/>
    </xf>
    <xf numFmtId="43" fontId="5" fillId="6" borderId="1" xfId="0" applyNumberFormat="1" applyFont="1" applyFill="1" applyBorder="1">
      <alignment vertical="center"/>
    </xf>
    <xf numFmtId="0" fontId="5" fillId="6" borderId="1" xfId="0" applyFont="1" applyFill="1" applyBorder="1">
      <alignment vertical="center"/>
    </xf>
    <xf numFmtId="49" fontId="17" fillId="0" borderId="1" xfId="54" applyNumberFormat="1" applyFont="1" applyFill="1" applyBorder="1" applyAlignment="1">
      <alignment horizontal="left" vertical="center" wrapText="1"/>
    </xf>
    <xf numFmtId="49" fontId="17" fillId="0" borderId="1" xfId="54" applyNumberFormat="1" applyFont="1" applyFill="1" applyBorder="1" applyAlignment="1">
      <alignment horizontal="center" vertical="center" wrapText="1"/>
    </xf>
    <xf numFmtId="176" fontId="5" fillId="0" borderId="1" xfId="0" applyNumberFormat="1" applyFont="1" applyFill="1" applyBorder="1">
      <alignment vertical="center"/>
    </xf>
    <xf numFmtId="0" fontId="5" fillId="0" borderId="1" xfId="50" applyFont="1" applyFill="1" applyBorder="1" applyAlignment="1">
      <alignment horizontal="left" vertical="center" wrapText="1"/>
    </xf>
    <xf numFmtId="176" fontId="5" fillId="6" borderId="1" xfId="0" applyNumberFormat="1" applyFont="1" applyFill="1" applyBorder="1" applyAlignment="1">
      <alignment horizontal="left" vertical="center"/>
    </xf>
    <xf numFmtId="0" fontId="17" fillId="0" borderId="2" xfId="54" applyFont="1" applyFill="1" applyBorder="1" applyAlignment="1">
      <alignment horizontal="left" vertical="center" wrapText="1"/>
    </xf>
    <xf numFmtId="176" fontId="17" fillId="0" borderId="1" xfId="54" applyNumberFormat="1" applyFont="1" applyFill="1" applyBorder="1" applyAlignment="1">
      <alignment horizontal="center" vertical="center" wrapText="1"/>
    </xf>
    <xf numFmtId="49" fontId="18" fillId="0" borderId="1" xfId="50" applyNumberFormat="1" applyFont="1" applyFill="1" applyBorder="1" applyAlignment="1">
      <alignment horizontal="left" vertical="center" wrapText="1"/>
    </xf>
    <xf numFmtId="0" fontId="19" fillId="0" borderId="1" xfId="0" applyFont="1" applyFill="1" applyBorder="1" applyAlignment="1">
      <alignment horizontal="left" vertical="center" wrapText="1"/>
    </xf>
    <xf numFmtId="0" fontId="19" fillId="6" borderId="1" xfId="0" applyFont="1" applyFill="1" applyBorder="1" applyAlignment="1">
      <alignment horizontal="left" vertical="center" wrapText="1"/>
    </xf>
    <xf numFmtId="0" fontId="5" fillId="0" borderId="0" xfId="49" applyFont="1">
      <alignment vertical="center"/>
    </xf>
    <xf numFmtId="0" fontId="8" fillId="0" borderId="0" xfId="49" applyAlignment="1">
      <alignment horizontal="center" vertical="center" wrapText="1"/>
    </xf>
    <xf numFmtId="0" fontId="8" fillId="0" borderId="0" xfId="49" applyAlignment="1">
      <alignment horizontal="left" vertical="center" wrapText="1"/>
    </xf>
    <xf numFmtId="0" fontId="18" fillId="0" borderId="0" xfId="49" applyFont="1">
      <alignment vertical="center"/>
    </xf>
    <xf numFmtId="0" fontId="18" fillId="0" borderId="0" xfId="49" applyFont="1" applyFill="1">
      <alignment vertical="center"/>
    </xf>
    <xf numFmtId="0" fontId="18" fillId="7" borderId="0" xfId="49" applyFont="1" applyFill="1">
      <alignment vertical="center"/>
    </xf>
    <xf numFmtId="0" fontId="18" fillId="8" borderId="0" xfId="49" applyFont="1" applyFill="1">
      <alignment vertical="center"/>
    </xf>
    <xf numFmtId="0" fontId="18" fillId="9" borderId="0" xfId="49" applyFont="1" applyFill="1">
      <alignment vertical="center"/>
    </xf>
    <xf numFmtId="0" fontId="8" fillId="0" borderId="0" xfId="49" applyAlignment="1">
      <alignment horizontal="center" vertical="center"/>
    </xf>
    <xf numFmtId="43" fontId="8" fillId="0" borderId="0" xfId="1" applyFont="1" applyFill="1" applyBorder="1" applyAlignment="1" applyProtection="1">
      <alignment horizontal="right" vertical="center"/>
    </xf>
    <xf numFmtId="43" fontId="8" fillId="0" borderId="0" xfId="1" applyNumberFormat="1" applyFont="1" applyFill="1" applyBorder="1" applyAlignment="1" applyProtection="1">
      <alignment horizontal="right" vertical="center"/>
    </xf>
    <xf numFmtId="10" fontId="8" fillId="0" borderId="0" xfId="3" applyNumberFormat="1" applyFont="1" applyFill="1" applyBorder="1" applyAlignment="1" applyProtection="1">
      <alignment vertical="center"/>
    </xf>
    <xf numFmtId="43" fontId="8" fillId="0" borderId="0" xfId="1" applyFont="1" applyFill="1" applyBorder="1" applyAlignment="1" applyProtection="1">
      <alignment vertical="center"/>
    </xf>
    <xf numFmtId="0" fontId="9" fillId="0" borderId="0" xfId="0" applyFont="1" applyAlignment="1">
      <alignment horizontal="center" vertical="center"/>
    </xf>
    <xf numFmtId="0" fontId="9" fillId="0" borderId="0" xfId="0" applyFont="1" applyAlignment="1">
      <alignment horizontal="right" vertical="center"/>
    </xf>
    <xf numFmtId="43" fontId="9" fillId="0" borderId="0" xfId="0" applyNumberFormat="1" applyFont="1" applyAlignment="1">
      <alignment horizontal="right" vertical="center"/>
    </xf>
    <xf numFmtId="0" fontId="17" fillId="0" borderId="0" xfId="50" applyFont="1" applyAlignment="1">
      <alignment horizontal="center" vertical="center"/>
    </xf>
    <xf numFmtId="0" fontId="17" fillId="0" borderId="0" xfId="50" applyFont="1" applyAlignment="1">
      <alignment horizontal="right" vertical="center"/>
    </xf>
    <xf numFmtId="43" fontId="17" fillId="0" borderId="0" xfId="50" applyNumberFormat="1" applyFont="1" applyAlignment="1">
      <alignment horizontal="right" vertical="center"/>
    </xf>
    <xf numFmtId="0" fontId="6" fillId="2" borderId="6" xfId="50" applyFont="1" applyFill="1" applyBorder="1" applyAlignment="1">
      <alignment vertical="center" wrapText="1"/>
    </xf>
    <xf numFmtId="0" fontId="6" fillId="2" borderId="1" xfId="50" applyFont="1" applyFill="1" applyBorder="1" applyAlignment="1">
      <alignment horizontal="center" vertical="center" wrapText="1"/>
    </xf>
    <xf numFmtId="0" fontId="6" fillId="2" borderId="1" xfId="50" applyFont="1" applyFill="1" applyBorder="1" applyAlignment="1">
      <alignment vertical="center" wrapText="1"/>
    </xf>
    <xf numFmtId="0" fontId="20" fillId="2" borderId="1" xfId="50" applyFont="1" applyFill="1" applyBorder="1" applyAlignment="1">
      <alignment vertical="center" wrapText="1"/>
    </xf>
    <xf numFmtId="49" fontId="6" fillId="2" borderId="1" xfId="50" applyNumberFormat="1" applyFont="1" applyFill="1" applyBorder="1" applyAlignment="1">
      <alignment horizontal="center" vertical="center" wrapText="1"/>
    </xf>
    <xf numFmtId="43" fontId="6" fillId="2" borderId="1" xfId="1" applyFont="1" applyFill="1" applyBorder="1" applyAlignment="1" applyProtection="1">
      <alignment horizontal="right" vertical="center" wrapText="1"/>
    </xf>
    <xf numFmtId="43" fontId="6" fillId="2" borderId="1" xfId="1" applyNumberFormat="1" applyFont="1" applyFill="1" applyBorder="1" applyAlignment="1" applyProtection="1">
      <alignment horizontal="right" vertical="center" wrapText="1"/>
    </xf>
    <xf numFmtId="10" fontId="6" fillId="2" borderId="1" xfId="3" applyNumberFormat="1" applyFont="1" applyFill="1" applyBorder="1" applyAlignment="1" applyProtection="1">
      <alignment horizontal="center" vertical="center" wrapText="1"/>
    </xf>
    <xf numFmtId="43" fontId="6" fillId="2" borderId="1" xfId="1" applyFont="1" applyFill="1" applyBorder="1" applyAlignment="1" applyProtection="1">
      <alignment horizontal="center" vertical="center" wrapText="1"/>
    </xf>
    <xf numFmtId="49" fontId="6" fillId="10" borderId="1" xfId="50" applyNumberFormat="1" applyFont="1" applyFill="1" applyBorder="1" applyAlignment="1">
      <alignment horizontal="center" vertical="center" wrapText="1"/>
    </xf>
    <xf numFmtId="49" fontId="21" fillId="10" borderId="1" xfId="0" applyNumberFormat="1" applyFont="1" applyFill="1" applyBorder="1" applyAlignment="1">
      <alignment horizontal="center" vertical="center" wrapText="1"/>
    </xf>
    <xf numFmtId="49" fontId="21" fillId="10" borderId="1" xfId="0" applyNumberFormat="1" applyFont="1" applyFill="1" applyBorder="1" applyAlignment="1">
      <alignment vertical="center" wrapText="1"/>
    </xf>
    <xf numFmtId="43" fontId="21" fillId="10" borderId="1" xfId="1" applyFont="1" applyFill="1" applyBorder="1" applyAlignment="1" applyProtection="1">
      <alignment horizontal="right" vertical="center" wrapText="1"/>
    </xf>
    <xf numFmtId="43" fontId="21" fillId="10" borderId="1" xfId="1" applyNumberFormat="1" applyFont="1" applyFill="1" applyBorder="1" applyAlignment="1" applyProtection="1">
      <alignment horizontal="right" vertical="center" wrapText="1"/>
    </xf>
    <xf numFmtId="0" fontId="21" fillId="10" borderId="1" xfId="0" applyFont="1" applyFill="1" applyBorder="1" applyAlignment="1">
      <alignment horizontal="center" vertical="center" wrapText="1"/>
    </xf>
    <xf numFmtId="43" fontId="21" fillId="10" borderId="1" xfId="1" applyFont="1" applyFill="1" applyBorder="1" applyAlignment="1" applyProtection="1">
      <alignment horizontal="center" vertical="center" wrapText="1"/>
    </xf>
    <xf numFmtId="0" fontId="6" fillId="2" borderId="8" xfId="50" applyFont="1" applyFill="1" applyBorder="1" applyAlignment="1">
      <alignment vertical="center" wrapText="1"/>
    </xf>
    <xf numFmtId="49" fontId="6" fillId="2" borderId="1" xfId="50" applyNumberFormat="1" applyFont="1" applyFill="1" applyBorder="1" applyAlignment="1">
      <alignment vertical="center" wrapText="1"/>
    </xf>
    <xf numFmtId="0" fontId="18" fillId="0" borderId="1" xfId="50" applyFont="1" applyFill="1" applyBorder="1" applyAlignment="1">
      <alignment horizontal="center" vertical="center" wrapText="1"/>
    </xf>
    <xf numFmtId="14" fontId="22" fillId="0" borderId="1" xfId="0" applyNumberFormat="1" applyFont="1" applyFill="1" applyBorder="1" applyAlignment="1" applyProtection="1">
      <alignment horizontal="left" vertical="center"/>
      <protection locked="0"/>
    </xf>
    <xf numFmtId="0" fontId="22" fillId="0" borderId="1" xfId="0" applyFont="1" applyFill="1" applyBorder="1" applyAlignment="1" applyProtection="1">
      <alignment vertical="center"/>
      <protection locked="0"/>
    </xf>
    <xf numFmtId="0" fontId="18" fillId="0" borderId="1" xfId="50" applyFont="1" applyFill="1" applyBorder="1" applyAlignment="1">
      <alignment vertical="center" wrapText="1"/>
    </xf>
    <xf numFmtId="0" fontId="18" fillId="0" borderId="1" xfId="0" applyFont="1" applyFill="1" applyBorder="1" applyAlignment="1">
      <alignment vertical="center" wrapText="1"/>
    </xf>
    <xf numFmtId="0" fontId="23" fillId="0" borderId="9" xfId="0" applyFont="1" applyFill="1" applyBorder="1" applyAlignment="1">
      <alignment horizontal="left" vertical="center" wrapText="1"/>
    </xf>
    <xf numFmtId="0" fontId="18" fillId="0" borderId="1" xfId="50" applyFont="1" applyBorder="1" applyAlignment="1">
      <alignment horizontal="left" vertical="center" wrapText="1"/>
    </xf>
    <xf numFmtId="0" fontId="19" fillId="0" borderId="1" xfId="0" applyFont="1" applyBorder="1" applyAlignment="1">
      <alignment horizontal="left" vertical="center" wrapText="1"/>
    </xf>
    <xf numFmtId="0" fontId="18" fillId="0" borderId="1" xfId="50" applyFont="1" applyFill="1" applyBorder="1" applyAlignment="1">
      <alignment horizontal="left" vertical="center" wrapText="1"/>
    </xf>
    <xf numFmtId="0" fontId="24" fillId="0" borderId="1" xfId="0" applyNumberFormat="1" applyFont="1" applyFill="1" applyBorder="1" applyAlignment="1">
      <alignment horizontal="left"/>
    </xf>
    <xf numFmtId="0" fontId="18" fillId="0" borderId="1" xfId="50" applyNumberFormat="1" applyFont="1" applyFill="1" applyBorder="1" applyAlignment="1">
      <alignment horizontal="left" vertical="center" wrapText="1"/>
    </xf>
    <xf numFmtId="4" fontId="23" fillId="0" borderId="9" xfId="0" applyNumberFormat="1" applyFont="1" applyFill="1" applyBorder="1" applyAlignment="1">
      <alignment horizontal="right" vertical="center" wrapText="1"/>
    </xf>
    <xf numFmtId="43" fontId="18" fillId="0" borderId="1" xfId="1" applyFont="1" applyFill="1" applyBorder="1" applyAlignment="1" applyProtection="1">
      <alignment horizontal="right" vertical="center" wrapText="1"/>
    </xf>
    <xf numFmtId="43" fontId="23" fillId="0" borderId="9" xfId="0" applyNumberFormat="1" applyFont="1" applyFill="1" applyBorder="1" applyAlignment="1">
      <alignment horizontal="right" vertical="center" wrapText="1"/>
    </xf>
    <xf numFmtId="10" fontId="18" fillId="0" borderId="1" xfId="3" applyNumberFormat="1" applyFont="1" applyFill="1" applyBorder="1" applyAlignment="1" applyProtection="1">
      <alignment horizontal="left" vertical="center" wrapText="1"/>
    </xf>
    <xf numFmtId="43" fontId="18" fillId="0" borderId="1" xfId="1" applyFont="1" applyFill="1" applyBorder="1" applyAlignment="1" applyProtection="1">
      <alignment horizontal="left" vertical="center" wrapText="1"/>
    </xf>
    <xf numFmtId="0" fontId="18" fillId="0" borderId="1" xfId="50" applyFont="1" applyBorder="1" applyAlignment="1" applyProtection="1">
      <alignment horizontal="left" vertical="center" wrapText="1"/>
      <protection locked="0"/>
    </xf>
    <xf numFmtId="43" fontId="18" fillId="0" borderId="1" xfId="1" applyFont="1" applyFill="1" applyBorder="1" applyAlignment="1" applyProtection="1">
      <alignment horizontal="right" vertical="center" wrapText="1"/>
      <protection locked="0"/>
    </xf>
    <xf numFmtId="0" fontId="25" fillId="0" borderId="1" xfId="0" applyFont="1" applyBorder="1" applyAlignment="1">
      <alignment horizontal="center" vertical="center" wrapText="1"/>
    </xf>
    <xf numFmtId="0" fontId="18" fillId="0" borderId="1" xfId="49" applyFont="1" applyBorder="1" applyAlignment="1">
      <alignment horizontal="left" vertical="center" wrapText="1"/>
    </xf>
    <xf numFmtId="4" fontId="5" fillId="11" borderId="1" xfId="1" applyNumberFormat="1" applyFont="1" applyFill="1" applyBorder="1" applyAlignment="1" applyProtection="1">
      <alignment horizontal="left" vertical="center" wrapText="1"/>
    </xf>
    <xf numFmtId="49" fontId="18" fillId="0" borderId="1" xfId="0" applyNumberFormat="1" applyFont="1" applyFill="1" applyBorder="1" applyAlignment="1">
      <alignment horizontal="left" vertical="center"/>
    </xf>
    <xf numFmtId="0" fontId="18" fillId="0" borderId="1" xfId="50" applyNumberFormat="1" applyFont="1" applyBorder="1" applyAlignment="1">
      <alignment horizontal="left" vertical="center" wrapText="1"/>
    </xf>
    <xf numFmtId="43" fontId="22" fillId="0" borderId="1" xfId="0" applyNumberFormat="1" applyFont="1" applyFill="1" applyBorder="1" applyAlignment="1" applyProtection="1">
      <alignment horizontal="right" vertical="center"/>
      <protection locked="0"/>
    </xf>
    <xf numFmtId="0" fontId="18" fillId="0" borderId="1" xfId="50" applyFont="1" applyFill="1" applyBorder="1" applyAlignment="1" applyProtection="1">
      <alignment horizontal="left" vertical="center" wrapText="1"/>
      <protection locked="0"/>
    </xf>
    <xf numFmtId="0" fontId="25" fillId="0" borderId="1" xfId="0" applyFont="1" applyFill="1" applyBorder="1" applyAlignment="1">
      <alignment horizontal="center" vertical="center" wrapText="1"/>
    </xf>
    <xf numFmtId="0" fontId="18" fillId="0" borderId="1" xfId="49" applyFont="1" applyFill="1" applyBorder="1" applyAlignment="1">
      <alignment horizontal="left" vertical="center" wrapText="1"/>
    </xf>
    <xf numFmtId="4" fontId="5" fillId="0" borderId="1" xfId="1" applyNumberFormat="1" applyFont="1" applyFill="1" applyBorder="1" applyAlignment="1" applyProtection="1">
      <alignment horizontal="left" vertical="center" wrapText="1"/>
    </xf>
    <xf numFmtId="49" fontId="18" fillId="0" borderId="1" xfId="54" applyNumberFormat="1" applyFont="1" applyFill="1" applyBorder="1" applyAlignment="1">
      <alignment horizontal="left" vertical="center" wrapText="1"/>
    </xf>
    <xf numFmtId="43" fontId="18" fillId="0" borderId="1" xfId="1" applyNumberFormat="1" applyFont="1" applyFill="1" applyBorder="1" applyAlignment="1" applyProtection="1">
      <alignment horizontal="right" vertical="center" wrapText="1"/>
    </xf>
    <xf numFmtId="4" fontId="26" fillId="11" borderId="1" xfId="1" applyNumberFormat="1" applyFont="1" applyFill="1" applyBorder="1" applyAlignment="1" applyProtection="1">
      <alignment horizontal="left" vertical="center" wrapText="1"/>
    </xf>
    <xf numFmtId="49" fontId="18" fillId="0" borderId="1" xfId="0" applyNumberFormat="1" applyFont="1" applyFill="1" applyBorder="1" applyAlignment="1">
      <alignment vertical="center"/>
    </xf>
    <xf numFmtId="0" fontId="18" fillId="0" borderId="0" xfId="50" applyNumberFormat="1" applyFont="1" applyFill="1" applyBorder="1" applyAlignment="1">
      <alignment horizontal="left" vertical="center" wrapText="1"/>
    </xf>
    <xf numFmtId="43" fontId="18" fillId="0" borderId="1" xfId="0" applyNumberFormat="1" applyFont="1" applyFill="1" applyBorder="1" applyAlignment="1">
      <alignment horizontal="right" vertical="center"/>
    </xf>
    <xf numFmtId="0" fontId="18" fillId="7" borderId="1" xfId="50" applyFont="1" applyFill="1" applyBorder="1" applyAlignment="1">
      <alignment horizontal="center" vertical="center" wrapText="1"/>
    </xf>
    <xf numFmtId="49" fontId="18" fillId="7" borderId="1" xfId="0" applyNumberFormat="1" applyFont="1" applyFill="1" applyBorder="1" applyAlignment="1">
      <alignment horizontal="left" vertical="center"/>
    </xf>
    <xf numFmtId="49" fontId="18" fillId="7" borderId="1" xfId="0" applyNumberFormat="1" applyFont="1" applyFill="1" applyBorder="1" applyAlignment="1">
      <alignment vertical="center"/>
    </xf>
    <xf numFmtId="0" fontId="18" fillId="7" borderId="1" xfId="50" applyFont="1" applyFill="1" applyBorder="1" applyAlignment="1">
      <alignment vertical="center" wrapText="1"/>
    </xf>
    <xf numFmtId="0" fontId="18" fillId="7" borderId="1" xfId="0" applyFont="1" applyFill="1" applyBorder="1" applyAlignment="1">
      <alignment vertical="center" wrapText="1"/>
    </xf>
    <xf numFmtId="49" fontId="18" fillId="7" borderId="1" xfId="50" applyNumberFormat="1" applyFont="1" applyFill="1" applyBorder="1" applyAlignment="1">
      <alignment horizontal="left" vertical="center" wrapText="1"/>
    </xf>
    <xf numFmtId="0" fontId="18" fillId="7" borderId="1" xfId="50" applyFont="1" applyFill="1" applyBorder="1" applyAlignment="1">
      <alignment horizontal="left" vertical="center" wrapText="1"/>
    </xf>
    <xf numFmtId="0" fontId="19" fillId="7" borderId="1" xfId="0" applyFont="1" applyFill="1" applyBorder="1" applyAlignment="1">
      <alignment horizontal="left" vertical="center" wrapText="1"/>
    </xf>
    <xf numFmtId="0" fontId="18" fillId="7" borderId="1" xfId="50" applyNumberFormat="1" applyFont="1" applyFill="1" applyBorder="1" applyAlignment="1">
      <alignment horizontal="left" vertical="center" wrapText="1"/>
    </xf>
    <xf numFmtId="43" fontId="18" fillId="7" borderId="1" xfId="1" applyFont="1" applyFill="1" applyBorder="1" applyAlignment="1" applyProtection="1">
      <alignment horizontal="right" vertical="center" wrapText="1"/>
    </xf>
    <xf numFmtId="43" fontId="18" fillId="7" borderId="1" xfId="0" applyNumberFormat="1" applyFont="1" applyFill="1" applyBorder="1" applyAlignment="1">
      <alignment horizontal="right" vertical="center"/>
    </xf>
    <xf numFmtId="10" fontId="18" fillId="7" borderId="1" xfId="3" applyNumberFormat="1" applyFont="1" applyFill="1" applyBorder="1" applyAlignment="1" applyProtection="1">
      <alignment horizontal="left" vertical="center" wrapText="1"/>
    </xf>
    <xf numFmtId="43" fontId="18" fillId="7" borderId="1" xfId="1" applyFont="1" applyFill="1" applyBorder="1" applyAlignment="1" applyProtection="1">
      <alignment horizontal="left" vertical="center" wrapText="1"/>
    </xf>
    <xf numFmtId="0" fontId="18" fillId="7" borderId="1" xfId="50" applyFont="1" applyFill="1" applyBorder="1" applyAlignment="1" applyProtection="1">
      <alignment horizontal="left" vertical="center" wrapText="1"/>
      <protection locked="0"/>
    </xf>
    <xf numFmtId="43" fontId="18" fillId="7" borderId="1" xfId="1" applyFont="1" applyFill="1" applyBorder="1" applyAlignment="1" applyProtection="1">
      <alignment horizontal="right" vertical="center" wrapText="1"/>
      <protection locked="0"/>
    </xf>
    <xf numFmtId="0" fontId="25" fillId="7" borderId="1" xfId="0" applyFont="1" applyFill="1" applyBorder="1" applyAlignment="1">
      <alignment horizontal="center" vertical="center" wrapText="1"/>
    </xf>
    <xf numFmtId="0" fontId="18" fillId="7" borderId="1" xfId="49" applyFont="1" applyFill="1" applyBorder="1" applyAlignment="1">
      <alignment horizontal="left" vertical="center" wrapText="1"/>
    </xf>
    <xf numFmtId="4" fontId="26" fillId="7" borderId="1" xfId="1" applyNumberFormat="1" applyFont="1" applyFill="1" applyBorder="1" applyAlignment="1" applyProtection="1">
      <alignment horizontal="left" vertical="center" wrapText="1"/>
    </xf>
    <xf numFmtId="0" fontId="24" fillId="0" borderId="0" xfId="0" applyNumberFormat="1" applyFont="1" applyFill="1" applyAlignment="1">
      <alignment horizontal="left"/>
    </xf>
    <xf numFmtId="4" fontId="5" fillId="7" borderId="1" xfId="1" applyNumberFormat="1" applyFont="1" applyFill="1" applyBorder="1" applyAlignment="1" applyProtection="1">
      <alignment horizontal="left" vertical="center" wrapText="1"/>
    </xf>
    <xf numFmtId="43" fontId="18" fillId="6" borderId="1" xfId="0" applyNumberFormat="1" applyFont="1" applyFill="1" applyBorder="1" applyAlignment="1">
      <alignment horizontal="right" vertical="center"/>
    </xf>
    <xf numFmtId="0" fontId="18" fillId="8" borderId="1" xfId="50" applyFont="1" applyFill="1" applyBorder="1" applyAlignment="1">
      <alignment horizontal="center" vertical="center" wrapText="1"/>
    </xf>
    <xf numFmtId="49" fontId="18" fillId="8" borderId="1" xfId="0" applyNumberFormat="1" applyFont="1" applyFill="1" applyBorder="1" applyAlignment="1">
      <alignment horizontal="left" vertical="center"/>
    </xf>
    <xf numFmtId="49" fontId="18" fillId="8" borderId="1" xfId="0" applyNumberFormat="1" applyFont="1" applyFill="1" applyBorder="1" applyAlignment="1">
      <alignment vertical="center"/>
    </xf>
    <xf numFmtId="0" fontId="18" fillId="8" borderId="1" xfId="50" applyFont="1" applyFill="1" applyBorder="1" applyAlignment="1">
      <alignment vertical="center" wrapText="1"/>
    </xf>
    <xf numFmtId="0" fontId="18" fillId="8" borderId="1" xfId="0" applyFont="1" applyFill="1" applyBorder="1" applyAlignment="1">
      <alignment vertical="center" wrapText="1"/>
    </xf>
    <xf numFmtId="49" fontId="18" fillId="8" borderId="1" xfId="54" applyNumberFormat="1" applyFont="1" applyFill="1" applyBorder="1" applyAlignment="1">
      <alignment horizontal="left" vertical="center" wrapText="1"/>
    </xf>
    <xf numFmtId="0" fontId="18" fillId="8" borderId="1" xfId="50" applyFont="1" applyFill="1" applyBorder="1" applyAlignment="1">
      <alignment horizontal="left" vertical="center" wrapText="1"/>
    </xf>
    <xf numFmtId="0" fontId="19" fillId="8" borderId="1" xfId="0" applyFont="1" applyFill="1" applyBorder="1" applyAlignment="1">
      <alignment horizontal="left" vertical="center" wrapText="1"/>
    </xf>
    <xf numFmtId="0" fontId="18" fillId="8" borderId="1" xfId="50" applyNumberFormat="1" applyFont="1" applyFill="1" applyBorder="1" applyAlignment="1">
      <alignment horizontal="left" vertical="center" wrapText="1"/>
    </xf>
    <xf numFmtId="43" fontId="18" fillId="8" borderId="1" xfId="1" applyFont="1" applyFill="1" applyBorder="1" applyAlignment="1" applyProtection="1">
      <alignment horizontal="right" vertical="center" wrapText="1"/>
    </xf>
    <xf numFmtId="43" fontId="18" fillId="8" borderId="1" xfId="0" applyNumberFormat="1" applyFont="1" applyFill="1" applyBorder="1" applyAlignment="1">
      <alignment horizontal="right" vertical="center"/>
    </xf>
    <xf numFmtId="10" fontId="18" fillId="8" borderId="1" xfId="3" applyNumberFormat="1" applyFont="1" applyFill="1" applyBorder="1" applyAlignment="1" applyProtection="1">
      <alignment horizontal="left" vertical="center" wrapText="1"/>
    </xf>
    <xf numFmtId="43" fontId="18" fillId="8" borderId="1" xfId="1" applyFont="1" applyFill="1" applyBorder="1" applyAlignment="1" applyProtection="1">
      <alignment horizontal="left" vertical="center" wrapText="1"/>
    </xf>
    <xf numFmtId="0" fontId="18" fillId="8" borderId="1" xfId="50" applyFont="1" applyFill="1" applyBorder="1" applyAlignment="1" applyProtection="1">
      <alignment horizontal="left" vertical="center" wrapText="1"/>
      <protection locked="0"/>
    </xf>
    <xf numFmtId="43" fontId="18" fillId="8" borderId="1" xfId="1" applyFont="1" applyFill="1" applyBorder="1" applyAlignment="1" applyProtection="1">
      <alignment horizontal="right" vertical="center" wrapText="1"/>
      <protection locked="0"/>
    </xf>
    <xf numFmtId="0" fontId="25" fillId="8" borderId="1" xfId="0" applyFont="1" applyFill="1" applyBorder="1" applyAlignment="1">
      <alignment horizontal="center" vertical="center" wrapText="1"/>
    </xf>
    <xf numFmtId="0" fontId="18" fillId="8" borderId="1" xfId="49" applyFont="1" applyFill="1" applyBorder="1" applyAlignment="1">
      <alignment horizontal="left" vertical="center" wrapText="1"/>
    </xf>
    <xf numFmtId="4" fontId="5" fillId="8" borderId="1" xfId="1" applyNumberFormat="1" applyFont="1" applyFill="1" applyBorder="1" applyAlignment="1" applyProtection="1">
      <alignment horizontal="left" vertical="center" wrapText="1"/>
    </xf>
    <xf numFmtId="49" fontId="18" fillId="7" borderId="1" xfId="54" applyNumberFormat="1" applyFont="1" applyFill="1" applyBorder="1" applyAlignment="1">
      <alignment horizontal="left" vertical="center" wrapText="1"/>
    </xf>
    <xf numFmtId="0" fontId="24" fillId="7" borderId="0" xfId="0" applyNumberFormat="1" applyFont="1" applyFill="1" applyAlignment="1">
      <alignment horizontal="left"/>
    </xf>
    <xf numFmtId="0" fontId="24" fillId="8" borderId="0" xfId="0" applyNumberFormat="1" applyFont="1" applyFill="1" applyAlignment="1">
      <alignment horizontal="left"/>
    </xf>
    <xf numFmtId="0" fontId="18" fillId="9" borderId="1" xfId="50" applyFont="1" applyFill="1" applyBorder="1" applyAlignment="1">
      <alignment horizontal="center" vertical="center" wrapText="1"/>
    </xf>
    <xf numFmtId="49" fontId="18" fillId="9" borderId="1" xfId="0" applyNumberFormat="1" applyFont="1" applyFill="1" applyBorder="1" applyAlignment="1">
      <alignment horizontal="left" vertical="center"/>
    </xf>
    <xf numFmtId="49" fontId="18" fillId="9" borderId="1" xfId="0" applyNumberFormat="1" applyFont="1" applyFill="1" applyBorder="1" applyAlignment="1">
      <alignment vertical="center"/>
    </xf>
    <xf numFmtId="0" fontId="18" fillId="9" borderId="1" xfId="50" applyFont="1" applyFill="1" applyBorder="1" applyAlignment="1">
      <alignment vertical="center" wrapText="1"/>
    </xf>
    <xf numFmtId="0" fontId="18" fillId="9" borderId="1" xfId="0" applyFont="1" applyFill="1" applyBorder="1" applyAlignment="1">
      <alignment vertical="center" wrapText="1"/>
    </xf>
    <xf numFmtId="49" fontId="18" fillId="9" borderId="1" xfId="50" applyNumberFormat="1" applyFont="1" applyFill="1" applyBorder="1" applyAlignment="1">
      <alignment horizontal="left" vertical="center" wrapText="1"/>
    </xf>
    <xf numFmtId="0" fontId="18" fillId="9" borderId="1" xfId="50" applyFont="1" applyFill="1" applyBorder="1" applyAlignment="1">
      <alignment horizontal="left" vertical="center" wrapText="1"/>
    </xf>
    <xf numFmtId="0" fontId="19" fillId="9" borderId="1" xfId="0" applyFont="1" applyFill="1" applyBorder="1" applyAlignment="1">
      <alignment horizontal="left" vertical="center" wrapText="1"/>
    </xf>
    <xf numFmtId="0" fontId="18" fillId="9" borderId="1" xfId="50" applyNumberFormat="1" applyFont="1" applyFill="1" applyBorder="1" applyAlignment="1">
      <alignment horizontal="left" vertical="center" wrapText="1"/>
    </xf>
    <xf numFmtId="43" fontId="18" fillId="9" borderId="1" xfId="1" applyFont="1" applyFill="1" applyBorder="1" applyAlignment="1" applyProtection="1">
      <alignment horizontal="right" vertical="center" wrapText="1"/>
    </xf>
    <xf numFmtId="43" fontId="18" fillId="9" borderId="1" xfId="0" applyNumberFormat="1" applyFont="1" applyFill="1" applyBorder="1" applyAlignment="1">
      <alignment horizontal="right" vertical="center"/>
    </xf>
    <xf numFmtId="10" fontId="18" fillId="9" borderId="1" xfId="3" applyNumberFormat="1" applyFont="1" applyFill="1" applyBorder="1" applyAlignment="1" applyProtection="1">
      <alignment horizontal="left" vertical="center" wrapText="1"/>
    </xf>
    <xf numFmtId="43" fontId="18" fillId="9" borderId="1" xfId="1" applyFont="1" applyFill="1" applyBorder="1" applyAlignment="1" applyProtection="1">
      <alignment horizontal="left" vertical="center" wrapText="1"/>
    </xf>
    <xf numFmtId="0" fontId="18" fillId="9" borderId="1" xfId="50" applyFont="1" applyFill="1" applyBorder="1" applyAlignment="1" applyProtection="1">
      <alignment horizontal="left" vertical="center" wrapText="1"/>
      <protection locked="0"/>
    </xf>
    <xf numFmtId="43" fontId="18" fillId="9" borderId="1" xfId="1" applyFont="1" applyFill="1" applyBorder="1" applyAlignment="1" applyProtection="1">
      <alignment horizontal="right" vertical="center" wrapText="1"/>
      <protection locked="0"/>
    </xf>
    <xf numFmtId="0" fontId="25" fillId="9" borderId="1" xfId="0" applyFont="1" applyFill="1" applyBorder="1" applyAlignment="1">
      <alignment horizontal="center" vertical="center" wrapText="1"/>
    </xf>
    <xf numFmtId="0" fontId="18" fillId="9" borderId="1" xfId="49" applyFont="1" applyFill="1" applyBorder="1" applyAlignment="1">
      <alignment horizontal="left" vertical="center" wrapText="1"/>
    </xf>
    <xf numFmtId="4" fontId="5" fillId="9" borderId="1" xfId="1" applyNumberFormat="1" applyFont="1" applyFill="1" applyBorder="1" applyAlignment="1" applyProtection="1">
      <alignment horizontal="left" vertical="center" wrapText="1"/>
    </xf>
    <xf numFmtId="0" fontId="18" fillId="12" borderId="1" xfId="50" applyNumberFormat="1" applyFont="1" applyFill="1" applyBorder="1" applyAlignment="1">
      <alignment horizontal="left" vertical="center" wrapText="1"/>
    </xf>
    <xf numFmtId="0" fontId="18" fillId="0" borderId="1" xfId="0" applyFont="1" applyFill="1" applyBorder="1" applyAlignment="1">
      <alignment horizontal="left" vertical="center" wrapText="1"/>
    </xf>
    <xf numFmtId="0" fontId="18" fillId="0" borderId="1" xfId="0" applyFont="1" applyFill="1" applyBorder="1" applyAlignment="1">
      <alignment horizontal="center" vertical="center" wrapText="1"/>
    </xf>
    <xf numFmtId="4" fontId="5" fillId="6" borderId="1" xfId="1" applyNumberFormat="1" applyFont="1" applyFill="1" applyBorder="1" applyAlignment="1" applyProtection="1">
      <alignment horizontal="left" vertical="center" wrapText="1"/>
    </xf>
    <xf numFmtId="0" fontId="24" fillId="0" borderId="0" xfId="0" applyFont="1" applyFill="1" applyAlignment="1">
      <alignment horizontal="left"/>
    </xf>
    <xf numFmtId="0" fontId="24" fillId="0" borderId="1" xfId="0" applyFont="1" applyFill="1" applyBorder="1" applyAlignment="1">
      <alignment horizontal="left"/>
    </xf>
    <xf numFmtId="176" fontId="18" fillId="7" borderId="1" xfId="0" applyNumberFormat="1" applyFont="1" applyFill="1" applyBorder="1" applyAlignment="1">
      <alignment horizontal="left" vertical="center"/>
    </xf>
    <xf numFmtId="176" fontId="18" fillId="0" borderId="1" xfId="0" applyNumberFormat="1" applyFont="1" applyFill="1" applyBorder="1" applyAlignment="1">
      <alignment horizontal="left" vertical="center"/>
    </xf>
    <xf numFmtId="182" fontId="18" fillId="0" borderId="1" xfId="0" applyNumberFormat="1" applyFont="1" applyFill="1" applyBorder="1" applyAlignment="1">
      <alignment vertical="center" shrinkToFit="1"/>
    </xf>
    <xf numFmtId="0" fontId="5" fillId="11" borderId="1" xfId="50" applyFont="1" applyFill="1" applyBorder="1" applyAlignment="1">
      <alignment horizontal="left" vertical="center" wrapText="1"/>
    </xf>
    <xf numFmtId="0" fontId="18" fillId="6" borderId="0" xfId="50" applyNumberFormat="1" applyFont="1" applyFill="1" applyBorder="1" applyAlignment="1">
      <alignment horizontal="left" vertical="center" wrapText="1"/>
    </xf>
    <xf numFmtId="49" fontId="18" fillId="0" borderId="1" xfId="50" applyNumberFormat="1" applyFont="1" applyBorder="1" applyAlignment="1">
      <alignment horizontal="left" vertical="center" wrapText="1"/>
    </xf>
    <xf numFmtId="43" fontId="27" fillId="0" borderId="0" xfId="0" applyNumberFormat="1" applyFont="1">
      <alignment vertical="center"/>
    </xf>
    <xf numFmtId="43" fontId="18" fillId="7" borderId="1" xfId="1" applyNumberFormat="1" applyFont="1" applyFill="1" applyBorder="1" applyAlignment="1" applyProtection="1">
      <alignment horizontal="right" vertical="center" wrapText="1"/>
    </xf>
    <xf numFmtId="181" fontId="18" fillId="0" borderId="1" xfId="0" applyNumberFormat="1" applyFont="1" applyFill="1" applyBorder="1" applyAlignment="1">
      <alignment horizontal="right" vertical="center"/>
    </xf>
    <xf numFmtId="43" fontId="8" fillId="0" borderId="0" xfId="3" applyNumberFormat="1" applyFont="1" applyFill="1" applyBorder="1" applyAlignment="1" applyProtection="1">
      <alignment vertical="center"/>
    </xf>
    <xf numFmtId="0" fontId="4" fillId="0" borderId="0" xfId="0" applyFont="1" applyAlignment="1"/>
    <xf numFmtId="0" fontId="28" fillId="0" borderId="0" xfId="0" applyFont="1" applyAlignment="1"/>
    <xf numFmtId="49" fontId="28" fillId="0" borderId="0" xfId="0" applyNumberFormat="1" applyFont="1" applyAlignment="1"/>
    <xf numFmtId="0" fontId="29" fillId="0" borderId="0" xfId="0" applyFont="1" applyAlignment="1">
      <alignment wrapText="1"/>
    </xf>
    <xf numFmtId="0" fontId="30" fillId="0" borderId="0" xfId="0" applyFont="1" applyAlignment="1"/>
    <xf numFmtId="0" fontId="31" fillId="0" borderId="0" xfId="0" applyFont="1" applyAlignment="1"/>
    <xf numFmtId="183" fontId="30" fillId="0" borderId="0" xfId="0" applyNumberFormat="1" applyFont="1" applyAlignment="1"/>
    <xf numFmtId="43" fontId="30" fillId="0" borderId="0" xfId="1" applyFont="1" applyFill="1" applyBorder="1" applyAlignment="1"/>
    <xf numFmtId="0" fontId="30" fillId="0" borderId="0" xfId="0" applyFont="1" applyAlignment="1">
      <alignment horizontal="left"/>
    </xf>
    <xf numFmtId="43" fontId="30" fillId="0" borderId="0" xfId="1" applyNumberFormat="1" applyFont="1" applyFill="1" applyBorder="1" applyAlignment="1"/>
    <xf numFmtId="0" fontId="32" fillId="0" borderId="0" xfId="0" applyFont="1" applyAlignment="1"/>
    <xf numFmtId="0" fontId="12" fillId="0" borderId="0" xfId="0" applyFont="1" applyAlignment="1">
      <alignment horizontal="center"/>
    </xf>
    <xf numFmtId="183" fontId="12" fillId="0" borderId="0" xfId="0" applyNumberFormat="1" applyFont="1" applyAlignment="1">
      <alignment horizontal="center"/>
    </xf>
    <xf numFmtId="43" fontId="12" fillId="0" borderId="0" xfId="1" applyFont="1" applyFill="1" applyAlignment="1">
      <alignment horizontal="center"/>
    </xf>
    <xf numFmtId="0" fontId="12" fillId="0" borderId="0" xfId="0" applyFont="1" applyAlignment="1">
      <alignment horizontal="left"/>
    </xf>
    <xf numFmtId="43" fontId="12" fillId="0" borderId="0" xfId="1" applyNumberFormat="1" applyFont="1" applyFill="1" applyAlignment="1">
      <alignment horizontal="center"/>
    </xf>
    <xf numFmtId="183" fontId="13" fillId="0" borderId="0" xfId="0" applyNumberFormat="1" applyFont="1" applyAlignment="1">
      <alignment horizontal="center"/>
    </xf>
    <xf numFmtId="43" fontId="13" fillId="0" borderId="0" xfId="1" applyFont="1" applyFill="1" applyAlignment="1">
      <alignment horizontal="center"/>
    </xf>
    <xf numFmtId="0" fontId="13" fillId="0" borderId="0" xfId="0" applyFont="1" applyAlignment="1">
      <alignment horizontal="left"/>
    </xf>
    <xf numFmtId="43" fontId="13" fillId="0" borderId="0" xfId="1" applyNumberFormat="1" applyFont="1" applyFill="1" applyAlignment="1">
      <alignment horizontal="center"/>
    </xf>
    <xf numFmtId="182" fontId="21" fillId="2" borderId="6" xfId="0" applyNumberFormat="1" applyFont="1" applyFill="1" applyBorder="1" applyAlignment="1">
      <alignment horizontal="center" vertical="center" wrapText="1"/>
    </xf>
    <xf numFmtId="182" fontId="21" fillId="2" borderId="1" xfId="0" applyNumberFormat="1" applyFont="1" applyFill="1" applyBorder="1" applyAlignment="1">
      <alignment horizontal="center" vertical="center" wrapText="1"/>
    </xf>
    <xf numFmtId="182" fontId="20" fillId="2" borderId="1" xfId="0" applyNumberFormat="1" applyFont="1" applyFill="1" applyBorder="1" applyAlignment="1">
      <alignment horizontal="center" vertical="center" wrapText="1"/>
    </xf>
    <xf numFmtId="183" fontId="21" fillId="2" borderId="1" xfId="0" applyNumberFormat="1" applyFont="1" applyFill="1" applyBorder="1" applyAlignment="1">
      <alignment horizontal="center" vertical="center" wrapText="1"/>
    </xf>
    <xf numFmtId="43" fontId="21" fillId="2" borderId="1" xfId="1" applyFont="1" applyFill="1" applyBorder="1" applyAlignment="1">
      <alignment horizontal="center" vertical="center" wrapText="1"/>
    </xf>
    <xf numFmtId="182" fontId="21" fillId="2" borderId="1" xfId="0" applyNumberFormat="1" applyFont="1" applyFill="1" applyBorder="1" applyAlignment="1">
      <alignment horizontal="left" vertical="center" wrapText="1"/>
    </xf>
    <xf numFmtId="43" fontId="21" fillId="2" borderId="1" xfId="1" applyNumberFormat="1" applyFont="1" applyFill="1" applyBorder="1" applyAlignment="1">
      <alignment horizontal="center" vertical="center" wrapText="1"/>
    </xf>
    <xf numFmtId="43" fontId="20" fillId="2" borderId="1" xfId="1" applyFont="1" applyFill="1" applyBorder="1" applyAlignment="1">
      <alignment horizontal="center" vertical="center" wrapText="1"/>
    </xf>
    <xf numFmtId="182" fontId="21" fillId="10" borderId="1" xfId="0" applyNumberFormat="1" applyFont="1" applyFill="1" applyBorder="1" applyAlignment="1">
      <alignment horizontal="center" vertical="center" wrapText="1"/>
    </xf>
    <xf numFmtId="183" fontId="21" fillId="10" borderId="1" xfId="0" applyNumberFormat="1" applyFont="1" applyFill="1" applyBorder="1" applyAlignment="1">
      <alignment horizontal="center" vertical="center" wrapText="1"/>
    </xf>
    <xf numFmtId="49" fontId="21" fillId="10" borderId="1" xfId="0" applyNumberFormat="1" applyFont="1" applyFill="1" applyBorder="1" applyAlignment="1">
      <alignment horizontal="left" vertical="center" wrapText="1"/>
    </xf>
    <xf numFmtId="43" fontId="21" fillId="10" borderId="1" xfId="1" applyNumberFormat="1" applyFont="1" applyFill="1" applyBorder="1" applyAlignment="1" applyProtection="1">
      <alignment horizontal="center" vertical="center" wrapText="1"/>
    </xf>
    <xf numFmtId="43" fontId="33" fillId="10" borderId="1" xfId="1" applyFont="1" applyFill="1" applyBorder="1" applyAlignment="1" applyProtection="1">
      <alignment horizontal="center" wrapText="1"/>
    </xf>
    <xf numFmtId="182" fontId="21" fillId="2" borderId="8" xfId="0" applyNumberFormat="1" applyFont="1" applyFill="1" applyBorder="1" applyAlignment="1">
      <alignment horizontal="center" vertical="center" wrapText="1"/>
    </xf>
    <xf numFmtId="49" fontId="21" fillId="2" borderId="1" xfId="0" applyNumberFormat="1" applyFont="1" applyFill="1" applyBorder="1" applyAlignment="1">
      <alignment horizontal="center" vertical="center" wrapText="1"/>
    </xf>
    <xf numFmtId="49" fontId="21" fillId="2" borderId="1" xfId="0" applyNumberFormat="1" applyFont="1" applyFill="1" applyBorder="1" applyAlignment="1">
      <alignment horizontal="left" vertical="center" wrapText="1"/>
    </xf>
    <xf numFmtId="0" fontId="34" fillId="0" borderId="1" xfId="0" applyFont="1" applyBorder="1" applyAlignment="1">
      <alignment wrapText="1"/>
    </xf>
    <xf numFmtId="3" fontId="33" fillId="0" borderId="1" xfId="0" applyNumberFormat="1" applyFont="1" applyBorder="1" applyAlignment="1">
      <alignment wrapText="1"/>
    </xf>
    <xf numFmtId="0" fontId="33" fillId="0" borderId="1" xfId="0" applyFont="1" applyBorder="1" applyAlignment="1">
      <alignment wrapText="1"/>
    </xf>
    <xf numFmtId="183" fontId="33" fillId="0" borderId="1" xfId="0" applyNumberFormat="1" applyFont="1" applyBorder="1" applyAlignment="1">
      <alignment wrapText="1"/>
    </xf>
    <xf numFmtId="176" fontId="33" fillId="0" borderId="1" xfId="0" applyNumberFormat="1" applyFont="1" applyBorder="1" applyAlignment="1">
      <alignment wrapText="1"/>
    </xf>
    <xf numFmtId="4" fontId="33" fillId="0" borderId="1" xfId="1" applyNumberFormat="1" applyFont="1" applyFill="1" applyBorder="1" applyAlignment="1">
      <alignment wrapText="1"/>
    </xf>
    <xf numFmtId="0" fontId="33" fillId="0" borderId="1" xfId="0" applyFont="1" applyFill="1" applyBorder="1" applyAlignment="1">
      <alignment wrapText="1"/>
    </xf>
    <xf numFmtId="3" fontId="33" fillId="0" borderId="1" xfId="0" applyNumberFormat="1" applyFont="1" applyFill="1" applyBorder="1" applyAlignment="1">
      <alignment horizontal="left" wrapText="1"/>
    </xf>
    <xf numFmtId="43" fontId="17" fillId="0" borderId="1" xfId="0" applyNumberFormat="1" applyFont="1" applyFill="1" applyBorder="1" applyAlignment="1">
      <alignment horizontal="center" vertical="center"/>
    </xf>
    <xf numFmtId="3" fontId="34" fillId="0" borderId="1" xfId="0" applyNumberFormat="1" applyFont="1" applyBorder="1" applyAlignment="1">
      <alignment wrapText="1"/>
    </xf>
    <xf numFmtId="183" fontId="34" fillId="0" borderId="1" xfId="0" applyNumberFormat="1" applyFont="1" applyBorder="1" applyAlignment="1">
      <alignment wrapText="1"/>
    </xf>
    <xf numFmtId="176" fontId="34" fillId="0" borderId="1" xfId="0" applyNumberFormat="1" applyFont="1" applyBorder="1" applyAlignment="1">
      <alignment wrapText="1"/>
    </xf>
    <xf numFmtId="4" fontId="34" fillId="0" borderId="1" xfId="1" applyNumberFormat="1" applyFont="1" applyFill="1" applyBorder="1" applyAlignment="1">
      <alignment wrapText="1"/>
    </xf>
    <xf numFmtId="49" fontId="17" fillId="0" borderId="1" xfId="0" applyNumberFormat="1" applyFont="1" applyFill="1" applyBorder="1" applyAlignment="1">
      <alignment horizontal="left" vertical="center"/>
    </xf>
    <xf numFmtId="43" fontId="33" fillId="0" borderId="1" xfId="1" applyNumberFormat="1" applyFont="1" applyFill="1" applyBorder="1" applyAlignment="1">
      <alignment wrapText="1"/>
    </xf>
    <xf numFmtId="0" fontId="17" fillId="0" borderId="1" xfId="0" applyFont="1" applyFill="1" applyBorder="1" applyAlignment="1">
      <alignment horizontal="left" vertical="center"/>
    </xf>
    <xf numFmtId="49" fontId="17" fillId="0" borderId="3" xfId="52" applyNumberFormat="1" applyFont="1" applyFill="1" applyBorder="1" applyAlignment="1">
      <alignment horizontal="left" vertical="center" wrapText="1"/>
    </xf>
    <xf numFmtId="43" fontId="8" fillId="0" borderId="1" xfId="53" applyNumberFormat="1" applyFont="1" applyFill="1" applyBorder="1" applyAlignment="1">
      <alignment horizontal="left" vertical="center"/>
    </xf>
    <xf numFmtId="49" fontId="17" fillId="0" borderId="3" xfId="53" applyNumberFormat="1" applyFont="1" applyFill="1" applyBorder="1" applyAlignment="1">
      <alignment horizontal="left" vertical="center"/>
    </xf>
    <xf numFmtId="4" fontId="33" fillId="0" borderId="1" xfId="1" applyNumberFormat="1" applyFont="1" applyFill="1" applyBorder="1" applyAlignment="1">
      <alignment horizontal="left" wrapText="1"/>
    </xf>
    <xf numFmtId="0" fontId="5" fillId="0" borderId="0" xfId="0" applyFont="1">
      <alignment vertical="center"/>
    </xf>
    <xf numFmtId="0" fontId="6" fillId="0" borderId="0" xfId="0" applyFont="1">
      <alignment vertical="center"/>
    </xf>
    <xf numFmtId="0" fontId="35" fillId="0" borderId="0" xfId="0" applyFont="1">
      <alignment vertical="center"/>
    </xf>
    <xf numFmtId="49" fontId="35" fillId="0" borderId="0" xfId="0" applyNumberFormat="1" applyFont="1">
      <alignment vertical="center"/>
    </xf>
    <xf numFmtId="43" fontId="8" fillId="0" borderId="0" xfId="1" applyFont="1" applyAlignment="1">
      <alignment horizontal="center" vertical="center"/>
    </xf>
    <xf numFmtId="0" fontId="36" fillId="0" borderId="0" xfId="0" applyFont="1" applyAlignment="1">
      <alignment horizontal="center" vertical="center"/>
    </xf>
    <xf numFmtId="43" fontId="36" fillId="0" borderId="0" xfId="1" applyFont="1" applyAlignment="1">
      <alignment horizontal="center" vertical="center"/>
    </xf>
    <xf numFmtId="0" fontId="5" fillId="0" borderId="0" xfId="0" applyFont="1" applyAlignment="1">
      <alignment horizontal="center" vertical="center"/>
    </xf>
    <xf numFmtId="43" fontId="5" fillId="0" borderId="0" xfId="1" applyFont="1" applyAlignment="1">
      <alignment horizontal="center" vertical="center"/>
    </xf>
    <xf numFmtId="0" fontId="6" fillId="2" borderId="6" xfId="0" applyFont="1" applyFill="1" applyBorder="1" applyAlignment="1">
      <alignment horizontal="center" vertical="center"/>
    </xf>
    <xf numFmtId="0" fontId="6" fillId="2" borderId="1" xfId="0" applyFont="1" applyFill="1" applyBorder="1" applyAlignment="1">
      <alignment horizontal="center" vertical="center" wrapText="1"/>
    </xf>
    <xf numFmtId="43" fontId="6" fillId="2" borderId="1" xfId="1" applyFont="1" applyFill="1" applyBorder="1" applyAlignment="1">
      <alignment horizontal="center" vertical="center"/>
    </xf>
    <xf numFmtId="43" fontId="20" fillId="2" borderId="3" xfId="1" applyFont="1" applyFill="1" applyBorder="1" applyAlignment="1">
      <alignment horizontal="center" vertical="center"/>
    </xf>
    <xf numFmtId="43" fontId="20" fillId="2" borderId="5" xfId="1" applyFont="1" applyFill="1" applyBorder="1" applyAlignment="1">
      <alignment horizontal="center" vertical="center"/>
    </xf>
    <xf numFmtId="43" fontId="20" fillId="2" borderId="2" xfId="1" applyFont="1" applyFill="1" applyBorder="1" applyAlignment="1">
      <alignment horizontal="center" vertical="center"/>
    </xf>
    <xf numFmtId="43" fontId="6" fillId="2" borderId="1" xfId="1" applyFont="1" applyFill="1" applyBorder="1" applyAlignment="1">
      <alignment horizontal="center" vertical="center" wrapText="1"/>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5" fillId="0" borderId="1" xfId="0" applyFont="1" applyBorder="1" applyAlignment="1">
      <alignment horizontal="center" vertical="center"/>
    </xf>
    <xf numFmtId="0" fontId="16" fillId="0" borderId="1" xfId="0" applyFont="1" applyBorder="1" applyAlignment="1">
      <alignment horizontal="center" vertical="center"/>
    </xf>
    <xf numFmtId="43" fontId="5" fillId="0" borderId="1" xfId="1" applyFont="1" applyBorder="1" applyAlignment="1">
      <alignment horizontal="center" vertical="center" wrapText="1"/>
    </xf>
    <xf numFmtId="43" fontId="5" fillId="0" borderId="1" xfId="1" applyFont="1" applyBorder="1" applyAlignment="1">
      <alignment horizontal="center" vertical="center"/>
    </xf>
    <xf numFmtId="0" fontId="5" fillId="0" borderId="1" xfId="0" applyFont="1" applyBorder="1" applyAlignment="1">
      <alignment horizontal="center" vertical="center" wrapText="1"/>
    </xf>
    <xf numFmtId="43" fontId="5" fillId="0" borderId="1" xfId="1" applyFont="1" applyFill="1" applyBorder="1" applyAlignment="1">
      <alignment horizontal="center" vertical="center" wrapText="1"/>
    </xf>
    <xf numFmtId="43" fontId="5" fillId="0" borderId="1" xfId="1" applyFont="1" applyFill="1" applyBorder="1" applyAlignment="1">
      <alignment horizontal="center" vertical="center"/>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43" fontId="5" fillId="0" borderId="10" xfId="1" applyFont="1" applyBorder="1" applyAlignment="1">
      <alignment horizontal="center" vertical="center"/>
    </xf>
    <xf numFmtId="0" fontId="37" fillId="0" borderId="0" xfId="0" applyFont="1" applyAlignment="1">
      <alignment vertical="center" wrapText="1"/>
    </xf>
    <xf numFmtId="0" fontId="8" fillId="0" borderId="0" xfId="0" applyFont="1" applyAlignment="1">
      <alignment horizontal="center"/>
    </xf>
    <xf numFmtId="49" fontId="8" fillId="0" borderId="0" xfId="0" applyNumberFormat="1" applyFont="1" applyAlignment="1">
      <alignment horizontal="center" vertical="center"/>
    </xf>
    <xf numFmtId="43" fontId="8" fillId="0" borderId="0" xfId="1" applyFont="1" applyFill="1" applyBorder="1" applyAlignment="1"/>
    <xf numFmtId="0" fontId="5" fillId="0" borderId="4" xfId="0" applyFont="1" applyBorder="1" applyAlignment="1">
      <alignment horizontal="center" vertical="center"/>
    </xf>
    <xf numFmtId="0" fontId="6" fillId="3" borderId="1" xfId="50" applyFont="1" applyFill="1" applyBorder="1" applyAlignment="1">
      <alignment horizontal="center" vertical="center" wrapText="1"/>
    </xf>
    <xf numFmtId="0" fontId="21" fillId="3" borderId="1" xfId="0" applyFont="1" applyFill="1" applyBorder="1" applyAlignment="1">
      <alignment horizontal="center" vertical="center" wrapText="1"/>
    </xf>
    <xf numFmtId="0" fontId="21" fillId="3" borderId="3"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21" fillId="3" borderId="1" xfId="1"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1" fillId="4" borderId="1" xfId="0" applyFont="1" applyFill="1" applyBorder="1" applyAlignment="1">
      <alignment horizontal="center" vertical="center"/>
    </xf>
    <xf numFmtId="43" fontId="4" fillId="4" borderId="1" xfId="1" applyFont="1" applyFill="1" applyBorder="1" applyAlignment="1" applyProtection="1">
      <alignment horizontal="center" vertical="center" wrapText="1"/>
    </xf>
    <xf numFmtId="0" fontId="1" fillId="4" borderId="3" xfId="0" applyFont="1" applyFill="1" applyBorder="1" applyAlignment="1">
      <alignment horizontal="center" vertical="center"/>
    </xf>
    <xf numFmtId="43" fontId="4" fillId="0" borderId="1" xfId="1" applyFont="1" applyFill="1" applyBorder="1" applyAlignment="1" applyProtection="1">
      <alignment horizontal="center" vertical="center" wrapText="1"/>
    </xf>
    <xf numFmtId="0" fontId="1" fillId="4" borderId="1" xfId="1" applyNumberFormat="1" applyFont="1" applyFill="1" applyBorder="1" applyAlignment="1">
      <alignment horizontal="center" vertical="center"/>
    </xf>
    <xf numFmtId="0" fontId="1" fillId="0" borderId="1" xfId="1" applyNumberFormat="1" applyFont="1" applyFill="1" applyBorder="1" applyAlignment="1">
      <alignment vertical="center"/>
    </xf>
    <xf numFmtId="0" fontId="5" fillId="4" borderId="0" xfId="0" applyFont="1" applyFill="1" applyAlignment="1"/>
    <xf numFmtId="0" fontId="5" fillId="0" borderId="0" xfId="0" applyFont="1" applyAlignment="1"/>
    <xf numFmtId="0" fontId="38" fillId="0" borderId="0" xfId="0" applyFont="1">
      <alignment vertical="center"/>
    </xf>
    <xf numFmtId="9" fontId="8" fillId="0" borderId="0" xfId="3" applyFont="1" applyAlignment="1"/>
    <xf numFmtId="0" fontId="8" fillId="0" borderId="0" xfId="0" applyFont="1" applyAlignment="1"/>
    <xf numFmtId="49" fontId="8" fillId="0" borderId="0" xfId="0" applyNumberFormat="1" applyFont="1" applyAlignment="1">
      <alignment horizontal="center"/>
    </xf>
    <xf numFmtId="43" fontId="8" fillId="0" borderId="0" xfId="1" applyFont="1" applyFill="1" applyAlignment="1"/>
    <xf numFmtId="0" fontId="39" fillId="0" borderId="0" xfId="0" applyFont="1" applyAlignment="1"/>
    <xf numFmtId="184" fontId="39" fillId="0" borderId="0" xfId="3" applyNumberFormat="1" applyFont="1" applyFill="1" applyAlignment="1"/>
    <xf numFmtId="0" fontId="12" fillId="0" borderId="0" xfId="0" applyFont="1" applyAlignment="1">
      <alignment horizontal="center" vertical="center" wrapText="1"/>
    </xf>
    <xf numFmtId="43" fontId="12" fillId="0" borderId="0" xfId="1" applyFont="1" applyFill="1" applyAlignment="1">
      <alignment horizontal="center" vertical="center" wrapText="1"/>
    </xf>
    <xf numFmtId="184" fontId="12" fillId="0" borderId="0" xfId="3" applyNumberFormat="1" applyFont="1" applyFill="1" applyAlignment="1">
      <alignment horizontal="center" vertical="center" wrapText="1"/>
    </xf>
    <xf numFmtId="184" fontId="13" fillId="0" borderId="0" xfId="3" applyNumberFormat="1" applyFont="1" applyFill="1" applyAlignment="1">
      <alignment horizontal="center"/>
    </xf>
    <xf numFmtId="0" fontId="40" fillId="0" borderId="0" xfId="0" applyFont="1" applyAlignment="1"/>
    <xf numFmtId="0" fontId="21" fillId="2" borderId="6" xfId="0" applyFont="1" applyFill="1" applyBorder="1" applyAlignment="1">
      <alignment horizontal="center" vertical="center" wrapText="1"/>
    </xf>
    <xf numFmtId="49" fontId="21" fillId="2" borderId="6" xfId="0" applyNumberFormat="1" applyFont="1" applyFill="1" applyBorder="1" applyAlignment="1">
      <alignment horizontal="center" vertical="center" wrapText="1"/>
    </xf>
    <xf numFmtId="0" fontId="6" fillId="2" borderId="3" xfId="0" applyFont="1" applyFill="1" applyBorder="1" applyAlignment="1">
      <alignment horizontal="center" vertical="center" wrapText="1"/>
    </xf>
    <xf numFmtId="184" fontId="6" fillId="2" borderId="5" xfId="3" applyNumberFormat="1" applyFont="1" applyFill="1" applyBorder="1" applyAlignment="1">
      <alignment horizontal="center" vertical="center" wrapText="1"/>
    </xf>
    <xf numFmtId="0" fontId="21" fillId="2" borderId="7" xfId="0" applyFont="1" applyFill="1" applyBorder="1" applyAlignment="1">
      <alignment horizontal="center" vertical="center" wrapText="1"/>
    </xf>
    <xf numFmtId="49" fontId="21" fillId="2" borderId="7" xfId="0" applyNumberFormat="1" applyFont="1" applyFill="1" applyBorder="1" applyAlignment="1">
      <alignment horizontal="center" vertical="center" wrapText="1"/>
    </xf>
    <xf numFmtId="0" fontId="21" fillId="2" borderId="1" xfId="0" applyFont="1" applyFill="1" applyBorder="1" applyAlignment="1">
      <alignment horizontal="center" vertical="center" wrapText="1"/>
    </xf>
    <xf numFmtId="184" fontId="21" fillId="2" borderId="1" xfId="3" applyNumberFormat="1" applyFont="1" applyFill="1" applyBorder="1" applyAlignment="1">
      <alignment horizontal="center" vertical="center" wrapText="1"/>
    </xf>
    <xf numFmtId="0" fontId="21" fillId="2" borderId="8" xfId="0" applyFont="1" applyFill="1" applyBorder="1" applyAlignment="1">
      <alignment horizontal="center" vertical="center" wrapText="1"/>
    </xf>
    <xf numFmtId="49" fontId="21" fillId="2" borderId="8" xfId="0" applyNumberFormat="1" applyFont="1" applyFill="1" applyBorder="1" applyAlignment="1">
      <alignment horizontal="center" vertical="center" wrapText="1"/>
    </xf>
    <xf numFmtId="0" fontId="6" fillId="0" borderId="1" xfId="0" applyFont="1" applyBorder="1" applyAlignment="1">
      <alignment horizontal="left" vertical="center" wrapText="1"/>
    </xf>
    <xf numFmtId="49" fontId="5" fillId="0" borderId="1" xfId="0" applyNumberFormat="1" applyFont="1" applyBorder="1" applyAlignment="1">
      <alignment horizontal="center" vertical="center" wrapText="1"/>
    </xf>
    <xf numFmtId="43" fontId="41" fillId="0" borderId="1" xfId="1" applyFont="1" applyFill="1" applyBorder="1" applyAlignment="1">
      <alignment vertical="center" wrapText="1"/>
    </xf>
    <xf numFmtId="9" fontId="41" fillId="0" borderId="10" xfId="0" applyNumberFormat="1" applyFont="1" applyBorder="1" applyAlignment="1">
      <alignment vertical="center" wrapText="1"/>
    </xf>
    <xf numFmtId="10" fontId="5" fillId="0" borderId="10" xfId="3" applyNumberFormat="1" applyFont="1" applyFill="1" applyBorder="1" applyAlignment="1">
      <alignment vertical="center" wrapText="1"/>
    </xf>
    <xf numFmtId="43" fontId="41" fillId="0" borderId="1" xfId="1" applyFont="1" applyFill="1" applyBorder="1" applyAlignment="1">
      <alignment horizontal="right" vertical="center" wrapText="1"/>
    </xf>
    <xf numFmtId="0" fontId="6" fillId="0" borderId="1" xfId="0" applyFont="1" applyBorder="1" applyAlignment="1">
      <alignment vertical="center" wrapText="1"/>
    </xf>
    <xf numFmtId="9" fontId="41" fillId="0" borderId="1" xfId="0" applyNumberFormat="1" applyFont="1" applyBorder="1" applyAlignment="1">
      <alignment vertical="center" wrapText="1"/>
    </xf>
    <xf numFmtId="10" fontId="5" fillId="0" borderId="1" xfId="3" applyNumberFormat="1" applyFont="1" applyFill="1" applyBorder="1" applyAlignment="1">
      <alignment vertical="center" wrapText="1"/>
    </xf>
    <xf numFmtId="0" fontId="5" fillId="0" borderId="1" xfId="0" applyFont="1" applyBorder="1" applyAlignment="1">
      <alignment vertical="center" wrapText="1"/>
    </xf>
    <xf numFmtId="43" fontId="41" fillId="0" borderId="10" xfId="1" applyFont="1" applyFill="1" applyBorder="1" applyAlignment="1">
      <alignment vertical="center" wrapText="1"/>
    </xf>
    <xf numFmtId="10" fontId="41" fillId="0" borderId="10" xfId="3" applyNumberFormat="1" applyFont="1" applyFill="1" applyBorder="1" applyAlignment="1">
      <alignment vertical="center" wrapText="1"/>
    </xf>
    <xf numFmtId="0" fontId="42" fillId="0" borderId="11" xfId="0" applyFont="1" applyBorder="1" applyAlignment="1">
      <alignment vertical="center" wrapText="1"/>
    </xf>
    <xf numFmtId="0" fontId="42" fillId="0" borderId="0" xfId="0" applyFont="1" applyAlignment="1">
      <alignment vertical="center" wrapText="1"/>
    </xf>
    <xf numFmtId="43" fontId="42" fillId="0" borderId="0" xfId="1" applyFont="1" applyFill="1" applyBorder="1" applyAlignment="1">
      <alignment vertical="center" wrapText="1"/>
    </xf>
    <xf numFmtId="184" fontId="42" fillId="0" borderId="0" xfId="3" applyNumberFormat="1" applyFont="1" applyFill="1" applyBorder="1" applyAlignment="1">
      <alignment vertical="center" wrapText="1"/>
    </xf>
    <xf numFmtId="9" fontId="37" fillId="0" borderId="0" xfId="3" applyFont="1" applyAlignment="1">
      <alignment horizontal="center" vertical="center"/>
    </xf>
    <xf numFmtId="49" fontId="8" fillId="0" borderId="0" xfId="3" applyNumberFormat="1" applyFont="1" applyAlignment="1">
      <alignment horizontal="center"/>
    </xf>
    <xf numFmtId="43" fontId="8" fillId="0" borderId="0" xfId="1" applyFont="1" applyAlignment="1"/>
    <xf numFmtId="9" fontId="39" fillId="0" borderId="0" xfId="3" applyFont="1" applyAlignment="1"/>
    <xf numFmtId="184" fontId="39" fillId="0" borderId="0" xfId="3" applyNumberFormat="1" applyFont="1" applyAlignment="1"/>
    <xf numFmtId="49" fontId="37" fillId="0" borderId="0" xfId="3" applyNumberFormat="1" applyFont="1" applyAlignment="1">
      <alignment horizontal="center" vertical="center"/>
    </xf>
    <xf numFmtId="43" fontId="29" fillId="0" borderId="0" xfId="1" applyFont="1" applyAlignment="1">
      <alignment horizontal="left" vertical="center"/>
    </xf>
    <xf numFmtId="49" fontId="5" fillId="0" borderId="0" xfId="0" applyNumberFormat="1" applyFont="1" applyAlignment="1"/>
    <xf numFmtId="0" fontId="16" fillId="0" borderId="0" xfId="0" applyFont="1" applyAlignment="1"/>
    <xf numFmtId="43" fontId="5" fillId="0" borderId="0" xfId="1" applyFont="1" applyFill="1" applyAlignment="1"/>
    <xf numFmtId="0" fontId="43" fillId="0" borderId="0" xfId="0" applyFont="1" applyAlignment="1">
      <alignment horizontal="center"/>
    </xf>
    <xf numFmtId="43" fontId="43" fillId="0" borderId="0" xfId="1" applyFont="1" applyFill="1" applyAlignment="1">
      <alignment horizontal="center"/>
    </xf>
    <xf numFmtId="0" fontId="31" fillId="0" borderId="4" xfId="0" applyFont="1" applyBorder="1" applyAlignment="1">
      <alignment horizontal="center" vertical="center"/>
    </xf>
    <xf numFmtId="43" fontId="31" fillId="0" borderId="4" xfId="1" applyFont="1" applyFill="1" applyBorder="1" applyAlignment="1">
      <alignment horizontal="center" vertical="center"/>
    </xf>
    <xf numFmtId="0" fontId="44" fillId="0" borderId="0" xfId="0" applyFont="1" applyAlignment="1"/>
    <xf numFmtId="182" fontId="45" fillId="2" borderId="6" xfId="0" applyNumberFormat="1" applyFont="1" applyFill="1" applyBorder="1" applyAlignment="1">
      <alignment horizontal="center" vertical="center" wrapText="1"/>
    </xf>
    <xf numFmtId="43" fontId="45" fillId="2" borderId="1" xfId="1" applyFont="1" applyFill="1" applyBorder="1" applyAlignment="1">
      <alignment horizontal="center" vertical="center" wrapText="1"/>
    </xf>
    <xf numFmtId="182" fontId="45" fillId="2" borderId="8" xfId="0" applyNumberFormat="1" applyFont="1" applyFill="1" applyBorder="1" applyAlignment="1">
      <alignment horizontal="center" vertical="center" wrapText="1"/>
    </xf>
    <xf numFmtId="0" fontId="44" fillId="13" borderId="1" xfId="51" applyFont="1" applyFill="1" applyBorder="1" applyAlignment="1">
      <alignment horizontal="left" vertical="center"/>
    </xf>
    <xf numFmtId="0" fontId="16" fillId="13" borderId="1" xfId="51" applyFont="1" applyFill="1" applyBorder="1" applyAlignment="1">
      <alignment horizontal="center" vertical="center"/>
    </xf>
    <xf numFmtId="43" fontId="16" fillId="13" borderId="1" xfId="1" applyFont="1" applyFill="1" applyBorder="1" applyAlignment="1">
      <alignment horizontal="center" vertical="center" wrapText="1"/>
    </xf>
    <xf numFmtId="43" fontId="44" fillId="13" borderId="1" xfId="1" applyFont="1" applyFill="1" applyBorder="1" applyAlignment="1">
      <alignment horizontal="center" vertical="center" wrapText="1"/>
    </xf>
    <xf numFmtId="0" fontId="5" fillId="13" borderId="1" xfId="0" applyFont="1" applyFill="1" applyBorder="1" applyAlignment="1">
      <alignment horizontal="left" vertical="center" wrapText="1"/>
    </xf>
    <xf numFmtId="43" fontId="16" fillId="0" borderId="1" xfId="1" applyFont="1" applyFill="1" applyBorder="1" applyAlignment="1">
      <alignment horizontal="center" vertical="center" wrapText="1"/>
    </xf>
    <xf numFmtId="182" fontId="44" fillId="13" borderId="1" xfId="0" applyNumberFormat="1" applyFont="1" applyFill="1" applyBorder="1" applyAlignment="1">
      <alignment horizontal="center" vertical="center" wrapText="1"/>
    </xf>
    <xf numFmtId="0" fontId="8" fillId="0" borderId="0" xfId="49" applyFont="1" applyAlignment="1"/>
    <xf numFmtId="43" fontId="8" fillId="0" borderId="0" xfId="1" applyFont="1" applyFill="1" applyBorder="1" applyAlignment="1" applyProtection="1"/>
    <xf numFmtId="43" fontId="9" fillId="0" borderId="0" xfId="1" applyFont="1" applyAlignment="1">
      <alignment horizontal="center" vertical="center"/>
    </xf>
    <xf numFmtId="0" fontId="6" fillId="0" borderId="6" xfId="49" applyFont="1" applyBorder="1" applyAlignment="1">
      <alignment horizontal="center" vertical="center" wrapText="1"/>
    </xf>
    <xf numFmtId="0" fontId="6" fillId="2" borderId="6" xfId="49" applyFont="1" applyFill="1" applyBorder="1" applyAlignment="1">
      <alignment horizontal="center" vertical="center"/>
    </xf>
    <xf numFmtId="0" fontId="6" fillId="2" borderId="1" xfId="49" applyFont="1" applyFill="1" applyBorder="1" applyAlignment="1">
      <alignment horizontal="center" vertical="center" wrapText="1"/>
    </xf>
    <xf numFmtId="0" fontId="6" fillId="0" borderId="7" xfId="49" applyFont="1" applyBorder="1" applyAlignment="1">
      <alignment horizontal="center" vertical="center" wrapText="1"/>
    </xf>
    <xf numFmtId="0" fontId="6" fillId="2" borderId="8" xfId="49" applyFont="1" applyFill="1" applyBorder="1" applyAlignment="1">
      <alignment horizontal="center" vertical="center"/>
    </xf>
    <xf numFmtId="49" fontId="6" fillId="2" borderId="1" xfId="49" applyNumberFormat="1" applyFont="1" applyFill="1" applyBorder="1" applyAlignment="1">
      <alignment horizontal="center" vertical="center" wrapText="1"/>
    </xf>
    <xf numFmtId="0" fontId="6" fillId="0" borderId="1" xfId="49" applyFont="1" applyBorder="1" applyAlignment="1">
      <alignment horizontal="left" vertical="center"/>
    </xf>
    <xf numFmtId="0" fontId="5" fillId="0" borderId="1" xfId="49" applyFont="1" applyBorder="1" applyAlignment="1">
      <alignment horizontal="center" vertical="center"/>
    </xf>
    <xf numFmtId="43" fontId="28" fillId="0" borderId="1" xfId="1" applyFont="1" applyFill="1" applyBorder="1" applyAlignment="1" applyProtection="1">
      <alignment horizontal="center" vertical="center" wrapText="1"/>
    </xf>
    <xf numFmtId="0" fontId="5" fillId="0" borderId="1" xfId="49" applyFont="1" applyBorder="1" applyAlignment="1">
      <alignment horizontal="center" wrapText="1"/>
    </xf>
    <xf numFmtId="0" fontId="6" fillId="0" borderId="1" xfId="49" applyFont="1" applyBorder="1" applyAlignment="1">
      <alignment vertical="center" wrapText="1"/>
    </xf>
    <xf numFmtId="0" fontId="5" fillId="0" borderId="1" xfId="49" applyFont="1" applyBorder="1">
      <alignment vertical="center"/>
    </xf>
    <xf numFmtId="0" fontId="6" fillId="0" borderId="8" xfId="49" applyFont="1" applyBorder="1" applyAlignment="1">
      <alignment horizontal="center" vertical="center" wrapText="1"/>
    </xf>
    <xf numFmtId="182" fontId="44" fillId="0" borderId="1" xfId="0" applyNumberFormat="1" applyFont="1" applyBorder="1" applyAlignment="1">
      <alignment horizontal="center" vertical="center" wrapText="1"/>
    </xf>
    <xf numFmtId="0" fontId="6" fillId="0" borderId="1" xfId="49" applyFont="1" applyBorder="1" applyAlignment="1">
      <alignment horizontal="center" vertical="center" wrapText="1"/>
    </xf>
    <xf numFmtId="0" fontId="6" fillId="2" borderId="6" xfId="49" applyFont="1" applyFill="1" applyBorder="1" applyAlignment="1">
      <alignment horizontal="center" vertical="center" wrapText="1"/>
    </xf>
    <xf numFmtId="43" fontId="6" fillId="2" borderId="3" xfId="1" applyFont="1" applyFill="1" applyBorder="1" applyAlignment="1" applyProtection="1">
      <alignment horizontal="center" vertical="center" wrapText="1"/>
    </xf>
    <xf numFmtId="43" fontId="6" fillId="2" borderId="2" xfId="1" applyFont="1" applyFill="1" applyBorder="1" applyAlignment="1" applyProtection="1">
      <alignment horizontal="center" vertical="center" wrapText="1"/>
    </xf>
    <xf numFmtId="0" fontId="6" fillId="2" borderId="8" xfId="49" applyFont="1" applyFill="1" applyBorder="1" applyAlignment="1">
      <alignment horizontal="center" vertical="center" wrapText="1"/>
    </xf>
    <xf numFmtId="43" fontId="16" fillId="0" borderId="1" xfId="1" applyFont="1" applyFill="1" applyBorder="1" applyAlignment="1" applyProtection="1">
      <alignment horizontal="center" vertical="center" wrapText="1"/>
    </xf>
    <xf numFmtId="185" fontId="44" fillId="0" borderId="1" xfId="3" applyNumberFormat="1" applyFont="1" applyFill="1" applyBorder="1" applyAlignment="1" applyProtection="1">
      <alignment horizontal="center" vertical="center" wrapText="1"/>
    </xf>
    <xf numFmtId="185" fontId="44" fillId="0" borderId="3" xfId="3" applyNumberFormat="1" applyFont="1" applyFill="1" applyBorder="1" applyAlignment="1" applyProtection="1">
      <alignment horizontal="center" vertical="center" wrapText="1"/>
    </xf>
    <xf numFmtId="185" fontId="44" fillId="0" borderId="2" xfId="3" applyNumberFormat="1" applyFont="1" applyFill="1" applyBorder="1" applyAlignment="1" applyProtection="1">
      <alignment horizontal="center" vertical="center" wrapText="1"/>
    </xf>
    <xf numFmtId="185" fontId="44" fillId="13" borderId="3" xfId="3" applyNumberFormat="1" applyFont="1" applyFill="1" applyBorder="1" applyAlignment="1">
      <alignment horizontal="center" vertical="center" wrapText="1"/>
    </xf>
    <xf numFmtId="185" fontId="44" fillId="13" borderId="2" xfId="3" applyNumberFormat="1" applyFont="1" applyFill="1" applyBorder="1" applyAlignment="1">
      <alignment horizontal="center" vertical="center" wrapText="1"/>
    </xf>
    <xf numFmtId="182" fontId="44" fillId="13" borderId="1" xfId="0" applyNumberFormat="1" applyFont="1" applyFill="1" applyBorder="1" applyAlignment="1">
      <alignment vertical="center" wrapText="1"/>
    </xf>
    <xf numFmtId="0" fontId="46" fillId="0" borderId="0" xfId="0" applyFont="1" applyAlignment="1"/>
    <xf numFmtId="0" fontId="47" fillId="0" borderId="0" xfId="0" applyFont="1">
      <alignment vertical="center"/>
    </xf>
    <xf numFmtId="0" fontId="8" fillId="0" borderId="0" xfId="0" applyFont="1" applyAlignment="1">
      <alignment horizontal="left"/>
    </xf>
    <xf numFmtId="0" fontId="48" fillId="0" borderId="0" xfId="0" applyFont="1" applyAlignment="1">
      <alignment horizontal="center"/>
    </xf>
    <xf numFmtId="0" fontId="49" fillId="0" borderId="0" xfId="0" applyFont="1" applyAlignment="1">
      <alignment horizontal="left" vertical="center"/>
    </xf>
    <xf numFmtId="0" fontId="49" fillId="0" borderId="0" xfId="0" applyFont="1">
      <alignment vertical="center"/>
    </xf>
    <xf numFmtId="43" fontId="49" fillId="0" borderId="0" xfId="1" applyFont="1" applyFill="1" applyAlignment="1">
      <alignment horizontal="center" vertical="center"/>
    </xf>
    <xf numFmtId="182" fontId="50" fillId="4" borderId="1" xfId="0" applyNumberFormat="1" applyFont="1" applyFill="1" applyBorder="1" applyAlignment="1">
      <alignment horizontal="left" vertical="center" wrapText="1"/>
    </xf>
    <xf numFmtId="43" fontId="49" fillId="4" borderId="1" xfId="1" applyFont="1" applyFill="1" applyBorder="1" applyAlignment="1">
      <alignment horizontal="center" vertical="center"/>
    </xf>
    <xf numFmtId="43" fontId="50" fillId="4" borderId="1" xfId="1" applyFont="1" applyFill="1" applyBorder="1" applyAlignment="1">
      <alignment horizontal="center" vertical="center" wrapText="1"/>
    </xf>
    <xf numFmtId="43" fontId="50" fillId="4" borderId="3" xfId="1" applyFont="1" applyFill="1" applyBorder="1" applyAlignment="1">
      <alignment horizontal="center" vertical="center" wrapText="1"/>
    </xf>
    <xf numFmtId="43" fontId="50" fillId="4" borderId="5" xfId="1" applyFont="1" applyFill="1" applyBorder="1" applyAlignment="1">
      <alignment horizontal="center" vertical="center" wrapText="1"/>
    </xf>
    <xf numFmtId="43" fontId="50" fillId="4" borderId="2" xfId="1" applyFont="1" applyFill="1" applyBorder="1" applyAlignment="1">
      <alignment horizontal="center" vertical="center" wrapText="1"/>
    </xf>
    <xf numFmtId="43" fontId="49" fillId="4" borderId="5" xfId="1" applyFont="1" applyFill="1" applyBorder="1" applyAlignment="1">
      <alignment horizontal="center" vertical="center"/>
    </xf>
    <xf numFmtId="43" fontId="49" fillId="4" borderId="1" xfId="1" applyFont="1" applyFill="1" applyBorder="1" applyAlignment="1">
      <alignment horizontal="center" vertical="center" wrapText="1"/>
    </xf>
    <xf numFmtId="43" fontId="49" fillId="4" borderId="3" xfId="1" applyFont="1" applyFill="1" applyBorder="1" applyAlignment="1">
      <alignment horizontal="center" vertical="center" wrapText="1"/>
    </xf>
    <xf numFmtId="43" fontId="49" fillId="4" borderId="2" xfId="1" applyFont="1" applyFill="1" applyBorder="1" applyAlignment="1">
      <alignment horizontal="center" vertical="center"/>
    </xf>
    <xf numFmtId="43" fontId="49" fillId="4" borderId="1" xfId="1" applyFont="1" applyFill="1" applyBorder="1" applyAlignment="1">
      <alignment horizontal="left" vertical="center" wrapText="1"/>
    </xf>
    <xf numFmtId="43" fontId="50" fillId="4" borderId="1" xfId="1" applyFont="1" applyFill="1" applyBorder="1" applyAlignment="1">
      <alignment horizontal="left" vertical="center" wrapText="1"/>
    </xf>
    <xf numFmtId="43" fontId="51" fillId="0" borderId="1" xfId="1" applyFont="1" applyBorder="1" applyAlignment="1">
      <alignment vertical="center" wrapText="1"/>
    </xf>
    <xf numFmtId="43" fontId="49" fillId="0" borderId="3" xfId="1" applyFont="1" applyFill="1" applyBorder="1" applyAlignment="1">
      <alignment horizontal="center" vertical="center" wrapText="1"/>
    </xf>
    <xf numFmtId="43" fontId="49" fillId="0" borderId="5" xfId="1" applyFont="1" applyFill="1" applyBorder="1" applyAlignment="1">
      <alignment horizontal="center" vertical="center"/>
    </xf>
    <xf numFmtId="43" fontId="49" fillId="0" borderId="2" xfId="1" applyFont="1" applyFill="1" applyBorder="1" applyAlignment="1">
      <alignment horizontal="center" vertical="center"/>
    </xf>
    <xf numFmtId="182" fontId="52" fillId="0" borderId="3" xfId="0" applyNumberFormat="1" applyFont="1" applyBorder="1" applyAlignment="1">
      <alignment horizontal="center" vertical="center" wrapText="1"/>
    </xf>
    <xf numFmtId="182" fontId="52" fillId="0" borderId="2" xfId="0" applyNumberFormat="1" applyFont="1" applyBorder="1" applyAlignment="1">
      <alignment horizontal="center" vertical="center" wrapText="1"/>
    </xf>
    <xf numFmtId="182" fontId="52" fillId="0" borderId="1" xfId="0" applyNumberFormat="1" applyFont="1" applyBorder="1" applyAlignment="1">
      <alignment horizontal="center" vertical="center" wrapText="1"/>
    </xf>
    <xf numFmtId="0" fontId="49" fillId="0" borderId="1" xfId="0" applyFont="1" applyBorder="1" applyAlignment="1">
      <alignment horizontal="left" vertical="center" wrapText="1"/>
    </xf>
    <xf numFmtId="0" fontId="49" fillId="0" borderId="1" xfId="0" applyFont="1" applyBorder="1" applyAlignment="1">
      <alignment horizontal="center" vertical="center" wrapText="1"/>
    </xf>
    <xf numFmtId="43" fontId="49" fillId="0" borderId="1" xfId="0" applyNumberFormat="1" applyFont="1" applyBorder="1" applyAlignment="1">
      <alignment horizontal="center" vertical="center" wrapText="1"/>
    </xf>
    <xf numFmtId="49" fontId="49" fillId="0" borderId="1" xfId="0" applyNumberFormat="1" applyFont="1" applyBorder="1" applyAlignment="1">
      <alignment horizontal="center" vertical="center" wrapText="1"/>
    </xf>
    <xf numFmtId="184" fontId="49" fillId="0" borderId="1" xfId="3" applyNumberFormat="1" applyFont="1" applyFill="1" applyBorder="1" applyAlignment="1">
      <alignment horizontal="center" vertical="center" wrapText="1"/>
    </xf>
    <xf numFmtId="182" fontId="50" fillId="0" borderId="1" xfId="0" applyNumberFormat="1" applyFont="1" applyBorder="1" applyAlignment="1">
      <alignment horizontal="center" vertical="center" wrapText="1"/>
    </xf>
    <xf numFmtId="0" fontId="53" fillId="0" borderId="0" xfId="0" applyFont="1">
      <alignment vertical="center"/>
    </xf>
    <xf numFmtId="0" fontId="54" fillId="0" borderId="1" xfId="0" applyFont="1" applyBorder="1" applyAlignment="1">
      <alignment horizontal="center" vertical="center"/>
    </xf>
    <xf numFmtId="0" fontId="54" fillId="0" borderId="1" xfId="0" applyFont="1" applyBorder="1">
      <alignment vertical="center"/>
    </xf>
    <xf numFmtId="0" fontId="55" fillId="0" borderId="1" xfId="0" applyFont="1" applyBorder="1" applyAlignment="1">
      <alignment horizontal="center" vertical="center"/>
    </xf>
    <xf numFmtId="0" fontId="56" fillId="0" borderId="1" xfId="0" applyFont="1" applyBorder="1" applyAlignment="1">
      <alignment horizontal="left" vertical="center"/>
    </xf>
    <xf numFmtId="49" fontId="56" fillId="0" borderId="1" xfId="0" applyNumberFormat="1" applyFont="1" applyBorder="1" applyAlignment="1">
      <alignment horizontal="center" vertical="center"/>
    </xf>
    <xf numFmtId="0" fontId="56" fillId="0" borderId="1" xfId="0" applyFont="1" applyBorder="1">
      <alignment vertical="center"/>
    </xf>
    <xf numFmtId="0" fontId="56" fillId="0" borderId="1" xfId="0" applyFont="1" applyBorder="1" applyAlignment="1">
      <alignment horizontal="center" vertical="center"/>
    </xf>
    <xf numFmtId="14" fontId="56" fillId="0" borderId="1" xfId="0" applyNumberFormat="1" applyFont="1" applyBorder="1" applyAlignment="1">
      <alignment horizontal="center" vertical="center"/>
    </xf>
    <xf numFmtId="43" fontId="49" fillId="0" borderId="1" xfId="1" applyFont="1" applyFill="1" applyBorder="1" applyAlignment="1">
      <alignment horizontal="right" vertical="center"/>
    </xf>
    <xf numFmtId="0" fontId="56" fillId="0" borderId="1" xfId="0" applyFont="1" applyBorder="1" applyAlignment="1">
      <alignment horizontal="center" vertical="center" wrapText="1"/>
    </xf>
    <xf numFmtId="4" fontId="0" fillId="0" borderId="1" xfId="0" applyNumberFormat="1" applyFont="1" applyBorder="1" applyAlignment="1">
      <alignment horizontal="center" vertical="center" wrapText="1"/>
    </xf>
    <xf numFmtId="49" fontId="0" fillId="0" borderId="1" xfId="0" applyNumberFormat="1" applyFont="1" applyBorder="1" applyAlignment="1">
      <alignment horizontal="center" vertical="center" wrapText="1"/>
    </xf>
    <xf numFmtId="0" fontId="0" fillId="0" borderId="3" xfId="0" applyFont="1" applyBorder="1" applyAlignment="1">
      <alignment horizontal="center" vertical="center" wrapText="1"/>
    </xf>
    <xf numFmtId="0" fontId="0" fillId="0" borderId="5" xfId="0" applyFont="1" applyBorder="1" applyAlignment="1">
      <alignment horizontal="center" vertical="center" wrapText="1"/>
    </xf>
    <xf numFmtId="0" fontId="0" fillId="0" borderId="2" xfId="0" applyFont="1" applyBorder="1" applyAlignment="1">
      <alignment horizontal="center" vertical="center" wrapText="1"/>
    </xf>
    <xf numFmtId="0" fontId="57" fillId="0" borderId="3" xfId="0" applyFont="1" applyBorder="1" applyAlignment="1">
      <alignment horizontal="center" vertical="center" wrapText="1"/>
    </xf>
    <xf numFmtId="0" fontId="57" fillId="0" borderId="5" xfId="0" applyFont="1" applyBorder="1" applyAlignment="1">
      <alignment horizontal="center" vertical="center" wrapText="1"/>
    </xf>
    <xf numFmtId="0" fontId="57" fillId="0" borderId="2" xfId="0" applyFont="1" applyBorder="1" applyAlignment="1">
      <alignment horizontal="center" vertical="center" wrapText="1"/>
    </xf>
    <xf numFmtId="14" fontId="0" fillId="0" borderId="1" xfId="0" applyNumberFormat="1" applyFont="1" applyBorder="1" applyAlignment="1">
      <alignment horizontal="center" vertical="center" wrapText="1"/>
    </xf>
    <xf numFmtId="10" fontId="0" fillId="0" borderId="1" xfId="0" applyNumberFormat="1" applyFont="1" applyBorder="1" applyAlignment="1">
      <alignment vertical="center" wrapText="1"/>
    </xf>
    <xf numFmtId="14" fontId="0" fillId="0" borderId="3" xfId="0" applyNumberFormat="1" applyFont="1" applyBorder="1" applyAlignment="1">
      <alignment horizontal="center" vertical="center" wrapText="1"/>
    </xf>
    <xf numFmtId="14" fontId="0" fillId="0" borderId="5" xfId="0" applyNumberFormat="1" applyFont="1" applyBorder="1" applyAlignment="1">
      <alignment horizontal="center" vertical="center" wrapText="1"/>
    </xf>
    <xf numFmtId="14" fontId="0" fillId="0" borderId="2" xfId="0" applyNumberFormat="1" applyFont="1" applyBorder="1" applyAlignment="1">
      <alignment horizontal="center" vertical="center" wrapText="1"/>
    </xf>
    <xf numFmtId="14" fontId="0" fillId="0" borderId="1" xfId="0" applyNumberFormat="1" applyFont="1" applyBorder="1" applyAlignment="1">
      <alignment vertical="center" wrapText="1"/>
    </xf>
    <xf numFmtId="43" fontId="6" fillId="2" borderId="1" xfId="1" applyFont="1" applyFill="1" applyBorder="1" applyAlignment="1" applyProtection="1" quotePrefix="1">
      <alignment horizontal="center" vertical="center" wrapText="1"/>
    </xf>
    <xf numFmtId="49" fontId="6" fillId="2" borderId="1" xfId="49" applyNumberFormat="1" applyFont="1" applyFill="1" applyBorder="1" applyAlignment="1" quotePrefix="1">
      <alignment horizontal="center" vertical="center" wrapText="1"/>
    </xf>
    <xf numFmtId="43" fontId="6" fillId="2" borderId="3" xfId="1" applyFont="1" applyFill="1" applyBorder="1" applyAlignment="1" applyProtection="1" quotePrefix="1">
      <alignment horizontal="center" vertical="center" wrapText="1"/>
    </xf>
    <xf numFmtId="43" fontId="45" fillId="2" borderId="1" xfId="1" applyFont="1" applyFill="1" applyBorder="1" applyAlignment="1" quotePrefix="1">
      <alignment horizontal="center" vertical="center" wrapText="1"/>
    </xf>
    <xf numFmtId="43" fontId="21" fillId="2" borderId="1" xfId="1" applyFont="1" applyFill="1" applyBorder="1" applyAlignment="1" quotePrefix="1">
      <alignment horizontal="center" vertical="center" wrapText="1"/>
    </xf>
    <xf numFmtId="49" fontId="21" fillId="2" borderId="1" xfId="0" applyNumberFormat="1" applyFont="1" applyFill="1" applyBorder="1" applyAlignment="1" quotePrefix="1">
      <alignment horizontal="center" vertical="center" wrapText="1"/>
    </xf>
    <xf numFmtId="184" fontId="21" fillId="2" borderId="1" xfId="3" applyNumberFormat="1" applyFont="1" applyFill="1" applyBorder="1" applyAlignment="1" quotePrefix="1">
      <alignment horizontal="center" vertical="center" wrapText="1"/>
    </xf>
    <xf numFmtId="0" fontId="21" fillId="3" borderId="1" xfId="1" applyNumberFormat="1" applyFont="1" applyFill="1" applyBorder="1" applyAlignment="1" quotePrefix="1">
      <alignment horizontal="center" vertical="center" wrapText="1"/>
    </xf>
    <xf numFmtId="43" fontId="6" fillId="2" borderId="1" xfId="1" applyFont="1" applyFill="1" applyBorder="1" applyAlignment="1" quotePrefix="1">
      <alignment horizontal="center" vertical="center" wrapText="1"/>
    </xf>
    <xf numFmtId="43" fontId="20" fillId="2" borderId="1" xfId="1" applyFont="1" applyFill="1" applyBorder="1" applyAlignment="1" quotePrefix="1">
      <alignment horizontal="center" vertical="center" wrapText="1"/>
    </xf>
    <xf numFmtId="183" fontId="21" fillId="2" borderId="1" xfId="0" applyNumberFormat="1" applyFont="1" applyFill="1" applyBorder="1" applyAlignment="1" quotePrefix="1">
      <alignment horizontal="center" vertical="center" wrapText="1"/>
    </xf>
    <xf numFmtId="49" fontId="21" fillId="2" borderId="1" xfId="0" applyNumberFormat="1" applyFont="1" applyFill="1" applyBorder="1" applyAlignment="1" quotePrefix="1">
      <alignment horizontal="left" vertical="center" wrapText="1"/>
    </xf>
    <xf numFmtId="43" fontId="21" fillId="2" borderId="1" xfId="1" applyNumberFormat="1" applyFont="1" applyFill="1" applyBorder="1" applyAlignment="1" quotePrefix="1">
      <alignment horizontal="center" vertical="center" wrapText="1"/>
    </xf>
    <xf numFmtId="0" fontId="33" fillId="0" borderId="1" xfId="0" applyFont="1" applyFill="1" applyBorder="1" applyAlignment="1" quotePrefix="1">
      <alignment wrapText="1"/>
    </xf>
    <xf numFmtId="0" fontId="17" fillId="0" borderId="1" xfId="0" applyFont="1" applyFill="1" applyBorder="1" applyAlignment="1" quotePrefix="1">
      <alignment horizontal="left" vertical="center"/>
    </xf>
    <xf numFmtId="3" fontId="33" fillId="0" borderId="1" xfId="0" applyNumberFormat="1" applyFont="1" applyFill="1" applyBorder="1" applyAlignment="1" quotePrefix="1">
      <alignment horizontal="left" wrapText="1"/>
    </xf>
    <xf numFmtId="49" fontId="6" fillId="2" borderId="1" xfId="50" applyNumberFormat="1" applyFont="1" applyFill="1" applyBorder="1" applyAlignment="1" quotePrefix="1">
      <alignment horizontal="center" vertical="center" wrapText="1"/>
    </xf>
    <xf numFmtId="49" fontId="6" fillId="2" borderId="1" xfId="50" applyNumberFormat="1" applyFont="1" applyFill="1" applyBorder="1" applyAlignment="1" quotePrefix="1">
      <alignment vertical="center" wrapText="1"/>
    </xf>
    <xf numFmtId="43" fontId="6" fillId="2" borderId="1" xfId="1" applyFont="1" applyFill="1" applyBorder="1" applyAlignment="1" applyProtection="1" quotePrefix="1">
      <alignment horizontal="right" vertical="center" wrapText="1"/>
    </xf>
    <xf numFmtId="10" fontId="6" fillId="2" borderId="1" xfId="3" applyNumberFormat="1" applyFont="1" applyFill="1" applyBorder="1" applyAlignment="1" applyProtection="1" quotePrefix="1">
      <alignment horizontal="center" vertical="center" wrapText="1"/>
    </xf>
    <xf numFmtId="0" fontId="18" fillId="0" borderId="1" xfId="50" applyNumberFormat="1" applyFont="1" applyFill="1" applyBorder="1" applyAlignment="1" quotePrefix="1">
      <alignment horizontal="left" vertical="center" wrapText="1"/>
    </xf>
    <xf numFmtId="0" fontId="18" fillId="7" borderId="1" xfId="50" applyNumberFormat="1" applyFont="1" applyFill="1" applyBorder="1" applyAlignment="1" quotePrefix="1">
      <alignment horizontal="left" vertical="center" wrapText="1"/>
    </xf>
    <xf numFmtId="0" fontId="18" fillId="8" borderId="1" xfId="50" applyNumberFormat="1" applyFont="1" applyFill="1" applyBorder="1" applyAlignment="1" quotePrefix="1">
      <alignment horizontal="left" vertical="center" wrapText="1"/>
    </xf>
    <xf numFmtId="49" fontId="14" fillId="3" borderId="1" xfId="0" applyNumberFormat="1" applyFont="1" applyFill="1" applyBorder="1" applyAlignment="1" quotePrefix="1">
      <alignment horizontal="center" vertical="center" wrapText="1"/>
    </xf>
    <xf numFmtId="0" fontId="3" fillId="2" borderId="1" xfId="49" applyFont="1" applyFill="1" applyBorder="1" applyAlignment="1" quotePrefix="1">
      <alignment horizontal="center" vertical="center" wrapText="1"/>
    </xf>
    <xf numFmtId="49" fontId="3" fillId="5" borderId="1" xfId="49" applyNumberFormat="1" applyFont="1" applyFill="1" applyBorder="1" applyAlignment="1" quotePrefix="1">
      <alignment horizontal="center" vertical="center" wrapText="1"/>
    </xf>
    <xf numFmtId="0" fontId="3" fillId="5" borderId="1" xfId="49" applyFont="1" applyFill="1" applyBorder="1" applyAlignment="1" quotePrefix="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_广东省土地增值税清算申报表及附表" xfId="50"/>
    <cellStyle name="常规_南甸苑销售台账" xfId="51"/>
    <cellStyle name="常规_Sheet2" xfId="52"/>
    <cellStyle name="常规_房源表" xfId="53"/>
    <cellStyle name="3232" xfId="54"/>
  </cellStyles>
  <dxfs count="2">
    <dxf>
      <fill>
        <patternFill patternType="solid">
          <bgColor rgb="FFFF9900"/>
        </patternFill>
      </fill>
    </dxf>
    <dxf>
      <fill>
        <patternFill patternType="solid">
          <bgColor theme="0" tint="-0.14996795556505"/>
        </patternFill>
      </fill>
    </dxf>
  </dxfs>
  <tableStyles count="0" defaultTableStyle="TableStyleMedium2" defaultPivotStyle="PivotStyleLight16"/>
  <colors>
    <mruColors>
      <color rgb="00232323"/>
      <color rgb="005B9BD5"/>
      <color rgb="00FFFFFF"/>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externalLink" Target="externalLinks/externalLink1.xml"/><Relationship Id="rId13" Type="http://schemas.openxmlformats.org/officeDocument/2006/relationships/customXml" Target="../customXml/item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xwechat_files\wxid_7zx8kkl9r87c22_3845\msg\file\2025-12\&#22303;&#22320;&#22686;&#20540;&#31246;&#27169;&#26495;-&#26149;&#21644;2025.8.20&#65288;&#19978;&#20256;&#29256;&#65289;&#31246;&#21153;&#23616;&#26680;&#23545;&#29256;%20-%20&#21103;&#2641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清算项目基本情况表"/>
      <sheetName val="土地增值税税源明细表"/>
      <sheetName val="附表1-面积统计表"/>
      <sheetName val="附表2-收入统计表"/>
      <sheetName val="附表3-扣除项目分摊表"/>
      <sheetName val="附表4-项目间分摊信息采集表"/>
      <sheetName val="附表5-扣除项目统计表"/>
      <sheetName val="附表6-收入明细采集底稿"/>
      <sheetName val="附表7-扣除项目明细采集底稿"/>
      <sheetName val="附表8-合同明细采集底稿"/>
      <sheetName val="工程造价采集表"/>
      <sheetName val="数据对照表"/>
    </sheetNames>
    <sheetDataSet>
      <sheetData sheetId="0"/>
      <sheetData sheetId="1"/>
      <sheetData sheetId="2">
        <row r="6">
          <cell r="D6">
            <v>0</v>
          </cell>
        </row>
        <row r="7">
          <cell r="D7">
            <v>1948.74</v>
          </cell>
        </row>
        <row r="7">
          <cell r="F7">
            <v>1948.74</v>
          </cell>
        </row>
        <row r="29">
          <cell r="D29">
            <v>14176.14</v>
          </cell>
        </row>
        <row r="29">
          <cell r="F29">
            <v>14176.14</v>
          </cell>
        </row>
      </sheetData>
      <sheetData sheetId="3"/>
      <sheetData sheetId="4"/>
      <sheetData sheetId="5"/>
      <sheetData sheetId="6"/>
      <sheetData sheetId="7"/>
      <sheetData sheetId="8"/>
      <sheetData sheetId="9">
        <row r="3">
          <cell r="B3" t="str">
            <v>*合同编号</v>
          </cell>
          <cell r="C3" t="str">
            <v>*合同名称</v>
          </cell>
          <cell r="D3" t="str">
            <v>合同类别</v>
          </cell>
          <cell r="E3" t="str">
            <v>*收款单位</v>
          </cell>
          <cell r="F3" t="str">
            <v>合同签订日期</v>
          </cell>
          <cell r="G3" t="str">
            <v>合同金额</v>
          </cell>
          <cell r="H3" t="str">
            <v>结算金额</v>
          </cell>
          <cell r="I3" t="str">
            <v>*关联关系（是否）</v>
          </cell>
          <cell r="J3" t="str">
            <v>*甲方供材
（是否）</v>
          </cell>
          <cell r="K3" t="str">
            <v>*不同项目分摊
（是否）</v>
          </cell>
          <cell r="L3" t="str">
            <v>项目间共同成本费用分摊信息</v>
          </cell>
        </row>
        <row r="4">
          <cell r="L4" t="str">
            <v>分期合同分摊方法</v>
          </cell>
          <cell r="M4" t="str">
            <v>分摊至本期项目扣除比例</v>
          </cell>
        </row>
        <row r="5">
          <cell r="B5" t="str">
            <v>1</v>
          </cell>
          <cell r="C5" t="str">
            <v>2</v>
          </cell>
          <cell r="D5" t="str">
            <v>3</v>
          </cell>
          <cell r="E5" t="str">
            <v>4</v>
          </cell>
          <cell r="F5" t="str">
            <v>5</v>
          </cell>
          <cell r="G5" t="str">
            <v>6</v>
          </cell>
          <cell r="H5" t="str">
            <v>7</v>
          </cell>
          <cell r="I5" t="str">
            <v>8</v>
          </cell>
          <cell r="J5" t="str">
            <v>9</v>
          </cell>
          <cell r="K5" t="str">
            <v>10</v>
          </cell>
          <cell r="L5" t="str">
            <v>11</v>
          </cell>
          <cell r="M5" t="str">
            <v>12</v>
          </cell>
        </row>
        <row r="6">
          <cell r="B6" t="str">
            <v>春和景苑1#</v>
          </cell>
          <cell r="C6" t="str">
            <v>建设工程设计合同（民用建设工程设计合同）</v>
          </cell>
          <cell r="D6" t="str">
            <v>技术合同</v>
          </cell>
          <cell r="E6" t="str">
            <v>库尔勒开拓规划设计研究院</v>
          </cell>
          <cell r="F6">
            <v>43327</v>
          </cell>
          <cell r="G6">
            <v>126360</v>
          </cell>
          <cell r="H6">
            <v>119207.55</v>
          </cell>
          <cell r="I6" t="str">
            <v>否</v>
          </cell>
          <cell r="J6" t="str">
            <v>否</v>
          </cell>
          <cell r="K6" t="str">
            <v>否</v>
          </cell>
        </row>
        <row r="6">
          <cell r="M6">
            <v>1</v>
          </cell>
        </row>
        <row r="7">
          <cell r="B7" t="str">
            <v>春和景苑2#</v>
          </cell>
          <cell r="C7" t="str">
            <v>建设工程勘察合同（春和1#-3#）</v>
          </cell>
          <cell r="D7" t="str">
            <v>技术合同</v>
          </cell>
          <cell r="E7" t="str">
            <v>巴州基安岩土工程勘察设计有限责任公司</v>
          </cell>
          <cell r="F7">
            <v>43343</v>
          </cell>
          <cell r="G7">
            <v>20000</v>
          </cell>
          <cell r="H7">
            <v>18867.9245283019</v>
          </cell>
          <cell r="I7" t="str">
            <v>否</v>
          </cell>
          <cell r="J7" t="str">
            <v>否</v>
          </cell>
          <cell r="K7" t="str">
            <v>是</v>
          </cell>
          <cell r="L7" t="str">
            <v>其他分摊方法</v>
          </cell>
          <cell r="M7">
            <v>0.725945981401044</v>
          </cell>
        </row>
        <row r="8">
          <cell r="B8" t="str">
            <v>春和景苑3#</v>
          </cell>
          <cell r="C8" t="str">
            <v>建设工程造价咨询合同</v>
          </cell>
          <cell r="D8" t="str">
            <v>技术合同</v>
          </cell>
          <cell r="E8" t="str">
            <v>新疆华域建设工程项目管理咨询有限公司</v>
          </cell>
          <cell r="F8">
            <v>43429</v>
          </cell>
          <cell r="G8">
            <v>12000</v>
          </cell>
          <cell r="H8">
            <v>11650.4854368932</v>
          </cell>
          <cell r="I8" t="str">
            <v>否</v>
          </cell>
          <cell r="J8" t="str">
            <v>否</v>
          </cell>
          <cell r="K8" t="str">
            <v>否</v>
          </cell>
        </row>
        <row r="8">
          <cell r="M8">
            <v>1</v>
          </cell>
        </row>
        <row r="9">
          <cell r="B9" t="str">
            <v>春和景苑4#</v>
          </cell>
          <cell r="C9" t="str">
            <v>监理合同补充协议</v>
          </cell>
          <cell r="D9" t="str">
            <v>技术合同</v>
          </cell>
          <cell r="E9" t="str">
            <v>巴州智诚工程项目管理服务有限公司</v>
          </cell>
          <cell r="F9">
            <v>43656</v>
          </cell>
          <cell r="G9">
            <v>113414.32</v>
          </cell>
          <cell r="H9">
            <v>111913.995578199</v>
          </cell>
          <cell r="I9" t="str">
            <v>否</v>
          </cell>
          <cell r="J9" t="str">
            <v>否</v>
          </cell>
          <cell r="K9" t="str">
            <v>否</v>
          </cell>
        </row>
        <row r="9">
          <cell r="M9">
            <v>1</v>
          </cell>
        </row>
        <row r="10">
          <cell r="B10" t="str">
            <v>春和景苑5#</v>
          </cell>
          <cell r="C10" t="str">
            <v>春和景苑1、2、3#住宅楼施工协议</v>
          </cell>
          <cell r="D10" t="str">
            <v>建设工程合同</v>
          </cell>
          <cell r="E10" t="str">
            <v>新疆正杰建筑集团有限公司（许兴德）</v>
          </cell>
          <cell r="F10">
            <v>43672</v>
          </cell>
          <cell r="G10">
            <v>18948270.6</v>
          </cell>
          <cell r="H10">
            <v>17383734.4954128</v>
          </cell>
          <cell r="I10" t="str">
            <v>否</v>
          </cell>
          <cell r="J10" t="str">
            <v>否</v>
          </cell>
          <cell r="K10" t="str">
            <v>否</v>
          </cell>
        </row>
        <row r="10">
          <cell r="M10">
            <v>1</v>
          </cell>
        </row>
        <row r="11">
          <cell r="B11" t="str">
            <v>春和景苑6#</v>
          </cell>
          <cell r="C11" t="str">
            <v>测绘合同书（春和1#2#3#）</v>
          </cell>
          <cell r="D11" t="str">
            <v>建设工程合同</v>
          </cell>
          <cell r="E11" t="str">
            <v>库尔勒天平房地产价格评估事务所（有限责任公司）</v>
          </cell>
          <cell r="F11">
            <v>43775</v>
          </cell>
          <cell r="G11">
            <v>8506</v>
          </cell>
          <cell r="H11">
            <v>8258.25242718446</v>
          </cell>
          <cell r="I11" t="str">
            <v>否</v>
          </cell>
          <cell r="J11" t="str">
            <v>否</v>
          </cell>
          <cell r="K11" t="str">
            <v>否</v>
          </cell>
        </row>
        <row r="11">
          <cell r="M11">
            <v>1</v>
          </cell>
        </row>
        <row r="12">
          <cell r="B12" t="str">
            <v>春和景苑7#</v>
          </cell>
          <cell r="C12" t="str">
            <v>春和电梯销售安装合同</v>
          </cell>
          <cell r="D12" t="str">
            <v>建设工程合同</v>
          </cell>
          <cell r="E12" t="str">
            <v>新疆华汇建安机械设备有限公司（许林）</v>
          </cell>
          <cell r="F12">
            <v>43920</v>
          </cell>
          <cell r="G12">
            <v>1636920</v>
          </cell>
          <cell r="H12">
            <v>1525061.95</v>
          </cell>
          <cell r="I12" t="str">
            <v>否</v>
          </cell>
          <cell r="J12" t="str">
            <v>否</v>
          </cell>
          <cell r="K12" t="str">
            <v>否</v>
          </cell>
        </row>
        <row r="12">
          <cell r="M12">
            <v>1</v>
          </cell>
        </row>
        <row r="13">
          <cell r="B13" t="str">
            <v>春和景苑8#</v>
          </cell>
          <cell r="C13" t="str">
            <v>春和天然气安装工程委托建设管理协议书</v>
          </cell>
          <cell r="D13" t="str">
            <v>建设工程合同</v>
          </cell>
          <cell r="E13" t="str">
            <v>新疆南天城建（集团）股份有限公司</v>
          </cell>
          <cell r="F13">
            <v>43952</v>
          </cell>
          <cell r="G13">
            <v>345892.33</v>
          </cell>
          <cell r="H13">
            <v>317332.412844037</v>
          </cell>
          <cell r="I13" t="str">
            <v>否</v>
          </cell>
          <cell r="J13" t="str">
            <v>否</v>
          </cell>
          <cell r="K13" t="str">
            <v>否</v>
          </cell>
        </row>
        <row r="13">
          <cell r="M13">
            <v>1</v>
          </cell>
        </row>
        <row r="14">
          <cell r="B14" t="str">
            <v>春和景苑9#</v>
          </cell>
          <cell r="C14" t="str">
            <v>春和景苑便民超市及警卫室设计费</v>
          </cell>
          <cell r="D14" t="str">
            <v>技术合同</v>
          </cell>
          <cell r="E14" t="str">
            <v>新疆益诚开拓空间规划建筑设计研究院有限公司</v>
          </cell>
          <cell r="F14">
            <v>44075</v>
          </cell>
          <cell r="G14">
            <v>5000</v>
          </cell>
          <cell r="H14">
            <v>4716.98113207547</v>
          </cell>
          <cell r="I14" t="str">
            <v>否</v>
          </cell>
          <cell r="J14" t="str">
            <v>否</v>
          </cell>
          <cell r="K14" t="str">
            <v>是</v>
          </cell>
          <cell r="L14" t="str">
            <v>其他分摊方法</v>
          </cell>
          <cell r="M14">
            <v>0.725945981401044</v>
          </cell>
        </row>
        <row r="15">
          <cell r="B15" t="str">
            <v>春和景苑10#</v>
          </cell>
          <cell r="C15" t="str">
            <v>电气外网供货安装合同春和</v>
          </cell>
          <cell r="D15" t="str">
            <v>建设工程合同</v>
          </cell>
          <cell r="E15" t="str">
            <v>巴州鑫磊机电设备开关有限责任公司</v>
          </cell>
          <cell r="F15">
            <v>44271</v>
          </cell>
          <cell r="G15">
            <v>169205</v>
          </cell>
          <cell r="H15">
            <v>149738.938053097</v>
          </cell>
          <cell r="I15" t="str">
            <v>否</v>
          </cell>
          <cell r="J15" t="str">
            <v>否</v>
          </cell>
          <cell r="K15" t="str">
            <v>是</v>
          </cell>
          <cell r="L15" t="str">
            <v>其他分摊方法</v>
          </cell>
          <cell r="M15">
            <v>0.725945981401044</v>
          </cell>
        </row>
        <row r="16">
          <cell r="B16" t="str">
            <v>春和11#</v>
          </cell>
          <cell r="C16" t="str">
            <v>电缆采购合同</v>
          </cell>
          <cell r="D16" t="str">
            <v>买卖合同</v>
          </cell>
          <cell r="E16" t="str">
            <v>泰丰线缆有限公司</v>
          </cell>
          <cell r="F16">
            <v>44273</v>
          </cell>
          <cell r="G16">
            <v>218980</v>
          </cell>
          <cell r="H16">
            <v>193787.610619469</v>
          </cell>
          <cell r="I16" t="str">
            <v>否</v>
          </cell>
          <cell r="J16" t="str">
            <v>否</v>
          </cell>
          <cell r="K16" t="str">
            <v>否</v>
          </cell>
        </row>
        <row r="16">
          <cell r="M16">
            <v>1</v>
          </cell>
        </row>
        <row r="17">
          <cell r="B17" t="str">
            <v>春和12#</v>
          </cell>
          <cell r="C17" t="str">
            <v>春和1#2#3#楼给排水</v>
          </cell>
          <cell r="D17" t="str">
            <v>建设工程合同</v>
          </cell>
          <cell r="E17" t="str">
            <v>江苏中义消防工程有限公司巴州分公司（巩红卫）</v>
          </cell>
          <cell r="F17">
            <v>44271</v>
          </cell>
          <cell r="G17">
            <v>1090000</v>
          </cell>
          <cell r="H17">
            <v>550458.72</v>
          </cell>
          <cell r="I17" t="str">
            <v>否</v>
          </cell>
          <cell r="J17" t="str">
            <v>否</v>
          </cell>
          <cell r="K17" t="str">
            <v>否</v>
          </cell>
        </row>
        <row r="17">
          <cell r="M17">
            <v>1</v>
          </cell>
        </row>
        <row r="18">
          <cell r="B18" t="str">
            <v>春和13#</v>
          </cell>
          <cell r="C18" t="str">
            <v>供水管道安装</v>
          </cell>
          <cell r="D18" t="str">
            <v>建设工程合同</v>
          </cell>
          <cell r="E18" t="str">
            <v>新疆昌源水务集团库尔勒银泉供水有限公司工程分公司</v>
          </cell>
          <cell r="F18">
            <v>44287</v>
          </cell>
          <cell r="G18">
            <v>71997.02</v>
          </cell>
          <cell r="H18">
            <v>66052.3119266055</v>
          </cell>
          <cell r="I18" t="str">
            <v>否</v>
          </cell>
          <cell r="J18" t="str">
            <v>否</v>
          </cell>
          <cell r="K18" t="str">
            <v>是</v>
          </cell>
          <cell r="L18" t="str">
            <v>其他分摊方法</v>
          </cell>
          <cell r="M18">
            <v>0.725945981401044</v>
          </cell>
        </row>
        <row r="19">
          <cell r="B19" t="str">
            <v>春和14#</v>
          </cell>
          <cell r="C19" t="str">
            <v>春和景苑配套工程</v>
          </cell>
          <cell r="D19" t="str">
            <v>建设工程合同</v>
          </cell>
          <cell r="E19" t="str">
            <v>巴州绿叶园林工程有限责任公司（谢辞）</v>
          </cell>
          <cell r="F19">
            <v>44296</v>
          </cell>
          <cell r="G19">
            <v>1400000</v>
          </cell>
          <cell r="H19">
            <v>1284403.66972477</v>
          </cell>
          <cell r="I19" t="str">
            <v>否</v>
          </cell>
          <cell r="J19" t="str">
            <v>否</v>
          </cell>
          <cell r="K19" t="str">
            <v>是</v>
          </cell>
          <cell r="L19" t="str">
            <v>其他分摊方法</v>
          </cell>
          <cell r="M19">
            <v>0.725945981401044</v>
          </cell>
        </row>
        <row r="20">
          <cell r="B20" t="str">
            <v>春和15#</v>
          </cell>
          <cell r="C20" t="str">
            <v>春和景苑绿化种植</v>
          </cell>
          <cell r="D20" t="str">
            <v>建设工程合同</v>
          </cell>
          <cell r="E20" t="str">
            <v>巴州绿叶园林工程有限责任公司（谢辞）</v>
          </cell>
          <cell r="F20">
            <v>44296</v>
          </cell>
          <cell r="G20">
            <v>480000</v>
          </cell>
          <cell r="H20">
            <v>440366.972477064</v>
          </cell>
          <cell r="I20" t="str">
            <v>否</v>
          </cell>
          <cell r="J20" t="str">
            <v>否</v>
          </cell>
          <cell r="K20" t="str">
            <v>是</v>
          </cell>
          <cell r="L20" t="str">
            <v>其他分摊方法</v>
          </cell>
          <cell r="M20">
            <v>0.725945981401044</v>
          </cell>
        </row>
        <row r="21">
          <cell r="B21" t="str">
            <v>春和16#</v>
          </cell>
          <cell r="C21" t="str">
            <v>春和景苑玻璃钢化粪池</v>
          </cell>
          <cell r="D21" t="str">
            <v>买卖合同</v>
          </cell>
          <cell r="E21" t="str">
            <v>乌鲁木齐三源众联复合材料有限公司</v>
          </cell>
          <cell r="F21">
            <v>44336</v>
          </cell>
          <cell r="G21">
            <v>45000</v>
          </cell>
          <cell r="H21">
            <v>39823.0088495575</v>
          </cell>
          <cell r="I21" t="str">
            <v>否</v>
          </cell>
          <cell r="J21" t="str">
            <v>否</v>
          </cell>
          <cell r="K21" t="str">
            <v>否</v>
          </cell>
        </row>
        <row r="21">
          <cell r="M21">
            <v>1</v>
          </cell>
        </row>
        <row r="22">
          <cell r="B22" t="str">
            <v>春和17#</v>
          </cell>
          <cell r="C22" t="str">
            <v>春和排水管道安装工程</v>
          </cell>
          <cell r="D22" t="str">
            <v>建设工程合同</v>
          </cell>
          <cell r="E22" t="str">
            <v>巴州国鑫管道工程建筑有限责任公司</v>
          </cell>
          <cell r="F22">
            <v>44362</v>
          </cell>
          <cell r="G22">
            <v>26600</v>
          </cell>
          <cell r="H22">
            <v>26336.6336633663</v>
          </cell>
          <cell r="I22" t="str">
            <v>否</v>
          </cell>
          <cell r="J22" t="str">
            <v>否</v>
          </cell>
          <cell r="K22" t="str">
            <v>否</v>
          </cell>
        </row>
        <row r="22">
          <cell r="M22">
            <v>1</v>
          </cell>
        </row>
        <row r="23">
          <cell r="B23" t="str">
            <v>春和18#</v>
          </cell>
          <cell r="C23" t="str">
            <v>春和监控及弱电工程</v>
          </cell>
          <cell r="D23" t="str">
            <v>建设工程合同</v>
          </cell>
          <cell r="E23" t="str">
            <v>巴州青橄榄电子科技有限公司（党曌）</v>
          </cell>
          <cell r="F23">
            <v>44330</v>
          </cell>
          <cell r="G23">
            <v>93000</v>
          </cell>
          <cell r="H23">
            <v>92079.2079207921</v>
          </cell>
          <cell r="I23" t="str">
            <v>否</v>
          </cell>
          <cell r="J23" t="str">
            <v>否</v>
          </cell>
          <cell r="K23" t="str">
            <v>是</v>
          </cell>
          <cell r="L23" t="str">
            <v>其他分摊方法</v>
          </cell>
          <cell r="M23">
            <v>0.725945981401044</v>
          </cell>
        </row>
        <row r="24">
          <cell r="B24" t="str">
            <v>春和19#</v>
          </cell>
          <cell r="C24" t="str">
            <v>春和景苑小区外管网设计</v>
          </cell>
          <cell r="D24" t="str">
            <v>技术合同</v>
          </cell>
          <cell r="E24" t="str">
            <v>新疆益诚开拓空间规划建筑设计研究院有限公司</v>
          </cell>
          <cell r="F24" t="str">
            <v>2020/3/3</v>
          </cell>
          <cell r="G24">
            <v>30000</v>
          </cell>
          <cell r="H24">
            <v>28301.8867924528</v>
          </cell>
          <cell r="I24" t="str">
            <v>否</v>
          </cell>
          <cell r="J24" t="str">
            <v>否</v>
          </cell>
          <cell r="K24" t="str">
            <v>是</v>
          </cell>
          <cell r="L24" t="str">
            <v>其他分摊方法</v>
          </cell>
          <cell r="M24">
            <v>0.725945981401044</v>
          </cell>
        </row>
        <row r="25">
          <cell r="B25" t="str">
            <v>春和20#</v>
          </cell>
          <cell r="C25" t="str">
            <v>电线电缆</v>
          </cell>
          <cell r="D25" t="str">
            <v>建设工程合同</v>
          </cell>
          <cell r="E25" t="str">
            <v>正工电缆有限公司</v>
          </cell>
          <cell r="F25">
            <v>44383</v>
          </cell>
          <cell r="G25">
            <v>712180</v>
          </cell>
          <cell r="H25">
            <v>630247.78</v>
          </cell>
          <cell r="I25" t="str">
            <v>否</v>
          </cell>
          <cell r="J25" t="str">
            <v>否</v>
          </cell>
          <cell r="K25" t="str">
            <v>否</v>
          </cell>
        </row>
        <row r="25">
          <cell r="M25">
            <v>1</v>
          </cell>
        </row>
        <row r="26">
          <cell r="B26" t="str">
            <v>春和21#</v>
          </cell>
          <cell r="C26" t="str">
            <v>春和景苑小区园林景观工程施工协议</v>
          </cell>
          <cell r="D26" t="str">
            <v>建设工程合同</v>
          </cell>
          <cell r="E26" t="str">
            <v>乌鲁木齐大漠林海绿化有限责任公司（蔚晓芳）</v>
          </cell>
          <cell r="F26">
            <v>44296</v>
          </cell>
          <cell r="G26">
            <v>1365000</v>
          </cell>
          <cell r="H26">
            <v>1252293.57798165</v>
          </cell>
          <cell r="I26" t="str">
            <v>否</v>
          </cell>
          <cell r="J26" t="str">
            <v>否</v>
          </cell>
          <cell r="K26" t="str">
            <v>是</v>
          </cell>
          <cell r="L26" t="str">
            <v>其他分摊方法</v>
          </cell>
          <cell r="M26">
            <v>0.725945981401044</v>
          </cell>
        </row>
        <row r="27">
          <cell r="B27" t="str">
            <v>春和22#</v>
          </cell>
          <cell r="C27" t="str">
            <v>春和景苑三网合一FTTH工程施工合同（绿）</v>
          </cell>
          <cell r="D27" t="str">
            <v>建设工程合同</v>
          </cell>
          <cell r="E27" t="str">
            <v>新疆鑫宇恒建设工程有限公司（蒋华）</v>
          </cell>
          <cell r="F27" t="str">
            <v>补2021/3/10</v>
          </cell>
          <cell r="G27">
            <v>33264</v>
          </cell>
          <cell r="H27">
            <v>30517.43</v>
          </cell>
          <cell r="I27" t="str">
            <v>否</v>
          </cell>
          <cell r="J27" t="str">
            <v>否</v>
          </cell>
          <cell r="K27" t="str">
            <v>否</v>
          </cell>
        </row>
        <row r="27">
          <cell r="M27">
            <v>1</v>
          </cell>
        </row>
        <row r="28">
          <cell r="B28" t="str">
            <v>春和24#</v>
          </cell>
          <cell r="C28" t="str">
            <v>春和景苑样板间2-3-102装修合同</v>
          </cell>
          <cell r="D28" t="str">
            <v>建设工程合同</v>
          </cell>
          <cell r="E28" t="str">
            <v>巴州理想家建筑装饰有限公司（倪）</v>
          </cell>
          <cell r="F28">
            <v>44265</v>
          </cell>
          <cell r="G28">
            <v>435767</v>
          </cell>
          <cell r="H28">
            <v>399786.23853211</v>
          </cell>
          <cell r="I28" t="str">
            <v>否</v>
          </cell>
          <cell r="J28" t="str">
            <v>否</v>
          </cell>
          <cell r="K28" t="str">
            <v>否</v>
          </cell>
        </row>
        <row r="28">
          <cell r="M28">
            <v>1</v>
          </cell>
        </row>
        <row r="29">
          <cell r="B29" t="str">
            <v>春和25#</v>
          </cell>
          <cell r="C29" t="str">
            <v>春和1#2#3#亮化</v>
          </cell>
          <cell r="D29" t="str">
            <v>建设工程合同</v>
          </cell>
          <cell r="E29" t="str">
            <v>巴州方程视广告有限公司（刘亭）</v>
          </cell>
          <cell r="F29">
            <v>44470</v>
          </cell>
          <cell r="G29">
            <v>200000</v>
          </cell>
          <cell r="H29">
            <v>198019.801980198</v>
          </cell>
          <cell r="I29" t="str">
            <v>否</v>
          </cell>
          <cell r="J29" t="str">
            <v>否</v>
          </cell>
          <cell r="K29" t="str">
            <v>否</v>
          </cell>
        </row>
        <row r="29">
          <cell r="M29">
            <v>1</v>
          </cell>
        </row>
        <row r="30">
          <cell r="B30" t="str">
            <v>春和26#</v>
          </cell>
          <cell r="C30" t="str">
            <v>春和景苑弱电及弱电管道、道闸、单元人脸识别、楼宇可视</v>
          </cell>
          <cell r="D30" t="str">
            <v>建设工程合同</v>
          </cell>
          <cell r="E30" t="str">
            <v>巴州青橄榄电子科技有限公司（党曌）</v>
          </cell>
          <cell r="F30">
            <v>44467</v>
          </cell>
          <cell r="G30">
            <v>199343</v>
          </cell>
          <cell r="H30">
            <v>197369.306930693</v>
          </cell>
          <cell r="I30" t="str">
            <v>否</v>
          </cell>
          <cell r="J30" t="str">
            <v>否</v>
          </cell>
          <cell r="K30" t="str">
            <v>是</v>
          </cell>
          <cell r="L30" t="str">
            <v>其他分摊方法</v>
          </cell>
          <cell r="M30">
            <v>0.725945981401044</v>
          </cell>
        </row>
        <row r="31">
          <cell r="B31" t="str">
            <v>春和27#</v>
          </cell>
          <cell r="C31" t="str">
            <v>春和景苑外墙装修</v>
          </cell>
          <cell r="D31" t="str">
            <v>建设工程合同</v>
          </cell>
          <cell r="E31" t="str">
            <v>新疆智明建设工程有限公司（金克)</v>
          </cell>
          <cell r="F31">
            <v>44470</v>
          </cell>
          <cell r="G31">
            <v>460000</v>
          </cell>
          <cell r="H31">
            <v>422018.348623853</v>
          </cell>
          <cell r="I31" t="str">
            <v>否</v>
          </cell>
          <cell r="J31" t="str">
            <v>否</v>
          </cell>
          <cell r="K31" t="str">
            <v>否</v>
          </cell>
        </row>
        <row r="31">
          <cell r="M31">
            <v>1</v>
          </cell>
        </row>
        <row r="32">
          <cell r="B32" t="str">
            <v>春和景苑28#</v>
          </cell>
          <cell r="C32" t="str">
            <v>春和老年活动室天然气安装工程委托建设管理协议书</v>
          </cell>
          <cell r="D32" t="str">
            <v>建设工程合同</v>
          </cell>
          <cell r="E32" t="str">
            <v>新疆南天城建（集团）股份有限公司</v>
          </cell>
          <cell r="F32">
            <v>44308</v>
          </cell>
          <cell r="G32">
            <v>14301.77</v>
          </cell>
          <cell r="H32">
            <v>13120.8899082569</v>
          </cell>
          <cell r="I32" t="str">
            <v>否</v>
          </cell>
          <cell r="J32" t="str">
            <v>否</v>
          </cell>
          <cell r="K32" t="str">
            <v>否</v>
          </cell>
        </row>
        <row r="32">
          <cell r="M32">
            <v>1</v>
          </cell>
        </row>
        <row r="33">
          <cell r="B33" t="str">
            <v>春和29#</v>
          </cell>
          <cell r="C33" t="str">
            <v>沁春锦苑、春和地埋式垃圾处理站购销安装合同</v>
          </cell>
          <cell r="D33" t="str">
            <v>买卖合同</v>
          </cell>
          <cell r="E33" t="str">
            <v>新疆云景环保科技有限公司(13999983055)</v>
          </cell>
          <cell r="F33">
            <v>44501</v>
          </cell>
          <cell r="G33">
            <v>73000</v>
          </cell>
          <cell r="H33">
            <v>64601.7699115044</v>
          </cell>
          <cell r="I33" t="str">
            <v>否</v>
          </cell>
          <cell r="J33" t="str">
            <v>否</v>
          </cell>
          <cell r="K33" t="str">
            <v>是</v>
          </cell>
          <cell r="L33" t="str">
            <v>其他分摊方法</v>
          </cell>
          <cell r="M33">
            <v>0.725945981401044</v>
          </cell>
        </row>
        <row r="34">
          <cell r="B34" t="str">
            <v>春和30#</v>
          </cell>
          <cell r="C34" t="str">
            <v>春和室外健身器材</v>
          </cell>
          <cell r="D34" t="str">
            <v>建设工程合同</v>
          </cell>
          <cell r="E34" t="str">
            <v>库尔勒云帆超人商贸有限公司</v>
          </cell>
          <cell r="F34">
            <v>44501</v>
          </cell>
          <cell r="G34">
            <v>11820</v>
          </cell>
          <cell r="H34">
            <v>10460.1769911504</v>
          </cell>
          <cell r="I34" t="str">
            <v>否</v>
          </cell>
          <cell r="J34" t="str">
            <v>否</v>
          </cell>
          <cell r="K34" t="str">
            <v>否</v>
          </cell>
        </row>
        <row r="34">
          <cell r="M34">
            <v>1</v>
          </cell>
        </row>
        <row r="35">
          <cell r="B35" t="str">
            <v>春和36#</v>
          </cell>
          <cell r="C35" t="str">
            <v>土方工程专业承包合同</v>
          </cell>
          <cell r="D35" t="str">
            <v>建设工程合同</v>
          </cell>
          <cell r="E35" t="str">
            <v>新疆通力建设集团股份有限公司</v>
          </cell>
          <cell r="F35">
            <v>43650</v>
          </cell>
          <cell r="G35">
            <v>4606188.45</v>
          </cell>
          <cell r="H35">
            <v>4225860.97</v>
          </cell>
          <cell r="I35" t="str">
            <v>否</v>
          </cell>
          <cell r="J35" t="str">
            <v>否</v>
          </cell>
          <cell r="K35" t="str">
            <v>是</v>
          </cell>
          <cell r="L35" t="str">
            <v>其他分摊方法</v>
          </cell>
          <cell r="M35">
            <v>0.725945981401044</v>
          </cell>
        </row>
        <row r="36">
          <cell r="B36" t="str">
            <v>春和34#</v>
          </cell>
          <cell r="C36" t="str">
            <v>春和景苑土方挖运</v>
          </cell>
          <cell r="D36" t="str">
            <v>建设工程合同</v>
          </cell>
          <cell r="E36" t="str">
            <v>李建新</v>
          </cell>
          <cell r="F36">
            <v>44314</v>
          </cell>
          <cell r="G36">
            <v>399600</v>
          </cell>
          <cell r="H36">
            <v>396039.603960396</v>
          </cell>
          <cell r="I36" t="str">
            <v>否</v>
          </cell>
          <cell r="J36" t="str">
            <v>否</v>
          </cell>
          <cell r="K36" t="str">
            <v>否</v>
          </cell>
        </row>
        <row r="36">
          <cell r="M36">
            <v>1</v>
          </cell>
        </row>
        <row r="37">
          <cell r="B37" t="str">
            <v>春和35#</v>
          </cell>
          <cell r="C37" t="str">
            <v>春和景苑土方挖运</v>
          </cell>
          <cell r="D37" t="str">
            <v>建设工程合同</v>
          </cell>
          <cell r="E37" t="str">
            <v>徐增起</v>
          </cell>
          <cell r="F37">
            <v>44314</v>
          </cell>
          <cell r="G37">
            <v>48600</v>
          </cell>
          <cell r="H37">
            <v>49504.9504950495</v>
          </cell>
          <cell r="I37" t="str">
            <v>否</v>
          </cell>
          <cell r="J37" t="str">
            <v>否</v>
          </cell>
          <cell r="K37" t="str">
            <v>否</v>
          </cell>
        </row>
        <row r="37">
          <cell r="M37">
            <v>1</v>
          </cell>
        </row>
        <row r="38">
          <cell r="B38" t="str">
            <v>春和-37#</v>
          </cell>
          <cell r="C38" t="str">
            <v>后花园围栏制作</v>
          </cell>
          <cell r="D38" t="str">
            <v>建设工程合同</v>
          </cell>
          <cell r="E38" t="str">
            <v>巴州冠华商贸有限公司</v>
          </cell>
          <cell r="F38">
            <v>44712</v>
          </cell>
          <cell r="G38">
            <v>54775</v>
          </cell>
          <cell r="H38">
            <v>48473.4513274336</v>
          </cell>
          <cell r="I38" t="str">
            <v>否</v>
          </cell>
          <cell r="J38" t="str">
            <v>否</v>
          </cell>
          <cell r="K38" t="str">
            <v>否</v>
          </cell>
        </row>
        <row r="38">
          <cell r="M38">
            <v>1</v>
          </cell>
        </row>
        <row r="39">
          <cell r="B39" t="str">
            <v>春和-38#</v>
          </cell>
          <cell r="C39" t="str">
            <v>春和景苑附属配套设施工程专业承包合同</v>
          </cell>
          <cell r="D39" t="str">
            <v>建设工程合同</v>
          </cell>
          <cell r="E39" t="str">
            <v>新疆通力建设集团股份有限公司</v>
          </cell>
          <cell r="F39">
            <v>43971</v>
          </cell>
          <cell r="G39">
            <v>552403.38</v>
          </cell>
          <cell r="H39">
            <v>506792.091743119</v>
          </cell>
          <cell r="I39" t="str">
            <v>否</v>
          </cell>
          <cell r="J39" t="str">
            <v>否</v>
          </cell>
          <cell r="K39" t="str">
            <v>是</v>
          </cell>
          <cell r="L39" t="str">
            <v>其他分摊方法</v>
          </cell>
          <cell r="M39">
            <v>0.725945981401044</v>
          </cell>
        </row>
        <row r="40">
          <cell r="B40" t="str">
            <v>春和景苑11#</v>
          </cell>
          <cell r="C40" t="str">
            <v>电气外网供货安装合同</v>
          </cell>
          <cell r="D40" t="str">
            <v>建设工程合同</v>
          </cell>
          <cell r="E40" t="str">
            <v>新疆拓宇电力建设工程有限公司何永权</v>
          </cell>
          <cell r="F40">
            <v>44501</v>
          </cell>
          <cell r="G40">
            <v>211815</v>
          </cell>
          <cell r="H40">
            <v>210927.348623853</v>
          </cell>
          <cell r="I40" t="str">
            <v>否</v>
          </cell>
          <cell r="J40" t="str">
            <v>否</v>
          </cell>
          <cell r="K40" t="str">
            <v>是</v>
          </cell>
          <cell r="L40" t="str">
            <v>其他分摊方法</v>
          </cell>
          <cell r="M40">
            <v>0.725945981401044</v>
          </cell>
        </row>
        <row r="41">
          <cell r="B41" t="str">
            <v>春和33#</v>
          </cell>
          <cell r="C41" t="str">
            <v>巴州建筑工程施工图设计文件审查中心</v>
          </cell>
          <cell r="D41" t="str">
            <v>建设工程合同</v>
          </cell>
          <cell r="E41" t="str">
            <v>巴州建筑工程施工图设计文件审查中心</v>
          </cell>
          <cell r="F41">
            <v>44501</v>
          </cell>
          <cell r="G41">
            <v>14109</v>
          </cell>
          <cell r="H41">
            <v>13310.3773584906</v>
          </cell>
          <cell r="I41" t="str">
            <v>否</v>
          </cell>
          <cell r="J41" t="str">
            <v>否</v>
          </cell>
          <cell r="K41" t="str">
            <v>否</v>
          </cell>
        </row>
        <row r="41">
          <cell r="M41">
            <v>1</v>
          </cell>
        </row>
        <row r="42">
          <cell r="B42" t="str">
            <v>春和32#</v>
          </cell>
          <cell r="C42" t="str">
            <v>春和景苑智慧小区设备采购合同</v>
          </cell>
          <cell r="D42" t="str">
            <v>建设工程合同</v>
          </cell>
          <cell r="E42" t="str">
            <v>巴州香柏树电子科技有限公司</v>
          </cell>
          <cell r="F42">
            <v>44428</v>
          </cell>
          <cell r="G42">
            <v>20000</v>
          </cell>
          <cell r="H42">
            <v>19801.98</v>
          </cell>
          <cell r="I42" t="str">
            <v>否</v>
          </cell>
          <cell r="J42" t="str">
            <v>否</v>
          </cell>
          <cell r="K42" t="str">
            <v>否</v>
          </cell>
        </row>
        <row r="42">
          <cell r="M42">
            <v>1</v>
          </cell>
        </row>
        <row r="43">
          <cell r="B43" t="str">
            <v>春和39#</v>
          </cell>
          <cell r="C43" t="str">
            <v>监控购买合同</v>
          </cell>
          <cell r="D43" t="str">
            <v>买卖合同</v>
          </cell>
          <cell r="E43" t="str">
            <v>库尔勒箴言五金店</v>
          </cell>
          <cell r="F43">
            <v>44379</v>
          </cell>
          <cell r="G43">
            <v>150000</v>
          </cell>
          <cell r="H43">
            <v>150000</v>
          </cell>
          <cell r="I43" t="str">
            <v>否</v>
          </cell>
          <cell r="J43" t="str">
            <v>否</v>
          </cell>
          <cell r="K43" t="str">
            <v>否</v>
          </cell>
        </row>
        <row r="43">
          <cell r="M43">
            <v>1</v>
          </cell>
        </row>
        <row r="44">
          <cell r="B44" t="str">
            <v>春和40#</v>
          </cell>
          <cell r="C44" t="str">
            <v>监控购买合同</v>
          </cell>
          <cell r="D44" t="str">
            <v>买卖合同</v>
          </cell>
          <cell r="E44" t="str">
            <v>库尔勒诗篇五金店</v>
          </cell>
          <cell r="F44">
            <v>44379</v>
          </cell>
          <cell r="G44">
            <v>150000</v>
          </cell>
          <cell r="H44">
            <v>150000</v>
          </cell>
          <cell r="I44" t="str">
            <v>否</v>
          </cell>
          <cell r="J44" t="str">
            <v>否</v>
          </cell>
          <cell r="K44" t="str">
            <v>否</v>
          </cell>
        </row>
        <row r="44">
          <cell r="M44">
            <v>1</v>
          </cell>
        </row>
        <row r="52">
          <cell r="E52" t="str">
            <v>窗帘</v>
          </cell>
        </row>
        <row r="52">
          <cell r="G52">
            <v>5400</v>
          </cell>
        </row>
        <row r="53">
          <cell r="E53" t="str">
            <v>家电</v>
          </cell>
        </row>
        <row r="53">
          <cell r="G53">
            <v>45000</v>
          </cell>
        </row>
        <row r="54">
          <cell r="E54" t="str">
            <v>家具</v>
          </cell>
        </row>
        <row r="54">
          <cell r="G54">
            <v>45551.8</v>
          </cell>
        </row>
        <row r="59">
          <cell r="G59">
            <v>392554.37</v>
          </cell>
        </row>
      </sheetData>
      <sheetData sheetId="10"/>
      <sheetData sheetId="1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9.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40"/>
  <sheetViews>
    <sheetView zoomScale="55" zoomScaleNormal="55" workbookViewId="0">
      <selection activeCell="A34" sqref="A34:AI34"/>
    </sheetView>
  </sheetViews>
  <sheetFormatPr defaultColWidth="11" defaultRowHeight="15.65"/>
  <cols>
    <col min="1" max="1" width="6.1231884057971" style="477" customWidth="1"/>
    <col min="2" max="2" width="22.1231884057971" style="477" customWidth="1"/>
    <col min="3" max="3" width="15.3840579710145" style="477" customWidth="1"/>
    <col min="4" max="5" width="5.88405797101449" style="477" customWidth="1"/>
    <col min="6" max="6" width="11.8840579710145" style="477" customWidth="1"/>
    <col min="7" max="7" width="10.1231884057971" style="477" customWidth="1"/>
    <col min="8" max="8" width="5.88405797101449" style="477" customWidth="1"/>
    <col min="9" max="9" width="13.1231884057971" style="477" customWidth="1"/>
    <col min="10" max="10" width="12.1231884057971" style="477" customWidth="1"/>
    <col min="11" max="11" width="1.6231884057971" style="477" customWidth="1"/>
    <col min="12" max="12" width="12.8840579710145" style="477" customWidth="1"/>
    <col min="13" max="17" width="5.88405797101449" style="477" customWidth="1"/>
    <col min="18" max="18" width="5.6231884057971" style="477" customWidth="1"/>
    <col min="19" max="31" width="5.88405797101449" style="477" customWidth="1"/>
    <col min="32" max="32" width="7.1231884057971" style="477" customWidth="1"/>
    <col min="33" max="34" width="5.88405797101449" style="477" customWidth="1"/>
    <col min="35" max="35" width="12.6231884057971" style="477" customWidth="1"/>
    <col min="36" max="16384" width="11" style="477"/>
  </cols>
  <sheetData>
    <row r="1" ht="36.3" spans="1:35">
      <c r="A1" s="478" t="s">
        <v>0</v>
      </c>
      <c r="B1" s="479"/>
      <c r="C1" s="479"/>
      <c r="D1" s="479"/>
      <c r="E1" s="479"/>
      <c r="F1" s="479"/>
      <c r="G1" s="479"/>
      <c r="H1" s="479"/>
      <c r="I1" s="479"/>
      <c r="J1" s="479"/>
      <c r="K1" s="479"/>
      <c r="L1" s="479"/>
      <c r="M1" s="479"/>
      <c r="N1" s="479"/>
      <c r="O1" s="479"/>
      <c r="P1" s="479"/>
      <c r="Q1" s="479"/>
      <c r="R1" s="479"/>
      <c r="S1" s="479"/>
      <c r="T1" s="479"/>
      <c r="U1" s="479"/>
      <c r="V1" s="479"/>
      <c r="W1" s="479"/>
      <c r="X1" s="479"/>
      <c r="Y1" s="479"/>
      <c r="Z1" s="479"/>
      <c r="AA1" s="479"/>
      <c r="AB1" s="479"/>
      <c r="AC1" s="479"/>
      <c r="AD1" s="479"/>
      <c r="AE1" s="479"/>
      <c r="AF1" s="479"/>
      <c r="AG1" s="479"/>
      <c r="AH1" s="479"/>
      <c r="AI1" s="479"/>
    </row>
    <row r="2" ht="26.25" spans="1:35">
      <c r="A2" s="480" t="s">
        <v>1</v>
      </c>
      <c r="B2" s="480"/>
      <c r="C2" s="480"/>
      <c r="D2" s="480"/>
      <c r="E2" s="480"/>
      <c r="F2" s="480"/>
      <c r="G2" s="480"/>
      <c r="H2" s="480"/>
      <c r="I2" s="480"/>
      <c r="J2" s="480"/>
      <c r="K2" s="480"/>
      <c r="L2" s="480"/>
      <c r="M2" s="480"/>
      <c r="N2" s="480"/>
      <c r="O2" s="480"/>
      <c r="P2" s="480"/>
      <c r="Q2" s="480"/>
      <c r="R2" s="480"/>
      <c r="S2" s="480"/>
      <c r="T2" s="480"/>
      <c r="U2" s="480"/>
      <c r="V2" s="480"/>
      <c r="W2" s="480"/>
      <c r="X2" s="480"/>
      <c r="Y2" s="480"/>
      <c r="Z2" s="480"/>
      <c r="AA2" s="480"/>
      <c r="AB2" s="480"/>
      <c r="AC2" s="480"/>
      <c r="AD2" s="480"/>
      <c r="AE2" s="480"/>
      <c r="AF2" s="480"/>
      <c r="AG2" s="480"/>
      <c r="AH2" s="480"/>
      <c r="AI2" s="480"/>
    </row>
    <row r="3" ht="36" customHeight="1" spans="1:35">
      <c r="A3" s="481" t="s">
        <v>2</v>
      </c>
      <c r="B3" s="481"/>
      <c r="C3" s="482" t="s">
        <v>3</v>
      </c>
      <c r="D3" s="482"/>
      <c r="E3" s="482"/>
      <c r="F3" s="482"/>
      <c r="G3" s="483" t="s">
        <v>4</v>
      </c>
      <c r="H3" s="483"/>
      <c r="I3" s="484" t="s">
        <v>5</v>
      </c>
      <c r="J3" s="484"/>
      <c r="K3" s="484"/>
      <c r="L3" s="484"/>
      <c r="M3" s="484"/>
      <c r="N3" s="484"/>
      <c r="O3" s="484"/>
      <c r="P3" s="484"/>
      <c r="Q3" s="484"/>
      <c r="R3" s="484"/>
      <c r="S3" s="484"/>
      <c r="T3" s="484"/>
      <c r="U3" s="484"/>
      <c r="V3" s="484"/>
      <c r="W3" s="484"/>
      <c r="X3" s="484"/>
      <c r="Y3" s="484"/>
      <c r="Z3" s="484" t="s">
        <v>6</v>
      </c>
      <c r="AA3" s="484"/>
      <c r="AB3" s="484"/>
      <c r="AC3" s="485" t="s">
        <v>7</v>
      </c>
      <c r="AD3" s="485"/>
      <c r="AE3" s="485"/>
      <c r="AF3" s="485"/>
      <c r="AG3" s="485"/>
      <c r="AH3" s="485"/>
      <c r="AI3" s="485"/>
    </row>
    <row r="4" ht="36" customHeight="1" spans="1:35">
      <c r="A4" s="486" t="s">
        <v>8</v>
      </c>
      <c r="B4" s="486"/>
      <c r="C4" s="486"/>
      <c r="D4" s="486"/>
      <c r="E4" s="486"/>
      <c r="F4" s="486"/>
      <c r="G4" s="486"/>
      <c r="H4" s="486"/>
      <c r="I4" s="486"/>
      <c r="J4" s="486"/>
      <c r="K4" s="486"/>
      <c r="L4" s="486"/>
      <c r="M4" s="486"/>
      <c r="N4" s="486"/>
      <c r="O4" s="486"/>
      <c r="P4" s="486"/>
      <c r="Q4" s="486"/>
      <c r="R4" s="486"/>
      <c r="S4" s="486"/>
      <c r="T4" s="486"/>
      <c r="U4" s="486"/>
      <c r="V4" s="486"/>
      <c r="W4" s="486"/>
      <c r="X4" s="486"/>
      <c r="Y4" s="486"/>
      <c r="Z4" s="486" t="s">
        <v>9</v>
      </c>
      <c r="AA4" s="486"/>
      <c r="AB4" s="486"/>
      <c r="AC4" s="486"/>
      <c r="AD4" s="486"/>
      <c r="AE4" s="486"/>
      <c r="AF4" s="486"/>
      <c r="AG4" s="486"/>
      <c r="AH4" s="486"/>
      <c r="AI4" s="486"/>
    </row>
    <row r="5" ht="36" customHeight="1" spans="1:35">
      <c r="A5" s="487" t="s">
        <v>10</v>
      </c>
      <c r="B5" s="487"/>
      <c r="C5" s="487"/>
      <c r="D5" s="487"/>
      <c r="E5" s="487"/>
      <c r="F5" s="487"/>
      <c r="G5" s="487"/>
      <c r="H5" s="487"/>
      <c r="I5" s="487"/>
      <c r="J5" s="487"/>
      <c r="K5" s="487"/>
      <c r="L5" s="487"/>
      <c r="M5" s="487"/>
      <c r="N5" s="487"/>
      <c r="O5" s="487"/>
      <c r="P5" s="487"/>
      <c r="Q5" s="487"/>
      <c r="R5" s="487"/>
      <c r="S5" s="487"/>
      <c r="T5" s="487"/>
      <c r="U5" s="487"/>
      <c r="V5" s="487"/>
      <c r="W5" s="487"/>
      <c r="X5" s="487"/>
      <c r="Y5" s="487"/>
      <c r="Z5" s="487"/>
      <c r="AA5" s="487"/>
      <c r="AB5" s="487"/>
      <c r="AC5" s="487"/>
      <c r="AD5" s="487"/>
      <c r="AE5" s="487"/>
      <c r="AF5" s="487"/>
      <c r="AG5" s="487"/>
      <c r="AH5" s="487"/>
      <c r="AI5" s="487"/>
    </row>
    <row r="6" ht="36" customHeight="1" spans="1:35">
      <c r="A6" s="488" t="s">
        <v>11</v>
      </c>
      <c r="B6" s="488"/>
      <c r="C6" s="488"/>
      <c r="D6" s="488" t="s">
        <v>12</v>
      </c>
      <c r="E6" s="488"/>
      <c r="F6" s="488"/>
      <c r="G6" s="488"/>
      <c r="H6" s="488" t="s">
        <v>13</v>
      </c>
      <c r="I6" s="488"/>
      <c r="J6" s="488"/>
      <c r="K6" s="488"/>
      <c r="L6" s="488"/>
      <c r="M6" s="488"/>
      <c r="N6" s="488"/>
      <c r="O6" s="488"/>
      <c r="P6" s="488"/>
      <c r="Q6" s="488"/>
      <c r="R6" s="488"/>
      <c r="S6" s="489" t="s">
        <v>14</v>
      </c>
      <c r="T6" s="489"/>
      <c r="U6" s="489"/>
      <c r="V6" s="489"/>
      <c r="W6" s="489"/>
      <c r="X6" s="488" t="s">
        <v>15</v>
      </c>
      <c r="Y6" s="488"/>
      <c r="Z6" s="488"/>
      <c r="AA6" s="488"/>
      <c r="AB6" s="488"/>
      <c r="AC6" s="488"/>
      <c r="AD6" s="488"/>
      <c r="AE6" s="488"/>
      <c r="AF6" s="488"/>
      <c r="AG6" s="488" t="s">
        <v>16</v>
      </c>
      <c r="AH6" s="488"/>
      <c r="AI6" s="488"/>
    </row>
    <row r="7" ht="36" customHeight="1" spans="1:35">
      <c r="A7" s="488" t="s">
        <v>17</v>
      </c>
      <c r="B7" s="488"/>
      <c r="C7" s="488"/>
      <c r="D7" s="488" t="s">
        <v>18</v>
      </c>
      <c r="E7" s="488"/>
      <c r="F7" s="488"/>
      <c r="G7" s="488"/>
      <c r="H7" s="488"/>
      <c r="I7" s="488"/>
      <c r="J7" s="488"/>
      <c r="K7" s="488"/>
      <c r="L7" s="488"/>
      <c r="M7" s="488"/>
      <c r="N7" s="488"/>
      <c r="O7" s="488"/>
      <c r="P7" s="488"/>
      <c r="Q7" s="488"/>
      <c r="R7" s="488"/>
      <c r="S7" s="488"/>
      <c r="T7" s="488"/>
      <c r="U7" s="488"/>
      <c r="V7" s="488"/>
      <c r="W7" s="488"/>
      <c r="X7" s="488" t="s">
        <v>19</v>
      </c>
      <c r="Y7" s="488"/>
      <c r="Z7" s="488"/>
      <c r="AA7" s="488"/>
      <c r="AB7" s="488"/>
      <c r="AC7" s="488"/>
      <c r="AD7" s="488"/>
      <c r="AE7" s="488"/>
      <c r="AF7" s="488"/>
      <c r="AG7" s="488">
        <v>45156000</v>
      </c>
      <c r="AH7" s="488"/>
      <c r="AI7" s="488"/>
    </row>
    <row r="8" ht="36" customHeight="1" spans="1:35">
      <c r="A8" s="490" t="s">
        <v>20</v>
      </c>
      <c r="B8" s="491"/>
      <c r="C8" s="492"/>
      <c r="D8" s="490" t="s">
        <v>21</v>
      </c>
      <c r="E8" s="491"/>
      <c r="F8" s="491"/>
      <c r="G8" s="492"/>
      <c r="H8" s="488" t="s">
        <v>22</v>
      </c>
      <c r="I8" s="488"/>
      <c r="J8" s="488"/>
      <c r="K8" s="488"/>
      <c r="L8" s="488"/>
      <c r="M8" s="488"/>
      <c r="N8" s="488"/>
      <c r="O8" s="488"/>
      <c r="P8" s="488"/>
      <c r="Q8" s="488"/>
      <c r="R8" s="488"/>
      <c r="S8" s="490" t="s">
        <v>23</v>
      </c>
      <c r="T8" s="491"/>
      <c r="U8" s="491"/>
      <c r="V8" s="491"/>
      <c r="W8" s="492"/>
      <c r="X8" s="493" t="s">
        <v>24</v>
      </c>
      <c r="Y8" s="494"/>
      <c r="Z8" s="494"/>
      <c r="AA8" s="494"/>
      <c r="AB8" s="494"/>
      <c r="AC8" s="494"/>
      <c r="AD8" s="494"/>
      <c r="AE8" s="494"/>
      <c r="AF8" s="495"/>
      <c r="AG8" s="496">
        <v>43692</v>
      </c>
      <c r="AH8" s="496"/>
      <c r="AI8" s="496"/>
    </row>
    <row r="9" ht="36" customHeight="1" spans="1:35">
      <c r="A9" s="488" t="s">
        <v>25</v>
      </c>
      <c r="B9" s="488"/>
      <c r="C9" s="488"/>
      <c r="D9" s="488">
        <v>16456.05</v>
      </c>
      <c r="E9" s="488"/>
      <c r="F9" s="488"/>
      <c r="G9" s="488"/>
      <c r="H9" s="488" t="s">
        <v>26</v>
      </c>
      <c r="I9" s="488"/>
      <c r="J9" s="488"/>
      <c r="K9" s="488"/>
      <c r="L9" s="488">
        <v>17250</v>
      </c>
      <c r="M9" s="488"/>
      <c r="N9" s="488"/>
      <c r="O9" s="488"/>
      <c r="P9" s="488"/>
      <c r="Q9" s="488"/>
      <c r="R9" s="488"/>
      <c r="S9" s="488" t="s">
        <v>27</v>
      </c>
      <c r="T9" s="488"/>
      <c r="U9" s="488"/>
      <c r="V9" s="488"/>
      <c r="W9" s="488"/>
      <c r="X9" s="488">
        <v>0</v>
      </c>
      <c r="Y9" s="488"/>
      <c r="Z9" s="488"/>
      <c r="AA9" s="488"/>
      <c r="AB9" s="488" t="s">
        <v>28</v>
      </c>
      <c r="AC9" s="488"/>
      <c r="AD9" s="488"/>
      <c r="AE9" s="488"/>
      <c r="AF9" s="488"/>
      <c r="AG9" s="488">
        <v>1.01</v>
      </c>
      <c r="AH9" s="488"/>
      <c r="AI9" s="497"/>
    </row>
    <row r="10" ht="36" customHeight="1" spans="1:35">
      <c r="A10" s="488" t="s">
        <v>29</v>
      </c>
      <c r="B10" s="488"/>
      <c r="C10" s="488"/>
      <c r="D10" s="488">
        <v>0.35</v>
      </c>
      <c r="E10" s="488"/>
      <c r="F10" s="488"/>
      <c r="G10" s="488"/>
      <c r="H10" s="488" t="s">
        <v>30</v>
      </c>
      <c r="I10" s="488"/>
      <c r="J10" s="488"/>
      <c r="K10" s="488"/>
      <c r="L10" s="496" t="s">
        <v>31</v>
      </c>
      <c r="M10" s="496"/>
      <c r="N10" s="496"/>
      <c r="O10" s="496"/>
      <c r="P10" s="496"/>
      <c r="Q10" s="496"/>
      <c r="R10" s="496"/>
      <c r="S10" s="488" t="s">
        <v>32</v>
      </c>
      <c r="T10" s="488"/>
      <c r="U10" s="488"/>
      <c r="V10" s="488"/>
      <c r="W10" s="488"/>
      <c r="X10" s="498" t="s">
        <v>33</v>
      </c>
      <c r="Y10" s="499"/>
      <c r="Z10" s="499"/>
      <c r="AA10" s="500"/>
      <c r="AB10" s="488" t="s">
        <v>34</v>
      </c>
      <c r="AC10" s="488"/>
      <c r="AD10" s="488"/>
      <c r="AE10" s="488"/>
      <c r="AF10" s="488"/>
      <c r="AG10" s="496" t="s">
        <v>35</v>
      </c>
      <c r="AH10" s="496"/>
      <c r="AI10" s="501"/>
    </row>
    <row r="11" ht="36" customHeight="1" spans="1:35">
      <c r="A11" s="487" t="s">
        <v>36</v>
      </c>
      <c r="B11" s="487"/>
      <c r="C11" s="487"/>
      <c r="D11" s="487"/>
      <c r="E11" s="487"/>
      <c r="F11" s="487"/>
      <c r="G11" s="487"/>
      <c r="H11" s="487"/>
      <c r="I11" s="487"/>
      <c r="J11" s="487"/>
      <c r="K11" s="487"/>
      <c r="L11" s="487"/>
      <c r="M11" s="487"/>
      <c r="N11" s="487"/>
      <c r="O11" s="487"/>
      <c r="P11" s="487"/>
      <c r="Q11" s="487"/>
      <c r="R11" s="487"/>
      <c r="S11" s="487"/>
      <c r="T11" s="487"/>
      <c r="U11" s="487"/>
      <c r="V11" s="487"/>
      <c r="W11" s="487"/>
      <c r="X11" s="487"/>
      <c r="Y11" s="487"/>
      <c r="Z11" s="487"/>
      <c r="AA11" s="487"/>
      <c r="AB11" s="487"/>
      <c r="AC11" s="487"/>
      <c r="AD11" s="487"/>
      <c r="AE11" s="487"/>
      <c r="AF11" s="487"/>
      <c r="AG11" s="487"/>
      <c r="AH11" s="487"/>
      <c r="AI11" s="487"/>
    </row>
    <row r="12" ht="36" customHeight="1" spans="1:35">
      <c r="A12" s="472" t="s">
        <v>37</v>
      </c>
      <c r="B12" s="472" t="s">
        <v>38</v>
      </c>
      <c r="C12" s="472" t="s">
        <v>39</v>
      </c>
      <c r="D12" s="472"/>
      <c r="E12" s="472"/>
      <c r="F12" s="472"/>
      <c r="G12" s="472"/>
      <c r="H12" s="472"/>
      <c r="I12" s="472"/>
      <c r="J12" s="472"/>
      <c r="K12" s="472"/>
      <c r="L12" s="472"/>
      <c r="M12" s="472"/>
      <c r="N12" s="472"/>
      <c r="O12" s="472"/>
      <c r="P12" s="472"/>
      <c r="Q12" s="472" t="s">
        <v>40</v>
      </c>
      <c r="R12" s="472"/>
      <c r="S12" s="472"/>
      <c r="T12" s="472"/>
      <c r="U12" s="472"/>
      <c r="V12" s="472"/>
      <c r="W12" s="472"/>
      <c r="X12" s="472"/>
      <c r="Y12" s="472"/>
      <c r="Z12" s="472"/>
      <c r="AA12" s="472" t="s">
        <v>41</v>
      </c>
      <c r="AB12" s="472"/>
      <c r="AC12" s="472"/>
      <c r="AD12" s="472"/>
      <c r="AE12" s="472"/>
      <c r="AF12" s="472"/>
      <c r="AG12" s="472"/>
      <c r="AH12" s="472"/>
      <c r="AI12" s="472"/>
    </row>
    <row r="13" ht="36" customHeight="1" spans="1:35">
      <c r="A13" t="s">
        <v>42</v>
      </c>
      <c r="B13" t="s">
        <v>43</v>
      </c>
      <c r="C13" s="488" t="s">
        <v>44</v>
      </c>
      <c r="D13" s="488"/>
      <c r="E13" s="488"/>
      <c r="F13" s="488"/>
      <c r="G13" s="488"/>
      <c r="H13" s="488"/>
      <c r="I13" s="488"/>
      <c r="J13" s="488"/>
      <c r="K13" s="488"/>
      <c r="L13" s="488"/>
      <c r="M13" s="488"/>
      <c r="N13" s="488"/>
      <c r="O13" s="488"/>
      <c r="P13" s="488"/>
      <c r="Q13" s="488">
        <v>45156000</v>
      </c>
      <c r="R13" s="488"/>
      <c r="S13" s="488"/>
      <c r="T13" s="488"/>
      <c r="U13" s="488"/>
      <c r="V13" s="488"/>
      <c r="W13" s="488"/>
      <c r="X13" s="488"/>
      <c r="Y13" s="488"/>
      <c r="Z13" s="488"/>
      <c r="AA13" s="488">
        <v>17250</v>
      </c>
      <c r="AB13" s="488"/>
      <c r="AC13" s="488"/>
      <c r="AD13" s="488"/>
      <c r="AE13" s="488"/>
      <c r="AF13" s="488"/>
      <c r="AG13" s="488"/>
      <c r="AH13" s="488"/>
      <c r="AI13" s="488"/>
    </row>
    <row r="14" ht="36" customHeight="1" spans="1:35">
      <c r="A14" s="487" t="s">
        <v>45</v>
      </c>
      <c r="B14" s="487"/>
      <c r="C14" s="487"/>
      <c r="D14" s="487"/>
      <c r="E14" s="487"/>
      <c r="F14" s="487"/>
      <c r="G14" s="487"/>
      <c r="H14" s="487"/>
      <c r="I14" s="487"/>
      <c r="J14" s="487"/>
      <c r="K14" s="487"/>
      <c r="L14" s="487"/>
      <c r="M14" s="487"/>
      <c r="N14" s="487"/>
      <c r="O14" s="487"/>
      <c r="P14" s="487"/>
      <c r="Q14" s="487"/>
      <c r="R14" s="487"/>
      <c r="S14" s="487"/>
      <c r="T14" s="487"/>
      <c r="U14" s="487"/>
      <c r="V14" s="487"/>
      <c r="W14" s="487"/>
      <c r="X14" s="487"/>
      <c r="Y14" s="487"/>
      <c r="Z14" s="487"/>
      <c r="AA14" s="487"/>
      <c r="AB14" s="487"/>
      <c r="AC14" s="487"/>
      <c r="AD14" s="487"/>
      <c r="AE14" s="487"/>
      <c r="AF14" s="487"/>
      <c r="AG14" s="487"/>
      <c r="AH14" s="487"/>
      <c r="AI14" s="487"/>
    </row>
    <row r="15" ht="36" customHeight="1" spans="1:35">
      <c r="A15" s="472" t="s">
        <v>37</v>
      </c>
      <c r="B15" s="472" t="s">
        <v>46</v>
      </c>
      <c r="C15" s="472" t="s">
        <v>47</v>
      </c>
      <c r="D15" s="472"/>
      <c r="E15" s="472"/>
      <c r="F15" s="472"/>
      <c r="G15" s="472"/>
      <c r="H15" s="472" t="s">
        <v>48</v>
      </c>
      <c r="I15" s="472"/>
      <c r="J15" s="472"/>
      <c r="K15" s="472"/>
      <c r="L15" s="472"/>
      <c r="M15" s="472"/>
      <c r="N15" s="472"/>
      <c r="O15" s="472" t="s">
        <v>49</v>
      </c>
      <c r="P15" s="472"/>
      <c r="Q15" s="472"/>
      <c r="R15" s="472"/>
      <c r="S15" s="472"/>
      <c r="T15" s="472"/>
      <c r="U15" s="472"/>
      <c r="V15" s="472"/>
      <c r="W15" s="472"/>
      <c r="X15" s="472" t="s">
        <v>50</v>
      </c>
      <c r="Y15" s="472"/>
      <c r="Z15" s="472"/>
      <c r="AA15" s="472" t="s">
        <v>51</v>
      </c>
      <c r="AB15" s="472"/>
      <c r="AC15" s="472"/>
      <c r="AD15" s="472"/>
      <c r="AE15" s="472" t="s">
        <v>52</v>
      </c>
      <c r="AF15" s="472"/>
      <c r="AG15" s="472" t="s">
        <v>53</v>
      </c>
      <c r="AH15" s="472"/>
      <c r="AI15" s="472"/>
    </row>
    <row r="16" ht="36" customHeight="1" spans="1:35">
      <c r="A16" t="s">
        <v>42</v>
      </c>
      <c r="B16" t="s">
        <v>54</v>
      </c>
      <c r="C16" s="488" t="s">
        <v>55</v>
      </c>
      <c r="D16" s="488"/>
      <c r="E16" s="488"/>
      <c r="F16" s="488"/>
      <c r="G16" s="488"/>
      <c r="H16" s="488" t="s">
        <v>56</v>
      </c>
      <c r="I16" s="488"/>
      <c r="J16" s="488"/>
      <c r="K16" s="488"/>
      <c r="L16" s="488"/>
      <c r="M16" s="488"/>
      <c r="N16" s="488"/>
      <c r="O16" s="488" t="s">
        <v>57</v>
      </c>
      <c r="P16" s="488"/>
      <c r="Q16" s="488"/>
      <c r="R16" s="488"/>
      <c r="S16" s="488"/>
      <c r="T16" s="488"/>
      <c r="U16" s="488"/>
      <c r="V16" s="488"/>
      <c r="W16" s="488"/>
      <c r="X16" s="488" t="s">
        <v>58</v>
      </c>
      <c r="Y16" s="488"/>
      <c r="Z16" s="488"/>
      <c r="AA16" s="488">
        <v>16456.05</v>
      </c>
      <c r="AB16" s="488"/>
      <c r="AC16" s="488"/>
      <c r="AD16" s="488"/>
      <c r="AE16" s="488">
        <v>50</v>
      </c>
      <c r="AF16" s="488"/>
      <c r="AG16" s="498" t="s">
        <v>59</v>
      </c>
      <c r="AH16" s="499"/>
      <c r="AI16" s="500"/>
    </row>
    <row r="17" ht="36" customHeight="1" spans="1:35">
      <c r="A17" s="487" t="s">
        <v>60</v>
      </c>
      <c r="B17" s="487"/>
      <c r="C17" s="487"/>
      <c r="D17" s="487"/>
      <c r="E17" s="487"/>
      <c r="F17" s="487"/>
      <c r="G17" s="487"/>
      <c r="H17" s="487"/>
      <c r="I17" s="487"/>
      <c r="J17" s="487"/>
      <c r="K17" s="487"/>
      <c r="L17" s="487"/>
      <c r="M17" s="487"/>
      <c r="N17" s="487"/>
      <c r="O17" s="487"/>
      <c r="P17" s="487"/>
      <c r="Q17" s="487"/>
      <c r="R17" s="487"/>
      <c r="S17" s="487"/>
      <c r="T17" s="487"/>
      <c r="U17" s="487"/>
      <c r="V17" s="487"/>
      <c r="W17" s="487"/>
      <c r="X17" s="487"/>
      <c r="Y17" s="487"/>
      <c r="Z17" s="487"/>
      <c r="AA17" s="487"/>
      <c r="AB17" s="487"/>
      <c r="AC17" s="487"/>
      <c r="AD17" s="487"/>
      <c r="AE17" s="487"/>
      <c r="AF17" s="487"/>
      <c r="AG17" s="487"/>
      <c r="AH17" s="487"/>
      <c r="AI17" s="487"/>
    </row>
    <row r="18" ht="36" customHeight="1" spans="1:35">
      <c r="A18" s="472" t="s">
        <v>37</v>
      </c>
      <c r="B18" s="472" t="s">
        <v>61</v>
      </c>
      <c r="C18" s="472" t="s">
        <v>62</v>
      </c>
      <c r="D18" s="472"/>
      <c r="E18" s="472"/>
      <c r="F18" s="472"/>
      <c r="G18" s="472"/>
      <c r="H18" s="472" t="s">
        <v>63</v>
      </c>
      <c r="I18" s="472"/>
      <c r="J18" s="472"/>
      <c r="K18" s="472"/>
      <c r="L18" s="472"/>
      <c r="M18" s="472"/>
      <c r="N18" s="472"/>
      <c r="O18" s="472"/>
      <c r="P18" s="472"/>
      <c r="Q18" s="472"/>
      <c r="R18" s="472"/>
      <c r="S18" s="472" t="s">
        <v>50</v>
      </c>
      <c r="T18" s="472"/>
      <c r="U18" s="472"/>
      <c r="V18" s="472" t="s">
        <v>64</v>
      </c>
      <c r="W18" s="472"/>
      <c r="X18" s="472"/>
      <c r="Y18" s="472"/>
      <c r="Z18" s="472"/>
      <c r="AA18" s="472" t="s">
        <v>65</v>
      </c>
      <c r="AB18" s="472"/>
      <c r="AC18" s="472"/>
      <c r="AD18" s="472"/>
      <c r="AE18" s="472"/>
      <c r="AF18" s="472"/>
      <c r="AG18" s="472" t="s">
        <v>66</v>
      </c>
      <c r="AH18" s="472"/>
      <c r="AI18" s="472"/>
    </row>
    <row r="19" ht="36" customHeight="1" spans="1:35">
      <c r="A19" t="s">
        <v>42</v>
      </c>
      <c r="B19" t="s">
        <v>67</v>
      </c>
      <c r="C19" s="488" t="s">
        <v>68</v>
      </c>
      <c r="D19" s="488"/>
      <c r="E19" s="488"/>
      <c r="F19" s="488"/>
      <c r="G19" s="488"/>
      <c r="H19" s="488" t="s">
        <v>69</v>
      </c>
      <c r="I19" s="488"/>
      <c r="J19" s="488"/>
      <c r="K19" s="488"/>
      <c r="L19" s="488"/>
      <c r="M19" s="488"/>
      <c r="N19" s="488"/>
      <c r="O19" s="488"/>
      <c r="P19" s="488"/>
      <c r="Q19" s="488"/>
      <c r="R19" s="488"/>
      <c r="S19" s="488" t="s">
        <v>58</v>
      </c>
      <c r="T19" s="488"/>
      <c r="U19" s="488"/>
      <c r="V19" s="488">
        <v>15509.2</v>
      </c>
      <c r="W19" s="488"/>
      <c r="X19" s="488"/>
      <c r="Y19" s="488"/>
      <c r="Z19" s="488"/>
      <c r="AA19" s="488">
        <v>14176.14</v>
      </c>
      <c r="AB19" s="488"/>
      <c r="AC19" s="488"/>
      <c r="AD19" s="488"/>
      <c r="AE19" s="488"/>
      <c r="AF19" s="488"/>
      <c r="AG19" s="496" t="s">
        <v>70</v>
      </c>
      <c r="AH19" s="488"/>
      <c r="AI19" s="488"/>
    </row>
    <row r="20" ht="36" customHeight="1" spans="1:35">
      <c r="A20" s="487" t="s">
        <v>71</v>
      </c>
      <c r="B20" s="487"/>
      <c r="C20" s="487"/>
      <c r="D20" s="487"/>
      <c r="E20" s="487"/>
      <c r="F20" s="487"/>
      <c r="G20" s="487"/>
      <c r="H20" s="487"/>
      <c r="I20" s="487"/>
      <c r="J20" s="487"/>
      <c r="K20" s="487"/>
      <c r="L20" s="487"/>
      <c r="M20" s="487"/>
      <c r="N20" s="487"/>
      <c r="O20" s="487"/>
      <c r="P20" s="487"/>
      <c r="Q20" s="487"/>
      <c r="R20" s="487"/>
      <c r="S20" s="487"/>
      <c r="T20" s="487"/>
      <c r="U20" s="487"/>
      <c r="V20" s="487"/>
      <c r="W20" s="487"/>
      <c r="X20" s="487"/>
      <c r="Y20" s="487"/>
      <c r="Z20" s="487"/>
      <c r="AA20" s="487"/>
      <c r="AB20" s="487"/>
      <c r="AC20" s="487"/>
      <c r="AD20" s="487"/>
      <c r="AE20" s="487"/>
      <c r="AF20" s="487"/>
      <c r="AG20" s="487"/>
      <c r="AH20" s="487"/>
      <c r="AI20" s="487"/>
    </row>
    <row r="21" ht="36" customHeight="1" spans="1:35">
      <c r="A21" s="472" t="s">
        <v>37</v>
      </c>
      <c r="B21" s="472" t="s">
        <v>72</v>
      </c>
      <c r="C21" s="472" t="s">
        <v>73</v>
      </c>
      <c r="D21" s="472"/>
      <c r="E21" s="472"/>
      <c r="F21" s="472"/>
      <c r="G21" s="472"/>
      <c r="H21" s="472" t="s">
        <v>74</v>
      </c>
      <c r="I21" s="472"/>
      <c r="J21" s="472"/>
      <c r="K21" s="472"/>
      <c r="L21" s="472"/>
      <c r="M21" s="472"/>
      <c r="N21" s="472"/>
      <c r="O21" s="472"/>
      <c r="P21" s="472"/>
      <c r="Q21" s="472"/>
      <c r="R21" s="472"/>
      <c r="S21" s="472" t="s">
        <v>65</v>
      </c>
      <c r="T21" s="472"/>
      <c r="U21" s="472"/>
      <c r="V21" s="472"/>
      <c r="W21" s="472"/>
      <c r="X21" s="472"/>
      <c r="Y21" s="472"/>
      <c r="Z21" s="472"/>
      <c r="AA21" s="472" t="s">
        <v>75</v>
      </c>
      <c r="AB21" s="472"/>
      <c r="AC21" s="472"/>
      <c r="AD21" s="472"/>
      <c r="AE21" s="472"/>
      <c r="AF21" s="472"/>
      <c r="AG21" s="472"/>
      <c r="AH21" s="472"/>
      <c r="AI21" s="472"/>
    </row>
    <row r="22" ht="36" customHeight="1" spans="1:35">
      <c r="A22" t="s">
        <v>42</v>
      </c>
      <c r="B22" t="s">
        <v>76</v>
      </c>
      <c r="C22" s="488" t="s">
        <v>77</v>
      </c>
      <c r="D22" s="488"/>
      <c r="E22" s="488"/>
      <c r="F22" s="488"/>
      <c r="G22" s="488"/>
      <c r="H22" s="488" t="s">
        <v>78</v>
      </c>
      <c r="I22" s="488"/>
      <c r="J22" s="488"/>
      <c r="K22" s="488"/>
      <c r="L22" s="488"/>
      <c r="M22" s="488"/>
      <c r="N22" s="488"/>
      <c r="O22" s="488"/>
      <c r="P22" s="488"/>
      <c r="Q22" s="488"/>
      <c r="R22" s="488"/>
      <c r="S22" s="488">
        <v>4743.15</v>
      </c>
      <c r="T22" s="488"/>
      <c r="U22" s="488"/>
      <c r="V22" s="488"/>
      <c r="W22" s="488"/>
      <c r="X22" s="488"/>
      <c r="Y22" s="488"/>
      <c r="Z22" s="488"/>
      <c r="AA22" s="496" t="s">
        <v>79</v>
      </c>
      <c r="AB22" s="496"/>
      <c r="AC22" s="496"/>
      <c r="AD22" s="496"/>
      <c r="AE22" s="496"/>
      <c r="AF22" s="496"/>
      <c r="AG22" s="496"/>
      <c r="AH22" s="496"/>
      <c r="AI22" s="496"/>
    </row>
    <row r="23" ht="36" customHeight="1" spans="1:35">
      <c r="A23" t="s">
        <v>80</v>
      </c>
      <c r="B23" t="s">
        <v>81</v>
      </c>
      <c r="C23" t="s">
        <v>82</v>
      </c>
      <c r="D23"/>
      <c r="E23"/>
      <c r="F23"/>
      <c r="G23"/>
      <c r="H23" t="s">
        <v>78</v>
      </c>
      <c r="I23"/>
      <c r="J23"/>
      <c r="K23"/>
      <c r="L23"/>
      <c r="M23"/>
      <c r="N23"/>
      <c r="O23"/>
      <c r="P23"/>
      <c r="Q23"/>
      <c r="R23"/>
      <c r="S23">
        <v>4743.15</v>
      </c>
      <c r="T23"/>
      <c r="U23"/>
      <c r="V23"/>
      <c r="W23"/>
      <c r="X23"/>
      <c r="Y23"/>
      <c r="Z23"/>
      <c r="AA23" t="s">
        <v>79</v>
      </c>
      <c r="AB23"/>
      <c r="AC23"/>
      <c r="AD23"/>
      <c r="AE23"/>
      <c r="AF23"/>
      <c r="AG23"/>
      <c r="AH23"/>
      <c r="AI23"/>
    </row>
    <row r="24" ht="36" customHeight="1" spans="1:35">
      <c r="A24" t="s">
        <v>83</v>
      </c>
      <c r="B24" t="s">
        <v>84</v>
      </c>
      <c r="C24" t="s">
        <v>85</v>
      </c>
      <c r="D24"/>
      <c r="E24"/>
      <c r="F24"/>
      <c r="G24"/>
      <c r="H24" t="s">
        <v>78</v>
      </c>
      <c r="I24"/>
      <c r="J24"/>
      <c r="K24"/>
      <c r="L24"/>
      <c r="M24"/>
      <c r="N24"/>
      <c r="O24"/>
      <c r="P24"/>
      <c r="Q24"/>
      <c r="R24"/>
      <c r="S24">
        <v>4743.15</v>
      </c>
      <c r="T24"/>
      <c r="U24"/>
      <c r="V24"/>
      <c r="W24"/>
      <c r="X24"/>
      <c r="Y24"/>
      <c r="Z24"/>
      <c r="AA24" t="s">
        <v>79</v>
      </c>
      <c r="AB24"/>
      <c r="AC24"/>
      <c r="AD24"/>
      <c r="AE24"/>
      <c r="AF24"/>
      <c r="AG24"/>
      <c r="AH24"/>
      <c r="AI24"/>
    </row>
    <row r="25" ht="36" customHeight="1" spans="1:35">
      <c r="A25" s="487" t="s">
        <v>86</v>
      </c>
      <c r="B25" s="487"/>
      <c r="C25" s="487"/>
      <c r="D25" s="487"/>
      <c r="E25" s="487"/>
      <c r="F25" s="487"/>
      <c r="G25" s="487"/>
      <c r="H25" s="487"/>
      <c r="I25" s="487"/>
      <c r="J25" s="487"/>
      <c r="K25" s="487"/>
      <c r="L25" s="487"/>
      <c r="M25" s="487"/>
      <c r="N25" s="487"/>
      <c r="O25" s="487"/>
      <c r="P25" s="487"/>
      <c r="Q25" s="487"/>
      <c r="R25" s="487"/>
      <c r="S25" s="487"/>
      <c r="T25" s="487"/>
      <c r="U25" s="487"/>
      <c r="V25" s="487"/>
      <c r="W25" s="487"/>
      <c r="X25" s="487"/>
      <c r="Y25" s="487"/>
      <c r="Z25" s="487"/>
      <c r="AA25" s="487"/>
      <c r="AB25" s="487"/>
      <c r="AC25" s="487"/>
      <c r="AD25" s="487"/>
      <c r="AE25" s="487"/>
      <c r="AF25" s="487"/>
      <c r="AG25" s="487"/>
      <c r="AH25" s="487"/>
      <c r="AI25" s="487"/>
    </row>
    <row r="26" ht="36" customHeight="1" spans="1:35">
      <c r="A26" s="472" t="s">
        <v>37</v>
      </c>
      <c r="B26" s="472" t="s">
        <v>87</v>
      </c>
      <c r="C26" s="472" t="s">
        <v>88</v>
      </c>
      <c r="D26" s="472"/>
      <c r="E26" s="472"/>
      <c r="F26" s="472"/>
      <c r="G26" s="472" t="s">
        <v>89</v>
      </c>
      <c r="H26" s="472" t="s">
        <v>65</v>
      </c>
      <c r="I26" s="472"/>
      <c r="J26" s="472"/>
      <c r="K26" s="472"/>
      <c r="L26" s="472"/>
      <c r="M26" s="472"/>
      <c r="N26" s="472"/>
      <c r="O26" s="472" t="s">
        <v>90</v>
      </c>
      <c r="P26" s="472"/>
      <c r="Q26" s="472"/>
      <c r="R26" s="472"/>
      <c r="S26" s="472" t="s">
        <v>91</v>
      </c>
      <c r="T26" s="472"/>
      <c r="U26" s="472"/>
      <c r="V26" s="472"/>
      <c r="W26" s="472"/>
      <c r="X26" s="472" t="s">
        <v>92</v>
      </c>
      <c r="Y26" s="472"/>
      <c r="Z26" s="472"/>
      <c r="AA26" s="472"/>
      <c r="AB26" s="472"/>
      <c r="AC26" s="472" t="s">
        <v>93</v>
      </c>
      <c r="AD26" s="472"/>
      <c r="AE26" s="472"/>
      <c r="AF26" s="472"/>
      <c r="AG26" s="472" t="s">
        <v>66</v>
      </c>
      <c r="AH26" s="472"/>
      <c r="AI26" s="472"/>
    </row>
    <row r="27" ht="36" customHeight="1" spans="1:35">
      <c r="A27" t="s">
        <v>42</v>
      </c>
      <c r="B27" t="s">
        <v>94</v>
      </c>
      <c r="C27" s="488" t="s">
        <v>95</v>
      </c>
      <c r="D27" s="488"/>
      <c r="E27" s="488"/>
      <c r="F27" s="488"/>
      <c r="G27" t="s">
        <v>96</v>
      </c>
      <c r="H27" s="488">
        <v>14229.45</v>
      </c>
      <c r="I27" s="488"/>
      <c r="J27" s="488"/>
      <c r="K27" s="488"/>
      <c r="L27" s="488"/>
      <c r="M27" s="488"/>
      <c r="N27" s="488"/>
      <c r="O27" s="488">
        <v>18948270.6</v>
      </c>
      <c r="P27" s="488"/>
      <c r="Q27" s="488"/>
      <c r="R27" s="488"/>
      <c r="S27" s="488" t="s">
        <v>97</v>
      </c>
      <c r="T27" s="488"/>
      <c r="U27" s="488"/>
      <c r="V27" s="488"/>
      <c r="W27" s="488"/>
      <c r="X27" s="496" t="s">
        <v>31</v>
      </c>
      <c r="Y27" s="496"/>
      <c r="Z27" s="496"/>
      <c r="AA27" s="496"/>
      <c r="AB27" s="496"/>
      <c r="AC27" s="496" t="s">
        <v>33</v>
      </c>
      <c r="AD27" s="496"/>
      <c r="AE27" s="496"/>
      <c r="AF27" s="496"/>
      <c r="AG27" s="496" t="s">
        <v>98</v>
      </c>
      <c r="AH27" s="496"/>
      <c r="AI27" s="496"/>
    </row>
    <row r="28" ht="36" customHeight="1" spans="1:35">
      <c r="A28" s="487" t="s">
        <v>99</v>
      </c>
      <c r="B28" s="487"/>
      <c r="C28" s="487"/>
      <c r="D28" s="487"/>
      <c r="E28" s="487"/>
      <c r="F28" s="487"/>
      <c r="G28" s="487"/>
      <c r="H28" s="487"/>
      <c r="I28" s="487"/>
      <c r="J28" s="487"/>
      <c r="K28" s="487"/>
      <c r="L28" s="487"/>
      <c r="M28" s="487"/>
      <c r="N28" s="487"/>
      <c r="O28" s="487"/>
      <c r="P28" s="487"/>
      <c r="Q28" s="487"/>
      <c r="R28" s="487"/>
      <c r="S28" s="487"/>
      <c r="T28" s="487"/>
      <c r="U28" s="487"/>
      <c r="V28" s="487"/>
      <c r="W28" s="487"/>
      <c r="X28" s="487"/>
      <c r="Y28" s="487"/>
      <c r="Z28" s="487"/>
      <c r="AA28" s="487"/>
      <c r="AB28" s="487"/>
      <c r="AC28" s="487"/>
      <c r="AD28" s="487"/>
      <c r="AE28" s="487"/>
      <c r="AF28" s="487"/>
      <c r="AG28" s="487"/>
      <c r="AH28" s="487"/>
      <c r="AI28" s="487"/>
    </row>
    <row r="29" ht="36" customHeight="1" spans="1:35">
      <c r="A29" s="488" t="s">
        <v>37</v>
      </c>
      <c r="B29" s="488" t="s">
        <v>100</v>
      </c>
      <c r="C29" s="488" t="s">
        <v>39</v>
      </c>
      <c r="D29" s="488"/>
      <c r="E29" s="488"/>
      <c r="F29" s="488" t="s">
        <v>101</v>
      </c>
      <c r="G29" s="488" t="s">
        <v>102</v>
      </c>
      <c r="H29" s="488"/>
      <c r="I29" s="488"/>
      <c r="J29" s="488"/>
      <c r="K29" s="488"/>
      <c r="L29" s="488"/>
      <c r="M29" s="488"/>
      <c r="N29" s="488"/>
      <c r="O29" s="488"/>
      <c r="P29" s="488"/>
      <c r="Q29" s="488"/>
      <c r="R29" s="488" t="s">
        <v>103</v>
      </c>
      <c r="S29" s="488"/>
      <c r="T29" s="488"/>
      <c r="U29" s="488"/>
      <c r="V29" s="488"/>
      <c r="W29" s="488"/>
      <c r="X29" s="488"/>
      <c r="Y29" s="488"/>
      <c r="Z29" s="488"/>
      <c r="AA29" s="488"/>
      <c r="AB29" s="488"/>
      <c r="AC29" s="488"/>
      <c r="AD29" s="488"/>
      <c r="AE29" s="488"/>
      <c r="AF29" s="488"/>
      <c r="AG29" s="488" t="s">
        <v>75</v>
      </c>
      <c r="AH29" s="488"/>
      <c r="AI29" s="488"/>
    </row>
    <row r="30" ht="36" customHeight="1" spans="1:35">
      <c r="A30" s="488"/>
      <c r="B30" s="488"/>
      <c r="C30" s="488"/>
      <c r="D30" s="488"/>
      <c r="E30" s="488"/>
      <c r="F30" s="488"/>
      <c r="G30" s="488" t="s">
        <v>104</v>
      </c>
      <c r="H30" s="488"/>
      <c r="I30" t="s">
        <v>105</v>
      </c>
      <c r="J30" t="s">
        <v>106</v>
      </c>
      <c r="K30" s="488" t="s">
        <v>107</v>
      </c>
      <c r="L30" s="488"/>
      <c r="M30" s="488" t="s">
        <v>108</v>
      </c>
      <c r="N30" s="488"/>
      <c r="O30" s="488"/>
      <c r="P30" s="488" t="s">
        <v>109</v>
      </c>
      <c r="Q30" s="488"/>
      <c r="R30" s="488" t="s">
        <v>104</v>
      </c>
      <c r="S30" s="488"/>
      <c r="T30" s="488" t="s">
        <v>105</v>
      </c>
      <c r="U30" s="488"/>
      <c r="V30" s="488"/>
      <c r="W30" s="488"/>
      <c r="X30" s="488" t="s">
        <v>106</v>
      </c>
      <c r="Y30" s="488"/>
      <c r="Z30" s="488" t="s">
        <v>110</v>
      </c>
      <c r="AA30" s="488"/>
      <c r="AB30" s="488"/>
      <c r="AC30" s="488" t="s">
        <v>108</v>
      </c>
      <c r="AD30" s="488"/>
      <c r="AE30" s="488"/>
      <c r="AF30" t="s">
        <v>109</v>
      </c>
      <c r="AG30" s="488"/>
      <c r="AH30" s="488"/>
      <c r="AI30" s="488"/>
    </row>
    <row r="31" ht="36" customHeight="1" spans="1:35">
      <c r="A31" t="s">
        <v>42</v>
      </c>
      <c r="B31" t="s">
        <v>111</v>
      </c>
      <c r="C31" s="488" t="s">
        <v>12</v>
      </c>
      <c r="D31" s="488"/>
      <c r="E31" s="488"/>
      <c r="F31" t="s">
        <v>112</v>
      </c>
      <c r="G31" s="488">
        <v>4075.8</v>
      </c>
      <c r="H31" s="488"/>
      <c r="I31">
        <v>0</v>
      </c>
      <c r="J31">
        <v>0</v>
      </c>
      <c r="K31" s="488">
        <v>0</v>
      </c>
      <c r="L31" s="488"/>
      <c r="M31" s="488">
        <v>0</v>
      </c>
      <c r="N31" s="488"/>
      <c r="O31" s="488"/>
      <c r="P31" s="488">
        <v>4075.8</v>
      </c>
      <c r="Q31" s="488"/>
      <c r="R31" s="488">
        <v>36</v>
      </c>
      <c r="S31" s="488"/>
      <c r="T31" s="488">
        <v>0</v>
      </c>
      <c r="U31" s="488"/>
      <c r="V31" s="488"/>
      <c r="W31" s="488"/>
      <c r="X31" s="488">
        <v>0</v>
      </c>
      <c r="Y31" s="488"/>
      <c r="Z31" s="488">
        <v>0</v>
      </c>
      <c r="AA31" s="488"/>
      <c r="AB31" s="488"/>
      <c r="AC31" s="488">
        <v>0</v>
      </c>
      <c r="AD31" s="488"/>
      <c r="AE31" s="488"/>
      <c r="AF31">
        <v>36</v>
      </c>
      <c r="AG31" s="496" t="s">
        <v>35</v>
      </c>
      <c r="AH31" s="496"/>
      <c r="AI31" s="496"/>
    </row>
    <row r="32" ht="36" customHeight="1" spans="1:35">
      <c r="A32" t="s">
        <v>80</v>
      </c>
      <c r="B32" t="s">
        <v>113</v>
      </c>
      <c r="C32" t="s">
        <v>12</v>
      </c>
      <c r="D32"/>
      <c r="E32"/>
      <c r="F32" t="s">
        <v>112</v>
      </c>
      <c r="G32">
        <v>4075.8</v>
      </c>
      <c r="H32"/>
      <c r="I32">
        <v>0</v>
      </c>
      <c r="J32">
        <v>0</v>
      </c>
      <c r="K32">
        <v>0</v>
      </c>
      <c r="L32"/>
      <c r="M32">
        <v>0</v>
      </c>
      <c r="N32"/>
      <c r="O32"/>
      <c r="P32">
        <v>4075.8</v>
      </c>
      <c r="Q32"/>
      <c r="R32">
        <v>36</v>
      </c>
      <c r="S32"/>
      <c r="T32">
        <v>0</v>
      </c>
      <c r="U32"/>
      <c r="V32"/>
      <c r="W32"/>
      <c r="X32">
        <v>0</v>
      </c>
      <c r="Y32"/>
      <c r="Z32">
        <v>0</v>
      </c>
      <c r="AA32"/>
      <c r="AB32"/>
      <c r="AC32">
        <v>0</v>
      </c>
      <c r="AD32"/>
      <c r="AE32"/>
      <c r="AF32">
        <v>36</v>
      </c>
      <c r="AG32" t="s">
        <v>35</v>
      </c>
      <c r="AH32"/>
      <c r="AI32"/>
    </row>
    <row r="33" ht="36" customHeight="1" spans="1:35">
      <c r="A33" t="s">
        <v>83</v>
      </c>
      <c r="B33" t="s">
        <v>114</v>
      </c>
      <c r="C33" t="s">
        <v>12</v>
      </c>
      <c r="D33"/>
      <c r="E33"/>
      <c r="F33" t="s">
        <v>112</v>
      </c>
      <c r="G33">
        <v>4075.8</v>
      </c>
      <c r="H33"/>
      <c r="I33">
        <v>0</v>
      </c>
      <c r="J33">
        <v>0</v>
      </c>
      <c r="K33">
        <v>0</v>
      </c>
      <c r="L33"/>
      <c r="M33">
        <v>0</v>
      </c>
      <c r="N33"/>
      <c r="O33"/>
      <c r="P33">
        <v>4075.8</v>
      </c>
      <c r="Q33"/>
      <c r="R33">
        <v>36</v>
      </c>
      <c r="S33"/>
      <c r="T33">
        <v>0</v>
      </c>
      <c r="U33"/>
      <c r="V33"/>
      <c r="W33"/>
      <c r="X33">
        <v>0</v>
      </c>
      <c r="Y33"/>
      <c r="Z33">
        <v>0</v>
      </c>
      <c r="AA33"/>
      <c r="AB33"/>
      <c r="AC33">
        <v>0</v>
      </c>
      <c r="AD33"/>
      <c r="AE33"/>
      <c r="AF33">
        <v>36</v>
      </c>
      <c r="AG33" t="s">
        <v>35</v>
      </c>
      <c r="AH33"/>
      <c r="AI33"/>
    </row>
    <row r="34" ht="36" customHeight="1" spans="1:35">
      <c r="A34" s="487" t="s">
        <v>115</v>
      </c>
      <c r="B34" s="487"/>
      <c r="C34" s="487"/>
      <c r="D34" s="487"/>
      <c r="E34" s="487"/>
      <c r="F34" s="487"/>
      <c r="G34" s="487"/>
      <c r="H34" s="487"/>
      <c r="I34" s="487"/>
      <c r="J34" s="487"/>
      <c r="K34" s="487"/>
      <c r="L34" s="487"/>
      <c r="M34" s="487"/>
      <c r="N34" s="487"/>
      <c r="O34" s="487"/>
      <c r="P34" s="487"/>
      <c r="Q34" s="487"/>
      <c r="R34" s="487"/>
      <c r="S34" s="487"/>
      <c r="T34" s="487"/>
      <c r="U34" s="487"/>
      <c r="V34" s="487"/>
      <c r="W34" s="487"/>
      <c r="X34" s="487"/>
      <c r="Y34" s="487"/>
      <c r="Z34" s="487"/>
      <c r="AA34" s="487"/>
      <c r="AB34" s="487"/>
      <c r="AC34" s="487"/>
      <c r="AD34" s="487"/>
      <c r="AE34" s="487"/>
      <c r="AF34" s="487"/>
      <c r="AG34" s="487"/>
      <c r="AH34" s="487"/>
      <c r="AI34" s="487"/>
    </row>
    <row r="35" ht="36" customHeight="1" spans="1:35">
      <c r="A35" s="488" t="s">
        <v>37</v>
      </c>
      <c r="B35" s="488" t="s">
        <v>116</v>
      </c>
      <c r="C35" s="488" t="s">
        <v>39</v>
      </c>
      <c r="D35" s="488"/>
      <c r="E35" s="488"/>
      <c r="F35" s="488"/>
      <c r="G35" s="488"/>
      <c r="H35" s="488" t="s">
        <v>117</v>
      </c>
      <c r="I35" s="488"/>
      <c r="J35" s="488"/>
      <c r="K35" s="488"/>
      <c r="L35" s="488"/>
      <c r="M35" s="488"/>
      <c r="N35" s="488"/>
      <c r="O35" s="488"/>
      <c r="P35" s="488"/>
      <c r="Q35" s="488"/>
      <c r="R35" s="488"/>
      <c r="S35" s="488"/>
      <c r="T35" s="488"/>
      <c r="U35" s="488"/>
      <c r="V35" s="488"/>
      <c r="W35" s="488"/>
      <c r="X35" s="488"/>
      <c r="Y35" s="488"/>
      <c r="Z35" s="488"/>
      <c r="AA35" s="488" t="s">
        <v>66</v>
      </c>
      <c r="AB35" s="488"/>
      <c r="AC35" s="488"/>
      <c r="AD35" s="488"/>
      <c r="AE35" s="488"/>
      <c r="AF35" s="488"/>
      <c r="AG35" s="488"/>
      <c r="AH35" s="488"/>
      <c r="AI35" s="488"/>
    </row>
    <row r="36" ht="36" customHeight="1" spans="1:35">
      <c r="A36" s="488"/>
      <c r="B36" s="488"/>
      <c r="C36" s="488"/>
      <c r="D36" s="488"/>
      <c r="E36" s="488"/>
      <c r="F36" s="488"/>
      <c r="G36" s="488"/>
      <c r="H36" s="488" t="s">
        <v>104</v>
      </c>
      <c r="I36" s="488"/>
      <c r="J36" s="488"/>
      <c r="K36" s="488"/>
      <c r="L36" s="488"/>
      <c r="M36" s="488" t="s">
        <v>105</v>
      </c>
      <c r="N36" s="488"/>
      <c r="O36" s="488"/>
      <c r="P36" s="488"/>
      <c r="Q36" s="488" t="s">
        <v>106</v>
      </c>
      <c r="R36" s="488"/>
      <c r="S36" s="488"/>
      <c r="T36" s="488"/>
      <c r="U36" s="488" t="s">
        <v>107</v>
      </c>
      <c r="V36" s="488"/>
      <c r="W36" s="488" t="s">
        <v>108</v>
      </c>
      <c r="X36" s="488"/>
      <c r="Y36" s="488" t="s">
        <v>109</v>
      </c>
      <c r="Z36" s="488"/>
      <c r="AA36" s="488"/>
      <c r="AB36" s="488"/>
      <c r="AC36" s="488"/>
      <c r="AD36" s="488"/>
      <c r="AE36" s="488"/>
      <c r="AF36" s="488"/>
      <c r="AG36" s="488"/>
      <c r="AH36" s="488"/>
      <c r="AI36" s="488"/>
    </row>
    <row r="37" ht="36" customHeight="1" spans="1:35">
      <c r="A37">
        <v>1</v>
      </c>
      <c r="B37"/>
      <c r="C37" s="488"/>
      <c r="D37" s="488"/>
      <c r="E37" s="488"/>
      <c r="F37" s="488"/>
      <c r="G37" s="488"/>
      <c r="H37" s="488"/>
      <c r="I37" s="488"/>
      <c r="J37" s="488"/>
      <c r="K37" s="488"/>
      <c r="L37" s="488"/>
      <c r="M37" s="488"/>
      <c r="N37" s="488"/>
      <c r="O37" s="488"/>
      <c r="P37" s="488"/>
      <c r="Q37" s="488"/>
      <c r="R37" s="488"/>
      <c r="S37" s="488"/>
      <c r="T37" s="488"/>
      <c r="U37" s="488"/>
      <c r="V37" s="488"/>
      <c r="W37" s="488"/>
      <c r="X37" s="488"/>
      <c r="Y37" s="488"/>
      <c r="Z37" s="488"/>
      <c r="AA37" s="496"/>
      <c r="AB37" s="496"/>
      <c r="AC37" s="496"/>
      <c r="AD37" s="496"/>
      <c r="AE37" s="496"/>
      <c r="AF37" s="496"/>
      <c r="AG37" s="496"/>
      <c r="AH37" s="496"/>
      <c r="AI37" s="496"/>
    </row>
    <row r="38" ht="36" customHeight="1" spans="1:35">
      <c r="A38" s="487" t="s">
        <v>118</v>
      </c>
      <c r="B38" s="487"/>
      <c r="C38" s="487"/>
      <c r="D38" s="487"/>
      <c r="E38" s="487"/>
      <c r="F38" s="487"/>
      <c r="G38" s="487"/>
      <c r="H38" s="487"/>
      <c r="I38" s="487"/>
      <c r="J38" s="487"/>
      <c r="K38" s="487"/>
      <c r="L38" s="487"/>
      <c r="M38" s="487"/>
      <c r="N38" s="487"/>
      <c r="O38" s="487"/>
      <c r="P38" s="487"/>
      <c r="Q38" s="487"/>
      <c r="R38" s="487"/>
      <c r="S38" s="487"/>
      <c r="T38" s="487"/>
      <c r="U38" s="487"/>
      <c r="V38" s="487"/>
      <c r="W38" s="487"/>
      <c r="X38" s="487"/>
      <c r="Y38" s="487"/>
      <c r="Z38" s="487"/>
      <c r="AA38" s="487"/>
      <c r="AB38" s="487"/>
      <c r="AC38" s="487"/>
      <c r="AD38" s="487"/>
      <c r="AE38" s="487"/>
      <c r="AF38" s="487"/>
      <c r="AG38" s="487"/>
      <c r="AH38" s="487"/>
      <c r="AI38" s="487"/>
    </row>
    <row r="39" ht="30" customHeight="1" spans="1:35">
      <c r="A39" t="s">
        <v>37</v>
      </c>
      <c r="B39" s="488" t="s">
        <v>119</v>
      </c>
      <c r="C39" s="488"/>
      <c r="D39" s="488"/>
      <c r="E39" s="488"/>
      <c r="F39" s="488"/>
      <c r="G39" s="488"/>
      <c r="H39" s="488" t="s">
        <v>120</v>
      </c>
      <c r="I39" s="488"/>
      <c r="J39" s="488"/>
      <c r="K39" s="488"/>
      <c r="L39" s="488"/>
      <c r="M39" s="488"/>
      <c r="N39" s="488" t="s">
        <v>121</v>
      </c>
      <c r="O39" s="488"/>
      <c r="P39" s="488"/>
      <c r="Q39" s="488"/>
      <c r="R39" s="488"/>
      <c r="S39" s="488"/>
      <c r="T39" s="488"/>
      <c r="U39" s="488" t="s">
        <v>122</v>
      </c>
      <c r="V39" s="488"/>
      <c r="W39" s="488"/>
      <c r="X39" s="488"/>
      <c r="Y39" s="488"/>
      <c r="Z39" s="488"/>
      <c r="AA39" s="488" t="s">
        <v>123</v>
      </c>
      <c r="AB39" s="488"/>
      <c r="AC39" s="488"/>
      <c r="AD39" s="488"/>
      <c r="AE39" s="488"/>
      <c r="AF39" s="488"/>
      <c r="AG39" s="488"/>
      <c r="AH39" s="488"/>
      <c r="AI39" s="488"/>
    </row>
    <row r="40" ht="36.4" customHeight="1" spans="1:35">
      <c r="A40" t="s">
        <v>42</v>
      </c>
      <c r="B40" s="488" t="s">
        <v>94</v>
      </c>
      <c r="C40" s="488"/>
      <c r="D40" s="488"/>
      <c r="E40" s="488"/>
      <c r="F40" s="488"/>
      <c r="G40" s="488"/>
      <c r="H40" s="496" t="s">
        <v>33</v>
      </c>
      <c r="I40" s="496"/>
      <c r="J40" s="496"/>
      <c r="K40" s="496"/>
      <c r="L40" s="496"/>
      <c r="M40" s="496"/>
      <c r="N40" s="496" t="s">
        <v>33</v>
      </c>
      <c r="O40" s="496"/>
      <c r="P40" s="496"/>
      <c r="Q40" s="496"/>
      <c r="R40" s="496"/>
      <c r="S40" s="496"/>
      <c r="T40" s="496"/>
      <c r="U40" s="488">
        <v>5290300</v>
      </c>
      <c r="V40" s="488"/>
      <c r="W40" s="488"/>
      <c r="X40" s="488"/>
      <c r="Y40" s="488"/>
      <c r="Z40" s="488"/>
      <c r="AA40" s="488">
        <v>4725.38</v>
      </c>
      <c r="AB40" s="488"/>
      <c r="AC40" s="488"/>
      <c r="AD40" s="488"/>
      <c r="AE40" s="488"/>
      <c r="AF40" s="488"/>
      <c r="AG40" s="488"/>
      <c r="AH40" s="488"/>
      <c r="AI40" s="488"/>
    </row>
  </sheetData>
  <protectedRanges>
    <protectedRange sqref="A6:AI17" name="A6:AI17"/>
  </protectedRanges>
  <mergeCells count="190">
    <mergeCell ref="A1:AI1"/>
    <mergeCell ref="A2:AI2"/>
    <mergeCell ref="A3:B3"/>
    <mergeCell ref="C3:F3"/>
    <mergeCell ref="I3:Y3"/>
    <mergeCell ref="Z3:AB3"/>
    <mergeCell ref="AC3:AI3"/>
    <mergeCell ref="A4:Y4"/>
    <mergeCell ref="Z4:AI4"/>
    <mergeCell ref="A5:AI5"/>
    <mergeCell ref="A6:C6"/>
    <mergeCell ref="D6:G6"/>
    <mergeCell ref="H6:R6"/>
    <mergeCell ref="S6:W6"/>
    <mergeCell ref="X6:AF6"/>
    <mergeCell ref="AG6:AI6"/>
    <mergeCell ref="A7:C7"/>
    <mergeCell ref="D7:W7"/>
    <mergeCell ref="X7:AF7"/>
    <mergeCell ref="AG7:AI7"/>
    <mergeCell ref="A8:C8"/>
    <mergeCell ref="D8:G8"/>
    <mergeCell ref="H8:R8"/>
    <mergeCell ref="S8:W8"/>
    <mergeCell ref="X8:AF8"/>
    <mergeCell ref="AG8:AI8"/>
    <mergeCell ref="A9:C9"/>
    <mergeCell ref="D9:G9"/>
    <mergeCell ref="H9:K9"/>
    <mergeCell ref="L9:R9"/>
    <mergeCell ref="S9:W9"/>
    <mergeCell ref="X9:AA9"/>
    <mergeCell ref="AB9:AF9"/>
    <mergeCell ref="AG9:AI9"/>
    <mergeCell ref="A10:C10"/>
    <mergeCell ref="D10:G10"/>
    <mergeCell ref="H10:K10"/>
    <mergeCell ref="L10:R10"/>
    <mergeCell ref="S10:W10"/>
    <mergeCell ref="X10:AA10"/>
    <mergeCell ref="AB10:AF10"/>
    <mergeCell ref="AG10:AI10"/>
    <mergeCell ref="A11:AI11"/>
    <mergeCell ref="C12:P12"/>
    <mergeCell ref="Q12:Z12"/>
    <mergeCell ref="AA12:AI12"/>
    <mergeCell ref="C13:P13"/>
    <mergeCell ref="Q13:Z13"/>
    <mergeCell ref="AA13:AI13"/>
    <mergeCell ref="A14:AI14"/>
    <mergeCell ref="C15:G15"/>
    <mergeCell ref="H15:N15"/>
    <mergeCell ref="O15:W15"/>
    <mergeCell ref="X15:Z15"/>
    <mergeCell ref="AA15:AD15"/>
    <mergeCell ref="AE15:AF15"/>
    <mergeCell ref="AG15:AI15"/>
    <mergeCell ref="C16:G16"/>
    <mergeCell ref="H16:N16"/>
    <mergeCell ref="O16:W16"/>
    <mergeCell ref="X16:Z16"/>
    <mergeCell ref="AA16:AD16"/>
    <mergeCell ref="AE16:AF16"/>
    <mergeCell ref="AG16:AI16"/>
    <mergeCell ref="A17:AI17"/>
    <mergeCell ref="C18:G18"/>
    <mergeCell ref="H18:R18"/>
    <mergeCell ref="S18:U18"/>
    <mergeCell ref="V18:Z18"/>
    <mergeCell ref="AA18:AF18"/>
    <mergeCell ref="AG18:AI18"/>
    <mergeCell ref="C19:G19"/>
    <mergeCell ref="H19:R19"/>
    <mergeCell ref="S19:U19"/>
    <mergeCell ref="V19:Z19"/>
    <mergeCell ref="AA19:AF19"/>
    <mergeCell ref="AG19:AI19"/>
    <mergeCell ref="A20:AI20"/>
    <mergeCell ref="C21:G21"/>
    <mergeCell ref="H21:R21"/>
    <mergeCell ref="S21:Z21"/>
    <mergeCell ref="AA21:AI21"/>
    <mergeCell ref="C22:G22"/>
    <mergeCell ref="H22:R22"/>
    <mergeCell ref="S22:Z22"/>
    <mergeCell ref="AA22:AI22"/>
    <mergeCell ref="C23:G23"/>
    <mergeCell ref="H23:R23"/>
    <mergeCell ref="S23:Z23"/>
    <mergeCell ref="AA23:AI23"/>
    <mergeCell ref="C24:G24"/>
    <mergeCell ref="H24:R24"/>
    <mergeCell ref="S24:Z24"/>
    <mergeCell ref="AA24:AI24"/>
    <mergeCell ref="A25:AI25"/>
    <mergeCell ref="C26:F26"/>
    <mergeCell ref="H26:N26"/>
    <mergeCell ref="O26:R26"/>
    <mergeCell ref="S26:W26"/>
    <mergeCell ref="X26:AB26"/>
    <mergeCell ref="AC26:AF26"/>
    <mergeCell ref="AG26:AI26"/>
    <mergeCell ref="C27:F27"/>
    <mergeCell ref="H27:N27"/>
    <mergeCell ref="O27:R27"/>
    <mergeCell ref="S27:W27"/>
    <mergeCell ref="X27:AB27"/>
    <mergeCell ref="AC27:AF27"/>
    <mergeCell ref="AG27:AI27"/>
    <mergeCell ref="A28:AI28"/>
    <mergeCell ref="G29:Q29"/>
    <mergeCell ref="R29:AF29"/>
    <mergeCell ref="G30:H30"/>
    <mergeCell ref="K30:L30"/>
    <mergeCell ref="M30:O30"/>
    <mergeCell ref="P30:Q30"/>
    <mergeCell ref="R30:S30"/>
    <mergeCell ref="T30:W30"/>
    <mergeCell ref="X30:Y30"/>
    <mergeCell ref="Z30:AB30"/>
    <mergeCell ref="AC30:AE30"/>
    <mergeCell ref="C31:E31"/>
    <mergeCell ref="G31:H31"/>
    <mergeCell ref="K31:L31"/>
    <mergeCell ref="M31:O31"/>
    <mergeCell ref="P31:Q31"/>
    <mergeCell ref="R31:S31"/>
    <mergeCell ref="T31:W31"/>
    <mergeCell ref="X31:Y31"/>
    <mergeCell ref="Z31:AB31"/>
    <mergeCell ref="AC31:AE31"/>
    <mergeCell ref="AG31:AI31"/>
    <mergeCell ref="C32:E32"/>
    <mergeCell ref="G32:H32"/>
    <mergeCell ref="K32:L32"/>
    <mergeCell ref="M32:O32"/>
    <mergeCell ref="P32:Q32"/>
    <mergeCell ref="R32:S32"/>
    <mergeCell ref="T32:W32"/>
    <mergeCell ref="X32:Y32"/>
    <mergeCell ref="Z32:AB32"/>
    <mergeCell ref="AC32:AE32"/>
    <mergeCell ref="AG32:AI32"/>
    <mergeCell ref="C33:E33"/>
    <mergeCell ref="G33:H33"/>
    <mergeCell ref="K33:L33"/>
    <mergeCell ref="M33:O33"/>
    <mergeCell ref="P33:Q33"/>
    <mergeCell ref="R33:S33"/>
    <mergeCell ref="T33:W33"/>
    <mergeCell ref="X33:Y33"/>
    <mergeCell ref="Z33:AB33"/>
    <mergeCell ref="AC33:AE33"/>
    <mergeCell ref="AG33:AI33"/>
    <mergeCell ref="A34:AI34"/>
    <mergeCell ref="H35:Z35"/>
    <mergeCell ref="H36:L36"/>
    <mergeCell ref="M36:P36"/>
    <mergeCell ref="Q36:T36"/>
    <mergeCell ref="U36:V36"/>
    <mergeCell ref="W36:X36"/>
    <mergeCell ref="Y36:Z36"/>
    <mergeCell ref="C37:G37"/>
    <mergeCell ref="H37:L37"/>
    <mergeCell ref="M37:P37"/>
    <mergeCell ref="Q37:T37"/>
    <mergeCell ref="U37:V37"/>
    <mergeCell ref="W37:X37"/>
    <mergeCell ref="Y37:Z37"/>
    <mergeCell ref="AA37:AI37"/>
    <mergeCell ref="A38:AI38"/>
    <mergeCell ref="B39:G39"/>
    <mergeCell ref="H39:M39"/>
    <mergeCell ref="N39:T39"/>
    <mergeCell ref="U39:Z39"/>
    <mergeCell ref="AA39:AI39"/>
    <mergeCell ref="B40:G40"/>
    <mergeCell ref="H40:M40"/>
    <mergeCell ref="N40:T40"/>
    <mergeCell ref="U40:Z40"/>
    <mergeCell ref="AA40:AI40"/>
    <mergeCell ref="A29:A30"/>
    <mergeCell ref="A35:A36"/>
    <mergeCell ref="B29:B30"/>
    <mergeCell ref="B35:B36"/>
    <mergeCell ref="F29:F30"/>
    <mergeCell ref="C29:E30"/>
    <mergeCell ref="AG29:AI30"/>
    <mergeCell ref="AA35:AI36"/>
    <mergeCell ref="C35:G36"/>
  </mergeCells>
  <dataValidations count="1">
    <dataValidation type="list" allowBlank="1" showInputMessage="1" showErrorMessage="1" sqref="AG6:AI6">
      <formula1>"是,否"</formula1>
    </dataValidation>
  </dataValidations>
  <printOptions horizontalCentered="1"/>
  <pageMargins left="0.707638888888889" right="0.707638888888889" top="0.747916666666667" bottom="0.747916666666667" header="0.432638888888889" footer="0.313888888888889"/>
  <pageSetup paperSize="9" scale="45" fitToHeight="0"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48"/>
  <sheetViews>
    <sheetView tabSelected="1" zoomScale="70" zoomScaleNormal="70" topLeftCell="A13" workbookViewId="0">
      <selection activeCell="D45" sqref="D45:E45"/>
    </sheetView>
  </sheetViews>
  <sheetFormatPr defaultColWidth="8.88405797101449" defaultRowHeight="17.5"/>
  <cols>
    <col min="1" max="1" width="37.5" style="447" customWidth="1"/>
    <col min="2" max="2" width="20.8840579710145" style="447" customWidth="1"/>
    <col min="3" max="3" width="22.5" style="355" customWidth="1"/>
    <col min="4" max="4" width="15.5" style="355" customWidth="1"/>
    <col min="5" max="5" width="27.2028985507246" style="355" customWidth="1"/>
    <col min="6" max="6" width="19.1231884057971" style="355" customWidth="1"/>
    <col min="7" max="8" width="15.5" style="355" customWidth="1"/>
    <col min="9" max="9" width="22.1231884057971" style="355" customWidth="1"/>
    <col min="10" max="10" width="15.5" style="355" customWidth="1"/>
    <col min="11" max="11" width="14" style="355"/>
    <col min="12" max="12" width="8.6231884057971" style="355"/>
    <col min="14" max="14" width="10.4202898550725"/>
    <col min="16" max="17" width="9.90579710144928"/>
  </cols>
  <sheetData>
    <row r="1" s="355" customFormat="1" ht="26.9" spans="1:12">
      <c r="A1" s="448" t="s">
        <v>124</v>
      </c>
      <c r="B1" s="448"/>
      <c r="C1" s="448"/>
      <c r="D1" s="448"/>
      <c r="E1" s="448"/>
      <c r="F1" s="448"/>
      <c r="G1" s="448"/>
      <c r="H1" s="448"/>
      <c r="I1" s="448"/>
      <c r="J1" s="448"/>
      <c r="K1" s="448"/>
      <c r="L1" s="448"/>
    </row>
    <row r="2" ht="34.5" customHeight="1" spans="1:12">
      <c r="A2" s="449" t="s">
        <v>125</v>
      </c>
      <c r="B2" s="449" t="s">
        <v>126</v>
      </c>
      <c r="C2" s="449"/>
      <c r="D2" s="449"/>
      <c r="E2" s="449"/>
      <c r="F2" s="449"/>
      <c r="G2" s="449"/>
      <c r="H2" s="449"/>
      <c r="I2" s="449"/>
      <c r="J2" s="449"/>
      <c r="K2" s="449"/>
      <c r="L2" s="449"/>
    </row>
    <row r="3" ht="34.5" customHeight="1" spans="1:12">
      <c r="A3" s="449" t="s">
        <v>127</v>
      </c>
      <c r="B3" s="449" t="str">
        <f>IF(清算项目基本情况表!C3="","",清算项目基本情况表!C3)</f>
        <v>91652801576209018D</v>
      </c>
      <c r="C3" s="449"/>
      <c r="D3" s="449"/>
      <c r="E3" s="449"/>
      <c r="F3" s="449"/>
      <c r="G3" s="449"/>
      <c r="H3" s="449"/>
      <c r="I3" s="449"/>
      <c r="J3" s="449"/>
      <c r="K3" s="449"/>
      <c r="L3" s="449"/>
    </row>
    <row r="4" ht="34.5" customHeight="1" spans="1:12">
      <c r="A4" s="450" t="s">
        <v>128</v>
      </c>
      <c r="B4" s="451" t="str">
        <f>IF(清算项目基本情况表!I3="","",清算项目基本情况表!I3)</f>
        <v>新疆通力房地产开发有限公司库尔勒分公司</v>
      </c>
      <c r="C4" s="451"/>
      <c r="D4" s="451"/>
      <c r="E4" s="451"/>
      <c r="F4" s="451"/>
      <c r="G4" s="451" t="s">
        <v>8</v>
      </c>
      <c r="H4" s="451"/>
      <c r="I4" s="451"/>
      <c r="J4" s="451"/>
      <c r="K4" s="451" t="s">
        <v>9</v>
      </c>
      <c r="L4" s="451"/>
    </row>
    <row r="5" s="445" customFormat="1" ht="34.5" customHeight="1" spans="1:12">
      <c r="A5" s="452" t="s">
        <v>39</v>
      </c>
      <c r="B5" s="453" t="str">
        <f>IF(清算项目基本情况表!D6="","",清算项目基本情况表!D6)</f>
        <v>春和景苑</v>
      </c>
      <c r="C5" s="453"/>
      <c r="D5" s="453"/>
      <c r="E5" s="453"/>
      <c r="F5" s="454" t="s">
        <v>129</v>
      </c>
      <c r="G5" s="454"/>
      <c r="H5" s="455" t="str">
        <f>IF(清算项目基本情况表!S6="","",清算项目基本情况表!S6)</f>
        <v>Z65280120200013</v>
      </c>
      <c r="I5" s="456"/>
      <c r="J5" s="456"/>
      <c r="K5" s="456"/>
      <c r="L5" s="457"/>
    </row>
    <row r="6" s="445" customFormat="1" ht="34.5" customHeight="1" spans="1:12">
      <c r="A6" s="452" t="s">
        <v>130</v>
      </c>
      <c r="B6" s="453" t="str">
        <f>清算项目基本情况表!D7</f>
        <v>库尔勒市新城辖区幸福路南侧、杜鹃河东侧、68号小区</v>
      </c>
      <c r="C6" s="453"/>
      <c r="D6" s="453"/>
      <c r="E6" s="453"/>
      <c r="F6" s="458" t="s">
        <v>131</v>
      </c>
      <c r="G6" s="458"/>
      <c r="H6" s="453" t="s">
        <v>132</v>
      </c>
      <c r="I6" s="453"/>
      <c r="J6" s="453"/>
      <c r="K6" s="453"/>
      <c r="L6" s="453"/>
    </row>
    <row r="7" s="445" customFormat="1" ht="34.5" customHeight="1" spans="1:12">
      <c r="A7" s="452" t="s">
        <v>133</v>
      </c>
      <c r="B7" s="459">
        <f>'附表1-面积统计表'!F29</f>
        <v>12227.4</v>
      </c>
      <c r="C7" s="453"/>
      <c r="D7" s="453"/>
      <c r="E7" s="453"/>
      <c r="F7" s="459" t="s">
        <v>134</v>
      </c>
      <c r="G7" s="460">
        <f>'附表1-面积统计表'!I29+'附表1-面积统计表'!J29</f>
        <v>0</v>
      </c>
      <c r="H7" s="458"/>
      <c r="I7" s="458"/>
      <c r="J7" s="458"/>
      <c r="K7" s="458"/>
      <c r="L7" s="461"/>
    </row>
    <row r="8" s="445" customFormat="1" ht="35.05" spans="1:12">
      <c r="A8" s="452" t="s">
        <v>135</v>
      </c>
      <c r="B8" s="462">
        <f>'附表1-面积统计表'!G29</f>
        <v>11744.64</v>
      </c>
      <c r="C8" s="459" t="s">
        <v>136</v>
      </c>
      <c r="D8" s="459">
        <f>'附表1-面积统计表'!G5</f>
        <v>11744.64</v>
      </c>
      <c r="E8" s="459"/>
      <c r="F8" s="463" t="s">
        <v>137</v>
      </c>
      <c r="G8" s="459">
        <f>'附表1-面积统计表'!G6</f>
        <v>0</v>
      </c>
      <c r="H8" s="459"/>
      <c r="I8" s="464" t="s">
        <v>138</v>
      </c>
      <c r="J8" s="465">
        <f>'附表1-面积统计表'!G7</f>
        <v>0</v>
      </c>
      <c r="K8" s="466"/>
      <c r="L8" s="467"/>
    </row>
    <row r="9" s="445" customFormat="1" ht="35.05" spans="1:12">
      <c r="A9" s="452" t="s">
        <v>139</v>
      </c>
      <c r="B9" s="462">
        <f>'附表1-面积统计表'!H29</f>
        <v>482.76</v>
      </c>
      <c r="C9" s="459" t="s">
        <v>140</v>
      </c>
      <c r="D9" s="459">
        <f>'附表1-面积统计表'!H5</f>
        <v>482.76</v>
      </c>
      <c r="E9" s="459"/>
      <c r="F9" s="463" t="s">
        <v>141</v>
      </c>
      <c r="G9" s="459">
        <f>'附表1-面积统计表'!H6</f>
        <v>0</v>
      </c>
      <c r="H9" s="459"/>
      <c r="I9" s="464" t="s">
        <v>142</v>
      </c>
      <c r="J9" s="465">
        <f>'附表1-面积统计表'!H7</f>
        <v>0</v>
      </c>
      <c r="K9" s="466"/>
      <c r="L9" s="467"/>
    </row>
    <row r="10" s="445" customFormat="1" ht="34.5" customHeight="1" spans="1:12">
      <c r="A10" s="468" t="s">
        <v>143</v>
      </c>
      <c r="B10" s="469"/>
      <c r="C10" s="470" t="s">
        <v>144</v>
      </c>
      <c r="D10" s="470" t="s">
        <v>145</v>
      </c>
      <c r="E10" s="470"/>
      <c r="F10" s="470" t="s">
        <v>146</v>
      </c>
      <c r="G10" s="470"/>
      <c r="H10" s="470" t="s">
        <v>147</v>
      </c>
      <c r="I10" s="470"/>
      <c r="J10" s="470" t="s">
        <v>148</v>
      </c>
      <c r="K10" s="470"/>
      <c r="L10" s="470"/>
    </row>
    <row r="11" ht="34.5" customHeight="1" spans="1:12">
      <c r="A11" s="471" t="s">
        <v>149</v>
      </c>
      <c r="B11" s="471"/>
      <c r="C11" s="472" t="s">
        <v>150</v>
      </c>
      <c r="D11" s="473">
        <f t="shared" ref="D11:H11" si="0">SUM(D12:D14)</f>
        <v>40721947.9578899</v>
      </c>
      <c r="E11" s="473"/>
      <c r="F11" s="473">
        <f t="shared" si="0"/>
        <v>0</v>
      </c>
      <c r="G11" s="473"/>
      <c r="H11" s="473">
        <f t="shared" si="0"/>
        <v>0</v>
      </c>
      <c r="I11" s="473"/>
      <c r="J11" s="473">
        <f t="shared" ref="J11:J35" si="1">SUM(D11:I11)</f>
        <v>40721947.9578899</v>
      </c>
      <c r="K11" s="473"/>
      <c r="L11" s="473"/>
    </row>
    <row r="12" ht="34.5" customHeight="1" spans="1:12">
      <c r="A12" s="471" t="s">
        <v>151</v>
      </c>
      <c r="B12" s="471"/>
      <c r="C12" s="472">
        <v>2</v>
      </c>
      <c r="D12" s="473">
        <f>'附表2-收入统计表'!C5</f>
        <v>40721947.9578899</v>
      </c>
      <c r="E12" s="473"/>
      <c r="F12" s="473">
        <f>IF($H$6="三分法",'附表2-收入统计表'!C6,"")</f>
        <v>0</v>
      </c>
      <c r="G12" s="473"/>
      <c r="H12" s="473">
        <f>IF($H$6="三分法",'附表2-收入统计表'!C7,SUM('附表2-收入统计表'!C6:C7))</f>
        <v>0</v>
      </c>
      <c r="I12" s="473"/>
      <c r="J12" s="473">
        <f t="shared" si="1"/>
        <v>40721947.9578899</v>
      </c>
      <c r="K12" s="473"/>
      <c r="L12" s="473"/>
    </row>
    <row r="13" ht="34.5" customHeight="1" spans="1:12">
      <c r="A13" s="471" t="s">
        <v>152</v>
      </c>
      <c r="B13" s="471"/>
      <c r="C13" s="472">
        <v>3</v>
      </c>
      <c r="D13" s="473">
        <f>'附表2-收入统计表'!D5</f>
        <v>0</v>
      </c>
      <c r="E13" s="473"/>
      <c r="F13" s="473">
        <f>IF($H$6="三分法",'附表2-收入统计表'!D6,"")</f>
        <v>0</v>
      </c>
      <c r="G13" s="473"/>
      <c r="H13" s="473">
        <f>IF($H$6="三分法",'附表2-收入统计表'!D7,SUM('附表2-收入统计表'!D6:D7))</f>
        <v>0</v>
      </c>
      <c r="I13" s="473"/>
      <c r="J13" s="473">
        <f t="shared" si="1"/>
        <v>0</v>
      </c>
      <c r="K13" s="473"/>
      <c r="L13" s="473"/>
    </row>
    <row r="14" ht="34.5" customHeight="1" spans="1:12">
      <c r="A14" s="471" t="s">
        <v>153</v>
      </c>
      <c r="B14" s="471"/>
      <c r="C14" s="472">
        <v>4</v>
      </c>
      <c r="D14" s="473">
        <f>'附表2-收入统计表'!E5</f>
        <v>0</v>
      </c>
      <c r="E14" s="473"/>
      <c r="F14" s="473">
        <f>IF($H$6="三分法",'附表2-收入统计表'!E6,"")</f>
        <v>0</v>
      </c>
      <c r="G14" s="473"/>
      <c r="H14" s="473">
        <f>IF($H$6="三分法",'附表2-收入统计表'!E7,SUM('附表2-收入统计表'!E6:E7))</f>
        <v>0</v>
      </c>
      <c r="I14" s="473"/>
      <c r="J14" s="473">
        <f t="shared" si="1"/>
        <v>0</v>
      </c>
      <c r="K14" s="473"/>
      <c r="L14" s="473"/>
    </row>
    <row r="15" ht="34.5" customHeight="1" spans="1:12">
      <c r="A15" s="471" t="s">
        <v>154</v>
      </c>
      <c r="B15" s="471"/>
      <c r="C15" s="472" t="s">
        <v>155</v>
      </c>
      <c r="D15" s="473">
        <f t="shared" ref="D15:H15" si="2">SUM(D16)+SUM(D18)+SUM(D26)+SUM(D29)+SUM(D33)+SUM(D34)</f>
        <v>38837520.45</v>
      </c>
      <c r="E15" s="473"/>
      <c r="F15" s="473">
        <f t="shared" si="2"/>
        <v>0</v>
      </c>
      <c r="G15" s="473"/>
      <c r="H15" s="473">
        <f t="shared" si="2"/>
        <v>0</v>
      </c>
      <c r="I15" s="473"/>
      <c r="J15" s="473">
        <f t="shared" si="1"/>
        <v>38837520.45</v>
      </c>
      <c r="K15" s="473"/>
      <c r="L15" s="473"/>
    </row>
    <row r="16" s="446" customFormat="1" ht="34.5" customHeight="1" spans="1:12">
      <c r="A16" s="471" t="s">
        <v>156</v>
      </c>
      <c r="B16" s="471"/>
      <c r="C16" s="472">
        <v>6</v>
      </c>
      <c r="D16" s="473">
        <f>SUM('附表3-扣除项目分摊表'!K7)</f>
        <v>0</v>
      </c>
      <c r="E16" s="473"/>
      <c r="F16" s="473">
        <f>IF($H$6="三分法",SUM('附表3-扣除项目分摊表'!L7),"")</f>
        <v>0</v>
      </c>
      <c r="G16" s="473"/>
      <c r="H16" s="473">
        <f>IF($H$6="三分法",SUM('附表3-扣除项目分摊表'!M7),SUM('附表3-扣除项目分摊表'!L7:M7))</f>
        <v>0</v>
      </c>
      <c r="I16" s="473"/>
      <c r="J16" s="473">
        <f t="shared" si="1"/>
        <v>0</v>
      </c>
      <c r="K16" s="473"/>
      <c r="L16" s="473"/>
    </row>
    <row r="17" s="446" customFormat="1" ht="34.5" customHeight="1" spans="1:17">
      <c r="A17" s="471" t="s">
        <v>157</v>
      </c>
      <c r="B17" s="471"/>
      <c r="C17" s="474" t="s">
        <v>158</v>
      </c>
      <c r="D17" s="473">
        <f>SUM('附表3-扣除项目分摊表'!K8)</f>
        <v>0</v>
      </c>
      <c r="E17" s="473"/>
      <c r="F17" s="473">
        <f>IF($H$6="三分法",SUM('附表3-扣除项目分摊表'!L8),"")</f>
        <v>0</v>
      </c>
      <c r="G17" s="473"/>
      <c r="H17" s="473">
        <f>IF($H$6="三分法",SUM('附表3-扣除项目分摊表'!M8),SUM('附表3-扣除项目分摊表'!L8:M8))</f>
        <v>0</v>
      </c>
      <c r="I17" s="473"/>
      <c r="J17" s="473">
        <f t="shared" si="1"/>
        <v>0</v>
      </c>
      <c r="K17" s="473"/>
      <c r="L17" s="473"/>
    </row>
    <row r="18" s="446" customFormat="1" ht="34.5" customHeight="1" spans="1:17">
      <c r="A18" s="471" t="s">
        <v>159</v>
      </c>
      <c r="B18" s="471"/>
      <c r="C18" s="472" t="s">
        <v>160</v>
      </c>
      <c r="D18" s="473">
        <f t="shared" ref="D18:H18" si="3">SUM(D19:D24)</f>
        <v>29768502.04</v>
      </c>
      <c r="E18" s="473"/>
      <c r="F18" s="473">
        <f t="shared" si="3"/>
        <v>0</v>
      </c>
      <c r="G18" s="473"/>
      <c r="H18" s="473">
        <f t="shared" si="3"/>
        <v>0</v>
      </c>
      <c r="I18" s="473"/>
      <c r="J18" s="473">
        <f t="shared" si="1"/>
        <v>29768502.04</v>
      </c>
      <c r="K18" s="473"/>
      <c r="L18" s="473"/>
    </row>
    <row r="19" s="446" customFormat="1" ht="34.5" customHeight="1" spans="1:17">
      <c r="A19" s="471" t="s">
        <v>161</v>
      </c>
      <c r="B19" s="471"/>
      <c r="C19" s="472">
        <v>8</v>
      </c>
      <c r="D19" s="473">
        <f>SUM('附表3-扣除项目分摊表'!K10)</f>
        <v>0</v>
      </c>
      <c r="E19" s="473"/>
      <c r="F19" s="473">
        <f>IF($H$6="三分法",SUM('附表3-扣除项目分摊表'!L10),"")</f>
        <v>0</v>
      </c>
      <c r="G19" s="473"/>
      <c r="H19" s="473">
        <f>IF($H$6="三分法",SUM('附表3-扣除项目分摊表'!M10),SUM('附表3-扣除项目分摊表'!L10:M10))</f>
        <v>0</v>
      </c>
      <c r="I19" s="473"/>
      <c r="J19" s="473">
        <f t="shared" si="1"/>
        <v>0</v>
      </c>
      <c r="K19" s="473"/>
      <c r="L19" s="473"/>
    </row>
    <row r="20" s="446" customFormat="1" ht="34.5" customHeight="1" spans="1:17">
      <c r="A20" s="471" t="s">
        <v>162</v>
      </c>
      <c r="B20" s="471"/>
      <c r="C20" s="472">
        <v>9</v>
      </c>
      <c r="D20" s="473">
        <f>SUM('附表3-扣除项目分摊表'!K11)</f>
        <v>361656.37</v>
      </c>
      <c r="E20" s="473"/>
      <c r="F20" s="473">
        <f>IF($H$6="三分法",SUM('附表3-扣除项目分摊表'!L11),"")</f>
        <v>0</v>
      </c>
      <c r="G20" s="473"/>
      <c r="H20" s="473">
        <f>IF($H$6="三分法",SUM('附表3-扣除项目分摊表'!M11),SUM('附表3-扣除项目分摊表'!L11:M11))</f>
        <v>0</v>
      </c>
      <c r="I20" s="473"/>
      <c r="J20" s="473">
        <f t="shared" si="1"/>
        <v>361656.37</v>
      </c>
      <c r="K20" s="473"/>
      <c r="L20" s="473"/>
    </row>
    <row r="21" s="446" customFormat="1" ht="34.5" customHeight="1" spans="1:17">
      <c r="A21" s="471" t="s">
        <v>163</v>
      </c>
      <c r="B21" s="471"/>
      <c r="C21" s="472">
        <v>10</v>
      </c>
      <c r="D21" s="473">
        <f>SUM('附表3-扣除项目分摊表'!K12)</f>
        <v>23752704</v>
      </c>
      <c r="E21" s="473"/>
      <c r="F21" s="473">
        <f>IF($H$6="三分法",SUM('附表3-扣除项目分摊表'!L12),"")</f>
        <v>0</v>
      </c>
      <c r="G21" s="473"/>
      <c r="H21" s="473">
        <f>IF($H$6="三分法",SUM('附表3-扣除项目分摊表'!M12),SUM('附表3-扣除项目分摊表'!L12:M12))</f>
        <v>0</v>
      </c>
      <c r="I21" s="473"/>
      <c r="J21" s="473">
        <f t="shared" si="1"/>
        <v>23752704</v>
      </c>
      <c r="K21" s="473"/>
      <c r="L21" s="473"/>
      <c r="P21" s="446">
        <f>D21/D8</f>
        <v>2022.42929540625</v>
      </c>
      <c r="Q21" s="446">
        <f>P21*1.09</f>
        <v>2204.44793199281</v>
      </c>
    </row>
    <row r="22" s="446" customFormat="1" ht="34.5" customHeight="1" spans="1:17">
      <c r="A22" s="471" t="s">
        <v>164</v>
      </c>
      <c r="B22" s="471"/>
      <c r="C22" s="472">
        <v>11</v>
      </c>
      <c r="D22" s="473">
        <f>SUM('附表3-扣除项目分摊表'!K13)</f>
        <v>5654141.67</v>
      </c>
      <c r="E22" s="473"/>
      <c r="F22" s="473">
        <f>IF($H$6="三分法",SUM('附表3-扣除项目分摊表'!L13),"")</f>
        <v>0</v>
      </c>
      <c r="G22" s="473"/>
      <c r="H22" s="473">
        <f>IF($H$6="三分法",SUM('附表3-扣除项目分摊表'!M13),SUM('附表3-扣除项目分摊表'!L13:M13))</f>
        <v>0</v>
      </c>
      <c r="I22" s="473"/>
      <c r="J22" s="473">
        <f t="shared" si="1"/>
        <v>5654141.67</v>
      </c>
      <c r="K22" s="473"/>
      <c r="L22" s="473"/>
    </row>
    <row r="23" s="446" customFormat="1" ht="34.5" customHeight="1" spans="1:17">
      <c r="A23" s="471" t="s">
        <v>165</v>
      </c>
      <c r="B23" s="471"/>
      <c r="C23" s="472">
        <v>12</v>
      </c>
      <c r="D23" s="473">
        <f>SUM('附表3-扣除项目分摊表'!K14)</f>
        <v>0</v>
      </c>
      <c r="E23" s="473"/>
      <c r="F23" s="473">
        <f>IF($H$6="三分法",SUM('附表3-扣除项目分摊表'!L14),"")</f>
        <v>0</v>
      </c>
      <c r="G23" s="473"/>
      <c r="H23" s="473">
        <f>IF($H$6="三分法",SUM('附表3-扣除项目分摊表'!M14),SUM('附表3-扣除项目分摊表'!L14:M14))</f>
        <v>0</v>
      </c>
      <c r="I23" s="473"/>
      <c r="J23" s="473">
        <f t="shared" si="1"/>
        <v>0</v>
      </c>
      <c r="K23" s="473"/>
      <c r="L23" s="473"/>
    </row>
    <row r="24" s="446" customFormat="1" ht="34.5" customHeight="1" spans="1:17">
      <c r="A24" s="471" t="s">
        <v>166</v>
      </c>
      <c r="B24" s="471"/>
      <c r="C24" s="472">
        <v>13</v>
      </c>
      <c r="D24" s="473">
        <f>SUM('附表3-扣除项目分摊表'!K15)</f>
        <v>0</v>
      </c>
      <c r="E24" s="473"/>
      <c r="F24" s="473">
        <f>IF($H$6="三分法",SUM('附表3-扣除项目分摊表'!L15),"")</f>
        <v>0</v>
      </c>
      <c r="G24" s="473"/>
      <c r="H24" s="473">
        <f>IF($H$6="三分法",SUM('附表3-扣除项目分摊表'!M15),SUM('附表3-扣除项目分摊表'!L15:M15))</f>
        <v>0</v>
      </c>
      <c r="I24" s="473"/>
      <c r="J24" s="473">
        <f t="shared" si="1"/>
        <v>0</v>
      </c>
      <c r="K24" s="473"/>
      <c r="L24" s="473"/>
    </row>
    <row r="25" s="446" customFormat="1" ht="34.5" customHeight="1" spans="1:17">
      <c r="A25" s="471" t="s">
        <v>157</v>
      </c>
      <c r="B25" s="471"/>
      <c r="C25" s="474" t="s">
        <v>167</v>
      </c>
      <c r="D25" s="473">
        <f>SUM('附表3-扣除项目分摊表'!K16)</f>
        <v>0</v>
      </c>
      <c r="E25" s="473"/>
      <c r="F25" s="473">
        <f>IF($H$6="三分法",SUM('附表3-扣除项目分摊表'!L16),"")</f>
        <v>0</v>
      </c>
      <c r="G25" s="473"/>
      <c r="H25" s="473">
        <f>IF($H$6="三分法",SUM('附表3-扣除项目分摊表'!M16),SUM('附表3-扣除项目分摊表'!L16:M16))</f>
        <v>0</v>
      </c>
      <c r="I25" s="473"/>
      <c r="J25" s="473">
        <f t="shared" si="1"/>
        <v>0</v>
      </c>
      <c r="K25" s="473"/>
      <c r="L25" s="473"/>
    </row>
    <row r="26" ht="34.5" customHeight="1" spans="1:17">
      <c r="A26" s="471" t="s">
        <v>168</v>
      </c>
      <c r="B26" s="471"/>
      <c r="C26" s="472" t="s">
        <v>169</v>
      </c>
      <c r="D26" s="473">
        <f t="shared" ref="D26:H26" si="4">SUM(D27:D28)</f>
        <v>2976850.2</v>
      </c>
      <c r="E26" s="473"/>
      <c r="F26" s="473">
        <f t="shared" si="4"/>
        <v>0</v>
      </c>
      <c r="G26" s="473"/>
      <c r="H26" s="473">
        <f t="shared" si="4"/>
        <v>0</v>
      </c>
      <c r="I26" s="473"/>
      <c r="J26" s="473">
        <f t="shared" si="1"/>
        <v>2976850.2</v>
      </c>
      <c r="K26" s="473"/>
      <c r="L26" s="473"/>
    </row>
    <row r="27" ht="34.5" customHeight="1" spans="1:17">
      <c r="A27" s="471" t="s">
        <v>170</v>
      </c>
      <c r="B27" s="471"/>
      <c r="C27" s="472">
        <v>15</v>
      </c>
      <c r="D27" s="473">
        <f>SUM('附表3-扣除项目分摊表'!K18)</f>
        <v>0</v>
      </c>
      <c r="E27" s="473"/>
      <c r="F27" s="473">
        <f>IF($H$6="三分法",SUM('附表3-扣除项目分摊表'!L18),"")</f>
        <v>0</v>
      </c>
      <c r="G27" s="473"/>
      <c r="H27" s="473">
        <f>IF($H$6="三分法",SUM('附表3-扣除项目分摊表'!M18),SUM('附表3-扣除项目分摊表'!L18:M18))</f>
        <v>0</v>
      </c>
      <c r="I27" s="473"/>
      <c r="J27" s="473">
        <f t="shared" si="1"/>
        <v>0</v>
      </c>
      <c r="K27" s="473"/>
      <c r="L27" s="473"/>
    </row>
    <row r="28" ht="34.5" customHeight="1" spans="1:17">
      <c r="A28" s="471" t="s">
        <v>171</v>
      </c>
      <c r="B28" s="471"/>
      <c r="C28" s="472">
        <v>16</v>
      </c>
      <c r="D28" s="473">
        <f>SUM('附表3-扣除项目分摊表'!K19)</f>
        <v>2976850.2</v>
      </c>
      <c r="E28" s="473"/>
      <c r="F28" s="473">
        <f>IF($H$6="三分法",SUM('附表3-扣除项目分摊表'!L19),"")</f>
        <v>0</v>
      </c>
      <c r="G28" s="473"/>
      <c r="H28" s="473">
        <f>IF($H$6="三分法",SUM('附表3-扣除项目分摊表'!M19),SUM('附表3-扣除项目分摊表'!L19:M19))</f>
        <v>0</v>
      </c>
      <c r="I28" s="473"/>
      <c r="J28" s="473">
        <f t="shared" si="1"/>
        <v>2976850.2</v>
      </c>
      <c r="K28" s="473"/>
      <c r="L28" s="473"/>
    </row>
    <row r="29" ht="34.5" customHeight="1" spans="1:17">
      <c r="A29" s="471" t="s">
        <v>172</v>
      </c>
      <c r="B29" s="471"/>
      <c r="C29" s="472" t="s">
        <v>173</v>
      </c>
      <c r="D29" s="473">
        <f t="shared" ref="D29:H29" si="5">SUM(D30:D32)</f>
        <v>138467.8</v>
      </c>
      <c r="E29" s="473"/>
      <c r="F29" s="473">
        <f t="shared" si="5"/>
        <v>0</v>
      </c>
      <c r="G29" s="473"/>
      <c r="H29" s="473">
        <f t="shared" si="5"/>
        <v>0</v>
      </c>
      <c r="I29" s="473"/>
      <c r="J29" s="473">
        <f t="shared" si="1"/>
        <v>138467.8</v>
      </c>
      <c r="K29" s="473"/>
      <c r="L29" s="473"/>
    </row>
    <row r="30" ht="34.5" customHeight="1" spans="1:17">
      <c r="A30" s="471" t="s">
        <v>174</v>
      </c>
      <c r="B30" s="471"/>
      <c r="C30" s="472">
        <v>18</v>
      </c>
      <c r="D30" s="473">
        <f>SUM('附表3-扣除项目分摊表'!K21)</f>
        <v>0</v>
      </c>
      <c r="E30" s="473"/>
      <c r="F30" s="473">
        <f>IF($H$6="三分法",SUM('附表3-扣除项目分摊表'!L21),"")</f>
        <v>0</v>
      </c>
      <c r="G30" s="473"/>
      <c r="H30" s="473">
        <f>IF($H$6="三分法",SUM('附表3-扣除项目分摊表'!M21),SUM('附表3-扣除项目分摊表'!L21:M21))</f>
        <v>0</v>
      </c>
      <c r="I30" s="473"/>
      <c r="J30" s="473">
        <f t="shared" si="1"/>
        <v>0</v>
      </c>
      <c r="K30" s="473"/>
      <c r="L30" s="473"/>
    </row>
    <row r="31" ht="34.5" customHeight="1" spans="1:17">
      <c r="A31" s="471" t="s">
        <v>175</v>
      </c>
      <c r="B31" s="471"/>
      <c r="C31" s="472">
        <v>19</v>
      </c>
      <c r="D31" s="473">
        <f>SUM('附表3-扣除项目分摊表'!K22)</f>
        <v>67826.7</v>
      </c>
      <c r="E31" s="473"/>
      <c r="F31" s="473">
        <f>IF($H$6="三分法",SUM('附表3-扣除项目分摊表'!L22),"")</f>
        <v>0</v>
      </c>
      <c r="G31" s="473"/>
      <c r="H31" s="473">
        <f>IF($H$6="三分法",SUM('附表3-扣除项目分摊表'!M22),SUM('附表3-扣除项目分摊表'!L22:M22))</f>
        <v>0</v>
      </c>
      <c r="I31" s="473"/>
      <c r="J31" s="473">
        <f t="shared" si="1"/>
        <v>67826.7</v>
      </c>
      <c r="K31" s="473"/>
      <c r="L31" s="473"/>
    </row>
    <row r="32" ht="34.5" customHeight="1" spans="1:17">
      <c r="A32" s="471" t="s">
        <v>176</v>
      </c>
      <c r="B32" s="471"/>
      <c r="C32" s="472">
        <v>20</v>
      </c>
      <c r="D32" s="473">
        <f>SUM('附表3-扣除项目分摊表'!K23:K25)</f>
        <v>70641.1</v>
      </c>
      <c r="E32" s="473"/>
      <c r="F32" s="473">
        <f>IF($H$6="三分法",SUM('附表3-扣除项目分摊表'!L23:L25),"")</f>
        <v>0</v>
      </c>
      <c r="G32" s="473"/>
      <c r="H32" s="473">
        <f>IF($H$6="三分法",SUM('附表3-扣除项目分摊表'!M23:M25),SUM('附表3-扣除项目分摊表'!L23:M25))</f>
        <v>0</v>
      </c>
      <c r="I32" s="473"/>
      <c r="J32" s="473">
        <f t="shared" si="1"/>
        <v>70641.1</v>
      </c>
      <c r="K32" s="473"/>
      <c r="L32" s="473"/>
    </row>
    <row r="33" ht="34.5" customHeight="1" spans="1:15">
      <c r="A33" s="471" t="s">
        <v>177</v>
      </c>
      <c r="B33" s="471"/>
      <c r="C33" s="472">
        <v>21</v>
      </c>
      <c r="D33" s="473">
        <f>SUM('附表3-扣除项目分摊表'!K26)</f>
        <v>5953700.41</v>
      </c>
      <c r="E33" s="473"/>
      <c r="F33" s="473">
        <f>IF($H$6="三分法",SUM('附表3-扣除项目分摊表'!L26),"")</f>
        <v>0</v>
      </c>
      <c r="G33" s="473"/>
      <c r="H33" s="473">
        <f>IF($H$6="三分法",SUM('附表3-扣除项目分摊表'!M26),SUM('附表3-扣除项目分摊表'!L26:M26))</f>
        <v>0</v>
      </c>
      <c r="I33" s="473"/>
      <c r="J33" s="473">
        <f t="shared" si="1"/>
        <v>5953700.41</v>
      </c>
      <c r="K33" s="473"/>
      <c r="L33" s="473"/>
    </row>
    <row r="34" ht="34.5" customHeight="1" spans="1:15">
      <c r="A34" s="471" t="s">
        <v>178</v>
      </c>
      <c r="B34" s="471"/>
      <c r="C34" s="472">
        <v>22</v>
      </c>
      <c r="D34" s="473">
        <f>SUM('附表3-扣除项目分摊表'!K27)</f>
        <v>0</v>
      </c>
      <c r="E34" s="473"/>
      <c r="F34" s="473">
        <f>IF($H$6="三分法",SUM('附表3-扣除项目分摊表'!L27),"")</f>
        <v>0</v>
      </c>
      <c r="G34" s="473"/>
      <c r="H34" s="473">
        <f>IF($H$6="三分法",SUM('附表3-扣除项目分摊表'!M27),SUM('附表3-扣除项目分摊表'!L27:M27))</f>
        <v>0</v>
      </c>
      <c r="I34" s="473"/>
      <c r="J34" s="473">
        <f t="shared" si="1"/>
        <v>0</v>
      </c>
      <c r="K34" s="473"/>
      <c r="L34" s="473"/>
    </row>
    <row r="35" ht="34.5" customHeight="1" spans="1:15">
      <c r="A35" s="471" t="s">
        <v>179</v>
      </c>
      <c r="B35" s="471"/>
      <c r="C35" s="472" t="s">
        <v>180</v>
      </c>
      <c r="D35" s="473">
        <f t="shared" ref="D35:H35" si="6">D11-D15</f>
        <v>1884427.50788991</v>
      </c>
      <c r="E35" s="473"/>
      <c r="F35" s="473">
        <f t="shared" si="6"/>
        <v>0</v>
      </c>
      <c r="G35" s="473"/>
      <c r="H35" s="473">
        <f t="shared" si="6"/>
        <v>0</v>
      </c>
      <c r="I35" s="473"/>
      <c r="J35" s="473">
        <f t="shared" si="1"/>
        <v>1884427.50788991</v>
      </c>
      <c r="K35" s="473"/>
      <c r="L35" s="473"/>
    </row>
    <row r="36" ht="34.5" customHeight="1" spans="1:15">
      <c r="A36" s="471" t="s">
        <v>181</v>
      </c>
      <c r="B36" s="471"/>
      <c r="C36" s="472" t="s">
        <v>182</v>
      </c>
      <c r="D36" s="475">
        <f>IF(D15=0,"",ROUND(D35/D15,6))</f>
        <v>0.048521</v>
      </c>
      <c r="E36" s="475"/>
      <c r="F36" s="475" t="str">
        <f t="shared" ref="D36:H36" si="7">IF(F15=0,"",ROUND(F35/F15,6))</f>
        <v/>
      </c>
      <c r="G36" s="475"/>
      <c r="H36" s="475" t="str">
        <f t="shared" si="7"/>
        <v/>
      </c>
      <c r="I36" s="475"/>
      <c r="J36" s="475">
        <f>IF(J15=0,"",ROUND(J35/J15,6))</f>
        <v>0.048521</v>
      </c>
      <c r="K36" s="475"/>
      <c r="L36" s="475"/>
    </row>
    <row r="37" ht="34.5" customHeight="1" spans="1:15">
      <c r="A37" s="471" t="s">
        <v>183</v>
      </c>
      <c r="B37" s="471"/>
      <c r="C37" s="472">
        <v>25</v>
      </c>
      <c r="D37" s="475">
        <f t="shared" ref="D37:H37" si="8">IF(D35&lt;0,"",IF(D36="","",IF(D36&gt;200%,60%,IF(D36&gt;100%,50%,IF(D36&gt;50%,40%,30%)))))</f>
        <v>0.3</v>
      </c>
      <c r="E37" s="475"/>
      <c r="F37" s="475" t="str">
        <f t="shared" si="8"/>
        <v/>
      </c>
      <c r="G37" s="475"/>
      <c r="H37" s="475" t="str">
        <f t="shared" si="8"/>
        <v/>
      </c>
      <c r="I37" s="475"/>
      <c r="J37" s="475"/>
      <c r="K37" s="475"/>
      <c r="L37" s="475"/>
    </row>
    <row r="38" ht="34.5" customHeight="1" spans="1:15">
      <c r="A38" s="471" t="s">
        <v>184</v>
      </c>
      <c r="B38" s="471"/>
      <c r="C38" s="472">
        <v>26</v>
      </c>
      <c r="D38" s="475">
        <f t="shared" ref="D38:H38" si="9">IF(D36="","",IF(D36&gt;200%,35%,IF(D36&gt;100%,15%,IF(D36&gt;50%,5%,0))))</f>
        <v>0</v>
      </c>
      <c r="E38" s="475"/>
      <c r="F38" s="475" t="str">
        <f t="shared" si="9"/>
        <v/>
      </c>
      <c r="G38" s="475"/>
      <c r="H38" s="475" t="str">
        <f t="shared" si="9"/>
        <v/>
      </c>
      <c r="I38" s="475"/>
      <c r="J38" s="475"/>
      <c r="K38" s="475"/>
      <c r="L38" s="475"/>
    </row>
    <row r="39" ht="34.5" customHeight="1" spans="1:15">
      <c r="A39" s="471" t="s">
        <v>185</v>
      </c>
      <c r="B39" s="471"/>
      <c r="C39" s="472" t="s">
        <v>186</v>
      </c>
      <c r="D39" s="473">
        <f t="shared" ref="D39:H39" si="10">IF(D35&lt;0,0,ROUND(SUM(D35)*SUM(D37)-SUM(D15)*SUM(D38),2))</f>
        <v>565328.25</v>
      </c>
      <c r="E39" s="473"/>
      <c r="F39" s="473">
        <f t="shared" si="10"/>
        <v>0</v>
      </c>
      <c r="G39" s="473"/>
      <c r="H39" s="473">
        <f t="shared" si="10"/>
        <v>0</v>
      </c>
      <c r="I39" s="473"/>
      <c r="J39" s="473">
        <f t="shared" ref="J39:J42" si="11">SUM(D39:I39)</f>
        <v>565328.25</v>
      </c>
      <c r="K39" s="473"/>
      <c r="L39" s="473"/>
    </row>
    <row r="40" ht="34.5" customHeight="1" spans="1:15">
      <c r="A40" s="471" t="s">
        <v>187</v>
      </c>
      <c r="B40" s="471"/>
      <c r="C40" s="472" t="s">
        <v>188</v>
      </c>
      <c r="D40" s="473">
        <f t="shared" ref="D40:H40" si="12">D42+D44+D46</f>
        <v>565328.25</v>
      </c>
      <c r="E40" s="473"/>
      <c r="F40" s="473">
        <f t="shared" si="12"/>
        <v>0</v>
      </c>
      <c r="G40" s="473"/>
      <c r="H40" s="473">
        <f t="shared" si="12"/>
        <v>0</v>
      </c>
      <c r="I40" s="473"/>
      <c r="J40" s="473">
        <f t="shared" si="11"/>
        <v>565328.25</v>
      </c>
      <c r="K40" s="473"/>
      <c r="L40" s="473"/>
    </row>
    <row r="41" ht="35.05" spans="1:15">
      <c r="A41" s="471" t="s">
        <v>189</v>
      </c>
      <c r="B41" s="471" t="s">
        <v>190</v>
      </c>
      <c r="C41" s="472">
        <v>29</v>
      </c>
      <c r="D41" s="473" t="str">
        <f>IF(D35&lt;0,"",IF(D36&gt;20%,"","普通住宅增值率不超过20%的土地增值税减免"))</f>
        <v>普通住宅增值率不超过20%的土地增值税减免</v>
      </c>
      <c r="E41" s="473"/>
      <c r="F41" s="473"/>
      <c r="G41" s="473"/>
      <c r="H41" s="473"/>
      <c r="I41" s="473"/>
      <c r="J41" s="473"/>
      <c r="K41" s="473"/>
      <c r="L41" s="473"/>
    </row>
    <row r="42" ht="34.5" customHeight="1" spans="1:15">
      <c r="A42" s="471"/>
      <c r="B42" s="471" t="s">
        <v>191</v>
      </c>
      <c r="C42" s="472">
        <v>30</v>
      </c>
      <c r="D42" s="473">
        <f>IF(D35&lt;0,0,IF(D36&gt;20%,0,ROUND(D35*D37,2)))</f>
        <v>565328.25</v>
      </c>
      <c r="E42" s="473"/>
      <c r="F42" s="473">
        <v>0</v>
      </c>
      <c r="G42" s="473"/>
      <c r="H42" s="473">
        <v>0</v>
      </c>
      <c r="I42" s="473"/>
      <c r="J42" s="473">
        <f t="shared" si="11"/>
        <v>565328.25</v>
      </c>
      <c r="K42" s="473"/>
      <c r="L42" s="473"/>
    </row>
    <row r="43" ht="35.05" spans="1:15">
      <c r="A43" s="471" t="s">
        <v>192</v>
      </c>
      <c r="B43" s="471" t="s">
        <v>193</v>
      </c>
      <c r="C43" s="472">
        <v>31</v>
      </c>
      <c r="D43" s="473"/>
      <c r="E43" s="473"/>
      <c r="F43" s="476"/>
      <c r="G43" s="476"/>
      <c r="H43" s="473"/>
      <c r="I43" s="473"/>
      <c r="J43" s="473"/>
      <c r="K43" s="473"/>
      <c r="L43" s="473"/>
    </row>
    <row r="44" ht="34.5" customHeight="1" spans="1:15">
      <c r="A44" s="471"/>
      <c r="B44" s="471" t="s">
        <v>194</v>
      </c>
      <c r="C44" s="472">
        <v>32</v>
      </c>
      <c r="D44" s="473">
        <v>0</v>
      </c>
      <c r="E44" s="473"/>
      <c r="F44" s="473">
        <v>0</v>
      </c>
      <c r="G44" s="473"/>
      <c r="H44" s="473">
        <v>0</v>
      </c>
      <c r="I44" s="473"/>
      <c r="J44" s="473">
        <f t="shared" ref="J44:J48" si="13">SUM(D44:I44)</f>
        <v>0</v>
      </c>
      <c r="K44" s="473"/>
      <c r="L44" s="473"/>
    </row>
    <row r="45" ht="35.05" spans="1:15">
      <c r="A45" s="471" t="s">
        <v>195</v>
      </c>
      <c r="B45" s="471" t="s">
        <v>196</v>
      </c>
      <c r="C45" s="472">
        <v>33</v>
      </c>
      <c r="D45" s="473"/>
      <c r="E45" s="473"/>
      <c r="F45" s="476"/>
      <c r="G45" s="476"/>
      <c r="H45" s="473"/>
      <c r="I45" s="473"/>
      <c r="J45" s="473"/>
      <c r="K45" s="473"/>
      <c r="L45" s="473"/>
    </row>
    <row r="46" ht="34.5" customHeight="1" spans="1:15">
      <c r="A46" s="471"/>
      <c r="B46" s="471" t="s">
        <v>197</v>
      </c>
      <c r="C46" s="472">
        <v>34</v>
      </c>
      <c r="D46" s="473">
        <v>0</v>
      </c>
      <c r="E46" s="473"/>
      <c r="F46" s="473">
        <v>0</v>
      </c>
      <c r="G46" s="473"/>
      <c r="H46" s="473">
        <v>0</v>
      </c>
      <c r="I46" s="473"/>
      <c r="J46" s="473">
        <f t="shared" si="13"/>
        <v>0</v>
      </c>
      <c r="K46" s="473"/>
      <c r="L46" s="473"/>
    </row>
    <row r="47" ht="34.5" customHeight="1" spans="1:15">
      <c r="A47" s="471" t="s">
        <v>198</v>
      </c>
      <c r="B47" s="471"/>
      <c r="C47" s="472">
        <v>35</v>
      </c>
      <c r="D47" s="473">
        <v>407219.47</v>
      </c>
      <c r="E47" s="473"/>
      <c r="F47" s="476">
        <v>0</v>
      </c>
      <c r="G47" s="476"/>
      <c r="H47" s="473">
        <v>0</v>
      </c>
      <c r="I47" s="473"/>
      <c r="J47" s="473">
        <f t="shared" si="13"/>
        <v>407219.47</v>
      </c>
      <c r="K47" s="473"/>
      <c r="L47" s="473"/>
    </row>
    <row r="48" ht="34.5" customHeight="1" spans="1:15">
      <c r="A48" s="471" t="s">
        <v>199</v>
      </c>
      <c r="B48" s="471"/>
      <c r="C48" s="472" t="s">
        <v>200</v>
      </c>
      <c r="D48" s="473">
        <f t="shared" ref="D48:H48" si="14">SUM(D39)-SUM(D40)-SUM(D47)</f>
        <v>-407219.47</v>
      </c>
      <c r="E48" s="473"/>
      <c r="F48" s="473">
        <f t="shared" si="14"/>
        <v>0</v>
      </c>
      <c r="G48" s="473"/>
      <c r="H48" s="473">
        <f t="shared" si="14"/>
        <v>0</v>
      </c>
      <c r="I48" s="473"/>
      <c r="J48" s="473">
        <f t="shared" si="13"/>
        <v>-407219.47</v>
      </c>
      <c r="K48" s="473"/>
      <c r="L48" s="473"/>
      <c r="N48">
        <v>2986761.74</v>
      </c>
      <c r="O48">
        <f>J48-N48</f>
        <v>-3393981.21</v>
      </c>
    </row>
  </sheetData>
  <mergeCells count="212">
    <mergeCell ref="A1:L1"/>
    <mergeCell ref="B2:L2"/>
    <mergeCell ref="B3:L3"/>
    <mergeCell ref="B4:F4"/>
    <mergeCell ref="G4:J4"/>
    <mergeCell ref="K4:L4"/>
    <mergeCell ref="B5:E5"/>
    <mergeCell ref="F5:G5"/>
    <mergeCell ref="H5:L5"/>
    <mergeCell ref="B6:E6"/>
    <mergeCell ref="F6:G6"/>
    <mergeCell ref="H6:L6"/>
    <mergeCell ref="B7:E7"/>
    <mergeCell ref="G7:L7"/>
    <mergeCell ref="D8:E8"/>
    <mergeCell ref="G8:H8"/>
    <mergeCell ref="J8:L8"/>
    <mergeCell ref="D9:E9"/>
    <mergeCell ref="G9:H9"/>
    <mergeCell ref="J9:L9"/>
    <mergeCell ref="A10:B10"/>
    <mergeCell ref="D10:E10"/>
    <mergeCell ref="F10:G10"/>
    <mergeCell ref="H10:I10"/>
    <mergeCell ref="J10:L10"/>
    <mergeCell ref="A11:B11"/>
    <mergeCell ref="D11:E11"/>
    <mergeCell ref="F11:G11"/>
    <mergeCell ref="H11:I11"/>
    <mergeCell ref="J11:L11"/>
    <mergeCell ref="A12:B12"/>
    <mergeCell ref="D12:E12"/>
    <mergeCell ref="F12:G12"/>
    <mergeCell ref="H12:I12"/>
    <mergeCell ref="J12:L12"/>
    <mergeCell ref="A13:B13"/>
    <mergeCell ref="D13:E13"/>
    <mergeCell ref="F13:G13"/>
    <mergeCell ref="H13:I13"/>
    <mergeCell ref="J13:L13"/>
    <mergeCell ref="A14:B14"/>
    <mergeCell ref="D14:E14"/>
    <mergeCell ref="F14:G14"/>
    <mergeCell ref="H14:I14"/>
    <mergeCell ref="J14:L14"/>
    <mergeCell ref="A15:B15"/>
    <mergeCell ref="D15:E15"/>
    <mergeCell ref="F15:G15"/>
    <mergeCell ref="H15:I15"/>
    <mergeCell ref="J15:L15"/>
    <mergeCell ref="A16:B16"/>
    <mergeCell ref="D16:E16"/>
    <mergeCell ref="F16:G16"/>
    <mergeCell ref="H16:I16"/>
    <mergeCell ref="J16:L16"/>
    <mergeCell ref="A17:B17"/>
    <mergeCell ref="D17:E17"/>
    <mergeCell ref="F17:G17"/>
    <mergeCell ref="H17:I17"/>
    <mergeCell ref="J17:L17"/>
    <mergeCell ref="A18:B18"/>
    <mergeCell ref="D18:E18"/>
    <mergeCell ref="F18:G18"/>
    <mergeCell ref="H18:I18"/>
    <mergeCell ref="J18:L18"/>
    <mergeCell ref="A19:B19"/>
    <mergeCell ref="D19:E19"/>
    <mergeCell ref="F19:G19"/>
    <mergeCell ref="H19:I19"/>
    <mergeCell ref="J19:L19"/>
    <mergeCell ref="A20:B20"/>
    <mergeCell ref="D20:E20"/>
    <mergeCell ref="F20:G20"/>
    <mergeCell ref="H20:I20"/>
    <mergeCell ref="J20:L20"/>
    <mergeCell ref="A21:B21"/>
    <mergeCell ref="D21:E21"/>
    <mergeCell ref="F21:G21"/>
    <mergeCell ref="H21:I21"/>
    <mergeCell ref="J21:L21"/>
    <mergeCell ref="A22:B22"/>
    <mergeCell ref="D22:E22"/>
    <mergeCell ref="F22:G22"/>
    <mergeCell ref="H22:I22"/>
    <mergeCell ref="J22:L22"/>
    <mergeCell ref="A23:B23"/>
    <mergeCell ref="D23:E23"/>
    <mergeCell ref="F23:G23"/>
    <mergeCell ref="H23:I23"/>
    <mergeCell ref="J23:L23"/>
    <mergeCell ref="A24:B24"/>
    <mergeCell ref="D24:E24"/>
    <mergeCell ref="F24:G24"/>
    <mergeCell ref="H24:I24"/>
    <mergeCell ref="J24:L24"/>
    <mergeCell ref="A25:B25"/>
    <mergeCell ref="D25:E25"/>
    <mergeCell ref="F25:G25"/>
    <mergeCell ref="H25:I25"/>
    <mergeCell ref="J25:L25"/>
    <mergeCell ref="A26:B26"/>
    <mergeCell ref="D26:E26"/>
    <mergeCell ref="F26:G26"/>
    <mergeCell ref="H26:I26"/>
    <mergeCell ref="J26:L26"/>
    <mergeCell ref="A27:B27"/>
    <mergeCell ref="D27:E27"/>
    <mergeCell ref="F27:G27"/>
    <mergeCell ref="H27:I27"/>
    <mergeCell ref="J27:L27"/>
    <mergeCell ref="A28:B28"/>
    <mergeCell ref="D28:E28"/>
    <mergeCell ref="F28:G28"/>
    <mergeCell ref="H28:I28"/>
    <mergeCell ref="J28:L28"/>
    <mergeCell ref="A29:B29"/>
    <mergeCell ref="D29:E29"/>
    <mergeCell ref="F29:G29"/>
    <mergeCell ref="H29:I29"/>
    <mergeCell ref="J29:L29"/>
    <mergeCell ref="A30:B30"/>
    <mergeCell ref="D30:E30"/>
    <mergeCell ref="F30:G30"/>
    <mergeCell ref="H30:I30"/>
    <mergeCell ref="J30:L30"/>
    <mergeCell ref="A31:B31"/>
    <mergeCell ref="D31:E31"/>
    <mergeCell ref="F31:G31"/>
    <mergeCell ref="H31:I31"/>
    <mergeCell ref="J31:L31"/>
    <mergeCell ref="A32:B32"/>
    <mergeCell ref="D32:E32"/>
    <mergeCell ref="F32:G32"/>
    <mergeCell ref="H32:I32"/>
    <mergeCell ref="J32:L32"/>
    <mergeCell ref="A33:B33"/>
    <mergeCell ref="D33:E33"/>
    <mergeCell ref="F33:G33"/>
    <mergeCell ref="H33:I33"/>
    <mergeCell ref="J33:L33"/>
    <mergeCell ref="A34:B34"/>
    <mergeCell ref="D34:E34"/>
    <mergeCell ref="F34:G34"/>
    <mergeCell ref="H34:I34"/>
    <mergeCell ref="J34:L34"/>
    <mergeCell ref="A35:B35"/>
    <mergeCell ref="D35:E35"/>
    <mergeCell ref="F35:G35"/>
    <mergeCell ref="H35:I35"/>
    <mergeCell ref="J35:L35"/>
    <mergeCell ref="A36:B36"/>
    <mergeCell ref="D36:E36"/>
    <mergeCell ref="F36:G36"/>
    <mergeCell ref="H36:I36"/>
    <mergeCell ref="J36:L36"/>
    <mergeCell ref="A37:B37"/>
    <mergeCell ref="D37:E37"/>
    <mergeCell ref="F37:G37"/>
    <mergeCell ref="H37:I37"/>
    <mergeCell ref="J37:L37"/>
    <mergeCell ref="A38:B38"/>
    <mergeCell ref="D38:E38"/>
    <mergeCell ref="F38:G38"/>
    <mergeCell ref="H38:I38"/>
    <mergeCell ref="J38:L38"/>
    <mergeCell ref="A39:B39"/>
    <mergeCell ref="D39:E39"/>
    <mergeCell ref="F39:G39"/>
    <mergeCell ref="H39:I39"/>
    <mergeCell ref="J39:L39"/>
    <mergeCell ref="A40:B40"/>
    <mergeCell ref="D40:E40"/>
    <mergeCell ref="F40:G40"/>
    <mergeCell ref="H40:I40"/>
    <mergeCell ref="J40:L40"/>
    <mergeCell ref="D41:E41"/>
    <mergeCell ref="F41:G41"/>
    <mergeCell ref="H41:I41"/>
    <mergeCell ref="J41:L41"/>
    <mergeCell ref="D42:E42"/>
    <mergeCell ref="F42:G42"/>
    <mergeCell ref="H42:I42"/>
    <mergeCell ref="J42:L42"/>
    <mergeCell ref="D43:E43"/>
    <mergeCell ref="F43:G43"/>
    <mergeCell ref="H43:I43"/>
    <mergeCell ref="J43:L43"/>
    <mergeCell ref="D44:E44"/>
    <mergeCell ref="F44:G44"/>
    <mergeCell ref="H44:I44"/>
    <mergeCell ref="J44:L44"/>
    <mergeCell ref="D45:E45"/>
    <mergeCell ref="F45:G45"/>
    <mergeCell ref="H45:I45"/>
    <mergeCell ref="J45:L45"/>
    <mergeCell ref="D46:E46"/>
    <mergeCell ref="F46:G46"/>
    <mergeCell ref="H46:I46"/>
    <mergeCell ref="J46:L46"/>
    <mergeCell ref="A47:B47"/>
    <mergeCell ref="D47:E47"/>
    <mergeCell ref="F47:G47"/>
    <mergeCell ref="H47:I47"/>
    <mergeCell ref="J47:L47"/>
    <mergeCell ref="A48:B48"/>
    <mergeCell ref="D48:E48"/>
    <mergeCell ref="F48:G48"/>
    <mergeCell ref="H48:I48"/>
    <mergeCell ref="J48:L48"/>
    <mergeCell ref="A41:A42"/>
    <mergeCell ref="A43:A44"/>
    <mergeCell ref="A45:A46"/>
  </mergeCells>
  <dataValidations count="1">
    <dataValidation type="list" allowBlank="1" showInputMessage="1" showErrorMessage="1" sqref="H6:L6">
      <formula1>数据对照表!$AB$1:$AC$1</formula1>
    </dataValidation>
  </dataValidations>
  <printOptions horizontalCentered="1"/>
  <pageMargins left="0.747916666666667" right="0.747916666666667" top="0.747916666666667" bottom="0.747916666666667" header="0.313888888888889" footer="0.313888888888889"/>
  <pageSetup paperSize="9" scale="54" fitToHeight="0" orientation="landscape"/>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5"/>
  <sheetViews>
    <sheetView zoomScale="120" zoomScaleNormal="120" topLeftCell="C1" workbookViewId="0">
      <selection activeCell="N126" sqref="N126:O126"/>
    </sheetView>
  </sheetViews>
  <sheetFormatPr defaultColWidth="2.38405797101449" defaultRowHeight="15.65"/>
  <cols>
    <col min="1" max="1" width="4.1231884057971" style="416" customWidth="1"/>
    <col min="2" max="2" width="25" style="416"/>
    <col min="3" max="3" width="5" style="416" customWidth="1"/>
    <col min="4" max="4" width="13" style="417" customWidth="1"/>
    <col min="5" max="5" width="15.1231884057971" style="417" customWidth="1"/>
    <col min="6" max="6" width="13.6231884057971" style="417" customWidth="1"/>
    <col min="7" max="7" width="12.1231884057971" style="417" customWidth="1"/>
    <col min="8" max="8" width="14.8840579710145" style="417" customWidth="1"/>
    <col min="9" max="9" width="14.1231884057971" style="417" customWidth="1"/>
    <col min="10" max="10" width="14.5" style="417" customWidth="1"/>
    <col min="11" max="11" width="9.1231884057971" style="416" customWidth="1"/>
    <col min="12" max="13" width="2.38405797101449" style="416"/>
    <col min="14" max="14" width="11.3768115942029" style="416" customWidth="1"/>
    <col min="15" max="16" width="2.38405797101449" style="416"/>
    <col min="17" max="17" width="10.6376811594203" style="416"/>
    <col min="18" max="16384" width="2.38405797101449" style="416"/>
  </cols>
  <sheetData>
    <row r="1" ht="23.8" spans="1:17">
      <c r="A1" s="115" t="s">
        <v>201</v>
      </c>
      <c r="B1" s="115"/>
      <c r="C1" s="115"/>
      <c r="D1" s="418"/>
      <c r="E1" s="418"/>
      <c r="F1" s="418"/>
      <c r="G1" s="418"/>
      <c r="H1" s="418"/>
      <c r="I1" s="418"/>
      <c r="J1" s="418"/>
      <c r="K1" s="115"/>
    </row>
    <row r="2" ht="25.5" customHeight="1" spans="1:17">
      <c r="A2" s="51" t="str">
        <f>土地增值税税源明细表!F5&amp;"："&amp;土地增值税税源明细表!H5&amp;"          "&amp;土地增值税税源明细表!A5&amp;"："&amp;土地增值税税源明细表!B5&amp;"          "&amp;"面积单位：㎡"</f>
        <v>项目编码：Z65280120200013          项目名称：春和景苑          面积单位：㎡</v>
      </c>
      <c r="B2" s="51"/>
      <c r="C2" s="51"/>
      <c r="D2" s="309"/>
      <c r="E2" s="309"/>
      <c r="F2" s="309"/>
      <c r="G2" s="309"/>
      <c r="H2" s="309"/>
      <c r="I2" s="309"/>
      <c r="J2" s="309"/>
      <c r="K2" s="51"/>
    </row>
    <row r="3" spans="1:17">
      <c r="A3" s="419" t="s">
        <v>202</v>
      </c>
      <c r="B3" s="420" t="s">
        <v>203</v>
      </c>
      <c r="C3" s="420" t="s">
        <v>37</v>
      </c>
      <c r="D3" s="129" t="s">
        <v>204</v>
      </c>
      <c r="E3" s="129" t="s">
        <v>205</v>
      </c>
      <c r="F3" s="129" t="s">
        <v>206</v>
      </c>
      <c r="G3" s="129" t="s">
        <v>207</v>
      </c>
      <c r="H3" s="129" t="s">
        <v>208</v>
      </c>
      <c r="I3" s="129" t="s">
        <v>209</v>
      </c>
      <c r="J3" s="129" t="s">
        <v>210</v>
      </c>
      <c r="K3" s="421" t="s">
        <v>211</v>
      </c>
    </row>
    <row r="4" ht="23.8" spans="1:17">
      <c r="A4" s="422"/>
      <c r="B4" s="423"/>
      <c r="C4" s="423"/>
      <c r="D4" s="502" t="s">
        <v>212</v>
      </c>
      <c r="E4" s="502" t="s">
        <v>80</v>
      </c>
      <c r="F4" s="502" t="s">
        <v>83</v>
      </c>
      <c r="G4" s="502" t="s">
        <v>213</v>
      </c>
      <c r="H4" s="502" t="s">
        <v>214</v>
      </c>
      <c r="I4" s="502" t="s">
        <v>215</v>
      </c>
      <c r="J4" s="502" t="s">
        <v>216</v>
      </c>
      <c r="K4" s="503" t="s">
        <v>217</v>
      </c>
    </row>
    <row r="5" spans="1:17">
      <c r="A5" s="422"/>
      <c r="B5" s="425" t="str">
        <f>数据对照表!A2</f>
        <v>普通住宅</v>
      </c>
      <c r="C5" s="426">
        <v>1</v>
      </c>
      <c r="D5" s="427">
        <f>SUMIFS('附表6-收入明细采集底稿'!P:P,'附表6-收入明细采集底稿'!G:G,数据对照表!A2)</f>
        <v>12227.4</v>
      </c>
      <c r="E5" s="427">
        <f>SUMIFS('附表6-收入明细采集底稿'!P:P,'附表6-收入明细采集底稿'!G:G,数据对照表!A2,'附表6-收入明细采集底稿'!H:H,"不可售")</f>
        <v>0</v>
      </c>
      <c r="F5" s="427">
        <f>SUM(SUMIFS('附表6-收入明细采集底稿'!P:P,'附表6-收入明细采集底稿'!G:G,数据对照表!A2,'附表6-收入明细采集底稿'!H:H,"已售"),SUMIFS('附表6-收入明细采集底稿'!P:P,'附表6-收入明细采集底稿'!G:G,数据对照表!A2,'附表6-收入明细采集底稿'!H:H,"出租"),SUMIFS('附表6-收入明细采集底稿'!P:P,'附表6-收入明细采集底稿'!G:G,数据对照表!A2,'附表6-收入明细采集底稿'!H:H,"自用"),SUMIFS('附表6-收入明细采集底稿'!P:P,'附表6-收入明细采集底稿'!G:G,数据对照表!A2,'附表6-收入明细采集底稿'!H:H,"未售"))</f>
        <v>12227.4</v>
      </c>
      <c r="G5" s="427">
        <f>SUMIFS('附表6-收入明细采集底稿'!P:P,'附表6-收入明细采集底稿'!G:G,数据对照表!A2,'附表6-收入明细采集底稿'!H:H,"已售")</f>
        <v>11744.64</v>
      </c>
      <c r="H5" s="427">
        <f t="shared" ref="H5:H11" si="0">F5-G5</f>
        <v>482.76</v>
      </c>
      <c r="I5" s="427">
        <f>SUMIFS('附表6-收入明细采集底稿'!P:P,'附表6-收入明细采集底稿'!G:G,数据对照表!A2,'附表6-收入明细采集底稿'!H:H,"自用")</f>
        <v>0</v>
      </c>
      <c r="J5" s="427">
        <f>SUMIFS('附表6-收入明细采集底稿'!P:P,'附表6-收入明细采集底稿'!G:G,数据对照表!A2,'附表6-收入明细采集底稿'!H:H,"出租")</f>
        <v>0</v>
      </c>
      <c r="K5" s="428"/>
    </row>
    <row r="6" spans="1:17">
      <c r="A6" s="422"/>
      <c r="B6" s="425" t="str">
        <f>数据对照表!A3</f>
        <v>非普通住宅</v>
      </c>
      <c r="C6" s="426">
        <v>2</v>
      </c>
      <c r="D6" s="427">
        <f>SUMIFS('附表6-收入明细采集底稿'!P:P,'附表6-收入明细采集底稿'!G:G,数据对照表!A3)</f>
        <v>0</v>
      </c>
      <c r="E6" s="427">
        <f>SUMIFS('附表6-收入明细采集底稿'!P:P,'附表6-收入明细采集底稿'!G:G,数据对照表!A3,'附表6-收入明细采集底稿'!H:H,"不可售")</f>
        <v>0</v>
      </c>
      <c r="F6" s="427">
        <f>SUM(SUMIFS('附表6-收入明细采集底稿'!P:P,'附表6-收入明细采集底稿'!G:G,数据对照表!A3,'附表6-收入明细采集底稿'!H:H,"已售"),SUMIFS('附表6-收入明细采集底稿'!P:P,'附表6-收入明细采集底稿'!G:G,数据对照表!A3,'附表6-收入明细采集底稿'!H:H,"出租"),SUMIFS('附表6-收入明细采集底稿'!P:P,'附表6-收入明细采集底稿'!G:G,数据对照表!A3,'附表6-收入明细采集底稿'!H:H,"自用"),SUMIFS('附表6-收入明细采集底稿'!P:P,'附表6-收入明细采集底稿'!G:G,数据对照表!A3,'附表6-收入明细采集底稿'!H:H,"未售"))</f>
        <v>0</v>
      </c>
      <c r="G6" s="427">
        <f>SUMIFS('附表6-收入明细采集底稿'!P:P,'附表6-收入明细采集底稿'!G:G,数据对照表!A3,'附表6-收入明细采集底稿'!H:H,"已售")</f>
        <v>0</v>
      </c>
      <c r="H6" s="427">
        <f t="shared" si="0"/>
        <v>0</v>
      </c>
      <c r="I6" s="427">
        <f>SUMIFS('附表6-收入明细采集底稿'!P:P,'附表6-收入明细采集底稿'!G:G,数据对照表!A3,'附表6-收入明细采集底稿'!H:H,"自用")</f>
        <v>0</v>
      </c>
      <c r="J6" s="427">
        <f>SUMIFS('附表6-收入明细采集底稿'!P:P,'附表6-收入明细采集底稿'!G:G,数据对照表!A3,'附表6-收入明细采集底稿'!H:H,"出租")</f>
        <v>0</v>
      </c>
      <c r="K6" s="428"/>
      <c r="N6" s="416">
        <f>13734913.75*1.09</f>
        <v>14971055.9875</v>
      </c>
      <c r="Q6" s="416">
        <f>N6/D29</f>
        <v>1056.07421960421</v>
      </c>
    </row>
    <row r="7" spans="1:17">
      <c r="A7" s="422"/>
      <c r="B7" s="425" t="s">
        <v>147</v>
      </c>
      <c r="C7" s="426">
        <v>3</v>
      </c>
      <c r="D7" s="427">
        <f>SUM(D8:D12)</f>
        <v>1948.74</v>
      </c>
      <c r="E7" s="427">
        <f t="shared" ref="E7:J7" si="1">SUM(E8:E12)</f>
        <v>1948.74</v>
      </c>
      <c r="F7" s="427">
        <f t="shared" si="1"/>
        <v>0</v>
      </c>
      <c r="G7" s="427">
        <f t="shared" si="1"/>
        <v>0</v>
      </c>
      <c r="H7" s="427">
        <f t="shared" si="1"/>
        <v>0</v>
      </c>
      <c r="I7" s="427">
        <f t="shared" si="1"/>
        <v>0</v>
      </c>
      <c r="J7" s="427">
        <f t="shared" si="1"/>
        <v>0</v>
      </c>
      <c r="K7" s="428"/>
    </row>
    <row r="8" spans="1:17">
      <c r="A8" s="422"/>
      <c r="B8" s="429" t="str">
        <f>"其中："&amp;数据对照表!A4</f>
        <v>其中：商业用房</v>
      </c>
      <c r="C8" s="426">
        <v>4</v>
      </c>
      <c r="D8" s="427">
        <f>SUMIFS('附表6-收入明细采集底稿'!P:P,'附表6-收入明细采集底稿'!G:G,数据对照表!A4)</f>
        <v>0</v>
      </c>
      <c r="E8" s="427">
        <f>SUMIFS('附表6-收入明细采集底稿'!P:P,'附表6-收入明细采集底稿'!G:G,数据对照表!A4,'附表6-收入明细采集底稿'!H:H,"不可售")</f>
        <v>0</v>
      </c>
      <c r="F8" s="427">
        <f>SUM(SUMIFS('附表6-收入明细采集底稿'!P:P,'附表6-收入明细采集底稿'!G:G,数据对照表!A4,'附表6-收入明细采集底稿'!H:H,"已售"),SUMIFS('附表6-收入明细采集底稿'!P:P,'附表6-收入明细采集底稿'!G:G,数据对照表!A4,'附表6-收入明细采集底稿'!H:H,"出租"),SUMIFS('附表6-收入明细采集底稿'!P:P,'附表6-收入明细采集底稿'!G:G,数据对照表!A4,'附表6-收入明细采集底稿'!H:H,"自用"),SUMIFS('附表6-收入明细采集底稿'!P:P,'附表6-收入明细采集底稿'!G:G,数据对照表!A4,'附表6-收入明细采集底稿'!H:H,"未售"))</f>
        <v>0</v>
      </c>
      <c r="G8" s="427">
        <f>SUMIFS('附表6-收入明细采集底稿'!P:P,'附表6-收入明细采集底稿'!G:G,数据对照表!A4,'附表6-收入明细采集底稿'!H:H,"已售")</f>
        <v>0</v>
      </c>
      <c r="H8" s="427">
        <f t="shared" si="0"/>
        <v>0</v>
      </c>
      <c r="I8" s="427">
        <f>SUMIFS('附表6-收入明细采集底稿'!P:P,'附表6-收入明细采集底稿'!G:G,数据对照表!A4,'附表6-收入明细采集底稿'!H:H,"自用")</f>
        <v>0</v>
      </c>
      <c r="J8" s="427">
        <f>SUMIFS('附表6-收入明细采集底稿'!P:P,'附表6-收入明细采集底稿'!G:G,数据对照表!A4,'附表6-收入明细采集底稿'!H:H,"出租")</f>
        <v>0</v>
      </c>
      <c r="K8" s="428"/>
      <c r="N8" s="416">
        <v>18940000</v>
      </c>
      <c r="Q8" s="416">
        <f>N8/D29</f>
        <v>1336.04775347873</v>
      </c>
    </row>
    <row r="9" spans="1:17">
      <c r="A9" s="422"/>
      <c r="B9" s="429" t="str">
        <f>"      "&amp;数据对照表!A5</f>
        <v>      办公用房</v>
      </c>
      <c r="C9" s="426">
        <v>5</v>
      </c>
      <c r="D9" s="427">
        <f>SUMIFS('附表6-收入明细采集底稿'!P:P,'附表6-收入明细采集底稿'!G:G,数据对照表!A5)</f>
        <v>0</v>
      </c>
      <c r="E9" s="427">
        <f>SUMIFS('附表6-收入明细采集底稿'!P:P,'附表6-收入明细采集底稿'!G:G,数据对照表!A5,'附表6-收入明细采集底稿'!H:H,"不可售")</f>
        <v>0</v>
      </c>
      <c r="F9" s="427">
        <f>SUM(SUMIFS('附表6-收入明细采集底稿'!P:P,'附表6-收入明细采集底稿'!G:G,数据对照表!A5,'附表6-收入明细采集底稿'!H:H,"已售"),SUMIFS('附表6-收入明细采集底稿'!P:P,'附表6-收入明细采集底稿'!G:G,数据对照表!A5,'附表6-收入明细采集底稿'!H:H,"出租"),SUMIFS('附表6-收入明细采集底稿'!P:P,'附表6-收入明细采集底稿'!G:G,数据对照表!A5,'附表6-收入明细采集底稿'!H:H,"自用"),SUMIFS('附表6-收入明细采集底稿'!P:P,'附表6-收入明细采集底稿'!G:G,数据对照表!A5,'附表6-收入明细采集底稿'!H:H,"未售"))</f>
        <v>0</v>
      </c>
      <c r="G9" s="427">
        <f>SUMIFS('附表6-收入明细采集底稿'!P:P,'附表6-收入明细采集底稿'!G:G,数据对照表!A5,'附表6-收入明细采集底稿'!H:H,"已售")</f>
        <v>0</v>
      </c>
      <c r="H9" s="427">
        <f t="shared" si="0"/>
        <v>0</v>
      </c>
      <c r="I9" s="427">
        <f>SUMIFS('附表6-收入明细采集底稿'!P:P,'附表6-收入明细采集底稿'!G:G,数据对照表!A5,'附表6-收入明细采集底稿'!H:H,"自用")</f>
        <v>0</v>
      </c>
      <c r="J9" s="427">
        <f>SUMIFS('附表6-收入明细采集底稿'!P:P,'附表6-收入明细采集底稿'!G:G,数据对照表!A5,'附表6-收入明细采集底稿'!H:H,"出租")</f>
        <v>0</v>
      </c>
      <c r="K9" s="428"/>
    </row>
    <row r="10" spans="1:17">
      <c r="A10" s="422"/>
      <c r="B10" s="429" t="str">
        <f>"      "&amp;数据对照表!A6</f>
        <v>      车位车库</v>
      </c>
      <c r="C10" s="426">
        <v>6</v>
      </c>
      <c r="D10" s="427">
        <f>SUMIFS('附表6-收入明细采集底稿'!P:P,'附表6-收入明细采集底稿'!G:G,数据对照表!A6)</f>
        <v>0</v>
      </c>
      <c r="E10" s="427">
        <f>SUMIFS('附表6-收入明细采集底稿'!P:P,'附表6-收入明细采集底稿'!G:G,数据对照表!A6,'附表6-收入明细采集底稿'!H:H,"不可售")</f>
        <v>0</v>
      </c>
      <c r="F10" s="427">
        <f>SUM(SUMIFS('附表6-收入明细采集底稿'!P:P,'附表6-收入明细采集底稿'!G:G,数据对照表!A6,'附表6-收入明细采集底稿'!H:H,"已售"),SUMIFS('附表6-收入明细采集底稿'!P:P,'附表6-收入明细采集底稿'!G:G,数据对照表!A6,'附表6-收入明细采集底稿'!H:H,"出租"),SUMIFS('附表6-收入明细采集底稿'!P:P,'附表6-收入明细采集底稿'!G:G,数据对照表!A6,'附表6-收入明细采集底稿'!H:H,"自用"),SUMIFS('附表6-收入明细采集底稿'!P:P,'附表6-收入明细采集底稿'!G:G,数据对照表!A6,'附表6-收入明细采集底稿'!H:H,"未售"))</f>
        <v>0</v>
      </c>
      <c r="G10" s="427">
        <f>SUMIFS('附表6-收入明细采集底稿'!P:P,'附表6-收入明细采集底稿'!G:G,数据对照表!A6,'附表6-收入明细采集底稿'!H:H,"已售")</f>
        <v>0</v>
      </c>
      <c r="H10" s="427">
        <f t="shared" si="0"/>
        <v>0</v>
      </c>
      <c r="I10" s="427">
        <f>SUMIFS('附表6-收入明细采集底稿'!P:P,'附表6-收入明细采集底稿'!G:G,数据对照表!A6,'附表6-收入明细采集底稿'!H:H,"自用")</f>
        <v>0</v>
      </c>
      <c r="J10" s="427">
        <f>SUMIFS('附表6-收入明细采集底稿'!P:P,'附表6-收入明细采集底稿'!G:G,数据对照表!A6,'附表6-收入明细采集底稿'!H:H,"出租")</f>
        <v>0</v>
      </c>
      <c r="K10" s="428"/>
    </row>
    <row r="11" spans="1:17">
      <c r="A11" s="422"/>
      <c r="B11" s="429" t="str">
        <f>"      "&amp;数据对照表!A7</f>
        <v>      其他营业性房产</v>
      </c>
      <c r="C11" s="426">
        <v>7</v>
      </c>
      <c r="D11" s="427">
        <f>SUMIFS('附表6-收入明细采集底稿'!P:P,'附表6-收入明细采集底稿'!G:G,数据对照表!A7)</f>
        <v>1948.74</v>
      </c>
      <c r="E11" s="427">
        <f>SUMIFS('附表6-收入明细采集底稿'!P:P,'附表6-收入明细采集底稿'!G:G,数据对照表!A7,'附表6-收入明细采集底稿'!H:H,"不可售")</f>
        <v>1948.74</v>
      </c>
      <c r="F11" s="427">
        <f>SUM(SUMIFS('附表6-收入明细采集底稿'!P:P,'附表6-收入明细采集底稿'!G:G,数据对照表!A7,'附表6-收入明细采集底稿'!H:H,"已售"),SUMIFS('附表6-收入明细采集底稿'!P:P,'附表6-收入明细采集底稿'!G:G,数据对照表!A7,'附表6-收入明细采集底稿'!H:H,"出租"),SUMIFS('附表6-收入明细采集底稿'!P:P,'附表6-收入明细采集底稿'!G:G,数据对照表!A7,'附表6-收入明细采集底稿'!H:H,"自用"),SUMIFS('附表6-收入明细采集底稿'!P:P,'附表6-收入明细采集底稿'!G:G,数据对照表!A7,'附表6-收入明细采集底稿'!H:H,"未售"))</f>
        <v>0</v>
      </c>
      <c r="G11" s="427">
        <f>SUMIFS('附表6-收入明细采集底稿'!P:P,'附表6-收入明细采集底稿'!G:G,数据对照表!A7,'附表6-收入明细采集底稿'!H:H,"已售")</f>
        <v>0</v>
      </c>
      <c r="H11" s="427">
        <f t="shared" si="0"/>
        <v>0</v>
      </c>
      <c r="I11" s="427">
        <f>SUMIFS('附表6-收入明细采集底稿'!P:P,'附表6-收入明细采集底稿'!G:G,数据对照表!A7,'附表6-收入明细采集底稿'!H:H,"自用")</f>
        <v>0</v>
      </c>
      <c r="J11" s="427">
        <f>SUMIFS('附表6-收入明细采集底稿'!P:P,'附表6-收入明细采集底稿'!G:G,数据对照表!A7,'附表6-收入明细采集底稿'!H:H,"出租")</f>
        <v>0</v>
      </c>
      <c r="K11" s="428"/>
    </row>
    <row r="12" spans="1:17">
      <c r="A12" s="422"/>
      <c r="B12" s="429" t="str">
        <f>"      "&amp;"非营业性房产"</f>
        <v>      非营业性房产</v>
      </c>
      <c r="C12" s="426">
        <v>8</v>
      </c>
      <c r="D12" s="427">
        <f>SUM(D13:D28)</f>
        <v>0</v>
      </c>
      <c r="E12" s="427">
        <f t="shared" ref="E12:J12" si="2">SUM(E13:E28)</f>
        <v>0</v>
      </c>
      <c r="F12" s="427">
        <f t="shared" si="2"/>
        <v>0</v>
      </c>
      <c r="G12" s="427">
        <f t="shared" si="2"/>
        <v>0</v>
      </c>
      <c r="H12" s="427">
        <f t="shared" si="2"/>
        <v>0</v>
      </c>
      <c r="I12" s="427">
        <f t="shared" si="2"/>
        <v>0</v>
      </c>
      <c r="J12" s="427">
        <f t="shared" si="2"/>
        <v>0</v>
      </c>
      <c r="K12" s="428"/>
    </row>
    <row r="13" spans="1:17">
      <c r="A13" s="422"/>
      <c r="B13" s="430" t="str">
        <f>"      其中："&amp;数据对照表!A8</f>
        <v>      其中：居委会用房</v>
      </c>
      <c r="C13" s="426">
        <v>9</v>
      </c>
      <c r="D13" s="427">
        <f>SUMIFS('附表6-收入明细采集底稿'!P:P,'附表6-收入明细采集底稿'!G:G,数据对照表!A8)</f>
        <v>0</v>
      </c>
      <c r="E13" s="427">
        <f>SUMIFS('附表6-收入明细采集底稿'!P:P,'附表6-收入明细采集底稿'!G:G,数据对照表!A8,'附表6-收入明细采集底稿'!H:H,"不可售")</f>
        <v>0</v>
      </c>
      <c r="F13" s="427">
        <f>SUM(SUMIFS('附表6-收入明细采集底稿'!P:P,'附表6-收入明细采集底稿'!G:G,数据对照表!A8,'附表6-收入明细采集底稿'!H:H,"已售"),SUMIFS('附表6-收入明细采集底稿'!P:P,'附表6-收入明细采集底稿'!G:G,数据对照表!A8,'附表6-收入明细采集底稿'!H:H,"出租"),SUMIFS('附表6-收入明细采集底稿'!P:P,'附表6-收入明细采集底稿'!G:G,数据对照表!A8,'附表6-收入明细采集底稿'!H:H,"自用"),SUMIFS('附表6-收入明细采集底稿'!P:P,'附表6-收入明细采集底稿'!G:G,数据对照表!A8,'附表6-收入明细采集底稿'!H:H,"未售"))</f>
        <v>0</v>
      </c>
      <c r="G13" s="427">
        <f>SUMIFS('附表6-收入明细采集底稿'!P:P,'附表6-收入明细采集底稿'!G:G,数据对照表!A8,'附表6-收入明细采集底稿'!H:H,"已售")</f>
        <v>0</v>
      </c>
      <c r="H13" s="427">
        <f t="shared" ref="H13:H17" si="3">F13-G13</f>
        <v>0</v>
      </c>
      <c r="I13" s="427">
        <f>SUMIFS('附表6-收入明细采集底稿'!P:P,'附表6-收入明细采集底稿'!G:G,数据对照表!A8,'附表6-收入明细采集底稿'!H:H,"自用")</f>
        <v>0</v>
      </c>
      <c r="J13" s="427">
        <f>SUMIFS('附表6-收入明细采集底稿'!P:P,'附表6-收入明细采集底稿'!G:G,数据对照表!A8,'附表6-收入明细采集底稿'!H:H,"出租")</f>
        <v>0</v>
      </c>
      <c r="K13" s="428"/>
    </row>
    <row r="14" spans="1:17">
      <c r="A14" s="422"/>
      <c r="B14" s="430" t="str">
        <f>"            "&amp;数据对照表!A9</f>
        <v>            派出所用房</v>
      </c>
      <c r="C14" s="426">
        <v>10</v>
      </c>
      <c r="D14" s="427">
        <f>SUMIFS('附表6-收入明细采集底稿'!P:P,'附表6-收入明细采集底稿'!G:G,数据对照表!A9)</f>
        <v>0</v>
      </c>
      <c r="E14" s="427">
        <f>SUMIFS('附表6-收入明细采集底稿'!P:P,'附表6-收入明细采集底稿'!G:G,数据对照表!A9,'附表6-收入明细采集底稿'!H:H,"不可售")</f>
        <v>0</v>
      </c>
      <c r="F14" s="427">
        <f>SUM(SUMIFS('附表6-收入明细采集底稿'!P:P,'附表6-收入明细采集底稿'!G:G,数据对照表!A9,'附表6-收入明细采集底稿'!H:H,"已售"),SUMIFS('附表6-收入明细采集底稿'!P:P,'附表6-收入明细采集底稿'!G:G,数据对照表!A9,'附表6-收入明细采集底稿'!H:H,"出租"),SUMIFS('附表6-收入明细采集底稿'!P:P,'附表6-收入明细采集底稿'!G:G,数据对照表!A9,'附表6-收入明细采集底稿'!H:H,"自用"),SUMIFS('附表6-收入明细采集底稿'!P:P,'附表6-收入明细采集底稿'!G:G,数据对照表!A9,'附表6-收入明细采集底稿'!H:H,"未售"))</f>
        <v>0</v>
      </c>
      <c r="G14" s="427">
        <f>SUMIFS('附表6-收入明细采集底稿'!P:P,'附表6-收入明细采集底稿'!G:G,数据对照表!A9,'附表6-收入明细采集底稿'!H:H,"已售")</f>
        <v>0</v>
      </c>
      <c r="H14" s="427">
        <f t="shared" si="3"/>
        <v>0</v>
      </c>
      <c r="I14" s="427">
        <f>SUMIFS('附表6-收入明细采集底稿'!P:P,'附表6-收入明细采集底稿'!G:G,数据对照表!A9,'附表6-收入明细采集底稿'!H:H,"自用")</f>
        <v>0</v>
      </c>
      <c r="J14" s="427">
        <f>SUMIFS('附表6-收入明细采集底稿'!P:P,'附表6-收入明细采集底稿'!G:G,数据对照表!A9,'附表6-收入明细采集底稿'!H:H,"出租")</f>
        <v>0</v>
      </c>
      <c r="K14" s="428"/>
    </row>
    <row r="15" spans="1:17">
      <c r="A15" s="422"/>
      <c r="B15" s="430" t="str">
        <f>"            "&amp;数据对照表!A10</f>
        <v>            会所</v>
      </c>
      <c r="C15" s="426">
        <v>11</v>
      </c>
      <c r="D15" s="427">
        <f>SUMIFS('附表6-收入明细采集底稿'!P:P,'附表6-收入明细采集底稿'!G:G,数据对照表!A10)</f>
        <v>0</v>
      </c>
      <c r="E15" s="427">
        <f>SUMIFS('附表6-收入明细采集底稿'!P:P,'附表6-收入明细采集底稿'!G:G,数据对照表!A10,'附表6-收入明细采集底稿'!H:H,"不可售")</f>
        <v>0</v>
      </c>
      <c r="F15" s="427">
        <f>SUM(SUMIFS('附表6-收入明细采集底稿'!P:P,'附表6-收入明细采集底稿'!G:G,数据对照表!A10,'附表6-收入明细采集底稿'!H:H,"已售"),SUMIFS('附表6-收入明细采集底稿'!P:P,'附表6-收入明细采集底稿'!G:G,数据对照表!A10,'附表6-收入明细采集底稿'!H:H,"出租"),SUMIFS('附表6-收入明细采集底稿'!P:P,'附表6-收入明细采集底稿'!G:G,数据对照表!A10,'附表6-收入明细采集底稿'!H:H,"自用"),SUMIFS('附表6-收入明细采集底稿'!P:P,'附表6-收入明细采集底稿'!G:G,数据对照表!A10,'附表6-收入明细采集底稿'!H:H,"未售"))</f>
        <v>0</v>
      </c>
      <c r="G15" s="427">
        <f>SUMIFS('附表6-收入明细采集底稿'!P:P,'附表6-收入明细采集底稿'!G:G,数据对照表!A10,'附表6-收入明细采集底稿'!H:H,"已售")</f>
        <v>0</v>
      </c>
      <c r="H15" s="427">
        <f t="shared" si="3"/>
        <v>0</v>
      </c>
      <c r="I15" s="427">
        <f>SUMIFS('附表6-收入明细采集底稿'!P:P,'附表6-收入明细采集底稿'!G:G,数据对照表!A10,'附表6-收入明细采集底稿'!H:H,"自用")</f>
        <v>0</v>
      </c>
      <c r="J15" s="427">
        <f>SUMIFS('附表6-收入明细采集底稿'!P:P,'附表6-收入明细采集底稿'!G:G,数据对照表!A10,'附表6-收入明细采集底稿'!H:H,"出租")</f>
        <v>0</v>
      </c>
      <c r="K15" s="428"/>
    </row>
    <row r="16" spans="1:17">
      <c r="A16" s="422"/>
      <c r="B16" s="430" t="str">
        <f>"            "&amp;数据对照表!A11</f>
        <v>            非机动车库（场）</v>
      </c>
      <c r="C16" s="426">
        <v>12</v>
      </c>
      <c r="D16" s="427">
        <f>SUMIFS('附表6-收入明细采集底稿'!P:P,'附表6-收入明细采集底稿'!G:G,数据对照表!A11)</f>
        <v>0</v>
      </c>
      <c r="E16" s="427">
        <f>SUMIFS('附表6-收入明细采集底稿'!P:P,'附表6-收入明细采集底稿'!G:G,数据对照表!A11,'附表6-收入明细采集底稿'!H:H,"不可售")</f>
        <v>0</v>
      </c>
      <c r="F16" s="427">
        <f>SUM(SUMIFS('附表6-收入明细采集底稿'!P:P,'附表6-收入明细采集底稿'!G:G,数据对照表!A11,'附表6-收入明细采集底稿'!H:H,"已售"),SUMIFS('附表6-收入明细采集底稿'!P:P,'附表6-收入明细采集底稿'!G:G,数据对照表!A11,'附表6-收入明细采集底稿'!H:H,"出租"),SUMIFS('附表6-收入明细采集底稿'!P:P,'附表6-收入明细采集底稿'!G:G,数据对照表!A11,'附表6-收入明细采集底稿'!H:H,"自用"),SUMIFS('附表6-收入明细采集底稿'!P:P,'附表6-收入明细采集底稿'!G:G,数据对照表!A11,'附表6-收入明细采集底稿'!H:H,"未售"))</f>
        <v>0</v>
      </c>
      <c r="G16" s="427">
        <f>SUMIFS('附表6-收入明细采集底稿'!P:P,'附表6-收入明细采集底稿'!G:G,数据对照表!A11,'附表6-收入明细采集底稿'!H:H,"已售")</f>
        <v>0</v>
      </c>
      <c r="H16" s="427">
        <f t="shared" si="3"/>
        <v>0</v>
      </c>
      <c r="I16" s="427">
        <f>SUMIFS('附表6-收入明细采集底稿'!P:P,'附表6-收入明细采集底稿'!G:G,数据对照表!A11,'附表6-收入明细采集底稿'!H:H,"自用")</f>
        <v>0</v>
      </c>
      <c r="J16" s="427">
        <f>SUMIFS('附表6-收入明细采集底稿'!P:P,'附表6-收入明细采集底稿'!G:G,数据对照表!A11,'附表6-收入明细采集底稿'!H:H,"出租")</f>
        <v>0</v>
      </c>
      <c r="K16" s="428"/>
    </row>
    <row r="17" spans="1:11">
      <c r="A17" s="422"/>
      <c r="B17" s="430" t="str">
        <f>"            "&amp;数据对照表!A12</f>
        <v>            地下人防设施</v>
      </c>
      <c r="C17" s="426">
        <v>13</v>
      </c>
      <c r="D17" s="427">
        <f>SUMIFS('附表6-收入明细采集底稿'!P:P,'附表6-收入明细采集底稿'!G:G,数据对照表!A12)</f>
        <v>0</v>
      </c>
      <c r="E17" s="427">
        <f>SUMIFS('附表6-收入明细采集底稿'!P:P,'附表6-收入明细采集底稿'!G:G,数据对照表!A12,'附表6-收入明细采集底稿'!H:H,"不可售")</f>
        <v>0</v>
      </c>
      <c r="F17" s="427">
        <f>SUM(SUMIFS('附表6-收入明细采集底稿'!P:P,'附表6-收入明细采集底稿'!G:G,数据对照表!A12,'附表6-收入明细采集底稿'!H:H,"已售"),SUMIFS('附表6-收入明细采集底稿'!P:P,'附表6-收入明细采集底稿'!G:G,数据对照表!A12,'附表6-收入明细采集底稿'!H:H,"出租"),SUMIFS('附表6-收入明细采集底稿'!P:P,'附表6-收入明细采集底稿'!G:G,数据对照表!A12,'附表6-收入明细采集底稿'!H:H,"自用"),SUMIFS('附表6-收入明细采集底稿'!P:P,'附表6-收入明细采集底稿'!G:G,数据对照表!A12,'附表6-收入明细采集底稿'!H:H,"未售"))</f>
        <v>0</v>
      </c>
      <c r="G17" s="427">
        <f>SUMIFS('附表6-收入明细采集底稿'!P:P,'附表6-收入明细采集底稿'!G:G,数据对照表!A12,'附表6-收入明细采集底稿'!H:H,"已售")</f>
        <v>0</v>
      </c>
      <c r="H17" s="427">
        <f t="shared" si="3"/>
        <v>0</v>
      </c>
      <c r="I17" s="427">
        <f>SUMIFS('附表6-收入明细采集底稿'!P:P,'附表6-收入明细采集底稿'!G:G,数据对照表!A12,'附表6-收入明细采集底稿'!H:H,"自用")</f>
        <v>0</v>
      </c>
      <c r="J17" s="427">
        <f>SUMIFS('附表6-收入明细采集底稿'!P:P,'附表6-收入明细采集底稿'!G:G,数据对照表!A12,'附表6-收入明细采集底稿'!H:H,"出租")</f>
        <v>0</v>
      </c>
      <c r="K17" s="428"/>
    </row>
    <row r="18" spans="1:11">
      <c r="A18" s="422"/>
      <c r="B18" s="430" t="str">
        <f>"            "&amp;数据对照表!A13</f>
        <v>            物业管理场所</v>
      </c>
      <c r="C18" s="426">
        <v>14</v>
      </c>
      <c r="D18" s="427">
        <f>SUMIFS('附表6-收入明细采集底稿'!P:P,'附表6-收入明细采集底稿'!G:G,数据对照表!A13)</f>
        <v>0</v>
      </c>
      <c r="E18" s="427">
        <f>SUMIFS('附表6-收入明细采集底稿'!P:P,'附表6-收入明细采集底稿'!G:G,数据对照表!A13,'附表6-收入明细采集底稿'!H:H,"不可售")</f>
        <v>0</v>
      </c>
      <c r="F18" s="427">
        <f>SUM(SUMIFS('附表6-收入明细采集底稿'!P:P,'附表6-收入明细采集底稿'!G:G,数据对照表!A13,'附表6-收入明细采集底稿'!H:H,"已售"),SUMIFS('附表6-收入明细采集底稿'!P:P,'附表6-收入明细采集底稿'!G:G,数据对照表!A13,'附表6-收入明细采集底稿'!H:H,"出租"),SUMIFS('附表6-收入明细采集底稿'!P:P,'附表6-收入明细采集底稿'!G:G,数据对照表!A13,'附表6-收入明细采集底稿'!H:H,"自用"),SUMIFS('附表6-收入明细采集底稿'!P:P,'附表6-收入明细采集底稿'!G:G,数据对照表!A13,'附表6-收入明细采集底稿'!H:H,"未售"))</f>
        <v>0</v>
      </c>
      <c r="G18" s="427">
        <f>SUMIFS('附表6-收入明细采集底稿'!P:P,'附表6-收入明细采集底稿'!G:G,数据对照表!A13,'附表6-收入明细采集底稿'!H:H,"已售")</f>
        <v>0</v>
      </c>
      <c r="H18" s="427">
        <f t="shared" ref="H18:H28" si="4">F18-G18</f>
        <v>0</v>
      </c>
      <c r="I18" s="427">
        <f>SUMIFS('附表6-收入明细采集底稿'!P:P,'附表6-收入明细采集底稿'!G:G,数据对照表!A13,'附表6-收入明细采集底稿'!H:H,"自用")</f>
        <v>0</v>
      </c>
      <c r="J18" s="427">
        <f>SUMIFS('附表6-收入明细采集底稿'!P:P,'附表6-收入明细采集底稿'!G:G,数据对照表!A13,'附表6-收入明细采集底稿'!H:H,"出租")</f>
        <v>0</v>
      </c>
      <c r="K18" s="428"/>
    </row>
    <row r="19" spans="1:11">
      <c r="A19" s="422"/>
      <c r="B19" s="430" t="str">
        <f>"            "&amp;数据对照表!A14</f>
        <v>            变电站</v>
      </c>
      <c r="C19" s="426">
        <v>15</v>
      </c>
      <c r="D19" s="427">
        <f>SUMIFS('附表6-收入明细采集底稿'!P:P,'附表6-收入明细采集底稿'!G:G,数据对照表!A14)</f>
        <v>0</v>
      </c>
      <c r="E19" s="427">
        <f>SUMIFS('附表6-收入明细采集底稿'!P:P,'附表6-收入明细采集底稿'!G:G,数据对照表!A14,'附表6-收入明细采集底稿'!H:H,"不可售")</f>
        <v>0</v>
      </c>
      <c r="F19" s="427">
        <f>SUM(SUMIFS('附表6-收入明细采集底稿'!P:P,'附表6-收入明细采集底稿'!G:G,数据对照表!A14,'附表6-收入明细采集底稿'!H:H,"已售"),SUMIFS('附表6-收入明细采集底稿'!P:P,'附表6-收入明细采集底稿'!G:G,数据对照表!A14,'附表6-收入明细采集底稿'!H:H,"出租"),SUMIFS('附表6-收入明细采集底稿'!P:P,'附表6-收入明细采集底稿'!G:G,数据对照表!A14,'附表6-收入明细采集底稿'!H:H,"自用"),SUMIFS('附表6-收入明细采集底稿'!P:P,'附表6-收入明细采集底稿'!G:G,数据对照表!A14,'附表6-收入明细采集底稿'!H:H,"未售"))</f>
        <v>0</v>
      </c>
      <c r="G19" s="427">
        <f>SUMIFS('附表6-收入明细采集底稿'!P:P,'附表6-收入明细采集底稿'!G:G,数据对照表!A14,'附表6-收入明细采集底稿'!H:H,"已售")</f>
        <v>0</v>
      </c>
      <c r="H19" s="427">
        <f t="shared" si="4"/>
        <v>0</v>
      </c>
      <c r="I19" s="427">
        <f>SUMIFS('附表6-收入明细采集底稿'!P:P,'附表6-收入明细采集底稿'!G:G,数据对照表!A14,'附表6-收入明细采集底稿'!H:H,"自用")</f>
        <v>0</v>
      </c>
      <c r="J19" s="427">
        <f>SUMIFS('附表6-收入明细采集底稿'!P:P,'附表6-收入明细采集底稿'!G:G,数据对照表!A14,'附表6-收入明细采集底稿'!H:H,"出租")</f>
        <v>0</v>
      </c>
      <c r="K19" s="428"/>
    </row>
    <row r="20" spans="1:11">
      <c r="A20" s="422"/>
      <c r="B20" s="430" t="str">
        <f>"            "&amp;数据对照表!A15</f>
        <v>            热力站</v>
      </c>
      <c r="C20" s="426">
        <v>16</v>
      </c>
      <c r="D20" s="427">
        <f>SUMIFS('附表6-收入明细采集底稿'!P:P,'附表6-收入明细采集底稿'!G:G,数据对照表!A15)</f>
        <v>0</v>
      </c>
      <c r="E20" s="427">
        <f>SUMIFS('附表6-收入明细采集底稿'!P:P,'附表6-收入明细采集底稿'!G:G,数据对照表!A15,'附表6-收入明细采集底稿'!H:H,"不可售")</f>
        <v>0</v>
      </c>
      <c r="F20" s="427">
        <f>SUM(SUMIFS('附表6-收入明细采集底稿'!P:P,'附表6-收入明细采集底稿'!G:G,数据对照表!A15,'附表6-收入明细采集底稿'!H:H,"已售"),SUMIFS('附表6-收入明细采集底稿'!P:P,'附表6-收入明细采集底稿'!G:G,数据对照表!A15,'附表6-收入明细采集底稿'!H:H,"出租"),SUMIFS('附表6-收入明细采集底稿'!P:P,'附表6-收入明细采集底稿'!G:G,数据对照表!A15,'附表6-收入明细采集底稿'!H:H,"自用"),SUMIFS('附表6-收入明细采集底稿'!P:P,'附表6-收入明细采集底稿'!G:G,数据对照表!A15,'附表6-收入明细采集底稿'!H:H,"未售"))</f>
        <v>0</v>
      </c>
      <c r="G20" s="427">
        <f>SUMIFS('附表6-收入明细采集底稿'!P:P,'附表6-收入明细采集底稿'!G:G,数据对照表!A15,'附表6-收入明细采集底稿'!H:H,"已售")</f>
        <v>0</v>
      </c>
      <c r="H20" s="427">
        <f t="shared" si="4"/>
        <v>0</v>
      </c>
      <c r="I20" s="427">
        <f>SUMIFS('附表6-收入明细采集底稿'!P:P,'附表6-收入明细采集底稿'!G:G,数据对照表!A15,'附表6-收入明细采集底稿'!H:H,"自用")</f>
        <v>0</v>
      </c>
      <c r="J20" s="427">
        <f>SUMIFS('附表6-收入明细采集底稿'!P:P,'附表6-收入明细采集底稿'!G:G,数据对照表!A15,'附表6-收入明细采集底稿'!H:H,"出租")</f>
        <v>0</v>
      </c>
      <c r="K20" s="428"/>
    </row>
    <row r="21" spans="1:11">
      <c r="A21" s="422"/>
      <c r="B21" s="430" t="str">
        <f>"            "&amp;数据对照表!A16</f>
        <v>            水厂</v>
      </c>
      <c r="C21" s="426">
        <v>17</v>
      </c>
      <c r="D21" s="427">
        <f>SUMIFS('附表6-收入明细采集底稿'!P:P,'附表6-收入明细采集底稿'!G:G,数据对照表!A16)</f>
        <v>0</v>
      </c>
      <c r="E21" s="427">
        <f>SUMIFS('附表6-收入明细采集底稿'!P:P,'附表6-收入明细采集底稿'!G:G,数据对照表!A16,'附表6-收入明细采集底稿'!H:H,"不可售")</f>
        <v>0</v>
      </c>
      <c r="F21" s="427">
        <f>SUM(SUMIFS('附表6-收入明细采集底稿'!P:P,'附表6-收入明细采集底稿'!G:G,数据对照表!A16,'附表6-收入明细采集底稿'!H:H,"已售"),SUMIFS('附表6-收入明细采集底稿'!P:P,'附表6-收入明细采集底稿'!G:G,数据对照表!A16,'附表6-收入明细采集底稿'!H:H,"出租"),SUMIFS('附表6-收入明细采集底稿'!P:P,'附表6-收入明细采集底稿'!G:G,数据对照表!A16,'附表6-收入明细采集底稿'!H:H,"自用"),SUMIFS('附表6-收入明细采集底稿'!P:P,'附表6-收入明细采集底稿'!G:G,数据对照表!A16,'附表6-收入明细采集底稿'!H:H,"未售"))</f>
        <v>0</v>
      </c>
      <c r="G21" s="427">
        <f>SUMIFS('附表6-收入明细采集底稿'!P:P,'附表6-收入明细采集底稿'!G:G,数据对照表!A16,'附表6-收入明细采集底稿'!H:H,"已售")</f>
        <v>0</v>
      </c>
      <c r="H21" s="427">
        <f t="shared" si="4"/>
        <v>0</v>
      </c>
      <c r="I21" s="427">
        <f>SUMIFS('附表6-收入明细采集底稿'!P:P,'附表6-收入明细采集底稿'!G:G,数据对照表!A16,'附表6-收入明细采集底稿'!H:H,"自用")</f>
        <v>0</v>
      </c>
      <c r="J21" s="427">
        <f>SUMIFS('附表6-收入明细采集底稿'!P:P,'附表6-收入明细采集底稿'!G:G,数据对照表!A16,'附表6-收入明细采集底稿'!H:H,"出租")</f>
        <v>0</v>
      </c>
      <c r="K21" s="428"/>
    </row>
    <row r="22" spans="1:11">
      <c r="A22" s="422"/>
      <c r="B22" s="430" t="str">
        <f>"            "&amp;数据对照表!A17</f>
        <v>            文体场馆</v>
      </c>
      <c r="C22" s="426">
        <v>18</v>
      </c>
      <c r="D22" s="427">
        <f>SUMIFS('附表6-收入明细采集底稿'!P:P,'附表6-收入明细采集底稿'!G:G,数据对照表!A17)</f>
        <v>0</v>
      </c>
      <c r="E22" s="427">
        <f>SUMIFS('附表6-收入明细采集底稿'!P:P,'附表6-收入明细采集底稿'!G:G,数据对照表!A17,'附表6-收入明细采集底稿'!H:H,"不可售")</f>
        <v>0</v>
      </c>
      <c r="F22" s="427">
        <f>SUM(SUMIFS('附表6-收入明细采集底稿'!P:P,'附表6-收入明细采集底稿'!G:G,数据对照表!A17,'附表6-收入明细采集底稿'!H:H,"已售"),SUMIFS('附表6-收入明细采集底稿'!P:P,'附表6-收入明细采集底稿'!G:G,数据对照表!A17,'附表6-收入明细采集底稿'!H:H,"出租"),SUMIFS('附表6-收入明细采集底稿'!P:P,'附表6-收入明细采集底稿'!G:G,数据对照表!A17,'附表6-收入明细采集底稿'!H:H,"自用"),SUMIFS('附表6-收入明细采集底稿'!P:P,'附表6-收入明细采集底稿'!G:G,数据对照表!A17,'附表6-收入明细采集底稿'!H:H,"未售"))</f>
        <v>0</v>
      </c>
      <c r="G22" s="427">
        <f>SUMIFS('附表6-收入明细采集底稿'!P:P,'附表6-收入明细采集底稿'!G:G,数据对照表!A17,'附表6-收入明细采集底稿'!H:H,"已售")</f>
        <v>0</v>
      </c>
      <c r="H22" s="427">
        <f t="shared" si="4"/>
        <v>0</v>
      </c>
      <c r="I22" s="427">
        <f>SUMIFS('附表6-收入明细采集底稿'!P:P,'附表6-收入明细采集底稿'!G:G,数据对照表!A17,'附表6-收入明细采集底稿'!H:H,"自用")</f>
        <v>0</v>
      </c>
      <c r="J22" s="427">
        <f>SUMIFS('附表6-收入明细采集底稿'!P:P,'附表6-收入明细采集底稿'!G:G,数据对照表!A17,'附表6-收入明细采集底稿'!H:H,"出租")</f>
        <v>0</v>
      </c>
      <c r="K22" s="428"/>
    </row>
    <row r="23" spans="1:11">
      <c r="A23" s="422"/>
      <c r="B23" s="430" t="str">
        <f>"            "&amp;数据对照表!A18</f>
        <v>            学校</v>
      </c>
      <c r="C23" s="426">
        <v>19</v>
      </c>
      <c r="D23" s="427">
        <f>SUMIFS('附表6-收入明细采集底稿'!P:P,'附表6-收入明细采集底稿'!G:G,数据对照表!A18)</f>
        <v>0</v>
      </c>
      <c r="E23" s="427">
        <f>SUMIFS('附表6-收入明细采集底稿'!P:P,'附表6-收入明细采集底稿'!G:G,数据对照表!A18,'附表6-收入明细采集底稿'!H:H,"不可售")</f>
        <v>0</v>
      </c>
      <c r="F23" s="427">
        <f>SUM(SUMIFS('附表6-收入明细采集底稿'!P:P,'附表6-收入明细采集底稿'!G:G,数据对照表!A18,'附表6-收入明细采集底稿'!H:H,"已售"),SUMIFS('附表6-收入明细采集底稿'!P:P,'附表6-收入明细采集底稿'!G:G,数据对照表!A18,'附表6-收入明细采集底稿'!H:H,"出租"),SUMIFS('附表6-收入明细采集底稿'!P:P,'附表6-收入明细采集底稿'!G:G,数据对照表!A18,'附表6-收入明细采集底稿'!H:H,"自用"),SUMIFS('附表6-收入明细采集底稿'!P:P,'附表6-收入明细采集底稿'!G:G,数据对照表!A18,'附表6-收入明细采集底稿'!H:H,"未售"))</f>
        <v>0</v>
      </c>
      <c r="G23" s="427">
        <f>SUMIFS('附表6-收入明细采集底稿'!P:P,'附表6-收入明细采集底稿'!G:G,数据对照表!A18,'附表6-收入明细采集底稿'!H:H,"已售")</f>
        <v>0</v>
      </c>
      <c r="H23" s="427">
        <f t="shared" si="4"/>
        <v>0</v>
      </c>
      <c r="I23" s="427">
        <f>SUMIFS('附表6-收入明细采集底稿'!P:P,'附表6-收入明细采集底稿'!G:G,数据对照表!A18,'附表6-收入明细采集底稿'!H:H,"自用")</f>
        <v>0</v>
      </c>
      <c r="J23" s="427">
        <f>SUMIFS('附表6-收入明细采集底稿'!P:P,'附表6-收入明细采集底稿'!G:G,数据对照表!A18,'附表6-收入明细采集底稿'!H:H,"出租")</f>
        <v>0</v>
      </c>
      <c r="K23" s="428"/>
    </row>
    <row r="24" spans="1:11">
      <c r="A24" s="422"/>
      <c r="B24" s="430" t="str">
        <f>"            "&amp;数据对照表!A19</f>
        <v>            幼儿园</v>
      </c>
      <c r="C24" s="426">
        <v>20</v>
      </c>
      <c r="D24" s="427">
        <f>SUMIFS('附表6-收入明细采集底稿'!P:P,'附表6-收入明细采集底稿'!G:G,数据对照表!A19)</f>
        <v>0</v>
      </c>
      <c r="E24" s="427">
        <f>SUMIFS('附表6-收入明细采集底稿'!P:P,'附表6-收入明细采集底稿'!G:G,数据对照表!A19,'附表6-收入明细采集底稿'!H:H,"不可售")</f>
        <v>0</v>
      </c>
      <c r="F24" s="427">
        <f>SUM(SUMIFS('附表6-收入明细采集底稿'!P:P,'附表6-收入明细采集底稿'!G:G,数据对照表!A19,'附表6-收入明细采集底稿'!H:H,"已售"),SUMIFS('附表6-收入明细采集底稿'!P:P,'附表6-收入明细采集底稿'!G:G,数据对照表!A19,'附表6-收入明细采集底稿'!H:H,"出租"),SUMIFS('附表6-收入明细采集底稿'!P:P,'附表6-收入明细采集底稿'!G:G,数据对照表!A19,'附表6-收入明细采集底稿'!H:H,"自用"),SUMIFS('附表6-收入明细采集底稿'!P:P,'附表6-收入明细采集底稿'!G:G,数据对照表!A19,'附表6-收入明细采集底稿'!H:H,"未售"))</f>
        <v>0</v>
      </c>
      <c r="G24" s="427">
        <f>SUMIFS('附表6-收入明细采集底稿'!P:P,'附表6-收入明细采集底稿'!G:G,数据对照表!A19,'附表6-收入明细采集底稿'!H:H,"已售")</f>
        <v>0</v>
      </c>
      <c r="H24" s="427">
        <f t="shared" si="4"/>
        <v>0</v>
      </c>
      <c r="I24" s="427">
        <f>SUMIFS('附表6-收入明细采集底稿'!P:P,'附表6-收入明细采集底稿'!G:G,数据对照表!A19,'附表6-收入明细采集底稿'!H:H,"自用")</f>
        <v>0</v>
      </c>
      <c r="J24" s="427">
        <f>SUMIFS('附表6-收入明细采集底稿'!P:P,'附表6-收入明细采集底稿'!G:G,数据对照表!A19,'附表6-收入明细采集底稿'!H:H,"出租")</f>
        <v>0</v>
      </c>
      <c r="K24" s="428"/>
    </row>
    <row r="25" spans="1:11">
      <c r="A25" s="422"/>
      <c r="B25" s="430" t="str">
        <f>"            "&amp;数据对照表!A20</f>
        <v>            托儿所</v>
      </c>
      <c r="C25" s="426">
        <v>21</v>
      </c>
      <c r="D25" s="427">
        <f>SUMIFS('附表6-收入明细采集底稿'!P:P,'附表6-收入明细采集底稿'!G:G,数据对照表!A20)</f>
        <v>0</v>
      </c>
      <c r="E25" s="427">
        <f>SUMIFS('附表6-收入明细采集底稿'!P:P,'附表6-收入明细采集底稿'!G:G,数据对照表!A20,'附表6-收入明细采集底稿'!H:H,"不可售")</f>
        <v>0</v>
      </c>
      <c r="F25" s="427">
        <f>SUM(SUMIFS('附表6-收入明细采集底稿'!P:P,'附表6-收入明细采集底稿'!G:G,数据对照表!A20,'附表6-收入明细采集底稿'!H:H,"已售"),SUMIFS('附表6-收入明细采集底稿'!P:P,'附表6-收入明细采集底稿'!G:G,数据对照表!A20,'附表6-收入明细采集底稿'!H:H,"出租"),SUMIFS('附表6-收入明细采集底稿'!P:P,'附表6-收入明细采集底稿'!G:G,数据对照表!A20,'附表6-收入明细采集底稿'!H:H,"自用"),SUMIFS('附表6-收入明细采集底稿'!P:P,'附表6-收入明细采集底稿'!G:G,数据对照表!A20,'附表6-收入明细采集底稿'!H:H,"未售"))</f>
        <v>0</v>
      </c>
      <c r="G25" s="427">
        <f>SUMIFS('附表6-收入明细采集底稿'!P:P,'附表6-收入明细采集底稿'!G:G,数据对照表!A20,'附表6-收入明细采集底稿'!H:H,"已售")</f>
        <v>0</v>
      </c>
      <c r="H25" s="427">
        <f t="shared" si="4"/>
        <v>0</v>
      </c>
      <c r="I25" s="427">
        <f>SUMIFS('附表6-收入明细采集底稿'!P:P,'附表6-收入明细采集底稿'!G:G,数据对照表!A20,'附表6-收入明细采集底稿'!H:H,"自用")</f>
        <v>0</v>
      </c>
      <c r="J25" s="427">
        <f>SUMIFS('附表6-收入明细采集底稿'!P:P,'附表6-收入明细采集底稿'!G:G,数据对照表!A20,'附表6-收入明细采集底稿'!H:H,"出租")</f>
        <v>0</v>
      </c>
      <c r="K25" s="428"/>
    </row>
    <row r="26" spans="1:11">
      <c r="A26" s="422"/>
      <c r="B26" s="430" t="str">
        <f>"            "&amp;数据对照表!A21</f>
        <v>            医院</v>
      </c>
      <c r="C26" s="426">
        <v>22</v>
      </c>
      <c r="D26" s="427">
        <f>SUMIFS('附表6-收入明细采集底稿'!P:P,'附表6-收入明细采集底稿'!G:G,数据对照表!A21)</f>
        <v>0</v>
      </c>
      <c r="E26" s="427">
        <f>SUMIFS('附表6-收入明细采集底稿'!P:P,'附表6-收入明细采集底稿'!G:G,数据对照表!A21,'附表6-收入明细采集底稿'!H:H,"不可售")</f>
        <v>0</v>
      </c>
      <c r="F26" s="427">
        <f>SUM(SUMIFS('附表6-收入明细采集底稿'!P:P,'附表6-收入明细采集底稿'!G:G,数据对照表!A21,'附表6-收入明细采集底稿'!H:H,"已售"),SUMIFS('附表6-收入明细采集底稿'!P:P,'附表6-收入明细采集底稿'!G:G,数据对照表!A21,'附表6-收入明细采集底稿'!H:H,"出租"),SUMIFS('附表6-收入明细采集底稿'!P:P,'附表6-收入明细采集底稿'!G:G,数据对照表!A21,'附表6-收入明细采集底稿'!H:H,"自用"),SUMIFS('附表6-收入明细采集底稿'!P:P,'附表6-收入明细采集底稿'!G:G,数据对照表!A21,'附表6-收入明细采集底稿'!H:H,"未售"))</f>
        <v>0</v>
      </c>
      <c r="G26" s="427">
        <f>SUMIFS('附表6-收入明细采集底稿'!P:P,'附表6-收入明细采集底稿'!G:G,数据对照表!A21,'附表6-收入明细采集底稿'!H:H,"已售")</f>
        <v>0</v>
      </c>
      <c r="H26" s="427">
        <f t="shared" si="4"/>
        <v>0</v>
      </c>
      <c r="I26" s="427">
        <f>SUMIFS('附表6-收入明细采集底稿'!P:P,'附表6-收入明细采集底稿'!G:G,数据对照表!A21,'附表6-收入明细采集底稿'!H:H,"自用")</f>
        <v>0</v>
      </c>
      <c r="J26" s="427">
        <f>SUMIFS('附表6-收入明细采集底稿'!P:P,'附表6-收入明细采集底稿'!G:G,数据对照表!A21,'附表6-收入明细采集底稿'!H:H,"出租")</f>
        <v>0</v>
      </c>
      <c r="K26" s="428"/>
    </row>
    <row r="27" spans="1:11">
      <c r="A27" s="422"/>
      <c r="B27" s="430" t="str">
        <f>"            "&amp;数据对照表!A22</f>
        <v>            邮电通讯</v>
      </c>
      <c r="C27" s="426">
        <v>23</v>
      </c>
      <c r="D27" s="427">
        <f>SUMIFS('附表6-收入明细采集底稿'!P:P,'附表6-收入明细采集底稿'!G:G,数据对照表!A22)</f>
        <v>0</v>
      </c>
      <c r="E27" s="427">
        <f>SUMIFS('附表6-收入明细采集底稿'!P:P,'附表6-收入明细采集底稿'!G:G,数据对照表!A22,'附表6-收入明细采集底稿'!H:H,"不可售")</f>
        <v>0</v>
      </c>
      <c r="F27" s="427">
        <f>SUM(SUMIFS('附表6-收入明细采集底稿'!P:P,'附表6-收入明细采集底稿'!G:G,数据对照表!A22,'附表6-收入明细采集底稿'!H:H,"已售"),SUMIFS('附表6-收入明细采集底稿'!P:P,'附表6-收入明细采集底稿'!G:G,数据对照表!A22,'附表6-收入明细采集底稿'!H:H,"出租"),SUMIFS('附表6-收入明细采集底稿'!P:P,'附表6-收入明细采集底稿'!G:G,数据对照表!A22,'附表6-收入明细采集底稿'!H:H,"自用"),SUMIFS('附表6-收入明细采集底稿'!P:P,'附表6-收入明细采集底稿'!G:G,数据对照表!A22,'附表6-收入明细采集底稿'!H:H,"未售"))</f>
        <v>0</v>
      </c>
      <c r="G27" s="427">
        <f>SUMIFS('附表6-收入明细采集底稿'!P:P,'附表6-收入明细采集底稿'!G:G,数据对照表!A22,'附表6-收入明细采集底稿'!H:H,"已售")</f>
        <v>0</v>
      </c>
      <c r="H27" s="427">
        <f t="shared" si="4"/>
        <v>0</v>
      </c>
      <c r="I27" s="427">
        <f>SUMIFS('附表6-收入明细采集底稿'!P:P,'附表6-收入明细采集底稿'!G:G,数据对照表!A22,'附表6-收入明细采集底稿'!H:H,"自用")</f>
        <v>0</v>
      </c>
      <c r="J27" s="427">
        <f>SUMIFS('附表6-收入明细采集底稿'!P:P,'附表6-收入明细采集底稿'!G:G,数据对照表!A22,'附表6-收入明细采集底稿'!H:H,"出租")</f>
        <v>0</v>
      </c>
      <c r="K27" s="428"/>
    </row>
    <row r="28" spans="1:11">
      <c r="A28" s="422"/>
      <c r="B28" s="430" t="str">
        <f>"            "&amp;数据对照表!A23</f>
        <v>            其他非营业性房产</v>
      </c>
      <c r="C28" s="426">
        <v>24</v>
      </c>
      <c r="D28" s="427">
        <f>SUMIFS('附表6-收入明细采集底稿'!P:P,'附表6-收入明细采集底稿'!G:G,数据对照表!A23)</f>
        <v>0</v>
      </c>
      <c r="E28" s="427">
        <f>SUMIFS('附表6-收入明细采集底稿'!P:P,'附表6-收入明细采集底稿'!G:G,数据对照表!A23,'附表6-收入明细采集底稿'!H:H,"不可售")</f>
        <v>0</v>
      </c>
      <c r="F28" s="427">
        <f>SUM(SUMIFS('附表6-收入明细采集底稿'!P:P,'附表6-收入明细采集底稿'!G:G,数据对照表!A23,'附表6-收入明细采集底稿'!H:H,"已售"),SUMIFS('附表6-收入明细采集底稿'!P:P,'附表6-收入明细采集底稿'!G:G,数据对照表!A23,'附表6-收入明细采集底稿'!H:H,"出租"),SUMIFS('附表6-收入明细采集底稿'!P:P,'附表6-收入明细采集底稿'!G:G,数据对照表!A23,'附表6-收入明细采集底稿'!H:H,"自用"),SUMIFS('附表6-收入明细采集底稿'!P:P,'附表6-收入明细采集底稿'!G:G,数据对照表!A23,'附表6-收入明细采集底稿'!H:H,"未售"))</f>
        <v>0</v>
      </c>
      <c r="G28" s="427">
        <f>SUMIFS('附表6-收入明细采集底稿'!P:P,'附表6-收入明细采集底稿'!G:G,数据对照表!A23,'附表6-收入明细采集底稿'!H:H,"已售")</f>
        <v>0</v>
      </c>
      <c r="H28" s="427">
        <f t="shared" si="4"/>
        <v>0</v>
      </c>
      <c r="I28" s="427">
        <f>SUMIFS('附表6-收入明细采集底稿'!P:P,'附表6-收入明细采集底稿'!G:G,数据对照表!A23,'附表6-收入明细采集底稿'!H:H,"自用")</f>
        <v>0</v>
      </c>
      <c r="J28" s="427">
        <f>SUMIFS('附表6-收入明细采集底稿'!P:P,'附表6-收入明细采集底稿'!G:G,数据对照表!A23,'附表6-收入明细采集底稿'!H:H,"出租")</f>
        <v>0</v>
      </c>
      <c r="K28" s="428"/>
    </row>
    <row r="29" spans="1:11">
      <c r="A29" s="431"/>
      <c r="B29" s="432" t="s">
        <v>109</v>
      </c>
      <c r="C29" s="426">
        <v>25</v>
      </c>
      <c r="D29" s="427">
        <f>SUM(D5:D7)</f>
        <v>14176.14</v>
      </c>
      <c r="E29" s="427">
        <f t="shared" ref="E29:J29" si="5">SUM(E5:E7)</f>
        <v>1948.74</v>
      </c>
      <c r="F29" s="427">
        <f t="shared" si="5"/>
        <v>12227.4</v>
      </c>
      <c r="G29" s="427">
        <f t="shared" si="5"/>
        <v>11744.64</v>
      </c>
      <c r="H29" s="427">
        <f t="shared" si="5"/>
        <v>482.76</v>
      </c>
      <c r="I29" s="427">
        <f t="shared" si="5"/>
        <v>0</v>
      </c>
      <c r="J29" s="427">
        <f t="shared" si="5"/>
        <v>0</v>
      </c>
      <c r="K29" s="428"/>
    </row>
    <row r="30" spans="1:11">
      <c r="A30" s="433" t="s">
        <v>218</v>
      </c>
      <c r="B30" s="434" t="s">
        <v>203</v>
      </c>
      <c r="C30" s="434" t="s">
        <v>37</v>
      </c>
      <c r="D30" s="129" t="s">
        <v>219</v>
      </c>
      <c r="E30" s="129" t="s">
        <v>135</v>
      </c>
      <c r="F30" s="129" t="s">
        <v>220</v>
      </c>
      <c r="G30" s="129" t="s">
        <v>221</v>
      </c>
      <c r="H30" s="129" t="s">
        <v>222</v>
      </c>
      <c r="I30" s="435" t="s">
        <v>223</v>
      </c>
      <c r="J30" s="436"/>
      <c r="K30" s="421" t="s">
        <v>211</v>
      </c>
    </row>
    <row r="31" spans="1:11">
      <c r="A31" s="433"/>
      <c r="B31" s="437"/>
      <c r="C31" s="437"/>
      <c r="D31" s="502" t="s">
        <v>224</v>
      </c>
      <c r="E31" s="502" t="s">
        <v>225</v>
      </c>
      <c r="F31" s="502" t="s">
        <v>226</v>
      </c>
      <c r="G31" s="502" t="s">
        <v>227</v>
      </c>
      <c r="H31" s="502" t="s">
        <v>228</v>
      </c>
      <c r="I31" s="504" t="s">
        <v>229</v>
      </c>
      <c r="J31" s="436"/>
      <c r="K31" s="503" t="s">
        <v>230</v>
      </c>
    </row>
    <row r="32" spans="1:11">
      <c r="A32" s="433"/>
      <c r="B32" s="430" t="str">
        <f>B5</f>
        <v>普通住宅</v>
      </c>
      <c r="C32" s="426">
        <v>26</v>
      </c>
      <c r="D32" s="438">
        <f>F5</f>
        <v>12227.4</v>
      </c>
      <c r="E32" s="438">
        <f t="shared" ref="D32:E34" si="6">G5</f>
        <v>11744.64</v>
      </c>
      <c r="F32" s="439">
        <f>IF(D32=0,"",ROUND(E32/D32,6))</f>
        <v>0.960518</v>
      </c>
      <c r="G32" s="439">
        <f>IF(F5=0,"",ROUND(I5/F5,6))</f>
        <v>0</v>
      </c>
      <c r="H32" s="439">
        <f>IF(F5=0,"",ROUND(J5/F5,6))</f>
        <v>0</v>
      </c>
      <c r="I32" s="440">
        <f>IF(F5=0,"",ROUND((G5+I5+J5)/F5,6))</f>
        <v>0.960518</v>
      </c>
      <c r="J32" s="441"/>
      <c r="K32" s="426"/>
    </row>
    <row r="33" spans="1:11">
      <c r="A33" s="433"/>
      <c r="B33" s="430" t="str">
        <f>B6</f>
        <v>非普通住宅</v>
      </c>
      <c r="C33" s="426">
        <v>27</v>
      </c>
      <c r="D33" s="438">
        <f t="shared" si="6"/>
        <v>0</v>
      </c>
      <c r="E33" s="438">
        <f t="shared" si="6"/>
        <v>0</v>
      </c>
      <c r="F33" s="439" t="str">
        <f t="shared" ref="F33:F35" si="7">IF(D33=0,"",ROUND(E33/D33,6))</f>
        <v/>
      </c>
      <c r="G33" s="439" t="str">
        <f t="shared" ref="G33:G34" si="8">IF(F6=0,"",ROUND(I6/F6,6))</f>
        <v/>
      </c>
      <c r="H33" s="439" t="str">
        <f t="shared" ref="H33:H34" si="9">IF(F6=0,"",ROUND(J6/F6,6))</f>
        <v/>
      </c>
      <c r="I33" s="440" t="str">
        <f t="shared" ref="I33:I34" si="10">IF(F6=0,"",ROUND((G6+I6+J6)/F6,6))</f>
        <v/>
      </c>
      <c r="J33" s="441"/>
      <c r="K33" s="426"/>
    </row>
    <row r="34" spans="1:11">
      <c r="A34" s="433"/>
      <c r="B34" s="430" t="str">
        <f>B7</f>
        <v>其他类型房产</v>
      </c>
      <c r="C34" s="426">
        <v>28</v>
      </c>
      <c r="D34" s="438">
        <f>F7</f>
        <v>0</v>
      </c>
      <c r="E34" s="438">
        <f t="shared" si="6"/>
        <v>0</v>
      </c>
      <c r="F34" s="439" t="str">
        <f t="shared" si="7"/>
        <v/>
      </c>
      <c r="G34" s="439" t="str">
        <f t="shared" si="8"/>
        <v/>
      </c>
      <c r="H34" s="439" t="str">
        <f t="shared" si="9"/>
        <v/>
      </c>
      <c r="I34" s="440" t="str">
        <f t="shared" si="10"/>
        <v/>
      </c>
      <c r="J34" s="441"/>
      <c r="K34" s="426"/>
    </row>
    <row r="35" ht="14.25" customHeight="1" spans="1:11">
      <c r="A35" s="433"/>
      <c r="B35" s="415" t="s">
        <v>109</v>
      </c>
      <c r="C35" s="426">
        <v>29</v>
      </c>
      <c r="D35" s="438">
        <f>SUM(D32:D34)</f>
        <v>12227.4</v>
      </c>
      <c r="E35" s="438">
        <f>SUM(E32:E34)</f>
        <v>11744.64</v>
      </c>
      <c r="F35" s="439">
        <f t="shared" si="7"/>
        <v>0.960518</v>
      </c>
      <c r="G35" s="439">
        <f>IF(F29=0,"",ROUND(I29/F29,6))</f>
        <v>0</v>
      </c>
      <c r="H35" s="439">
        <f>IF(F29=0,"",ROUND(J29/F29,6))</f>
        <v>0</v>
      </c>
      <c r="I35" s="442">
        <f>IF(F29=0,"",ROUND((G29+I29+J29)/F29,6))</f>
        <v>0.960518</v>
      </c>
      <c r="J35" s="443"/>
      <c r="K35" s="444"/>
    </row>
  </sheetData>
  <mergeCells count="14">
    <mergeCell ref="A1:K1"/>
    <mergeCell ref="A2:K2"/>
    <mergeCell ref="I30:J30"/>
    <mergeCell ref="I31:J31"/>
    <mergeCell ref="I32:J32"/>
    <mergeCell ref="I33:J33"/>
    <mergeCell ref="I34:J34"/>
    <mergeCell ref="I35:J35"/>
    <mergeCell ref="A3:A29"/>
    <mergeCell ref="A30:A35"/>
    <mergeCell ref="B3:B4"/>
    <mergeCell ref="B30:B31"/>
    <mergeCell ref="C3:C4"/>
    <mergeCell ref="C30:C31"/>
  </mergeCells>
  <printOptions horizontalCentered="1"/>
  <pageMargins left="0.747916666666667" right="0.747916666666667" top="0.984027777777778" bottom="0.984027777777778" header="0.511805555555556" footer="0.511805555555556"/>
  <pageSetup paperSize="9" scale="85" fitToHeight="0" orientation="landscape"/>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zoomScale="120" zoomScaleNormal="120" topLeftCell="A2" workbookViewId="0">
      <selection activeCell="N126" sqref="N126:O126"/>
    </sheetView>
  </sheetViews>
  <sheetFormatPr defaultColWidth="8.88405797101449" defaultRowHeight="11.85"/>
  <cols>
    <col min="1" max="1" width="21.5" style="352" customWidth="1"/>
    <col min="2" max="2" width="5.7536231884058" style="352" customWidth="1"/>
    <col min="3" max="6" width="26.6231884057971" style="400" customWidth="1"/>
    <col min="7" max="7" width="15.8840579710145" style="352" customWidth="1"/>
    <col min="8" max="28" width="9" style="352"/>
    <col min="29" max="16384" width="8.88405797101449" style="352"/>
  </cols>
  <sheetData>
    <row r="1" ht="23.8" spans="1:9">
      <c r="A1" s="401" t="s">
        <v>231</v>
      </c>
      <c r="B1" s="401"/>
      <c r="C1" s="402"/>
      <c r="D1" s="402"/>
      <c r="E1" s="402"/>
      <c r="F1" s="402"/>
    </row>
    <row r="2" ht="35.1" customHeight="1" spans="1:9">
      <c r="A2" s="403" t="str">
        <f>土地增值税税源明细表!F5&amp;"："&amp;土地增值税税源明细表!H5&amp;"          "&amp;土地增值税税源明细表!A5&amp;"："&amp;土地增值税税源明细表!B5&amp;"          "&amp;"金额单位:人民币元(列至角分)"</f>
        <v>项目编码：Z65280120200013          项目名称：春和景苑          金额单位:人民币元(列至角分)</v>
      </c>
      <c r="B2" s="403"/>
      <c r="C2" s="404"/>
      <c r="D2" s="404"/>
      <c r="E2" s="404"/>
      <c r="F2" s="404"/>
      <c r="G2" s="405"/>
      <c r="H2" s="405"/>
      <c r="I2" s="405"/>
    </row>
    <row r="3" ht="35.1" customHeight="1" spans="1:9">
      <c r="A3" s="406" t="s">
        <v>232</v>
      </c>
      <c r="B3" s="406" t="s">
        <v>37</v>
      </c>
      <c r="C3" s="407" t="s">
        <v>233</v>
      </c>
      <c r="D3" s="407" t="s">
        <v>234</v>
      </c>
      <c r="E3" s="407" t="s">
        <v>235</v>
      </c>
      <c r="F3" s="407" t="s">
        <v>236</v>
      </c>
    </row>
    <row r="4" s="398" customFormat="1" ht="35.1" customHeight="1" spans="1:9">
      <c r="A4" s="408"/>
      <c r="B4" s="408"/>
      <c r="C4" s="505" t="s">
        <v>42</v>
      </c>
      <c r="D4" s="505" t="s">
        <v>80</v>
      </c>
      <c r="E4" s="505" t="s">
        <v>83</v>
      </c>
      <c r="F4" s="505" t="s">
        <v>237</v>
      </c>
    </row>
    <row r="5" ht="35.1" customHeight="1" spans="1:9">
      <c r="A5" s="409" t="str">
        <f>数据对照表!A2</f>
        <v>普通住宅</v>
      </c>
      <c r="B5" s="410">
        <v>1</v>
      </c>
      <c r="C5" s="411">
        <f>SUMIFS('附表6-收入明细采集底稿'!X:X,'附表6-收入明细采集底稿'!G:G,"普通住宅",'附表6-收入明细采集底稿'!H:H,"已售",'附表6-收入明细采集底稿'!I:I,"货币收入")</f>
        <v>40721947.9578899</v>
      </c>
      <c r="D5" s="411">
        <f>SUMIFS('附表6-收入明细采集底稿'!X:X,'附表6-收入明细采集底稿'!G:G,"普通住宅",'附表6-收入明细采集底稿'!H:H,"已售",'附表6-收入明细采集底稿'!I:I,"实物及其他收入")</f>
        <v>0</v>
      </c>
      <c r="E5" s="411">
        <f>SUMIFS('附表6-收入明细采集底稿'!X:X,'附表6-收入明细采集底稿'!G:G,"普通住宅",'附表6-收入明细采集底稿'!H:H,"已售",'附表6-收入明细采集底稿'!I:I,"视同销售收入")</f>
        <v>0</v>
      </c>
      <c r="F5" s="412">
        <f>C5+D5+E5</f>
        <v>40721947.9578899</v>
      </c>
    </row>
    <row r="6" ht="35.1" customHeight="1" spans="1:9">
      <c r="A6" s="409" t="str">
        <f>数据对照表!A3</f>
        <v>非普通住宅</v>
      </c>
      <c r="B6" s="410">
        <v>2</v>
      </c>
      <c r="C6" s="411">
        <f>SUMIFS('附表6-收入明细采集底稿'!X:X,'附表6-收入明细采集底稿'!G:G,"非普通住宅",'附表6-收入明细采集底稿'!H:H,"已售",'附表6-收入明细采集底稿'!I:I,"货币收入")</f>
        <v>0</v>
      </c>
      <c r="D6" s="411">
        <f>SUMIFS('附表6-收入明细采集底稿'!X:X,'附表6-收入明细采集底稿'!G:G,"非普通住宅",'附表6-收入明细采集底稿'!H:H,"已售",'附表6-收入明细采集底稿'!I:I,"实物及其他收入")</f>
        <v>0</v>
      </c>
      <c r="E6" s="411">
        <f>SUMIFS('附表6-收入明细采集底稿'!X:X,'附表6-收入明细采集底稿'!G:G,"非普通住宅",'附表6-收入明细采集底稿'!H:H,"已售",'附表6-收入明细采集底稿'!I:I,"视同销售收入")</f>
        <v>0</v>
      </c>
      <c r="F6" s="412">
        <f t="shared" ref="F6:F13" si="0">C6+D6+E6</f>
        <v>0</v>
      </c>
    </row>
    <row r="7" ht="35.1" customHeight="1" spans="1:9">
      <c r="A7" s="409" t="s">
        <v>147</v>
      </c>
      <c r="B7" s="410">
        <v>3</v>
      </c>
      <c r="C7" s="411">
        <f>SUM(C8:C12)</f>
        <v>0</v>
      </c>
      <c r="D7" s="411">
        <f>SUM(D8:D12)</f>
        <v>0</v>
      </c>
      <c r="E7" s="411">
        <f>SUM(E8:E12)</f>
        <v>0</v>
      </c>
      <c r="F7" s="412">
        <f t="shared" si="0"/>
        <v>0</v>
      </c>
    </row>
    <row r="8" ht="35.1" customHeight="1" spans="1:9">
      <c r="A8" s="413" t="str">
        <f>"其中："&amp;数据对照表!A4</f>
        <v>其中：商业用房</v>
      </c>
      <c r="B8" s="410">
        <v>4</v>
      </c>
      <c r="C8" s="411">
        <f>SUMIFS('附表6-收入明细采集底稿'!X:X,'附表6-收入明细采集底稿'!G:G,"商业用房",'附表6-收入明细采集底稿'!H:H,"已售",'附表6-收入明细采集底稿'!I:I,"货币收入")</f>
        <v>0</v>
      </c>
      <c r="D8" s="411">
        <f>SUMIFS('附表6-收入明细采集底稿'!X:X,'附表6-收入明细采集底稿'!G:G,"商业用房",'附表6-收入明细采集底稿'!H:H,"已售",'附表6-收入明细采集底稿'!I:I,"实物及其他收入")</f>
        <v>0</v>
      </c>
      <c r="E8" s="411">
        <f>SUMIFS('附表6-收入明细采集底稿'!X:X,'附表6-收入明细采集底稿'!G:G,"商业用房",'附表6-收入明细采集底稿'!H:H,"已售",'附表6-收入明细采集底稿'!I:I,"视同销售收入")</f>
        <v>0</v>
      </c>
      <c r="F8" s="412">
        <f t="shared" si="0"/>
        <v>0</v>
      </c>
    </row>
    <row r="9" ht="35.1" customHeight="1" spans="1:9">
      <c r="A9" s="413" t="str">
        <f>"      "&amp;数据对照表!A5</f>
        <v>      办公用房</v>
      </c>
      <c r="B9" s="410">
        <v>5</v>
      </c>
      <c r="C9" s="411">
        <f>SUMIFS('附表6-收入明细采集底稿'!X:X,'附表6-收入明细采集底稿'!G:G,"办公用房",'附表6-收入明细采集底稿'!H:H,"已售",'附表6-收入明细采集底稿'!I:I,"货币收入")</f>
        <v>0</v>
      </c>
      <c r="D9" s="411">
        <f>SUMIFS('附表6-收入明细采集底稿'!X:X,'附表6-收入明细采集底稿'!G:G,"办公用房",'附表6-收入明细采集底稿'!H:H,"已售",'附表6-收入明细采集底稿'!I:I,"实物及其他收入")</f>
        <v>0</v>
      </c>
      <c r="E9" s="411">
        <f>SUMIFS('附表6-收入明细采集底稿'!X:X,'附表6-收入明细采集底稿'!G:G,"办公用房",'附表6-收入明细采集底稿'!H:H,"已售",'附表6-收入明细采集底稿'!I:I,"视同销售收入")</f>
        <v>0</v>
      </c>
      <c r="F9" s="412">
        <f t="shared" si="0"/>
        <v>0</v>
      </c>
    </row>
    <row r="10" ht="35.1" customHeight="1" spans="1:9">
      <c r="A10" s="413" t="str">
        <f>"      "&amp;数据对照表!A6</f>
        <v>      车位车库</v>
      </c>
      <c r="B10" s="410">
        <v>6</v>
      </c>
      <c r="C10" s="411">
        <f>SUMIFS('附表6-收入明细采集底稿'!X:X,'附表6-收入明细采集底稿'!G:G,"车位车库",'附表6-收入明细采集底稿'!H:H,"已售",'附表6-收入明细采集底稿'!I:I,"货币收入")</f>
        <v>0</v>
      </c>
      <c r="D10" s="411">
        <f>SUMIFS('附表6-收入明细采集底稿'!X:X,'附表6-收入明细采集底稿'!G:G,"车位车库",'附表6-收入明细采集底稿'!H:H,"已售",'附表6-收入明细采集底稿'!I:I,"实物及其他收入")</f>
        <v>0</v>
      </c>
      <c r="E10" s="411">
        <f>SUMIFS('附表6-收入明细采集底稿'!X:X,'附表6-收入明细采集底稿'!G:G,"车位车库",'附表6-收入明细采集底稿'!H:H,"已售",'附表6-收入明细采集底稿'!I:I,"视同销售收入")</f>
        <v>0</v>
      </c>
      <c r="F10" s="412">
        <f t="shared" si="0"/>
        <v>0</v>
      </c>
    </row>
    <row r="11" ht="35.1" customHeight="1" spans="1:9">
      <c r="A11" s="413" t="str">
        <f>"      "&amp;数据对照表!A7</f>
        <v>      其他营业性房产</v>
      </c>
      <c r="B11" s="410">
        <v>7</v>
      </c>
      <c r="C11" s="411">
        <f>SUMIFS('附表6-收入明细采集底稿'!X:X,'附表6-收入明细采集底稿'!G:G,"其他营业性房产",'附表6-收入明细采集底稿'!H:H,"已售",'附表6-收入明细采集底稿'!I:I,"货币收入")</f>
        <v>0</v>
      </c>
      <c r="D11" s="411">
        <f>SUMIFS('附表6-收入明细采集底稿'!X:X,'附表6-收入明细采集底稿'!G:G,"其他营业性房产",'附表6-收入明细采集底稿'!H:H,"已售",'附表6-收入明细采集底稿'!I:I,"实物及其他收入")</f>
        <v>0</v>
      </c>
      <c r="E11" s="411">
        <f>SUMIFS('附表6-收入明细采集底稿'!X:X,'附表6-收入明细采集底稿'!G:G,"其他营业性房产",'附表6-收入明细采集底稿'!H:H,"已售",'附表6-收入明细采集底稿'!I:I,"视同销售收入")</f>
        <v>0</v>
      </c>
      <c r="F11" s="412">
        <f t="shared" si="0"/>
        <v>0</v>
      </c>
    </row>
    <row r="12" ht="35.1" customHeight="1" spans="1:9">
      <c r="A12" s="413" t="str">
        <f>"      "&amp;"非营业性房产"</f>
        <v>      非营业性房产</v>
      </c>
      <c r="B12" s="410">
        <v>8</v>
      </c>
      <c r="C12" s="414">
        <f>ROUND(SUMIFS('附表6-收入明细采集底稿'!X:X,'附表6-收入明细采集底稿'!H:H,"已售",'附表6-收入明细采集底稿'!I:I,"货币收入")-C5-C6-C8-C9-C10-C11,2)</f>
        <v>0</v>
      </c>
      <c r="D12" s="414">
        <f>ROUND(SUMIFS('附表6-收入明细采集底稿'!X:X,'附表6-收入明细采集底稿'!H:H,"已售",'附表6-收入明细采集底稿'!I:I,"实物及其他收入")-D5-D6-D8-D9-D10-D11,2)</f>
        <v>0</v>
      </c>
      <c r="E12" s="414">
        <f>ROUND(SUMIFS('附表6-收入明细采集底稿'!X:X,'附表6-收入明细采集底稿'!H:H,"已售",'附表6-收入明细采集底稿'!I:I,"视同销售收入")-E5-E6-E8-E9-E10-E11,2)</f>
        <v>0</v>
      </c>
      <c r="F12" s="412">
        <f t="shared" si="0"/>
        <v>0</v>
      </c>
    </row>
    <row r="13" s="399" customFormat="1" ht="35.1" customHeight="1" spans="1:9">
      <c r="A13" s="415" t="s">
        <v>109</v>
      </c>
      <c r="B13" s="410">
        <v>9</v>
      </c>
      <c r="C13" s="412">
        <f>C5+C6+C7</f>
        <v>40721947.9578899</v>
      </c>
      <c r="D13" s="412">
        <f>D5+D6+D7</f>
        <v>0</v>
      </c>
      <c r="E13" s="412">
        <f>E5+E6+E7</f>
        <v>0</v>
      </c>
      <c r="F13" s="412">
        <f t="shared" si="0"/>
        <v>40721947.9578899</v>
      </c>
    </row>
  </sheetData>
  <mergeCells count="4">
    <mergeCell ref="A1:F1"/>
    <mergeCell ref="A2:F2"/>
    <mergeCell ref="A3:A4"/>
    <mergeCell ref="B3:B4"/>
  </mergeCells>
  <printOptions horizontalCentered="1"/>
  <pageMargins left="0.747916666666667" right="0.747916666666667" top="0.984027777777778" bottom="0.984027777777778" header="0.511805555555556" footer="0.511805555555556"/>
  <pageSetup paperSize="9" scale="80"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36"/>
  <sheetViews>
    <sheetView zoomScale="90" zoomScaleNormal="90" topLeftCell="A9" workbookViewId="0">
      <selection activeCell="N126" sqref="N126:O126"/>
    </sheetView>
  </sheetViews>
  <sheetFormatPr defaultColWidth="8.88405797101449" defaultRowHeight="15.65"/>
  <cols>
    <col min="1" max="1" width="25.5" style="355" customWidth="1"/>
    <col min="2" max="2" width="21.5" style="356" customWidth="1"/>
    <col min="3" max="3" width="13.3840579710145" style="357" customWidth="1"/>
    <col min="4" max="4" width="15" style="357" customWidth="1"/>
    <col min="5" max="5" width="14.1231884057971" style="357" customWidth="1"/>
    <col min="6" max="6" width="9.5" style="357" customWidth="1"/>
    <col min="7" max="7" width="13.3840579710145" style="358" customWidth="1"/>
    <col min="8" max="8" width="12.5" style="359" customWidth="1"/>
    <col min="9" max="10" width="12.8840579710145" style="359" customWidth="1"/>
    <col min="11" max="13" width="17.3840579710145" style="357" customWidth="1"/>
    <col min="14" max="14" width="15.5" style="357" customWidth="1"/>
    <col min="15" max="16384" width="8.88405797101449" style="355"/>
  </cols>
  <sheetData>
    <row r="1" s="351" customFormat="1" ht="20.65" spans="1:21">
      <c r="A1" s="360" t="s">
        <v>238</v>
      </c>
      <c r="B1" s="360"/>
      <c r="C1" s="361"/>
      <c r="D1" s="361"/>
      <c r="E1" s="361"/>
      <c r="F1" s="361"/>
      <c r="G1" s="360"/>
      <c r="H1" s="362"/>
      <c r="I1" s="362"/>
      <c r="J1" s="362"/>
      <c r="K1" s="361"/>
      <c r="L1" s="361"/>
      <c r="M1" s="361"/>
      <c r="N1" s="361"/>
    </row>
    <row r="2" s="352" customFormat="1" ht="19.5" customHeight="1" spans="1:21">
      <c r="A2" s="55" t="str">
        <f>土地增值税税源明细表!F5&amp;"："&amp;土地增值税税源明细表!H5&amp;"          "&amp;土地增值税税源明细表!A5&amp;"："&amp;土地增值税税源明细表!B5&amp;"          "&amp;"金额单位:人民币元(列至角分)"</f>
        <v>项目编码：Z65280120200013          项目名称：春和景苑          金额单位:人民币元(列至角分)</v>
      </c>
      <c r="B2" s="55"/>
      <c r="C2" s="266"/>
      <c r="D2" s="266"/>
      <c r="E2" s="266"/>
      <c r="F2" s="266"/>
      <c r="G2" s="55"/>
      <c r="H2" s="363"/>
      <c r="I2" s="363"/>
      <c r="J2" s="363"/>
      <c r="K2" s="266"/>
      <c r="L2" s="266"/>
      <c r="M2" s="266"/>
      <c r="N2" s="266"/>
      <c r="O2" s="364"/>
      <c r="P2" s="364"/>
      <c r="Q2" s="364"/>
      <c r="R2" s="364"/>
      <c r="S2" s="364"/>
      <c r="T2" s="364"/>
      <c r="U2" s="364"/>
    </row>
    <row r="3" s="305" customFormat="1" ht="27.95" customHeight="1" spans="1:21">
      <c r="A3" s="365" t="s">
        <v>239</v>
      </c>
      <c r="B3" s="366" t="s">
        <v>37</v>
      </c>
      <c r="C3" s="273" t="s">
        <v>240</v>
      </c>
      <c r="D3" s="273"/>
      <c r="E3" s="273"/>
      <c r="F3" s="273"/>
      <c r="G3" s="367" t="s">
        <v>241</v>
      </c>
      <c r="H3" s="368"/>
      <c r="I3" s="368"/>
      <c r="J3" s="368"/>
      <c r="K3" s="273" t="s">
        <v>242</v>
      </c>
      <c r="L3" s="273"/>
      <c r="M3" s="273"/>
      <c r="N3" s="273"/>
    </row>
    <row r="4" s="305" customFormat="1" ht="27.95" customHeight="1" spans="1:21">
      <c r="A4" s="369"/>
      <c r="B4" s="370"/>
      <c r="C4" s="273" t="s">
        <v>145</v>
      </c>
      <c r="D4" s="273" t="s">
        <v>146</v>
      </c>
      <c r="E4" s="273" t="s">
        <v>147</v>
      </c>
      <c r="F4" s="273" t="s">
        <v>236</v>
      </c>
      <c r="G4" s="371" t="s">
        <v>243</v>
      </c>
      <c r="H4" s="372" t="s">
        <v>145</v>
      </c>
      <c r="I4" s="372" t="s">
        <v>146</v>
      </c>
      <c r="J4" s="372" t="s">
        <v>147</v>
      </c>
      <c r="K4" s="273" t="s">
        <v>145</v>
      </c>
      <c r="L4" s="273" t="s">
        <v>146</v>
      </c>
      <c r="M4" s="273" t="s">
        <v>147</v>
      </c>
      <c r="N4" s="273" t="s">
        <v>236</v>
      </c>
    </row>
    <row r="5" s="305" customFormat="1" ht="27.95" customHeight="1" spans="1:21">
      <c r="A5" s="373"/>
      <c r="B5" s="374"/>
      <c r="C5" s="506" t="s">
        <v>42</v>
      </c>
      <c r="D5" s="506" t="s">
        <v>80</v>
      </c>
      <c r="E5" s="506" t="s">
        <v>83</v>
      </c>
      <c r="F5" s="506" t="s">
        <v>237</v>
      </c>
      <c r="G5" s="507" t="s">
        <v>244</v>
      </c>
      <c r="H5" s="508" t="s">
        <v>215</v>
      </c>
      <c r="I5" s="508" t="s">
        <v>216</v>
      </c>
      <c r="J5" s="508" t="s">
        <v>217</v>
      </c>
      <c r="K5" s="506" t="s">
        <v>245</v>
      </c>
      <c r="L5" s="506" t="s">
        <v>246</v>
      </c>
      <c r="M5" s="506" t="s">
        <v>247</v>
      </c>
      <c r="N5" s="506" t="s">
        <v>248</v>
      </c>
    </row>
    <row r="6" s="305" customFormat="1" ht="27.95" customHeight="1" spans="1:21">
      <c r="A6" s="375" t="s">
        <v>249</v>
      </c>
      <c r="B6" s="376" t="s">
        <v>250</v>
      </c>
      <c r="C6" s="377">
        <f>'附表5-扣除项目统计表'!E87+'附表5-扣除项目统计表'!I87</f>
        <v>40428241.2807523</v>
      </c>
      <c r="D6" s="377">
        <f>'附表5-扣除项目统计表'!F87+'附表5-扣除项目统计表'!J87</f>
        <v>0</v>
      </c>
      <c r="E6" s="377">
        <f>'附表5-扣除项目统计表'!G87+'附表5-扣除项目统计表'!K87</f>
        <v>0</v>
      </c>
      <c r="F6" s="377">
        <f>SUM(C6:E6)</f>
        <v>40428241.2807523</v>
      </c>
      <c r="G6" s="378"/>
      <c r="H6" s="379"/>
      <c r="I6" s="379"/>
      <c r="J6" s="379"/>
      <c r="K6" s="380">
        <f>SUM(K7)+SUM(K9)+SUM(K17)+SUM(K20)+SUM(K26)+SUM(K27)</f>
        <v>38837520.45</v>
      </c>
      <c r="L6" s="380">
        <f>SUM(L7)+SUM(L9)+SUM(L17)+SUM(L20)+SUM(L26)+SUM(L27)</f>
        <v>0</v>
      </c>
      <c r="M6" s="380">
        <f>SUM(M7)+SUM(M9)+SUM(M17)+SUM(M20)+SUM(M26)+SUM(M27)</f>
        <v>0</v>
      </c>
      <c r="N6" s="380">
        <f>SUM(K6:M6)</f>
        <v>38837520.45</v>
      </c>
    </row>
    <row r="7" s="305" customFormat="1" ht="27.95" customHeight="1" spans="1:21">
      <c r="A7" s="381" t="s">
        <v>156</v>
      </c>
      <c r="B7" s="376" t="s">
        <v>80</v>
      </c>
      <c r="C7" s="377">
        <f>'附表5-扣除项目统计表'!E6+'附表5-扣除项目统计表'!I6</f>
        <v>0</v>
      </c>
      <c r="D7" s="377">
        <f>'附表5-扣除项目统计表'!F6+'附表5-扣除项目统计表'!J6</f>
        <v>0</v>
      </c>
      <c r="E7" s="377">
        <f>'附表5-扣除项目统计表'!G6+'附表5-扣除项目统计表'!K6</f>
        <v>0</v>
      </c>
      <c r="F7" s="377">
        <f t="shared" ref="F7:F19" si="0">SUM(C7:E7)</f>
        <v>0</v>
      </c>
      <c r="G7" s="382" t="s">
        <v>251</v>
      </c>
      <c r="H7" s="383">
        <f>IF(OR($G7="可售建筑面积法",$G7="可售建筑面积法（二分法）"),'附表1-面积统计表'!$F$32,IF($G7="其他合理方法","请填写","请选择分摊方法"))</f>
        <v>0.960518</v>
      </c>
      <c r="I7" s="383" t="str">
        <f>IF($G7="可售建筑面积法（二分法）",IF('附表1-面积统计表'!$D$33+'附表1-面积统计表'!$D$34=0,"",ROUND(('附表1-面积统计表'!$E$33+'附表1-面积统计表'!$E$34)/('附表1-面积统计表'!$D$33+'附表1-面积统计表'!$D$34),6)),IF($G7="可售建筑面积法",'附表1-面积统计表'!$F$33,IF($G7="其他合理方法","请填写","请选择分摊方法")))</f>
        <v/>
      </c>
      <c r="J7" s="383" t="str">
        <f>IF($G7="可售建筑面积法（二分法）",IF('附表1-面积统计表'!$D$33+'附表1-面积统计表'!$D$34=0,"",ROUND(('附表1-面积统计表'!$E$33+'附表1-面积统计表'!$E$34)/('附表1-面积统计表'!$D$33+'附表1-面积统计表'!$D$34),6)),IF($G7="可售建筑面积法",'附表1-面积统计表'!$F$34,IF($G7="其他合理方法","请填写","请选择分摊方法")))</f>
        <v/>
      </c>
      <c r="K7" s="380">
        <f t="shared" ref="K7:K14" si="1">IF(AND(H7&lt;=1,H7&gt;=0),ROUND(C7*H7,2),"请准确填写扣除比例")</f>
        <v>0</v>
      </c>
      <c r="L7" s="380" t="str">
        <f t="shared" ref="L7:L14" si="2">IF(AND(I7&lt;=1,I7&gt;=0),ROUND(D7*I7,2),"请准确填写扣除比例")</f>
        <v>请准确填写扣除比例</v>
      </c>
      <c r="M7" s="380" t="str">
        <f t="shared" ref="M7:M14" si="3">IF(AND(J7&lt;=1,J7&gt;=0),ROUND(E7*J7,2),"请准确填写扣除比例")</f>
        <v>请准确填写扣除比例</v>
      </c>
      <c r="N7" s="380">
        <f t="shared" ref="N7:N27" si="4">SUM(K7:M7)</f>
        <v>0</v>
      </c>
    </row>
    <row r="8" s="305" customFormat="1" ht="27.95" customHeight="1" spans="1:21">
      <c r="A8" s="384" t="s">
        <v>157</v>
      </c>
      <c r="B8" s="376" t="s">
        <v>83</v>
      </c>
      <c r="C8" s="377">
        <f>'附表5-扣除项目统计表'!E10+'附表5-扣除项目统计表'!I10</f>
        <v>0</v>
      </c>
      <c r="D8" s="377">
        <f>'附表5-扣除项目统计表'!F10+'附表5-扣除项目统计表'!J10</f>
        <v>0</v>
      </c>
      <c r="E8" s="377">
        <f>'附表5-扣除项目统计表'!G10+'附表5-扣除项目统计表'!K10</f>
        <v>0</v>
      </c>
      <c r="F8" s="377">
        <f t="shared" si="0"/>
        <v>0</v>
      </c>
      <c r="G8" s="382" t="s">
        <v>251</v>
      </c>
      <c r="H8" s="383">
        <f>IF(OR($G8="可售建筑面积法",$G8="可售建筑面积法（二分法）"),'附表1-面积统计表'!$F$32,IF($G8="其他合理方法","请填写","请选择分摊方法"))</f>
        <v>0.960518</v>
      </c>
      <c r="I8" s="383" t="str">
        <f>IF($G8="可售建筑面积法（二分法）",IF('附表1-面积统计表'!$D$33+'附表1-面积统计表'!$D$34=0,"",ROUND(('附表1-面积统计表'!$E$33+'附表1-面积统计表'!$E$34)/('附表1-面积统计表'!$D$33+'附表1-面积统计表'!$D$34),6)),IF($G8="可售建筑面积法",'附表1-面积统计表'!$F$33,IF($G8="其他合理方法","请填写","请选择分摊方法")))</f>
        <v/>
      </c>
      <c r="J8" s="383" t="str">
        <f>IF($G8="可售建筑面积法（二分法）",IF('附表1-面积统计表'!$D$33+'附表1-面积统计表'!$D$34=0,"",ROUND(('附表1-面积统计表'!$E$33+'附表1-面积统计表'!$E$34)/('附表1-面积统计表'!$D$33+'附表1-面积统计表'!$D$34),6)),IF($G8="可售建筑面积法",'附表1-面积统计表'!$F$34,IF($G8="其他合理方法","请填写","请选择分摊方法")))</f>
        <v/>
      </c>
      <c r="K8" s="380">
        <f t="shared" si="1"/>
        <v>0</v>
      </c>
      <c r="L8" s="380" t="str">
        <f t="shared" si="2"/>
        <v>请准确填写扣除比例</v>
      </c>
      <c r="M8" s="380" t="str">
        <f t="shared" si="3"/>
        <v>请准确填写扣除比例</v>
      </c>
      <c r="N8" s="380">
        <f t="shared" si="4"/>
        <v>0</v>
      </c>
    </row>
    <row r="9" s="305" customFormat="1" ht="27.95" customHeight="1" spans="1:21">
      <c r="A9" s="381" t="s">
        <v>159</v>
      </c>
      <c r="B9" s="376" t="s">
        <v>252</v>
      </c>
      <c r="C9" s="377">
        <f>'附表5-扣除项目统计表'!E11+'附表5-扣除项目统计表'!I11</f>
        <v>30992133.45</v>
      </c>
      <c r="D9" s="377">
        <f>'附表5-扣除项目统计表'!F11+'附表5-扣除项目统计表'!J11</f>
        <v>0</v>
      </c>
      <c r="E9" s="377">
        <f>'附表5-扣除项目统计表'!G11+'附表5-扣除项目统计表'!K11</f>
        <v>0</v>
      </c>
      <c r="F9" s="377">
        <f t="shared" si="0"/>
        <v>30992133.45</v>
      </c>
      <c r="G9" s="379"/>
      <c r="H9" s="379"/>
      <c r="I9" s="379"/>
      <c r="J9" s="379"/>
      <c r="K9" s="380">
        <f>SUM(K10:K15)</f>
        <v>29768502.04</v>
      </c>
      <c r="L9" s="380">
        <f>SUM(L10:L15)</f>
        <v>0</v>
      </c>
      <c r="M9" s="380">
        <f>SUM(M10:M15)</f>
        <v>0</v>
      </c>
      <c r="N9" s="380">
        <f t="shared" si="4"/>
        <v>29768502.04</v>
      </c>
    </row>
    <row r="10" s="305" customFormat="1" ht="27.95" customHeight="1" spans="1:21">
      <c r="A10" s="384" t="s">
        <v>161</v>
      </c>
      <c r="B10" s="376" t="s">
        <v>244</v>
      </c>
      <c r="C10" s="377">
        <f>'附表5-扣除项目统计表'!E12+'附表5-扣除项目统计表'!I12</f>
        <v>0</v>
      </c>
      <c r="D10" s="377">
        <f>'附表5-扣除项目统计表'!F12+'附表5-扣除项目统计表'!J12</f>
        <v>0</v>
      </c>
      <c r="E10" s="377">
        <f>'附表5-扣除项目统计表'!G12+'附表5-扣除项目统计表'!K12</f>
        <v>0</v>
      </c>
      <c r="F10" s="377">
        <f t="shared" si="0"/>
        <v>0</v>
      </c>
      <c r="G10" s="382" t="s">
        <v>251</v>
      </c>
      <c r="H10" s="383">
        <f>IF(OR($G10="可售建筑面积法",$G10="可售建筑面积法（二分法）"),'附表1-面积统计表'!$F$32,IF($G10="其他合理方法","请填写","请选择分摊方法"))</f>
        <v>0.960518</v>
      </c>
      <c r="I10" s="383" t="str">
        <f>IF($G10="可售建筑面积法（二分法）",IF('附表1-面积统计表'!$D$33+'附表1-面积统计表'!$D$34=0,"",ROUND(('附表1-面积统计表'!$E$33+'附表1-面积统计表'!$E$34)/('附表1-面积统计表'!$D$33+'附表1-面积统计表'!$D$34),6)),IF($G10="可售建筑面积法",'附表1-面积统计表'!$F$33,IF($G10="其他合理方法","请填写","请选择分摊方法")))</f>
        <v/>
      </c>
      <c r="J10" s="383" t="str">
        <f>IF($G10="可售建筑面积法（二分法）",IF('附表1-面积统计表'!$D$33+'附表1-面积统计表'!$D$34=0,"",ROUND(('附表1-面积统计表'!$E$33+'附表1-面积统计表'!$E$34)/('附表1-面积统计表'!$D$33+'附表1-面积统计表'!$D$34),6)),IF($G10="可售建筑面积法",'附表1-面积统计表'!$F$34,IF($G10="其他合理方法","请填写","请选择分摊方法")))</f>
        <v/>
      </c>
      <c r="K10" s="380">
        <f t="shared" si="1"/>
        <v>0</v>
      </c>
      <c r="L10" s="380" t="str">
        <f t="shared" si="2"/>
        <v>请准确填写扣除比例</v>
      </c>
      <c r="M10" s="380" t="str">
        <f t="shared" si="3"/>
        <v>请准确填写扣除比例</v>
      </c>
      <c r="N10" s="380">
        <f t="shared" si="4"/>
        <v>0</v>
      </c>
    </row>
    <row r="11" s="305" customFormat="1" ht="27.95" customHeight="1" spans="1:21">
      <c r="A11" s="384" t="s">
        <v>162</v>
      </c>
      <c r="B11" s="376" t="s">
        <v>215</v>
      </c>
      <c r="C11" s="377">
        <f>'附表5-扣除项目统计表'!E19+'附表5-扣除项目统计表'!I19</f>
        <v>376522.22</v>
      </c>
      <c r="D11" s="377">
        <f>'附表5-扣除项目统计表'!F19+'附表5-扣除项目统计表'!J19</f>
        <v>0</v>
      </c>
      <c r="E11" s="377">
        <f>'附表5-扣除项目统计表'!G19+'附表5-扣除项目统计表'!K19</f>
        <v>0</v>
      </c>
      <c r="F11" s="377">
        <f t="shared" si="0"/>
        <v>376522.22</v>
      </c>
      <c r="G11" s="382" t="s">
        <v>251</v>
      </c>
      <c r="H11" s="383">
        <f>IF(OR($G11="可售建筑面积法",$G11="可售建筑面积法（二分法）"),'附表1-面积统计表'!$F$32,IF($G11="其他合理方法","请填写","请选择分摊方法"))</f>
        <v>0.960518</v>
      </c>
      <c r="I11" s="383" t="str">
        <f>IF($G11="可售建筑面积法（二分法）",IF('附表1-面积统计表'!$D$33+'附表1-面积统计表'!$D$34=0,"",ROUND(('附表1-面积统计表'!$E$33+'附表1-面积统计表'!$E$34)/('附表1-面积统计表'!$D$33+'附表1-面积统计表'!$D$34),6)),IF($G11="可售建筑面积法",'附表1-面积统计表'!$F$33,IF($G11="其他合理方法","请填写","请选择分摊方法")))</f>
        <v/>
      </c>
      <c r="J11" s="383" t="str">
        <f>IF($G11="可售建筑面积法（二分法）",IF('附表1-面积统计表'!$D$33+'附表1-面积统计表'!$D$34=0,"",ROUND(('附表1-面积统计表'!$E$33+'附表1-面积统计表'!$E$34)/('附表1-面积统计表'!$D$33+'附表1-面积统计表'!$D$34),6)),IF($G11="可售建筑面积法",'附表1-面积统计表'!$F$34,IF($G11="其他合理方法","请填写","请选择分摊方法")))</f>
        <v/>
      </c>
      <c r="K11" s="380">
        <f t="shared" si="1"/>
        <v>361656.37</v>
      </c>
      <c r="L11" s="380" t="str">
        <f t="shared" si="2"/>
        <v>请准确填写扣除比例</v>
      </c>
      <c r="M11" s="380" t="str">
        <f t="shared" si="3"/>
        <v>请准确填写扣除比例</v>
      </c>
      <c r="N11" s="380">
        <f t="shared" si="4"/>
        <v>361656.37</v>
      </c>
    </row>
    <row r="12" s="305" customFormat="1" ht="27.95" customHeight="1" spans="1:21">
      <c r="A12" s="384" t="s">
        <v>163</v>
      </c>
      <c r="B12" s="376" t="s">
        <v>216</v>
      </c>
      <c r="C12" s="377">
        <f>'附表5-扣除项目统计表'!E29+'附表5-扣除项目统计表'!I29</f>
        <v>24729056.61</v>
      </c>
      <c r="D12" s="377">
        <f>'附表5-扣除项目统计表'!F29+'附表5-扣除项目统计表'!J29</f>
        <v>0</v>
      </c>
      <c r="E12" s="377">
        <f>'附表5-扣除项目统计表'!G29+'附表5-扣除项目统计表'!K29</f>
        <v>0</v>
      </c>
      <c r="F12" s="377">
        <f t="shared" si="0"/>
        <v>24729056.61</v>
      </c>
      <c r="G12" s="382" t="s">
        <v>251</v>
      </c>
      <c r="H12" s="383">
        <f>IF(OR($G12="可售建筑面积法",$G12="可售建筑面积法（二分法）"),'附表1-面积统计表'!$F$32,IF($G12="其他合理方法","请填写","请选择分摊方法"))</f>
        <v>0.960518</v>
      </c>
      <c r="I12" s="383" t="str">
        <f>IF($G12="可售建筑面积法（二分法）",IF('附表1-面积统计表'!$D$33+'附表1-面积统计表'!$D$34=0,"",ROUND(('附表1-面积统计表'!$E$33+'附表1-面积统计表'!$E$34)/('附表1-面积统计表'!$D$33+'附表1-面积统计表'!$D$34),6)),IF($G12="可售建筑面积法",'附表1-面积统计表'!$F$33,IF($G12="其他合理方法","请填写","请选择分摊方法")))</f>
        <v/>
      </c>
      <c r="J12" s="383" t="str">
        <f>IF($G12="可售建筑面积法（二分法）",IF('附表1-面积统计表'!$D$33+'附表1-面积统计表'!$D$34=0,"",ROUND(('附表1-面积统计表'!$E$33+'附表1-面积统计表'!$E$34)/('附表1-面积统计表'!$D$33+'附表1-面积统计表'!$D$34),6)),IF($G12="可售建筑面积法",'附表1-面积统计表'!$F$34,IF($G12="其他合理方法","请填写","请选择分摊方法")))</f>
        <v/>
      </c>
      <c r="K12" s="380">
        <f t="shared" si="1"/>
        <v>23752704</v>
      </c>
      <c r="L12" s="380" t="str">
        <f t="shared" si="2"/>
        <v>请准确填写扣除比例</v>
      </c>
      <c r="M12" s="380" t="str">
        <f t="shared" si="3"/>
        <v>请准确填写扣除比例</v>
      </c>
      <c r="N12" s="380">
        <f t="shared" si="4"/>
        <v>23752704</v>
      </c>
    </row>
    <row r="13" s="305" customFormat="1" ht="27.95" customHeight="1" spans="1:21">
      <c r="A13" s="384" t="s">
        <v>164</v>
      </c>
      <c r="B13" s="376" t="s">
        <v>217</v>
      </c>
      <c r="C13" s="377">
        <f>'附表5-扣除项目统计表'!E36+'附表5-扣除项目统计表'!I36</f>
        <v>5886554.62</v>
      </c>
      <c r="D13" s="377">
        <f>'附表5-扣除项目统计表'!F36+'附表5-扣除项目统计表'!J36</f>
        <v>0</v>
      </c>
      <c r="E13" s="377">
        <f>'附表5-扣除项目统计表'!G36+'附表5-扣除项目统计表'!K36</f>
        <v>0</v>
      </c>
      <c r="F13" s="377">
        <f t="shared" si="0"/>
        <v>5886554.62</v>
      </c>
      <c r="G13" s="382" t="s">
        <v>251</v>
      </c>
      <c r="H13" s="383">
        <f>IF(OR($G13="可售建筑面积法",$G13="可售建筑面积法（二分法）"),'附表1-面积统计表'!$F$32,IF($G13="其他合理方法","请填写","请选择分摊方法"))</f>
        <v>0.960518</v>
      </c>
      <c r="I13" s="383" t="str">
        <f>IF($G13="可售建筑面积法（二分法）",IF('附表1-面积统计表'!$D$33+'附表1-面积统计表'!$D$34=0,"",ROUND(('附表1-面积统计表'!$E$33+'附表1-面积统计表'!$E$34)/('附表1-面积统计表'!$D$33+'附表1-面积统计表'!$D$34),6)),IF($G13="可售建筑面积法",'附表1-面积统计表'!$F$33,IF($G13="其他合理方法","请填写","请选择分摊方法")))</f>
        <v/>
      </c>
      <c r="J13" s="383" t="str">
        <f>IF($G13="可售建筑面积法（二分法）",IF('附表1-面积统计表'!$D$33+'附表1-面积统计表'!$D$34=0,"",ROUND(('附表1-面积统计表'!$E$33+'附表1-面积统计表'!$E$34)/('附表1-面积统计表'!$D$33+'附表1-面积统计表'!$D$34),6)),IF($G13="可售建筑面积法",'附表1-面积统计表'!$F$34,IF($G13="其他合理方法","请填写","请选择分摊方法")))</f>
        <v/>
      </c>
      <c r="K13" s="380">
        <f t="shared" si="1"/>
        <v>5654141.67</v>
      </c>
      <c r="L13" s="380" t="str">
        <f t="shared" si="2"/>
        <v>请准确填写扣除比例</v>
      </c>
      <c r="M13" s="380" t="str">
        <f t="shared" si="3"/>
        <v>请准确填写扣除比例</v>
      </c>
      <c r="N13" s="380">
        <f t="shared" si="4"/>
        <v>5654141.67</v>
      </c>
    </row>
    <row r="14" s="353" customFormat="1" ht="27.95" customHeight="1" spans="1:21">
      <c r="A14" s="384" t="s">
        <v>165</v>
      </c>
      <c r="B14" s="376" t="s">
        <v>224</v>
      </c>
      <c r="C14" s="377">
        <f>'附表5-扣除项目统计表'!E48+'附表5-扣除项目统计表'!I48</f>
        <v>0</v>
      </c>
      <c r="D14" s="377">
        <f>'附表5-扣除项目统计表'!F48+'附表5-扣除项目统计表'!J48</f>
        <v>0</v>
      </c>
      <c r="E14" s="377">
        <f>'附表5-扣除项目统计表'!G48+'附表5-扣除项目统计表'!K48</f>
        <v>0</v>
      </c>
      <c r="F14" s="377">
        <f t="shared" si="0"/>
        <v>0</v>
      </c>
      <c r="G14" s="382" t="s">
        <v>251</v>
      </c>
      <c r="H14" s="383">
        <f>IF(OR($G14="可售建筑面积法",$G14="可售建筑面积法（二分法）"),'附表1-面积统计表'!$F$32,IF($G14="其他合理方法","请填写","请选择分摊方法"))</f>
        <v>0.960518</v>
      </c>
      <c r="I14" s="383" t="str">
        <f>IF($G14="可售建筑面积法（二分法）",IF('附表1-面积统计表'!$D$33+'附表1-面积统计表'!$D$34=0,"",ROUND(('附表1-面积统计表'!$E$33+'附表1-面积统计表'!$E$34)/('附表1-面积统计表'!$D$33+'附表1-面积统计表'!$D$34),6)),IF($G14="可售建筑面积法",'附表1-面积统计表'!$F$33,IF($G14="其他合理方法","请填写","请选择分摊方法")))</f>
        <v/>
      </c>
      <c r="J14" s="383" t="str">
        <f>IF($G14="可售建筑面积法（二分法）",IF('附表1-面积统计表'!$D$33+'附表1-面积统计表'!$D$34=0,"",ROUND(('附表1-面积统计表'!$E$33+'附表1-面积统计表'!$E$34)/('附表1-面积统计表'!$D$33+'附表1-面积统计表'!$D$34),6)),IF($G14="可售建筑面积法",'附表1-面积统计表'!$F$34,IF($G14="其他合理方法","请填写","请选择分摊方法")))</f>
        <v/>
      </c>
      <c r="K14" s="380">
        <f t="shared" si="1"/>
        <v>0</v>
      </c>
      <c r="L14" s="380" t="str">
        <f t="shared" si="2"/>
        <v>请准确填写扣除比例</v>
      </c>
      <c r="M14" s="380" t="str">
        <f t="shared" si="3"/>
        <v>请准确填写扣除比例</v>
      </c>
      <c r="N14" s="380">
        <f t="shared" si="4"/>
        <v>0</v>
      </c>
    </row>
    <row r="15" s="353" customFormat="1" ht="27.95" customHeight="1" spans="1:21">
      <c r="A15" s="384" t="s">
        <v>166</v>
      </c>
      <c r="B15" s="376" t="s">
        <v>225</v>
      </c>
      <c r="C15" s="377">
        <f>'附表5-扣除项目统计表'!E65+'附表5-扣除项目统计表'!I65</f>
        <v>0</v>
      </c>
      <c r="D15" s="377">
        <f>'附表5-扣除项目统计表'!F65+'附表5-扣除项目统计表'!J65</f>
        <v>0</v>
      </c>
      <c r="E15" s="377">
        <f>'附表5-扣除项目统计表'!G65+'附表5-扣除项目统计表'!K65</f>
        <v>0</v>
      </c>
      <c r="F15" s="377">
        <f t="shared" si="0"/>
        <v>0</v>
      </c>
      <c r="G15" s="382" t="s">
        <v>251</v>
      </c>
      <c r="H15" s="383">
        <f>IF(OR($G15="可售建筑面积法",$G15="可售建筑面积法（二分法）"),'附表1-面积统计表'!$F$32,IF($G15="其他合理方法","请填写","请选择分摊方法"))</f>
        <v>0.960518</v>
      </c>
      <c r="I15" s="383" t="str">
        <f>IF($G15="可售建筑面积法（二分法）",IF('附表1-面积统计表'!$D$33+'附表1-面积统计表'!$D$34=0,"",ROUND(('附表1-面积统计表'!$E$33+'附表1-面积统计表'!$E$34)/('附表1-面积统计表'!$D$33+'附表1-面积统计表'!$D$34),6)),IF($G15="可售建筑面积法",'附表1-面积统计表'!$F$33,IF($G15="其他合理方法","请填写","请选择分摊方法")))</f>
        <v/>
      </c>
      <c r="J15" s="383" t="str">
        <f>IF($G15="可售建筑面积法（二分法）",IF('附表1-面积统计表'!$D$33+'附表1-面积统计表'!$D$34=0,"",ROUND(('附表1-面积统计表'!$E$33+'附表1-面积统计表'!$E$34)/('附表1-面积统计表'!$D$33+'附表1-面积统计表'!$D$34),6)),IF($G15="可售建筑面积法",'附表1-面积统计表'!$F$34,IF($G15="其他合理方法","请填写","请选择分摊方法")))</f>
        <v/>
      </c>
      <c r="K15" s="380">
        <f t="shared" ref="K15:M16" si="5">IF(AND(H15&lt;=1,H15&gt;=0),ROUND(C15*H15,2),"请准确填写扣除比例")</f>
        <v>0</v>
      </c>
      <c r="L15" s="380" t="str">
        <f t="shared" si="5"/>
        <v>请准确填写扣除比例</v>
      </c>
      <c r="M15" s="380" t="str">
        <f t="shared" si="5"/>
        <v>请准确填写扣除比例</v>
      </c>
      <c r="N15" s="380">
        <f t="shared" si="4"/>
        <v>0</v>
      </c>
    </row>
    <row r="16" s="353" customFormat="1" ht="27.95" customHeight="1" spans="1:21">
      <c r="A16" s="384" t="s">
        <v>157</v>
      </c>
      <c r="B16" s="376" t="s">
        <v>253</v>
      </c>
      <c r="C16" s="377">
        <f>'附表5-扣除项目统计表'!E75+'附表5-扣除项目统计表'!I75</f>
        <v>0</v>
      </c>
      <c r="D16" s="377">
        <f>'附表5-扣除项目统计表'!F75+'附表5-扣除项目统计表'!J75</f>
        <v>0</v>
      </c>
      <c r="E16" s="377">
        <f>'附表5-扣除项目统计表'!G75+'附表5-扣除项目统计表'!K75</f>
        <v>0</v>
      </c>
      <c r="F16" s="377">
        <f t="shared" si="0"/>
        <v>0</v>
      </c>
      <c r="G16" s="382" t="s">
        <v>251</v>
      </c>
      <c r="H16" s="383">
        <f>IF(OR($G16="可售建筑面积法",$G16="可售建筑面积法（二分法）"),'附表1-面积统计表'!$F$32,IF($G16="其他合理方法","请填写","请选择分摊方法"))</f>
        <v>0.960518</v>
      </c>
      <c r="I16" s="383" t="str">
        <f>IF($G16="可售建筑面积法（二分法）",IF('附表1-面积统计表'!$D$33+'附表1-面积统计表'!$D$34=0,"",ROUND(('附表1-面积统计表'!$E$33+'附表1-面积统计表'!$E$34)/('附表1-面积统计表'!$D$33+'附表1-面积统计表'!$D$34),6)),IF($G16="可售建筑面积法",'附表1-面积统计表'!$F$33,IF($G16="其他合理方法","请填写","请选择分摊方法")))</f>
        <v/>
      </c>
      <c r="J16" s="383" t="str">
        <f>IF($G16="可售建筑面积法（二分法）",IF('附表1-面积统计表'!$D$33+'附表1-面积统计表'!$D$34=0,"",ROUND(('附表1-面积统计表'!$E$33+'附表1-面积统计表'!$E$34)/('附表1-面积统计表'!$D$33+'附表1-面积统计表'!$D$34),6)),IF($G16="可售建筑面积法",'附表1-面积统计表'!$F$34,IF($G16="其他合理方法","请填写","请选择分摊方法")))</f>
        <v/>
      </c>
      <c r="K16" s="380">
        <f t="shared" si="5"/>
        <v>0</v>
      </c>
      <c r="L16" s="380" t="str">
        <f t="shared" si="5"/>
        <v>请准确填写扣除比例</v>
      </c>
      <c r="M16" s="380" t="str">
        <f t="shared" si="5"/>
        <v>请准确填写扣除比例</v>
      </c>
      <c r="N16" s="380">
        <f t="shared" si="4"/>
        <v>0</v>
      </c>
    </row>
    <row r="17" s="353" customFormat="1" ht="27.95" customHeight="1" spans="1:14">
      <c r="A17" s="381" t="s">
        <v>168</v>
      </c>
      <c r="B17" s="376" t="s">
        <v>254</v>
      </c>
      <c r="C17" s="377">
        <f>'附表5-扣除项目统计表'!E76+'附表5-扣除项目统计表'!I76</f>
        <v>3099213.345</v>
      </c>
      <c r="D17" s="377">
        <f>'附表5-扣除项目统计表'!F76+'附表5-扣除项目统计表'!J76</f>
        <v>0</v>
      </c>
      <c r="E17" s="377">
        <f>'附表5-扣除项目统计表'!G76+'附表5-扣除项目统计表'!K76</f>
        <v>0</v>
      </c>
      <c r="F17" s="377">
        <f t="shared" si="0"/>
        <v>3099213.345</v>
      </c>
      <c r="G17" s="379"/>
      <c r="H17" s="379"/>
      <c r="I17" s="379"/>
      <c r="J17" s="379"/>
      <c r="K17" s="380">
        <f>SUM(K18:K19)</f>
        <v>2976850.2</v>
      </c>
      <c r="L17" s="380">
        <f>SUM(L18:L19)</f>
        <v>0</v>
      </c>
      <c r="M17" s="380">
        <f>SUM(M18:M19)</f>
        <v>0</v>
      </c>
      <c r="N17" s="380">
        <f t="shared" si="4"/>
        <v>2976850.2</v>
      </c>
    </row>
    <row r="18" s="305" customFormat="1" ht="27.95" customHeight="1" spans="1:14">
      <c r="A18" s="384" t="s">
        <v>170</v>
      </c>
      <c r="B18" s="376" t="s">
        <v>228</v>
      </c>
      <c r="C18" s="377">
        <f>'附表5-扣除项目统计表'!E77+'附表5-扣除项目统计表'!I77</f>
        <v>0</v>
      </c>
      <c r="D18" s="377">
        <f>'附表5-扣除项目统计表'!F77+'附表5-扣除项目统计表'!J77</f>
        <v>0</v>
      </c>
      <c r="E18" s="377">
        <f>'附表5-扣除项目统计表'!G77+'附表5-扣除项目统计表'!K77</f>
        <v>0</v>
      </c>
      <c r="F18" s="377">
        <f t="shared" si="0"/>
        <v>0</v>
      </c>
      <c r="G18" s="382" t="s">
        <v>251</v>
      </c>
      <c r="H18" s="383">
        <f>IF(OR($G18="可售建筑面积法",$G18="可售建筑面积法（二分法）"),'附表1-面积统计表'!$F$32,IF($G18="其他合理方法","请填写","请选择分摊方法"))</f>
        <v>0.960518</v>
      </c>
      <c r="I18" s="383" t="str">
        <f>IF($G18="可售建筑面积法（二分法）",IF('附表1-面积统计表'!$D$33+'附表1-面积统计表'!$D$34=0,"",ROUND(('附表1-面积统计表'!$E$33+'附表1-面积统计表'!$E$34)/('附表1-面积统计表'!$D$33+'附表1-面积统计表'!$D$34),6)),IF($G18="可售建筑面积法",'附表1-面积统计表'!$F$33,IF($G18="其他合理方法","请填写","请选择分摊方法")))</f>
        <v/>
      </c>
      <c r="J18" s="383" t="str">
        <f>IF($G18="可售建筑面积法（二分法）",IF('附表1-面积统计表'!$D$33+'附表1-面积统计表'!$D$34=0,"",ROUND(('附表1-面积统计表'!$E$33+'附表1-面积统计表'!$E$34)/('附表1-面积统计表'!$D$33+'附表1-面积统计表'!$D$34),6)),IF($G18="可售建筑面积法",'附表1-面积统计表'!$F$34,IF($G18="其他合理方法","请填写","请选择分摊方法")))</f>
        <v/>
      </c>
      <c r="K18" s="380">
        <f>IF('附表5-扣除项目统计表'!$D$77="据实扣除",IF(AND(H18&lt;=1,H18&gt;=0),ROUND(C18*H18,2),"请准确填写扣除比例"),0)</f>
        <v>0</v>
      </c>
      <c r="L18" s="380">
        <f>IF('附表5-扣除项目统计表'!$D$77="据实扣除",IF(AND(I18&lt;=1,I18&gt;=0),ROUND(D18*I18,2),"请准确填写扣除比例"),0)</f>
        <v>0</v>
      </c>
      <c r="M18" s="380">
        <f>IF('附表5-扣除项目统计表'!$D$77="据实扣除",IF(AND(J18&lt;=1,J18&gt;=0),ROUND(E18*J18,2),"请准确填写扣除比例"),0)</f>
        <v>0</v>
      </c>
      <c r="N18" s="380">
        <f t="shared" si="4"/>
        <v>0</v>
      </c>
    </row>
    <row r="19" s="305" customFormat="1" ht="27.95" customHeight="1" spans="1:14">
      <c r="A19" s="384" t="s">
        <v>171</v>
      </c>
      <c r="B19" s="376" t="s">
        <v>229</v>
      </c>
      <c r="C19" s="377">
        <f>'附表5-扣除项目统计表'!E78+'附表5-扣除项目统计表'!I78</f>
        <v>3099213.345</v>
      </c>
      <c r="D19" s="377">
        <f>'附表5-扣除项目统计表'!F78+'附表5-扣除项目统计表'!J78</f>
        <v>0</v>
      </c>
      <c r="E19" s="377">
        <f>'附表5-扣除项目统计表'!G78+'附表5-扣除项目统计表'!K78</f>
        <v>0</v>
      </c>
      <c r="F19" s="377">
        <f t="shared" si="0"/>
        <v>3099213.345</v>
      </c>
      <c r="G19" s="305" t="s">
        <v>255</v>
      </c>
      <c r="H19" s="379"/>
      <c r="I19" s="379"/>
      <c r="J19" s="379"/>
      <c r="K19" s="380">
        <f>IF(G19="与加计扣除一致",ROUND(IF('附表5-扣除项目统计表'!$D$77="计算扣除",((SUM(K7)-SUM(K8))+(SUM(K9)-SUM(K16)))*10%,((SUM(K7)-SUM(K8))+(SUM(K9)-SUM(K16)))*5%),2),"请准确填写普通住宅扣除金额。")</f>
        <v>2976850.2</v>
      </c>
      <c r="L19" s="380">
        <f>IF(G19="与加计扣除一致",ROUND(IF('附表5-扣除项目统计表'!$D$77="计算扣除",((SUM(L7)-SUM(L8))+(SUM(L9)-SUM(L16)))*10%,((SUM(L7)-SUM(L8))+(SUM(L9)-SUM(L16)))*5%),2),"请准确填写非普通住宅扣除金额。")</f>
        <v>0</v>
      </c>
      <c r="M19" s="380">
        <f>IF(G19="与加计扣除一致",ROUND(IF('附表5-扣除项目统计表'!$D$77="计算扣除",((SUM(M7)-SUM(M8))+(SUM(M9)-SUM(M16)))*10%,((SUM(M7)-SUM(M8))+(SUM(M9)-SUM(M16)))*5%),2),"请准确填写其他类型房地产扣除金额。")</f>
        <v>0</v>
      </c>
      <c r="N19" s="380">
        <f t="shared" si="4"/>
        <v>2976850.2</v>
      </c>
    </row>
    <row r="20" s="305" customFormat="1" ht="27.95" customHeight="1" spans="1:14">
      <c r="A20" s="381" t="s">
        <v>172</v>
      </c>
      <c r="B20" s="376" t="s">
        <v>256</v>
      </c>
      <c r="C20" s="385"/>
      <c r="D20" s="385"/>
      <c r="E20" s="385"/>
      <c r="F20" s="385"/>
      <c r="G20" s="386"/>
      <c r="H20" s="386"/>
      <c r="I20" s="379"/>
      <c r="J20" s="379"/>
      <c r="K20" s="380">
        <f>SUM(K21:K25)</f>
        <v>138467.8</v>
      </c>
      <c r="L20" s="380">
        <f>SUM(L21:L25)</f>
        <v>0</v>
      </c>
      <c r="M20" s="380">
        <f>SUM(M21:M25)</f>
        <v>0</v>
      </c>
      <c r="N20" s="380">
        <f t="shared" si="4"/>
        <v>138467.8</v>
      </c>
    </row>
    <row r="21" s="305" customFormat="1" ht="27.95" customHeight="1" spans="1:14">
      <c r="A21" s="384" t="s">
        <v>174</v>
      </c>
      <c r="B21" s="376" t="s">
        <v>257</v>
      </c>
      <c r="C21" s="385"/>
      <c r="D21" s="385"/>
      <c r="E21" s="385"/>
      <c r="F21" s="385"/>
      <c r="G21" s="386"/>
      <c r="H21" s="386"/>
      <c r="I21" s="379"/>
      <c r="J21" s="379"/>
      <c r="K21" s="380">
        <f>ROUND(SUM('附表5-扣除项目统计表'!E80),2)</f>
        <v>0</v>
      </c>
      <c r="L21" s="380">
        <f>ROUND(SUM('附表5-扣除项目统计表'!F80),2)</f>
        <v>0</v>
      </c>
      <c r="M21" s="380">
        <f>ROUND(SUM('附表5-扣除项目统计表'!G80),2)</f>
        <v>0</v>
      </c>
      <c r="N21" s="380">
        <f t="shared" si="4"/>
        <v>0</v>
      </c>
    </row>
    <row r="22" s="305" customFormat="1" ht="27.95" customHeight="1" spans="1:14">
      <c r="A22" s="384" t="s">
        <v>175</v>
      </c>
      <c r="B22" s="376" t="s">
        <v>258</v>
      </c>
      <c r="C22" s="385"/>
      <c r="D22" s="385"/>
      <c r="E22" s="385"/>
      <c r="F22" s="385"/>
      <c r="G22" s="386"/>
      <c r="H22" s="386"/>
      <c r="I22" s="379"/>
      <c r="J22" s="379"/>
      <c r="K22" s="380">
        <f>ROUND(SUM('附表5-扣除项目统计表'!E81),2)</f>
        <v>67826.7</v>
      </c>
      <c r="L22" s="380">
        <f>ROUND(SUM('附表5-扣除项目统计表'!F81),2)</f>
        <v>0</v>
      </c>
      <c r="M22" s="380">
        <f>ROUND(SUM('附表5-扣除项目统计表'!G81),2)</f>
        <v>0</v>
      </c>
      <c r="N22" s="380">
        <f t="shared" si="4"/>
        <v>67826.7</v>
      </c>
    </row>
    <row r="23" s="305" customFormat="1" ht="27.95" customHeight="1" spans="1:14">
      <c r="A23" s="384" t="s">
        <v>176</v>
      </c>
      <c r="B23" s="376" t="s">
        <v>259</v>
      </c>
      <c r="C23" s="385"/>
      <c r="D23" s="385"/>
      <c r="E23" s="385"/>
      <c r="F23" s="385"/>
      <c r="G23" s="386"/>
      <c r="H23" s="386"/>
      <c r="I23" s="379"/>
      <c r="J23" s="379"/>
      <c r="K23" s="380">
        <f>ROUND(SUM('附表5-扣除项目统计表'!E82),2)</f>
        <v>29068.58</v>
      </c>
      <c r="L23" s="380">
        <f>ROUND(SUM('附表5-扣除项目统计表'!F82),2)</f>
        <v>0</v>
      </c>
      <c r="M23" s="380">
        <f>ROUND(SUM('附表5-扣除项目统计表'!G82),2)</f>
        <v>0</v>
      </c>
      <c r="N23" s="380">
        <f t="shared" si="4"/>
        <v>29068.58</v>
      </c>
    </row>
    <row r="24" s="305" customFormat="1" ht="27.95" customHeight="1" spans="1:14">
      <c r="A24" s="384" t="s">
        <v>260</v>
      </c>
      <c r="B24" s="376" t="s">
        <v>261</v>
      </c>
      <c r="C24" s="385"/>
      <c r="D24" s="385"/>
      <c r="E24" s="385"/>
      <c r="F24" s="385"/>
      <c r="G24" s="386"/>
      <c r="H24" s="386"/>
      <c r="I24" s="379"/>
      <c r="J24" s="379"/>
      <c r="K24" s="380">
        <f>ROUND(SUM('附表5-扣除项目统计表'!E83),2)</f>
        <v>19379.05</v>
      </c>
      <c r="L24" s="380">
        <f>ROUND(SUM('附表5-扣除项目统计表'!F83),2)</f>
        <v>0</v>
      </c>
      <c r="M24" s="380">
        <f>ROUND(SUM('附表5-扣除项目统计表'!G83),2)</f>
        <v>0</v>
      </c>
      <c r="N24" s="380">
        <f t="shared" si="4"/>
        <v>19379.05</v>
      </c>
    </row>
    <row r="25" s="305" customFormat="1" ht="27.95" customHeight="1" spans="1:14">
      <c r="A25" s="384" t="s">
        <v>262</v>
      </c>
      <c r="B25" s="376" t="s">
        <v>263</v>
      </c>
      <c r="C25" s="385"/>
      <c r="D25" s="385"/>
      <c r="E25" s="385"/>
      <c r="F25" s="385"/>
      <c r="G25" s="386"/>
      <c r="H25" s="386"/>
      <c r="I25" s="379"/>
      <c r="J25" s="379"/>
      <c r="K25" s="380">
        <f>ROUND(SUM('附表5-扣除项目统计表'!E84),2)</f>
        <v>22193.47</v>
      </c>
      <c r="L25" s="380">
        <f>ROUND(SUM('附表5-扣除项目统计表'!F84),2)</f>
        <v>0</v>
      </c>
      <c r="M25" s="380">
        <f>ROUND(SUM('附表5-扣除项目统计表'!G84),2)</f>
        <v>0</v>
      </c>
      <c r="N25" s="380">
        <f t="shared" si="4"/>
        <v>22193.47</v>
      </c>
    </row>
    <row r="26" s="305" customFormat="1" ht="27.95" customHeight="1" spans="1:14">
      <c r="A26" s="381" t="s">
        <v>177</v>
      </c>
      <c r="B26" s="376" t="s">
        <v>264</v>
      </c>
      <c r="C26" s="377">
        <f>'附表5-扣除项目统计表'!E85+'附表5-扣除项目统计表'!I85</f>
        <v>6198426.69</v>
      </c>
      <c r="D26" s="377">
        <f>'附表5-扣除项目统计表'!F85+'附表5-扣除项目统计表'!J85</f>
        <v>0</v>
      </c>
      <c r="E26" s="377">
        <f>'附表5-扣除项目统计表'!G85+'附表5-扣除项目统计表'!K85</f>
        <v>0</v>
      </c>
      <c r="F26" s="377">
        <f>SUM(C26:E26)</f>
        <v>6198426.69</v>
      </c>
      <c r="G26" s="386"/>
      <c r="H26" s="386"/>
      <c r="I26" s="379"/>
      <c r="J26" s="379"/>
      <c r="K26" s="380">
        <f>ROUND((SUM(K7)-SUM(K8)+SUM(K9)-SUM(K16))*20%,2)</f>
        <v>5953700.41</v>
      </c>
      <c r="L26" s="380">
        <f>ROUND((SUM(L7)-SUM(L8)+SUM(L9)-SUM(L16))*20%,2)</f>
        <v>0</v>
      </c>
      <c r="M26" s="380">
        <f>ROUND((SUM(M7)-SUM(M8)+SUM(M9)-SUM(M16))*20%,2)</f>
        <v>0</v>
      </c>
      <c r="N26" s="380">
        <f t="shared" si="4"/>
        <v>5953700.41</v>
      </c>
    </row>
    <row r="27" s="305" customFormat="1" ht="27.95" customHeight="1" spans="1:14">
      <c r="A27" s="381" t="s">
        <v>178</v>
      </c>
      <c r="B27" s="376" t="s">
        <v>265</v>
      </c>
      <c r="C27" s="377">
        <f>SUM('附表5-扣除项目统计表'!E86)+SUM('附表5-扣除项目统计表'!I86)</f>
        <v>0</v>
      </c>
      <c r="D27" s="377">
        <f>SUM('附表5-扣除项目统计表'!F86)+SUM('附表5-扣除项目统计表'!J86)</f>
        <v>0</v>
      </c>
      <c r="E27" s="377">
        <f>SUM('附表5-扣除项目统计表'!G86)+SUM('附表5-扣除项目统计表'!K86)</f>
        <v>0</v>
      </c>
      <c r="F27" s="377">
        <f>SUM(C27:E27)</f>
        <v>0</v>
      </c>
      <c r="G27" s="382" t="s">
        <v>251</v>
      </c>
      <c r="H27" s="383">
        <f>IF(OR($G27="可售建筑面积法",$G27="可售建筑面积法（二分法）"),'附表1-面积统计表'!$F$32,IF($G27="其他合理方法","请填写","请选择分摊方法"))</f>
        <v>0.960518</v>
      </c>
      <c r="I27" s="383" t="str">
        <f>IF($G27="可售建筑面积法（二分法）",IF('附表1-面积统计表'!$D$33+'附表1-面积统计表'!$D$34=0,"",ROUND(('附表1-面积统计表'!$E$33+'附表1-面积统计表'!$E$34)/('附表1-面积统计表'!$D$33+'附表1-面积统计表'!$D$34),6)),IF($G27="可售建筑面积法",'附表1-面积统计表'!$F$33,IF($G27="其他合理方法","请填写","请选择分摊方法")))</f>
        <v/>
      </c>
      <c r="J27" s="383" t="str">
        <f>IF($G27="可售建筑面积法（二分法）",IF('附表1-面积统计表'!$D$33+'附表1-面积统计表'!$D$34=0,"",ROUND(('附表1-面积统计表'!$E$33+'附表1-面积统计表'!$E$34)/('附表1-面积统计表'!$D$33+'附表1-面积统计表'!$D$34),6)),IF($G27="可售建筑面积法",'附表1-面积统计表'!$F$34,IF($G27="其他合理方法","请填写","请选择分摊方法")))</f>
        <v/>
      </c>
      <c r="K27" s="380">
        <f>IF(AND(H27&lt;=1,H27&gt;=0),ROUND(C27*H27,2),"请准确填写扣除比例")</f>
        <v>0</v>
      </c>
      <c r="L27" s="380" t="str">
        <f>IF(AND(I27&lt;=1,I27&gt;=0),ROUND(D27*I27,2),"请准确填写扣除比例")</f>
        <v>请准确填写扣除比例</v>
      </c>
      <c r="M27" s="380" t="str">
        <f>IF(AND(J27&lt;=1,J27&gt;=0),ROUND(E27*J27,2),"请准确填写扣除比例")</f>
        <v>请准确填写扣除比例</v>
      </c>
      <c r="N27" s="380">
        <f t="shared" si="4"/>
        <v>0</v>
      </c>
    </row>
    <row r="28" spans="1:14">
      <c r="A28" s="387"/>
      <c r="B28" s="388"/>
      <c r="C28" s="389"/>
      <c r="D28" s="389"/>
      <c r="E28" s="389"/>
      <c r="F28" s="389"/>
      <c r="G28" s="388"/>
      <c r="H28" s="390"/>
      <c r="I28" s="390"/>
      <c r="J28" s="390"/>
      <c r="K28" s="355"/>
      <c r="L28" s="355"/>
      <c r="M28" s="355"/>
      <c r="N28" s="355"/>
    </row>
    <row r="29" spans="1:14">
      <c r="A29" s="387"/>
      <c r="B29" s="388"/>
      <c r="C29" s="389"/>
      <c r="D29" s="389"/>
      <c r="E29" s="389"/>
      <c r="F29" s="389"/>
      <c r="G29" s="388"/>
      <c r="H29" s="390"/>
      <c r="I29" s="390"/>
      <c r="J29" s="390"/>
      <c r="K29" s="355"/>
      <c r="L29" s="355"/>
      <c r="M29" s="355"/>
      <c r="N29" s="355"/>
    </row>
    <row r="30" spans="1:14">
      <c r="K30" s="355"/>
      <c r="L30" s="355"/>
      <c r="M30" s="355"/>
      <c r="N30" s="355"/>
    </row>
    <row r="31" spans="1:14">
      <c r="K31" s="355"/>
      <c r="L31" s="355"/>
      <c r="M31" s="355"/>
      <c r="N31" s="355"/>
    </row>
    <row r="34" s="354" customFormat="1" spans="1:10">
      <c r="A34" s="391"/>
      <c r="B34" s="392"/>
      <c r="C34" s="393"/>
      <c r="D34" s="393"/>
      <c r="E34" s="393"/>
      <c r="F34" s="393"/>
      <c r="G34" s="394"/>
      <c r="H34" s="395"/>
      <c r="I34" s="395"/>
      <c r="J34" s="395"/>
    </row>
    <row r="35" s="354" customFormat="1" spans="1:10">
      <c r="B35" s="396"/>
      <c r="C35" s="397"/>
      <c r="D35" s="397"/>
      <c r="E35" s="397"/>
      <c r="F35" s="397"/>
      <c r="G35" s="394"/>
      <c r="H35" s="395"/>
      <c r="I35" s="395"/>
      <c r="J35" s="395"/>
    </row>
    <row r="36" s="354" customFormat="1" spans="1:10">
      <c r="B36" s="396"/>
      <c r="C36" s="397"/>
      <c r="D36" s="397"/>
      <c r="E36" s="397"/>
      <c r="F36" s="397"/>
      <c r="G36" s="394"/>
      <c r="H36" s="395"/>
      <c r="I36" s="395"/>
      <c r="J36" s="395"/>
    </row>
  </sheetData>
  <mergeCells count="7">
    <mergeCell ref="A1:N1"/>
    <mergeCell ref="A2:N2"/>
    <mergeCell ref="C3:F3"/>
    <mergeCell ref="G3:J3"/>
    <mergeCell ref="K3:N3"/>
    <mergeCell ref="A3:A5"/>
    <mergeCell ref="B3:B5"/>
  </mergeCells>
  <dataValidations count="4">
    <dataValidation allowBlank="1" showInputMessage="1" showErrorMessage="1" sqref="F6:G6 F7:F19 F26:F27"/>
    <dataValidation type="list" allowBlank="1" showInputMessage="1" showErrorMessage="1" sqref="G18 G27 G7:G8 G10:G16">
      <formula1>IF(土地增值税税源明细表!$H$6="三分法",数据对照表!$AB$2:$AB$3,数据对照表!$AC$2:$AC$4)</formula1>
    </dataValidation>
    <dataValidation type="list" allowBlank="1" showInputMessage="1" showErrorMessage="1" sqref="G19">
      <formula1>OFFSET(数据对照表!$AD$2,,,COUNTA(数据对照表!AD:AD)-1,1)</formula1>
    </dataValidation>
    <dataValidation type="list" allowBlank="1" showInputMessage="1" showErrorMessage="1" sqref="G20:H26">
      <formula1>"建筑面积法,其他合理方法"</formula1>
    </dataValidation>
  </dataValidations>
  <printOptions horizontalCentered="1"/>
  <pageMargins left="0.747916666666667" right="0.747916666666667" top="0.984027777777778" bottom="0.984027777777778" header="0.511805555555556" footer="0.511805555555556"/>
  <pageSetup paperSize="9" scale="57" fitToHeight="0" orientation="landscape"/>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4"/>
  <sheetViews>
    <sheetView zoomScale="115" zoomScaleNormal="115" workbookViewId="0">
      <selection activeCell="B21" sqref="B21"/>
    </sheetView>
  </sheetViews>
  <sheetFormatPr defaultColWidth="8.88405797101449" defaultRowHeight="17.5"/>
  <cols>
    <col min="1" max="1" width="5" style="334" customWidth="1"/>
    <col min="2" max="2" width="23.1231884057971" style="335" customWidth="1"/>
    <col min="3" max="3" width="8.5" style="336" customWidth="1"/>
    <col min="4" max="4" width="20.1231884057971" style="337" customWidth="1"/>
    <col min="5" max="5" width="21.1231884057971" style="337" customWidth="1"/>
    <col min="6" max="6" width="19" style="337" customWidth="1"/>
    <col min="7" max="7" width="21.8840579710145" style="337" customWidth="1"/>
    <col min="8" max="8" width="20.1231884057971" style="337" customWidth="1"/>
    <col min="9" max="9" width="16" customWidth="1"/>
  </cols>
  <sheetData>
    <row r="1" ht="20.65" spans="1:9">
      <c r="A1" s="115" t="s">
        <v>266</v>
      </c>
      <c r="B1" s="115"/>
      <c r="C1" s="115"/>
      <c r="D1" s="115"/>
      <c r="E1" s="115"/>
      <c r="F1" s="115"/>
      <c r="G1" s="115"/>
      <c r="H1" s="115"/>
      <c r="I1" s="115"/>
    </row>
    <row r="2" spans="1:9">
      <c r="A2" s="338" t="str">
        <f>土地增值税税源明细表!F5&amp;"："&amp;土地增值税税源明细表!H5&amp;"          "&amp;土地增值税税源明细表!A5&amp;"："&amp;土地增值税税源明细表!B5&amp;"          "&amp;"金额单位:人民币元(列至角分)"</f>
        <v>项目编码：Z65280120200013          项目名称：春和景苑          金额单位:人民币元(列至角分)</v>
      </c>
      <c r="B2" s="338"/>
      <c r="C2" s="338"/>
      <c r="D2" s="338"/>
      <c r="E2" s="338"/>
      <c r="F2" s="338"/>
      <c r="G2" s="338"/>
      <c r="H2" s="338"/>
      <c r="I2" s="338"/>
    </row>
    <row r="3" ht="23.8" spans="1:9">
      <c r="A3" s="339" t="s">
        <v>37</v>
      </c>
      <c r="B3" s="340" t="s">
        <v>11</v>
      </c>
      <c r="C3" s="340" t="s">
        <v>267</v>
      </c>
      <c r="D3" s="341" t="s">
        <v>13</v>
      </c>
      <c r="E3" s="342" t="s">
        <v>268</v>
      </c>
      <c r="F3" s="342" t="s">
        <v>204</v>
      </c>
      <c r="G3" s="342" t="s">
        <v>206</v>
      </c>
      <c r="H3" s="340" t="s">
        <v>269</v>
      </c>
      <c r="I3" s="340" t="s">
        <v>270</v>
      </c>
    </row>
    <row r="4" spans="1:9">
      <c r="A4" s="339"/>
      <c r="B4" s="509" t="s">
        <v>42</v>
      </c>
      <c r="C4" s="509" t="s">
        <v>80</v>
      </c>
      <c r="D4" s="509" t="s">
        <v>83</v>
      </c>
      <c r="E4" s="509" t="s">
        <v>213</v>
      </c>
      <c r="F4" s="509" t="s">
        <v>244</v>
      </c>
      <c r="G4" s="509" t="s">
        <v>215</v>
      </c>
      <c r="H4" s="509" t="s">
        <v>216</v>
      </c>
      <c r="I4" s="509" t="s">
        <v>217</v>
      </c>
    </row>
    <row r="5" spans="1:9">
      <c r="A5" s="344">
        <v>1</v>
      </c>
      <c r="B5" s="345" t="s">
        <v>12</v>
      </c>
      <c r="C5" s="346" t="s">
        <v>271</v>
      </c>
      <c r="D5" s="347" t="str">
        <f>IF(清算项目基本情况表!S6="","",清算项目基本情况表!S6)</f>
        <v>Z65280120200013</v>
      </c>
      <c r="E5" s="346">
        <f>IF(清算项目基本情况表!D9="","",清算项目基本情况表!D9)</f>
        <v>16456.05</v>
      </c>
      <c r="F5" s="346">
        <f>IF(SUM('附表1-面积统计表'!D29)=0,"",'附表1-面积统计表'!D29)</f>
        <v>14176.14</v>
      </c>
      <c r="G5" s="346">
        <f>IF(SUM('附表1-面积统计表'!F29)=0,"",'附表1-面积统计表'!F29)</f>
        <v>12227.4</v>
      </c>
      <c r="H5" s="348">
        <v>11953.02</v>
      </c>
      <c r="I5" s="349" t="s">
        <v>272</v>
      </c>
    </row>
    <row r="6" spans="1:9">
      <c r="A6" s="8">
        <v>2</v>
      </c>
      <c r="B6" s="9" t="s">
        <v>273</v>
      </c>
      <c r="C6" s="348" t="s">
        <v>271</v>
      </c>
      <c r="D6" s="10"/>
      <c r="E6" s="348"/>
      <c r="F6" s="348"/>
      <c r="G6" s="348"/>
      <c r="H6" s="348">
        <v>4512.42</v>
      </c>
      <c r="I6" s="350"/>
    </row>
    <row r="7" spans="1:9">
      <c r="A7" s="8">
        <v>3</v>
      </c>
      <c r="B7" s="9"/>
      <c r="C7" s="348"/>
      <c r="D7" s="10"/>
      <c r="E7" s="348"/>
      <c r="F7" s="348"/>
      <c r="G7" s="348"/>
      <c r="H7" s="348"/>
      <c r="I7" s="350"/>
    </row>
    <row r="8" spans="1:9">
      <c r="A8" s="8">
        <v>4</v>
      </c>
      <c r="B8" s="9"/>
      <c r="C8" s="348"/>
      <c r="D8" s="10"/>
      <c r="E8" s="348"/>
      <c r="F8" s="348"/>
      <c r="G8" s="348"/>
      <c r="H8" s="348"/>
      <c r="I8" s="350"/>
    </row>
    <row r="9" spans="1:9">
      <c r="A9" s="8">
        <v>5</v>
      </c>
      <c r="B9" s="9"/>
      <c r="C9" s="348"/>
      <c r="D9" s="10"/>
      <c r="E9" s="348"/>
      <c r="F9" s="348"/>
      <c r="G9" s="348"/>
      <c r="H9" s="348"/>
      <c r="I9" s="350"/>
    </row>
    <row r="10" spans="1:9">
      <c r="A10" s="8">
        <v>6</v>
      </c>
      <c r="B10" s="9"/>
      <c r="C10" s="348"/>
      <c r="D10" s="10"/>
      <c r="E10" s="348"/>
      <c r="F10" s="348"/>
      <c r="G10" s="348"/>
      <c r="H10" s="348"/>
      <c r="I10" s="350"/>
    </row>
    <row r="11" spans="1:9">
      <c r="A11" s="8">
        <v>7</v>
      </c>
      <c r="B11" s="9"/>
      <c r="C11" s="348"/>
      <c r="D11" s="10"/>
      <c r="E11" s="348"/>
      <c r="F11" s="348"/>
      <c r="G11" s="348"/>
      <c r="H11" s="348"/>
      <c r="I11" s="350"/>
    </row>
    <row r="12" spans="1:9">
      <c r="A12" s="8">
        <v>8</v>
      </c>
      <c r="B12" s="9"/>
      <c r="C12" s="348"/>
      <c r="D12" s="10"/>
      <c r="E12" s="348"/>
      <c r="F12" s="348"/>
      <c r="G12" s="348"/>
      <c r="H12" s="348"/>
      <c r="I12" s="350"/>
    </row>
    <row r="13" spans="1:9">
      <c r="A13" s="8">
        <v>9</v>
      </c>
      <c r="B13" s="9"/>
      <c r="C13" s="348"/>
      <c r="D13" s="10"/>
      <c r="E13" s="348"/>
      <c r="F13" s="348"/>
      <c r="G13" s="348"/>
      <c r="H13" s="348"/>
      <c r="I13" s="350"/>
    </row>
    <row r="14" spans="1:9">
      <c r="A14" s="8">
        <v>10</v>
      </c>
      <c r="B14" s="9"/>
      <c r="C14" s="348"/>
      <c r="D14" s="10"/>
      <c r="E14" s="348"/>
      <c r="F14" s="348"/>
      <c r="G14" s="348"/>
      <c r="H14" s="348"/>
      <c r="I14" s="350"/>
    </row>
  </sheetData>
  <autoFilter xmlns:etc="http://www.wps.cn/officeDocument/2017/etCustomData" ref="A1:I14" etc:filterBottomFollowUsedRange="0">
    <extLst/>
  </autoFilter>
  <mergeCells count="3">
    <mergeCell ref="A1:I1"/>
    <mergeCell ref="A2:I2"/>
    <mergeCell ref="A3:A4"/>
  </mergeCells>
  <dataValidations count="1">
    <dataValidation type="list" allowBlank="1" showInputMessage="1" showErrorMessage="1" sqref="C1:C2 C5:C1048576">
      <formula1>"是,否"</formula1>
    </dataValidation>
  </dataValidations>
  <pageMargins left="0.747916666666667" right="0.747916666666667" top="0.984027777777778" bottom="0.984027777777778" header="0.511805555555556" footer="0.511805555555556"/>
  <pageSetup paperSize="9" scale="78"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87"/>
  <sheetViews>
    <sheetView zoomScale="90" zoomScaleNormal="90" topLeftCell="B80" workbookViewId="0">
      <selection activeCell="N126" sqref="N126:O126"/>
    </sheetView>
  </sheetViews>
  <sheetFormatPr defaultColWidth="3.6231884057971" defaultRowHeight="17.5"/>
  <cols>
    <col min="1" max="2" width="3.6231884057971" style="51"/>
    <col min="3" max="3" width="10.3840579710145" style="51" customWidth="1"/>
    <col min="4" max="4" width="16.8840579710145" style="51" customWidth="1"/>
    <col min="5" max="5" width="21.1231884057971" style="309" customWidth="1"/>
    <col min="6" max="6" width="20.6231884057971" style="309" customWidth="1"/>
    <col min="7" max="7" width="22.6231884057971" style="309" customWidth="1"/>
    <col min="8" max="8" width="11.6231884057971" style="309" customWidth="1"/>
    <col min="9" max="11" width="23.3840579710145" style="309" customWidth="1"/>
    <col min="12" max="12" width="10.5" style="309" customWidth="1"/>
    <col min="13" max="13" width="10.1231884057971" style="309" customWidth="1"/>
  </cols>
  <sheetData>
    <row r="1" s="305" customFormat="1" ht="20.65" spans="1:13">
      <c r="A1" s="310" t="s">
        <v>274</v>
      </c>
      <c r="B1" s="310"/>
      <c r="C1" s="310"/>
      <c r="D1" s="310"/>
      <c r="E1" s="311"/>
      <c r="F1" s="311"/>
      <c r="G1" s="311"/>
      <c r="H1" s="311"/>
      <c r="I1" s="311"/>
      <c r="J1" s="311"/>
      <c r="K1" s="311"/>
      <c r="L1" s="311"/>
      <c r="M1" s="311"/>
    </row>
    <row r="2" s="305" customFormat="1" ht="18.75" customHeight="1" spans="1:13">
      <c r="A2" s="312" t="str">
        <f>土地增值税税源明细表!F5&amp;"："&amp;土地增值税税源明细表!H5&amp;"          "&amp;土地增值税税源明细表!A5&amp;"："&amp;土地增值税税源明细表!B5&amp;"          "&amp;"金额单位:人民币元(列至角分)"</f>
        <v>项目编码：Z65280120200013          项目名称：春和景苑          金额单位:人民币元(列至角分)</v>
      </c>
      <c r="B2" s="312"/>
      <c r="C2" s="312"/>
      <c r="D2" s="312"/>
      <c r="E2" s="313"/>
      <c r="F2" s="313"/>
      <c r="G2" s="313"/>
      <c r="H2" s="313"/>
      <c r="I2" s="313"/>
      <c r="J2" s="313"/>
      <c r="K2" s="313"/>
      <c r="L2" s="313"/>
      <c r="M2" s="313"/>
    </row>
    <row r="3" s="306" customFormat="1" ht="24" customHeight="1" spans="1:13">
      <c r="A3" s="314" t="s">
        <v>37</v>
      </c>
      <c r="B3" s="315" t="s">
        <v>239</v>
      </c>
      <c r="C3" s="315"/>
      <c r="D3" s="315"/>
      <c r="E3" s="316" t="s">
        <v>275</v>
      </c>
      <c r="F3" s="316"/>
      <c r="G3" s="316"/>
      <c r="H3" s="316"/>
      <c r="I3" s="317" t="s">
        <v>276</v>
      </c>
      <c r="J3" s="318"/>
      <c r="K3" s="318"/>
      <c r="L3" s="319"/>
      <c r="M3" s="320" t="s">
        <v>109</v>
      </c>
    </row>
    <row r="4" s="307" customFormat="1" ht="24" customHeight="1" spans="1:13">
      <c r="A4" s="321"/>
      <c r="B4" s="315"/>
      <c r="C4" s="315"/>
      <c r="D4" s="315"/>
      <c r="E4" s="320" t="s">
        <v>145</v>
      </c>
      <c r="F4" s="320" t="s">
        <v>146</v>
      </c>
      <c r="G4" s="320" t="s">
        <v>147</v>
      </c>
      <c r="H4" s="320" t="s">
        <v>236</v>
      </c>
      <c r="I4" s="320" t="s">
        <v>145</v>
      </c>
      <c r="J4" s="320" t="s">
        <v>146</v>
      </c>
      <c r="K4" s="320" t="s">
        <v>147</v>
      </c>
      <c r="L4" s="320" t="s">
        <v>236</v>
      </c>
      <c r="M4" s="320"/>
    </row>
    <row r="5" s="308" customFormat="1" ht="24" customHeight="1" spans="1:13">
      <c r="A5" s="322"/>
      <c r="B5" s="315"/>
      <c r="C5" s="315"/>
      <c r="D5" s="315"/>
      <c r="E5" s="510" t="s">
        <v>42</v>
      </c>
      <c r="F5" s="510" t="s">
        <v>80</v>
      </c>
      <c r="G5" s="510" t="s">
        <v>83</v>
      </c>
      <c r="H5" s="510" t="s">
        <v>237</v>
      </c>
      <c r="I5" s="510" t="s">
        <v>244</v>
      </c>
      <c r="J5" s="511" t="s">
        <v>215</v>
      </c>
      <c r="K5" s="510" t="s">
        <v>216</v>
      </c>
      <c r="L5" s="510" t="s">
        <v>277</v>
      </c>
      <c r="M5" s="510" t="s">
        <v>278</v>
      </c>
    </row>
    <row r="6" s="305" customFormat="1" ht="24" customHeight="1" spans="1:13">
      <c r="A6" s="323">
        <v>1</v>
      </c>
      <c r="B6" s="324" t="str">
        <f>数据对照表!B1</f>
        <v>取得土地使用权所支付的金额</v>
      </c>
      <c r="C6" s="324"/>
      <c r="D6" s="324"/>
      <c r="E6" s="325">
        <f>SUMIFS('附表7-扣除项目明细采集底稿'!W:W,'附表7-扣除项目明细采集底稿'!D:D,数据对照表!B1,'附表7-扣除项目明细采集底稿'!V:V,"直接归集成本费用")</f>
        <v>0</v>
      </c>
      <c r="F6" s="325">
        <f>SUMIFS('附表7-扣除项目明细采集底稿'!X:X,'附表7-扣除项目明细采集底稿'!D:D,数据对照表!B1,'附表7-扣除项目明细采集底稿'!V:V,"直接归集成本费用")</f>
        <v>0</v>
      </c>
      <c r="G6" s="325">
        <f>SUMIFS('附表7-扣除项目明细采集底稿'!Y:Y,'附表7-扣除项目明细采集底稿'!D:D,数据对照表!B1,'附表7-扣除项目明细采集底稿'!V:V,"直接归集成本费用")</f>
        <v>0</v>
      </c>
      <c r="H6" s="326">
        <f t="shared" ref="H6:H20" si="0">SUM(E6:G6)</f>
        <v>0</v>
      </c>
      <c r="I6" s="325">
        <f>SUMIFS('附表7-扣除项目明细采集底稿'!W:W,'附表7-扣除项目明细采集底稿'!D:D,数据对照表!B1,'附表7-扣除项目明细采集底稿'!V:V,"共同成本费用")</f>
        <v>0</v>
      </c>
      <c r="J6" s="325">
        <f>SUMIFS('附表7-扣除项目明细采集底稿'!X:X,'附表7-扣除项目明细采集底稿'!D:D,数据对照表!B1,'附表7-扣除项目明细采集底稿'!V:V,"共同成本费用")</f>
        <v>0</v>
      </c>
      <c r="K6" s="325">
        <f>SUMIFS('附表7-扣除项目明细采集底稿'!Y:Y,'附表7-扣除项目明细采集底稿'!D:D,数据对照表!B1,'附表7-扣除项目明细采集底稿'!V:V,"共同成本费用")</f>
        <v>0</v>
      </c>
      <c r="L6" s="326">
        <f t="shared" ref="L6:L20" si="1">SUM(I6:K6)</f>
        <v>0</v>
      </c>
      <c r="M6" s="326">
        <f t="shared" ref="M6:M20" si="2">H6+L6</f>
        <v>0</v>
      </c>
    </row>
    <row r="7" s="305" customFormat="1" ht="24" customHeight="1" spans="1:13">
      <c r="A7" s="323">
        <v>2</v>
      </c>
      <c r="B7" s="323" t="s">
        <v>279</v>
      </c>
      <c r="C7" s="327" t="str">
        <f>数据对照表!B2</f>
        <v>支付的土地出让金额</v>
      </c>
      <c r="D7" s="327"/>
      <c r="E7" s="325">
        <f>SUMIFS('附表7-扣除项目明细采集底稿'!W:W,'附表7-扣除项目明细采集底稿'!E:E,数据对照表!B2,'附表7-扣除项目明细采集底稿'!V:V,"直接归集成本费用")</f>
        <v>0</v>
      </c>
      <c r="F7" s="325">
        <f>SUMIFS('附表7-扣除项目明细采集底稿'!X:X,'附表7-扣除项目明细采集底稿'!E:E,数据对照表!B2,'附表7-扣除项目明细采集底稿'!V:V,"直接归集成本费用")</f>
        <v>0</v>
      </c>
      <c r="G7" s="325">
        <f>SUMIFS('附表7-扣除项目明细采集底稿'!Y:Y,'附表7-扣除项目明细采集底稿'!E:E,数据对照表!B2,'附表7-扣除项目明细采集底稿'!V:V,"直接归集成本费用")</f>
        <v>0</v>
      </c>
      <c r="H7" s="326">
        <f t="shared" si="0"/>
        <v>0</v>
      </c>
      <c r="I7" s="325">
        <f>SUMIFS('附表7-扣除项目明细采集底稿'!W:W,'附表7-扣除项目明细采集底稿'!E:E,数据对照表!B2,'附表7-扣除项目明细采集底稿'!V:V,"共同成本费用")</f>
        <v>0</v>
      </c>
      <c r="J7" s="325">
        <f>SUMIFS('附表7-扣除项目明细采集底稿'!X:X,'附表7-扣除项目明细采集底稿'!E:E,数据对照表!B2,'附表7-扣除项目明细采集底稿'!V:V,"共同成本费用")</f>
        <v>0</v>
      </c>
      <c r="K7" s="325">
        <f>SUMIFS('附表7-扣除项目明细采集底稿'!Y:Y,'附表7-扣除项目明细采集底稿'!E:E,数据对照表!B2,'附表7-扣除项目明细采集底稿'!V:V,"共同成本费用")</f>
        <v>0</v>
      </c>
      <c r="L7" s="326">
        <f t="shared" si="1"/>
        <v>0</v>
      </c>
      <c r="M7" s="326">
        <f t="shared" si="2"/>
        <v>0</v>
      </c>
    </row>
    <row r="8" s="305" customFormat="1" ht="24" customHeight="1" spans="1:13">
      <c r="A8" s="323">
        <v>3</v>
      </c>
      <c r="B8" s="323"/>
      <c r="C8" s="327" t="str">
        <f>数据对照表!B3</f>
        <v>支付的地价款金额</v>
      </c>
      <c r="D8" s="327"/>
      <c r="E8" s="325">
        <f>SUMIFS('附表7-扣除项目明细采集底稿'!W:W,'附表7-扣除项目明细采集底稿'!E:E,数据对照表!B3,'附表7-扣除项目明细采集底稿'!V:V,"直接归集成本费用")</f>
        <v>0</v>
      </c>
      <c r="F8" s="325">
        <f>SUMIFS('附表7-扣除项目明细采集底稿'!X:X,'附表7-扣除项目明细采集底稿'!E:E,数据对照表!B3,'附表7-扣除项目明细采集底稿'!V:V,"直接归集成本费用")</f>
        <v>0</v>
      </c>
      <c r="G8" s="325">
        <f>SUMIFS('附表7-扣除项目明细采集底稿'!Y:Y,'附表7-扣除项目明细采集底稿'!E:E,数据对照表!B3,'附表7-扣除项目明细采集底稿'!V:V,"直接归集成本费用")</f>
        <v>0</v>
      </c>
      <c r="H8" s="326">
        <f t="shared" si="0"/>
        <v>0</v>
      </c>
      <c r="I8" s="325">
        <f>SUMIFS('附表7-扣除项目明细采集底稿'!W:W,'附表7-扣除项目明细采集底稿'!E:E,数据对照表!B3,'附表7-扣除项目明细采集底稿'!V:V,"共同成本费用")</f>
        <v>0</v>
      </c>
      <c r="J8" s="325">
        <f>SUMIFS('附表7-扣除项目明细采集底稿'!X:X,'附表7-扣除项目明细采集底稿'!E:E,数据对照表!B3,'附表7-扣除项目明细采集底稿'!V:V,"共同成本费用")</f>
        <v>0</v>
      </c>
      <c r="K8" s="325">
        <f>SUMIFS('附表7-扣除项目明细采集底稿'!Y:Y,'附表7-扣除项目明细采集底稿'!E:E,数据对照表!B3,'附表7-扣除项目明细采集底稿'!V:V,"共同成本费用")</f>
        <v>0</v>
      </c>
      <c r="L8" s="326">
        <f t="shared" si="1"/>
        <v>0</v>
      </c>
      <c r="M8" s="326">
        <f t="shared" si="2"/>
        <v>0</v>
      </c>
    </row>
    <row r="9" s="305" customFormat="1" ht="24" customHeight="1" spans="1:13">
      <c r="A9" s="323">
        <v>4</v>
      </c>
      <c r="B9" s="323"/>
      <c r="C9" s="327" t="str">
        <f>数据对照表!B4</f>
        <v>交纳的有关税费</v>
      </c>
      <c r="D9" s="327"/>
      <c r="E9" s="328">
        <f>SUMIFS('附表7-扣除项目明细采集底稿'!W:W,'附表7-扣除项目明细采集底稿'!E:E,数据对照表!B4,'附表7-扣除项目明细采集底稿'!V:V,"直接归集成本费用")</f>
        <v>0</v>
      </c>
      <c r="F9" s="328">
        <f>SUMIFS('附表7-扣除项目明细采集底稿'!X:X,'附表7-扣除项目明细采集底稿'!E:E,数据对照表!B4,'附表7-扣除项目明细采集底稿'!V:V,"直接归集成本费用")</f>
        <v>0</v>
      </c>
      <c r="G9" s="328">
        <f>SUMIFS('附表7-扣除项目明细采集底稿'!Y:Y,'附表7-扣除项目明细采集底稿'!E:E,数据对照表!B4,'附表7-扣除项目明细采集底稿'!V:V,"直接归集成本费用")</f>
        <v>0</v>
      </c>
      <c r="H9" s="329">
        <f t="shared" si="0"/>
        <v>0</v>
      </c>
      <c r="I9" s="328">
        <f>SUMIFS('附表7-扣除项目明细采集底稿'!W:W,'附表7-扣除项目明细采集底稿'!E:E,数据对照表!B4,'附表7-扣除项目明细采集底稿'!V:V,"共同成本费用")</f>
        <v>0</v>
      </c>
      <c r="J9" s="328">
        <f>SUMIFS('附表7-扣除项目明细采集底稿'!X:X,'附表7-扣除项目明细采集底稿'!E:E,数据对照表!B4,'附表7-扣除项目明细采集底稿'!V:V,"共同成本费用")</f>
        <v>0</v>
      </c>
      <c r="K9" s="328">
        <f>SUMIFS('附表7-扣除项目明细采集底稿'!Y:Y,'附表7-扣除项目明细采集底稿'!E:E,数据对照表!B4,'附表7-扣除项目明细采集底稿'!V:V,"共同成本费用")</f>
        <v>0</v>
      </c>
      <c r="L9" s="326">
        <f t="shared" si="1"/>
        <v>0</v>
      </c>
      <c r="M9" s="326">
        <f t="shared" si="2"/>
        <v>0</v>
      </c>
    </row>
    <row r="10" s="305" customFormat="1" ht="24" customHeight="1" spans="1:13">
      <c r="A10" s="323">
        <v>5</v>
      </c>
      <c r="B10" s="327" t="s">
        <v>157</v>
      </c>
      <c r="C10" s="327"/>
      <c r="D10" s="327"/>
      <c r="E10" s="325">
        <f>SUMIFS('附表7-扣除项目明细采集底稿'!W:W,'附表7-扣除项目明细采集底稿'!D:D,数据对照表!B1,'附表7-扣除项目明细采集底稿'!V:V,"直接归集成本费用",'附表7-扣除项目明细采集底稿'!AB:AB,"不可加计")</f>
        <v>0</v>
      </c>
      <c r="F10" s="325">
        <f>SUMIFS('附表7-扣除项目明细采集底稿'!X:X,'附表7-扣除项目明细采集底稿'!D:D,数据对照表!B1,'附表7-扣除项目明细采集底稿'!V:V,"直接归集成本费用",'附表7-扣除项目明细采集底稿'!AB:AB,"不可加计")</f>
        <v>0</v>
      </c>
      <c r="G10" s="325">
        <f>SUMIFS('附表7-扣除项目明细采集底稿'!Y:Y,'附表7-扣除项目明细采集底稿'!D:D,数据对照表!B1,'附表7-扣除项目明细采集底稿'!V:V,"直接归集成本费用",'附表7-扣除项目明细采集底稿'!AB:AB,"不可加计")</f>
        <v>0</v>
      </c>
      <c r="H10" s="326">
        <f t="shared" si="0"/>
        <v>0</v>
      </c>
      <c r="I10" s="325">
        <f>SUMIFS('附表7-扣除项目明细采集底稿'!W:W,'附表7-扣除项目明细采集底稿'!D:D,数据对照表!B1,'附表7-扣除项目明细采集底稿'!V:V,"共同成本费用",'附表7-扣除项目明细采集底稿'!AB:AB,"不可加计")</f>
        <v>0</v>
      </c>
      <c r="J10" s="325">
        <f>SUMIFS('附表7-扣除项目明细采集底稿'!X:X,'附表7-扣除项目明细采集底稿'!D:D,数据对照表!B1,'附表7-扣除项目明细采集底稿'!V:V,"共同成本费用",'附表7-扣除项目明细采集底稿'!AB:AB,"不可加计")</f>
        <v>0</v>
      </c>
      <c r="K10" s="325">
        <f>SUMIFS('附表7-扣除项目明细采集底稿'!Y:Y,'附表7-扣除项目明细采集底稿'!D:D,数据对照表!B1,'附表7-扣除项目明细采集底稿'!V:V,"共同成本费用",'附表7-扣除项目明细采集底稿'!AB:AB,"不可加计")</f>
        <v>0</v>
      </c>
      <c r="L10" s="326">
        <f t="shared" si="1"/>
        <v>0</v>
      </c>
      <c r="M10" s="326">
        <f t="shared" si="2"/>
        <v>0</v>
      </c>
    </row>
    <row r="11" s="305" customFormat="1" ht="24" customHeight="1" spans="1:13">
      <c r="A11" s="323">
        <v>6</v>
      </c>
      <c r="B11" s="327" t="s">
        <v>280</v>
      </c>
      <c r="C11" s="327"/>
      <c r="D11" s="327"/>
      <c r="E11" s="325">
        <f>SUM(SUMIFS('附表7-扣除项目明细采集底稿'!W:W,'附表7-扣除项目明细采集底稿'!D:D,"土地征用及拆迁补偿费",'附表7-扣除项目明细采集底稿'!V:V,"直接归集成本费用"),SUMIFS('附表7-扣除项目明细采集底稿'!W:W,'附表7-扣除项目明细采集底稿'!D:D,"前期工程费",'附表7-扣除项目明细采集底稿'!V:V,"直接归集成本费用"),SUMIFS('附表7-扣除项目明细采集底稿'!W:W,'附表7-扣除项目明细采集底稿'!D:D,"建筑安装工程费",'附表7-扣除项目明细采集底稿'!V:V,"直接归集成本费用"),SUMIFS('附表7-扣除项目明细采集底稿'!W:W,'附表7-扣除项目明细采集底稿'!D:D,"基础设施费",'附表7-扣除项目明细采集底稿'!V:V,"直接归集成本费用"),SUMIFS('附表7-扣除项目明细采集底稿'!W:W,'附表7-扣除项目明细采集底稿'!D:D,"公共配套设施费",'附表7-扣除项目明细采集底稿'!V:V,"直接归集成本费用"),SUMIFS('附表7-扣除项目明细采集底稿'!W:W,'附表7-扣除项目明细采集底稿'!D:D,"开发间接费用",'附表7-扣除项目明细采集底稿'!V:V,"直接归集成本费用"))</f>
        <v>0</v>
      </c>
      <c r="F11" s="325">
        <f>SUM(SUMIFS('附表7-扣除项目明细采集底稿'!X:X,'附表7-扣除项目明细采集底稿'!D:D,"土地征用及拆迁补偿费",'附表7-扣除项目明细采集底稿'!V:V,"直接归集成本费用"),SUMIFS('附表7-扣除项目明细采集底稿'!X:X,'附表7-扣除项目明细采集底稿'!D:D,"前期工程费",'附表7-扣除项目明细采集底稿'!V:V,"直接归集成本费用"),SUMIFS('附表7-扣除项目明细采集底稿'!X:X,'附表7-扣除项目明细采集底稿'!D:D,"建筑安装工程费",'附表7-扣除项目明细采集底稿'!V:V,"直接归集成本费用"),SUMIFS('附表7-扣除项目明细采集底稿'!X:X,'附表7-扣除项目明细采集底稿'!D:D,"基础设施费",'附表7-扣除项目明细采集底稿'!V:V,"直接归集成本费用"),SUMIFS('附表7-扣除项目明细采集底稿'!X:X,'附表7-扣除项目明细采集底稿'!D:D,"公共配套设施费",'附表7-扣除项目明细采集底稿'!V:V,"直接归集成本费用"),SUMIFS('附表7-扣除项目明细采集底稿'!X:X,'附表7-扣除项目明细采集底稿'!D:D,"开发间接费用",'附表7-扣除项目明细采集底稿'!V:V,"直接归集成本费用"))</f>
        <v>0</v>
      </c>
      <c r="G11" s="325">
        <f>SUM(SUMIFS('附表7-扣除项目明细采集底稿'!Y:Y,'附表7-扣除项目明细采集底稿'!D:D,"土地征用及拆迁补偿费",'附表7-扣除项目明细采集底稿'!V:V,"直接归集成本费用"),SUMIFS('附表7-扣除项目明细采集底稿'!Y:Y,'附表7-扣除项目明细采集底稿'!D:D,"前期工程费",'附表7-扣除项目明细采集底稿'!V:V,"直接归集成本费用"),SUMIFS('附表7-扣除项目明细采集底稿'!Y:Y,'附表7-扣除项目明细采集底稿'!D:D,"建筑安装工程费",'附表7-扣除项目明细采集底稿'!V:V,"直接归集成本费用"),SUMIFS('附表7-扣除项目明细采集底稿'!Y:Y,'附表7-扣除项目明细采集底稿'!D:D,"基础设施费",'附表7-扣除项目明细采集底稿'!V:V,"直接归集成本费用"),SUMIFS('附表7-扣除项目明细采集底稿'!Y:Y,'附表7-扣除项目明细采集底稿'!D:D,"公共配套设施费",'附表7-扣除项目明细采集底稿'!V:V,"直接归集成本费用"),SUMIFS('附表7-扣除项目明细采集底稿'!Y:Y,'附表7-扣除项目明细采集底稿'!D:D,"开发间接费用",'附表7-扣除项目明细采集底稿'!V:V,"直接归集成本费用"))</f>
        <v>0</v>
      </c>
      <c r="H11" s="326">
        <f t="shared" si="0"/>
        <v>0</v>
      </c>
      <c r="I11" s="325">
        <f>SUM(SUMIFS('附表7-扣除项目明细采集底稿'!W:W,'附表7-扣除项目明细采集底稿'!D:D,"土地征用及拆迁补偿费",'附表7-扣除项目明细采集底稿'!V:V,"共同成本费用"),SUMIFS('附表7-扣除项目明细采集底稿'!W:W,'附表7-扣除项目明细采集底稿'!D:D,"前期工程费",'附表7-扣除项目明细采集底稿'!V:V,"共同成本费用"),SUMIFS('附表7-扣除项目明细采集底稿'!W:W,'附表7-扣除项目明细采集底稿'!D:D,"建筑安装工程费",'附表7-扣除项目明细采集底稿'!V:V,"共同成本费用"),SUMIFS('附表7-扣除项目明细采集底稿'!W:W,'附表7-扣除项目明细采集底稿'!D:D,"基础设施费",'附表7-扣除项目明细采集底稿'!V:V,"共同成本费用"),SUMIFS('附表7-扣除项目明细采集底稿'!W:W,'附表7-扣除项目明细采集底稿'!D:D,"公共配套设施费",'附表7-扣除项目明细采集底稿'!V:V,"共同成本费用"),SUMIFS('附表7-扣除项目明细采集底稿'!W:W,'附表7-扣除项目明细采集底稿'!D:D,"开发间接费用",'附表7-扣除项目明细采集底稿'!V:V,"共同成本费用"))</f>
        <v>30992133.45</v>
      </c>
      <c r="J11" s="325">
        <f>SUM(SUMIFS('附表7-扣除项目明细采集底稿'!X:X,'附表7-扣除项目明细采集底稿'!D:D,"土地征用及拆迁补偿费",'附表7-扣除项目明细采集底稿'!V:V,"共同成本费用"),SUMIFS('附表7-扣除项目明细采集底稿'!X:X,'附表7-扣除项目明细采集底稿'!D:D,"前期工程费",'附表7-扣除项目明细采集底稿'!V:V,"共同成本费用"),SUMIFS('附表7-扣除项目明细采集底稿'!X:X,'附表7-扣除项目明细采集底稿'!D:D,"建筑安装工程费",'附表7-扣除项目明细采集底稿'!V:V,"共同成本费用"),SUMIFS('附表7-扣除项目明细采集底稿'!X:X,'附表7-扣除项目明细采集底稿'!D:D,"基础设施费",'附表7-扣除项目明细采集底稿'!V:V,"共同成本费用"),SUMIFS('附表7-扣除项目明细采集底稿'!X:X,'附表7-扣除项目明细采集底稿'!D:D,"公共配套设施费",'附表7-扣除项目明细采集底稿'!V:V,"共同成本费用"),SUMIFS('附表7-扣除项目明细采集底稿'!X:X,'附表7-扣除项目明细采集底稿'!D:D,"开发间接费用",'附表7-扣除项目明细采集底稿'!V:V,"共同成本费用"))</f>
        <v>0</v>
      </c>
      <c r="K11" s="325">
        <f>SUM(SUMIFS('附表7-扣除项目明细采集底稿'!Y:Y,'附表7-扣除项目明细采集底稿'!D:D,"土地征用及拆迁补偿费",'附表7-扣除项目明细采集底稿'!V:V,"共同成本费用"),SUMIFS('附表7-扣除项目明细采集底稿'!Y:Y,'附表7-扣除项目明细采集底稿'!D:D,"前期工程费",'附表7-扣除项目明细采集底稿'!V:V,"共同成本费用"),SUMIFS('附表7-扣除项目明细采集底稿'!Y:Y,'附表7-扣除项目明细采集底稿'!D:D,"建筑安装工程费",'附表7-扣除项目明细采集底稿'!V:V,"共同成本费用"),SUMIFS('附表7-扣除项目明细采集底稿'!Y:Y,'附表7-扣除项目明细采集底稿'!D:D,"基础设施费",'附表7-扣除项目明细采集底稿'!V:V,"共同成本费用"),SUMIFS('附表7-扣除项目明细采集底稿'!Y:Y,'附表7-扣除项目明细采集底稿'!D:D,"公共配套设施费",'附表7-扣除项目明细采集底稿'!V:V,"共同成本费用"),SUMIFS('附表7-扣除项目明细采集底稿'!Y:Y,'附表7-扣除项目明细采集底稿'!D:D,"开发间接费用",'附表7-扣除项目明细采集底稿'!V:V,"共同成本费用"))</f>
        <v>0</v>
      </c>
      <c r="L11" s="326">
        <f t="shared" si="1"/>
        <v>30992133.45</v>
      </c>
      <c r="M11" s="326">
        <f t="shared" si="2"/>
        <v>30992133.45</v>
      </c>
    </row>
    <row r="12" s="305" customFormat="1" ht="24" customHeight="1" spans="1:13">
      <c r="A12" s="323">
        <v>7</v>
      </c>
      <c r="B12" s="323" t="s">
        <v>279</v>
      </c>
      <c r="C12" s="324" t="str">
        <f>数据对照表!C1</f>
        <v>土地征用及拆迁补偿费</v>
      </c>
      <c r="D12" s="324"/>
      <c r="E12" s="325">
        <f>SUMIFS('附表7-扣除项目明细采集底稿'!W:W,'附表7-扣除项目明细采集底稿'!D:D,数据对照表!C1,'附表7-扣除项目明细采集底稿'!V:V,"直接归集成本费用")</f>
        <v>0</v>
      </c>
      <c r="F12" s="325">
        <f>SUMIFS('附表7-扣除项目明细采集底稿'!X:X,'附表7-扣除项目明细采集底稿'!D:D,数据对照表!C1,'附表7-扣除项目明细采集底稿'!V:V,"直接归集成本费用")</f>
        <v>0</v>
      </c>
      <c r="G12" s="325">
        <f>SUMIFS('附表7-扣除项目明细采集底稿'!Y:Y,'附表7-扣除项目明细采集底稿'!D:D,数据对照表!C1,'附表7-扣除项目明细采集底稿'!V:V,"直接归集成本费用")</f>
        <v>0</v>
      </c>
      <c r="H12" s="326">
        <f t="shared" si="0"/>
        <v>0</v>
      </c>
      <c r="I12" s="325">
        <f>SUMIFS('附表7-扣除项目明细采集底稿'!W:W,'附表7-扣除项目明细采集底稿'!D:D,数据对照表!C1,'附表7-扣除项目明细采集底稿'!V:V,"共同成本费用")</f>
        <v>0</v>
      </c>
      <c r="J12" s="325">
        <f>SUMIFS('附表7-扣除项目明细采集底稿'!X:X,'附表7-扣除项目明细采集底稿'!D:D,数据对照表!C1,'附表7-扣除项目明细采集底稿'!V:V,"共同成本费用")</f>
        <v>0</v>
      </c>
      <c r="K12" s="325">
        <f>SUMIFS('附表7-扣除项目明细采集底稿'!Y:Y,'附表7-扣除项目明细采集底稿'!D:D,数据对照表!C1,'附表7-扣除项目明细采集底稿'!V:V,"共同成本费用")</f>
        <v>0</v>
      </c>
      <c r="L12" s="326">
        <f t="shared" si="1"/>
        <v>0</v>
      </c>
      <c r="M12" s="326">
        <f t="shared" si="2"/>
        <v>0</v>
      </c>
    </row>
    <row r="13" s="305" customFormat="1" ht="24" customHeight="1" spans="1:13">
      <c r="A13" s="323">
        <v>8</v>
      </c>
      <c r="B13" s="323"/>
      <c r="C13" s="323" t="s">
        <v>279</v>
      </c>
      <c r="D13" s="327" t="str">
        <f>数据对照表!C2</f>
        <v>土地征用费用</v>
      </c>
      <c r="E13" s="325">
        <f>SUMIFS('附表7-扣除项目明细采集底稿'!W:W,'附表7-扣除项目明细采集底稿'!E:E,数据对照表!C2,'附表7-扣除项目明细采集底稿'!V:V,"直接归集成本费用")</f>
        <v>0</v>
      </c>
      <c r="F13" s="325">
        <f>SUMIFS('附表7-扣除项目明细采集底稿'!X:X,'附表7-扣除项目明细采集底稿'!E:E,数据对照表!C2,'附表7-扣除项目明细采集底稿'!V:V,"直接归集成本费用")</f>
        <v>0</v>
      </c>
      <c r="G13" s="325">
        <f>SUMIFS('附表7-扣除项目明细采集底稿'!Y:Y,'附表7-扣除项目明细采集底稿'!E:E,数据对照表!C2,'附表7-扣除项目明细采集底稿'!V:V,"直接归集成本费用")</f>
        <v>0</v>
      </c>
      <c r="H13" s="326">
        <f t="shared" si="0"/>
        <v>0</v>
      </c>
      <c r="I13" s="325">
        <f>SUMIFS('附表7-扣除项目明细采集底稿'!W:W,'附表7-扣除项目明细采集底稿'!E:E,数据对照表!C2,'附表7-扣除项目明细采集底稿'!V:V,"共同成本费用")</f>
        <v>0</v>
      </c>
      <c r="J13" s="325">
        <f>SUMIFS('附表7-扣除项目明细采集底稿'!X:X,'附表7-扣除项目明细采集底稿'!E:E,数据对照表!C2,'附表7-扣除项目明细采集底稿'!V:V,"共同成本费用")</f>
        <v>0</v>
      </c>
      <c r="K13" s="325">
        <f>SUMIFS('附表7-扣除项目明细采集底稿'!Y:Y,'附表7-扣除项目明细采集底稿'!E:E,数据对照表!C2,'附表7-扣除项目明细采集底稿'!V:V,"共同成本费用")</f>
        <v>0</v>
      </c>
      <c r="L13" s="326">
        <f t="shared" si="1"/>
        <v>0</v>
      </c>
      <c r="M13" s="326">
        <f t="shared" si="2"/>
        <v>0</v>
      </c>
    </row>
    <row r="14" s="305" customFormat="1" ht="24" customHeight="1" spans="1:13">
      <c r="A14" s="323">
        <v>9</v>
      </c>
      <c r="B14" s="323"/>
      <c r="C14" s="323"/>
      <c r="D14" s="327" t="str">
        <f>数据对照表!C3</f>
        <v>耕地占用税</v>
      </c>
      <c r="E14" s="325">
        <f>SUMIFS('附表7-扣除项目明细采集底稿'!W:W,'附表7-扣除项目明细采集底稿'!E:E,数据对照表!C3,'附表7-扣除项目明细采集底稿'!V:V,"直接归集成本费用")</f>
        <v>0</v>
      </c>
      <c r="F14" s="325">
        <f>SUMIFS('附表7-扣除项目明细采集底稿'!X:X,'附表7-扣除项目明细采集底稿'!E:E,数据对照表!C3,'附表7-扣除项目明细采集底稿'!V:V,"直接归集成本费用")</f>
        <v>0</v>
      </c>
      <c r="G14" s="325">
        <f>SUMIFS('附表7-扣除项目明细采集底稿'!Y:Y,'附表7-扣除项目明细采集底稿'!E:E,数据对照表!C3,'附表7-扣除项目明细采集底稿'!V:V,"直接归集成本费用")</f>
        <v>0</v>
      </c>
      <c r="H14" s="326">
        <f t="shared" si="0"/>
        <v>0</v>
      </c>
      <c r="I14" s="325">
        <f>SUMIFS('附表7-扣除项目明细采集底稿'!W:W,'附表7-扣除项目明细采集底稿'!E:E,数据对照表!C3,'附表7-扣除项目明细采集底稿'!V:V,"共同成本费用")</f>
        <v>0</v>
      </c>
      <c r="J14" s="325">
        <f>SUMIFS('附表7-扣除项目明细采集底稿'!X:X,'附表7-扣除项目明细采集底稿'!E:E,数据对照表!C3,'附表7-扣除项目明细采集底稿'!V:V,"共同成本费用")</f>
        <v>0</v>
      </c>
      <c r="K14" s="325">
        <f>SUMIFS('附表7-扣除项目明细采集底稿'!Y:Y,'附表7-扣除项目明细采集底稿'!E:E,数据对照表!C3,'附表7-扣除项目明细采集底稿'!V:V,"共同成本费用")</f>
        <v>0</v>
      </c>
      <c r="L14" s="326">
        <f t="shared" si="1"/>
        <v>0</v>
      </c>
      <c r="M14" s="326">
        <f t="shared" si="2"/>
        <v>0</v>
      </c>
    </row>
    <row r="15" s="305" customFormat="1" ht="24" customHeight="1" spans="1:13">
      <c r="A15" s="323">
        <v>10</v>
      </c>
      <c r="B15" s="323"/>
      <c r="C15" s="323"/>
      <c r="D15" s="327" t="str">
        <f>数据对照表!C4</f>
        <v>劳动力安置费</v>
      </c>
      <c r="E15" s="325">
        <f>SUMIFS('附表7-扣除项目明细采集底稿'!W:W,'附表7-扣除项目明细采集底稿'!E:E,数据对照表!C4,'附表7-扣除项目明细采集底稿'!V:V,"直接归集成本费用")</f>
        <v>0</v>
      </c>
      <c r="F15" s="325">
        <f>SUMIFS('附表7-扣除项目明细采集底稿'!X:X,'附表7-扣除项目明细采集底稿'!E:E,数据对照表!C4,'附表7-扣除项目明细采集底稿'!V:V,"直接归集成本费用")</f>
        <v>0</v>
      </c>
      <c r="G15" s="325">
        <f>SUMIFS('附表7-扣除项目明细采集底稿'!Y:Y,'附表7-扣除项目明细采集底稿'!E:E,数据对照表!C4,'附表7-扣除项目明细采集底稿'!V:V,"直接归集成本费用")</f>
        <v>0</v>
      </c>
      <c r="H15" s="326">
        <f t="shared" si="0"/>
        <v>0</v>
      </c>
      <c r="I15" s="325">
        <f>SUMIFS('附表7-扣除项目明细采集底稿'!W:W,'附表7-扣除项目明细采集底稿'!E:E,数据对照表!C4,'附表7-扣除项目明细采集底稿'!V:V,"共同成本费用")</f>
        <v>0</v>
      </c>
      <c r="J15" s="325">
        <f>SUMIFS('附表7-扣除项目明细采集底稿'!X:X,'附表7-扣除项目明细采集底稿'!E:E,数据对照表!C4,'附表7-扣除项目明细采集底稿'!V:V,"共同成本费用")</f>
        <v>0</v>
      </c>
      <c r="K15" s="325">
        <f>SUMIFS('附表7-扣除项目明细采集底稿'!Y:Y,'附表7-扣除项目明细采集底稿'!E:E,数据对照表!C4,'附表7-扣除项目明细采集底稿'!V:V,"共同成本费用")</f>
        <v>0</v>
      </c>
      <c r="L15" s="326">
        <f t="shared" si="1"/>
        <v>0</v>
      </c>
      <c r="M15" s="326">
        <f t="shared" si="2"/>
        <v>0</v>
      </c>
    </row>
    <row r="16" s="305" customFormat="1" ht="24" customHeight="1" spans="1:13">
      <c r="A16" s="323">
        <v>11</v>
      </c>
      <c r="B16" s="323"/>
      <c r="C16" s="323"/>
      <c r="D16" s="327" t="str">
        <f>数据对照表!C5</f>
        <v>安置动迁用房支出</v>
      </c>
      <c r="E16" s="325">
        <f>SUMIFS('附表7-扣除项目明细采集底稿'!W:W,'附表7-扣除项目明细采集底稿'!E:E,数据对照表!C5,'附表7-扣除项目明细采集底稿'!V:V,"直接归集成本费用")</f>
        <v>0</v>
      </c>
      <c r="F16" s="325">
        <f>SUMIFS('附表7-扣除项目明细采集底稿'!X:X,'附表7-扣除项目明细采集底稿'!E:E,数据对照表!C5,'附表7-扣除项目明细采集底稿'!V:V,"直接归集成本费用")</f>
        <v>0</v>
      </c>
      <c r="G16" s="325">
        <f>SUMIFS('附表7-扣除项目明细采集底稿'!Y:Y,'附表7-扣除项目明细采集底稿'!E:E,数据对照表!C5,'附表7-扣除项目明细采集底稿'!V:V,"直接归集成本费用")</f>
        <v>0</v>
      </c>
      <c r="H16" s="326">
        <f t="shared" si="0"/>
        <v>0</v>
      </c>
      <c r="I16" s="325">
        <f>SUMIFS('附表7-扣除项目明细采集底稿'!W:W,'附表7-扣除项目明细采集底稿'!E:E,数据对照表!C5,'附表7-扣除项目明细采集底稿'!V:V,"共同成本费用")</f>
        <v>0</v>
      </c>
      <c r="J16" s="325">
        <f>SUMIFS('附表7-扣除项目明细采集底稿'!X:X,'附表7-扣除项目明细采集底稿'!E:E,数据对照表!C5,'附表7-扣除项目明细采集底稿'!V:V,"共同成本费用")</f>
        <v>0</v>
      </c>
      <c r="K16" s="325">
        <f>SUMIFS('附表7-扣除项目明细采集底稿'!Y:Y,'附表7-扣除项目明细采集底稿'!E:E,数据对照表!C5,'附表7-扣除项目明细采集底稿'!V:V,"共同成本费用")</f>
        <v>0</v>
      </c>
      <c r="L16" s="326">
        <f t="shared" si="1"/>
        <v>0</v>
      </c>
      <c r="M16" s="326">
        <f t="shared" si="2"/>
        <v>0</v>
      </c>
    </row>
    <row r="17" s="305" customFormat="1" ht="24" customHeight="1" spans="1:13">
      <c r="A17" s="323">
        <v>12</v>
      </c>
      <c r="B17" s="323"/>
      <c r="C17" s="323"/>
      <c r="D17" s="327" t="str">
        <f>数据对照表!C6</f>
        <v>拆迁补偿费</v>
      </c>
      <c r="E17" s="325">
        <f>SUMIFS('附表7-扣除项目明细采集底稿'!W:W,'附表7-扣除项目明细采集底稿'!E:E,数据对照表!C6,'附表7-扣除项目明细采集底稿'!V:V,"直接归集成本费用")</f>
        <v>0</v>
      </c>
      <c r="F17" s="325">
        <f>SUMIFS('附表7-扣除项目明细采集底稿'!X:X,'附表7-扣除项目明细采集底稿'!E:E,数据对照表!C6,'附表7-扣除项目明细采集底稿'!V:V,"直接归集成本费用")</f>
        <v>0</v>
      </c>
      <c r="G17" s="325">
        <f>SUMIFS('附表7-扣除项目明细采集底稿'!Y:Y,'附表7-扣除项目明细采集底稿'!E:E,数据对照表!C6,'附表7-扣除项目明细采集底稿'!V:V,"直接归集成本费用")</f>
        <v>0</v>
      </c>
      <c r="H17" s="326">
        <f t="shared" si="0"/>
        <v>0</v>
      </c>
      <c r="I17" s="325">
        <f>SUMIFS('附表7-扣除项目明细采集底稿'!W:W,'附表7-扣除项目明细采集底稿'!E:E,数据对照表!C6,'附表7-扣除项目明细采集底稿'!V:V,"共同成本费用")</f>
        <v>0</v>
      </c>
      <c r="J17" s="325">
        <f>SUMIFS('附表7-扣除项目明细采集底稿'!X:X,'附表7-扣除项目明细采集底稿'!E:E,数据对照表!C6,'附表7-扣除项目明细采集底稿'!V:V,"共同成本费用")</f>
        <v>0</v>
      </c>
      <c r="K17" s="325">
        <f>SUMIFS('附表7-扣除项目明细采集底稿'!Y:Y,'附表7-扣除项目明细采集底稿'!E:E,数据对照表!C6,'附表7-扣除项目明细采集底稿'!V:V,"共同成本费用")</f>
        <v>0</v>
      </c>
      <c r="L17" s="326">
        <f t="shared" si="1"/>
        <v>0</v>
      </c>
      <c r="M17" s="326">
        <f t="shared" si="2"/>
        <v>0</v>
      </c>
    </row>
    <row r="18" s="305" customFormat="1" ht="27.95" customHeight="1" spans="1:13">
      <c r="A18" s="323">
        <v>13</v>
      </c>
      <c r="B18" s="323"/>
      <c r="C18" s="323"/>
      <c r="D18" s="327" t="str">
        <f>数据对照表!C7</f>
        <v>其他土地征用及拆迁补偿费</v>
      </c>
      <c r="E18" s="325">
        <f>SUMIFS('附表7-扣除项目明细采集底稿'!W:W,'附表7-扣除项目明细采集底稿'!E:E,数据对照表!C7,'附表7-扣除项目明细采集底稿'!V:V,"直接归集成本费用")</f>
        <v>0</v>
      </c>
      <c r="F18" s="325">
        <f>SUMIFS('附表7-扣除项目明细采集底稿'!X:X,'附表7-扣除项目明细采集底稿'!E:E,数据对照表!C7,'附表7-扣除项目明细采集底稿'!V:V,"直接归集成本费用")</f>
        <v>0</v>
      </c>
      <c r="G18" s="325">
        <f>SUMIFS('附表7-扣除项目明细采集底稿'!Y:Y,'附表7-扣除项目明细采集底稿'!E:E,数据对照表!C7,'附表7-扣除项目明细采集底稿'!V:V,"直接归集成本费用")</f>
        <v>0</v>
      </c>
      <c r="H18" s="326">
        <f t="shared" si="0"/>
        <v>0</v>
      </c>
      <c r="I18" s="325">
        <f>SUMIFS('附表7-扣除项目明细采集底稿'!W:W,'附表7-扣除项目明细采集底稿'!E:E,数据对照表!C7,'附表7-扣除项目明细采集底稿'!V:V,"共同成本费用")</f>
        <v>0</v>
      </c>
      <c r="J18" s="325">
        <f>SUMIFS('附表7-扣除项目明细采集底稿'!X:X,'附表7-扣除项目明细采集底稿'!E:E,数据对照表!C7,'附表7-扣除项目明细采集底稿'!V:V,"共同成本费用")</f>
        <v>0</v>
      </c>
      <c r="K18" s="325">
        <f>SUMIFS('附表7-扣除项目明细采集底稿'!Y:Y,'附表7-扣除项目明细采集底稿'!E:E,数据对照表!C7,'附表7-扣除项目明细采集底稿'!V:V,"共同成本费用")</f>
        <v>0</v>
      </c>
      <c r="L18" s="326">
        <f t="shared" si="1"/>
        <v>0</v>
      </c>
      <c r="M18" s="326">
        <f t="shared" si="2"/>
        <v>0</v>
      </c>
    </row>
    <row r="19" s="305" customFormat="1" ht="24" customHeight="1" spans="1:13">
      <c r="A19" s="323">
        <v>14</v>
      </c>
      <c r="B19" s="323"/>
      <c r="C19" s="327" t="str">
        <f>数据对照表!D1</f>
        <v>前期工程费</v>
      </c>
      <c r="D19" s="327"/>
      <c r="E19" s="325">
        <f>SUMIFS('附表7-扣除项目明细采集底稿'!W:W,'附表7-扣除项目明细采集底稿'!D:D,数据对照表!D1,'附表7-扣除项目明细采集底稿'!V:V,"直接归集成本费用")</f>
        <v>0</v>
      </c>
      <c r="F19" s="325">
        <f>SUMIFS('附表7-扣除项目明细采集底稿'!X:X,'附表7-扣除项目明细采集底稿'!D:D,数据对照表!D1,'附表7-扣除项目明细采集底稿'!V:V,"直接归集成本费用")</f>
        <v>0</v>
      </c>
      <c r="G19" s="325">
        <f>SUMIFS('附表7-扣除项目明细采集底稿'!Y:Y,'附表7-扣除项目明细采集底稿'!D:D,数据对照表!D1,'附表7-扣除项目明细采集底稿'!V:V,"直接归集成本费用")</f>
        <v>0</v>
      </c>
      <c r="H19" s="326">
        <f t="shared" si="0"/>
        <v>0</v>
      </c>
      <c r="I19" s="325">
        <f>SUMIFS('附表7-扣除项目明细采集底稿'!W:W,'附表7-扣除项目明细采集底稿'!D:D,数据对照表!D1,'附表7-扣除项目明细采集底稿'!V:V,"共同成本费用")</f>
        <v>376522.22</v>
      </c>
      <c r="J19" s="325">
        <f>SUMIFS('附表7-扣除项目明细采集底稿'!X:X,'附表7-扣除项目明细采集底稿'!D:D,数据对照表!D1,'附表7-扣除项目明细采集底稿'!V:V,"共同成本费用")</f>
        <v>0</v>
      </c>
      <c r="K19" s="325">
        <f>SUMIFS('附表7-扣除项目明细采集底稿'!Y:Y,'附表7-扣除项目明细采集底稿'!D:D,数据对照表!D1,'附表7-扣除项目明细采集底稿'!V:V,"共同成本费用")</f>
        <v>0</v>
      </c>
      <c r="L19" s="326">
        <f t="shared" si="1"/>
        <v>376522.22</v>
      </c>
      <c r="M19" s="326">
        <f t="shared" si="2"/>
        <v>376522.22</v>
      </c>
    </row>
    <row r="20" s="305" customFormat="1" ht="24" customHeight="1" spans="1:13">
      <c r="A20" s="323">
        <v>15</v>
      </c>
      <c r="B20" s="323"/>
      <c r="C20" s="323" t="s">
        <v>279</v>
      </c>
      <c r="D20" s="327" t="str">
        <f>数据对照表!D2</f>
        <v>规划费用</v>
      </c>
      <c r="E20" s="325">
        <f>SUMIFS('附表7-扣除项目明细采集底稿'!W:W,'附表7-扣除项目明细采集底稿'!E:E,数据对照表!D2,'附表7-扣除项目明细采集底稿'!V:V,"直接归集成本费用")</f>
        <v>0</v>
      </c>
      <c r="F20" s="325">
        <f>SUMIFS('附表7-扣除项目明细采集底稿'!X:X,'附表7-扣除项目明细采集底稿'!E:E,数据对照表!D2,'附表7-扣除项目明细采集底稿'!V:V,"直接归集成本费用")</f>
        <v>0</v>
      </c>
      <c r="G20" s="325">
        <f>SUMIFS('附表7-扣除项目明细采集底稿'!Y:Y,'附表7-扣除项目明细采集底稿'!E:E,数据对照表!D2,'附表7-扣除项目明细采集底稿'!V:V,"直接归集成本费用")</f>
        <v>0</v>
      </c>
      <c r="H20" s="326">
        <f t="shared" si="0"/>
        <v>0</v>
      </c>
      <c r="I20" s="325">
        <f>SUMIFS('附表7-扣除项目明细采集底稿'!W:W,'附表7-扣除项目明细采集底稿'!E:E,数据对照表!D2,'附表7-扣除项目明细采集底稿'!V:V,"共同成本费用")</f>
        <v>0</v>
      </c>
      <c r="J20" s="325">
        <f>SUMIFS('附表7-扣除项目明细采集底稿'!X:X,'附表7-扣除项目明细采集底稿'!E:E,数据对照表!D2,'附表7-扣除项目明细采集底稿'!V:V,"共同成本费用")</f>
        <v>0</v>
      </c>
      <c r="K20" s="325">
        <f>SUMIFS('附表7-扣除项目明细采集底稿'!Y:Y,'附表7-扣除项目明细采集底稿'!E:E,数据对照表!D2,'附表7-扣除项目明细采集底稿'!V:V,"共同成本费用")</f>
        <v>0</v>
      </c>
      <c r="L20" s="326">
        <f t="shared" si="1"/>
        <v>0</v>
      </c>
      <c r="M20" s="326">
        <f t="shared" si="2"/>
        <v>0</v>
      </c>
    </row>
    <row r="21" s="305" customFormat="1" ht="24" customHeight="1" spans="1:13">
      <c r="A21" s="323">
        <v>16</v>
      </c>
      <c r="B21" s="323"/>
      <c r="C21" s="323"/>
      <c r="D21" s="327" t="str">
        <f>数据对照表!D3</f>
        <v>设计费用</v>
      </c>
      <c r="E21" s="325">
        <f>SUMIFS('附表7-扣除项目明细采集底稿'!W:W,'附表7-扣除项目明细采集底稿'!E:E,数据对照表!D3,'附表7-扣除项目明细采集底稿'!V:V,"直接归集成本费用")</f>
        <v>0</v>
      </c>
      <c r="F21" s="325">
        <f>SUMIFS('附表7-扣除项目明细采集底稿'!X:X,'附表7-扣除项目明细采集底稿'!E:E,数据对照表!D3,'附表7-扣除项目明细采集底稿'!V:V,"直接归集成本费用")</f>
        <v>0</v>
      </c>
      <c r="G21" s="325">
        <f>SUMIFS('附表7-扣除项目明细采集底稿'!Y:Y,'附表7-扣除项目明细采集底稿'!E:E,数据对照表!D3,'附表7-扣除项目明细采集底稿'!V:V,"直接归集成本费用")</f>
        <v>0</v>
      </c>
      <c r="H21" s="326">
        <f t="shared" ref="H21:H37" si="3">SUM(E21:G21)</f>
        <v>0</v>
      </c>
      <c r="I21" s="325">
        <f>SUMIFS('附表7-扣除项目明细采集底稿'!W:W,'附表7-扣除项目明细采集底稿'!E:E,数据对照表!D3,'附表7-扣除项目明细采集底稿'!V:V,"共同成本费用")</f>
        <v>123329.54</v>
      </c>
      <c r="J21" s="325">
        <f>SUMIFS('附表7-扣除项目明细采集底稿'!X:X,'附表7-扣除项目明细采集底稿'!E:E,数据对照表!D3,'附表7-扣除项目明细采集底稿'!V:V,"共同成本费用")</f>
        <v>0</v>
      </c>
      <c r="K21" s="325">
        <f>SUMIFS('附表7-扣除项目明细采集底稿'!Y:Y,'附表7-扣除项目明细采集底稿'!E:E,数据对照表!D3,'附表7-扣除项目明细采集底稿'!V:V,"共同成本费用")</f>
        <v>0</v>
      </c>
      <c r="L21" s="326">
        <f t="shared" ref="L21:L37" si="4">SUM(I21:K21)</f>
        <v>123329.54</v>
      </c>
      <c r="M21" s="326">
        <f t="shared" ref="M21:M37" si="5">H21+L21</f>
        <v>123329.54</v>
      </c>
    </row>
    <row r="22" s="305" customFormat="1" ht="24" customHeight="1" spans="1:13">
      <c r="A22" s="323">
        <v>17</v>
      </c>
      <c r="B22" s="323"/>
      <c r="C22" s="323"/>
      <c r="D22" s="327" t="str">
        <f>数据对照表!D4</f>
        <v>项目可行性研究费用</v>
      </c>
      <c r="E22" s="325">
        <f>SUMIFS('附表7-扣除项目明细采集底稿'!W:W,'附表7-扣除项目明细采集底稿'!E:E,数据对照表!D4,'附表7-扣除项目明细采集底稿'!V:V,"直接归集成本费用")</f>
        <v>0</v>
      </c>
      <c r="F22" s="325">
        <f>SUMIFS('附表7-扣除项目明细采集底稿'!X:X,'附表7-扣除项目明细采集底稿'!E:E,数据对照表!D4,'附表7-扣除项目明细采集底稿'!V:V,"直接归集成本费用")</f>
        <v>0</v>
      </c>
      <c r="G22" s="325">
        <f>SUMIFS('附表7-扣除项目明细采集底稿'!Y:Y,'附表7-扣除项目明细采集底稿'!E:E,数据对照表!D4,'附表7-扣除项目明细采集底稿'!V:V,"直接归集成本费用")</f>
        <v>0</v>
      </c>
      <c r="H22" s="326">
        <f t="shared" si="3"/>
        <v>0</v>
      </c>
      <c r="I22" s="325">
        <f>SUMIFS('附表7-扣除项目明细采集底稿'!W:W,'附表7-扣除项目明细采集底稿'!E:E,数据对照表!D4,'附表7-扣除项目明细采集底稿'!V:V,"共同成本费用")</f>
        <v>0</v>
      </c>
      <c r="J22" s="325">
        <f>SUMIFS('附表7-扣除项目明细采集底稿'!X:X,'附表7-扣除项目明细采集底稿'!E:E,数据对照表!D4,'附表7-扣除项目明细采集底稿'!V:V,"共同成本费用")</f>
        <v>0</v>
      </c>
      <c r="K22" s="325">
        <f>SUMIFS('附表7-扣除项目明细采集底稿'!Y:Y,'附表7-扣除项目明细采集底稿'!E:E,数据对照表!D4,'附表7-扣除项目明细采集底稿'!V:V,"共同成本费用")</f>
        <v>0</v>
      </c>
      <c r="L22" s="326">
        <f t="shared" si="4"/>
        <v>0</v>
      </c>
      <c r="M22" s="326">
        <f t="shared" si="5"/>
        <v>0</v>
      </c>
    </row>
    <row r="23" s="305" customFormat="1" ht="24" customHeight="1" spans="1:13">
      <c r="A23" s="323">
        <v>18</v>
      </c>
      <c r="B23" s="323"/>
      <c r="C23" s="323"/>
      <c r="D23" s="327" t="str">
        <f>数据对照表!D5</f>
        <v>水文费用</v>
      </c>
      <c r="E23" s="325">
        <f>SUMIFS('附表7-扣除项目明细采集底稿'!W:W,'附表7-扣除项目明细采集底稿'!E:E,数据对照表!D5,'附表7-扣除项目明细采集底稿'!V:V,"直接归集成本费用")</f>
        <v>0</v>
      </c>
      <c r="F23" s="325">
        <f>SUMIFS('附表7-扣除项目明细采集底稿'!X:X,'附表7-扣除项目明细采集底稿'!E:E,数据对照表!D5,'附表7-扣除项目明细采集底稿'!V:V,"直接归集成本费用")</f>
        <v>0</v>
      </c>
      <c r="G23" s="325">
        <f>SUMIFS('附表7-扣除项目明细采集底稿'!Y:Y,'附表7-扣除项目明细采集底稿'!E:E,数据对照表!D5,'附表7-扣除项目明细采集底稿'!V:V,"直接归集成本费用")</f>
        <v>0</v>
      </c>
      <c r="H23" s="326">
        <f t="shared" si="3"/>
        <v>0</v>
      </c>
      <c r="I23" s="325">
        <f>SUMIFS('附表7-扣除项目明细采集底稿'!W:W,'附表7-扣除项目明细采集底稿'!E:E,数据对照表!D5,'附表7-扣除项目明细采集底稿'!V:V,"共同成本费用")</f>
        <v>0</v>
      </c>
      <c r="J23" s="325">
        <f>SUMIFS('附表7-扣除项目明细采集底稿'!X:X,'附表7-扣除项目明细采集底稿'!E:E,数据对照表!D5,'附表7-扣除项目明细采集底稿'!V:V,"共同成本费用")</f>
        <v>0</v>
      </c>
      <c r="K23" s="325">
        <f>SUMIFS('附表7-扣除项目明细采集底稿'!Y:Y,'附表7-扣除项目明细采集底稿'!E:E,数据对照表!D5,'附表7-扣除项目明细采集底稿'!V:V,"共同成本费用")</f>
        <v>0</v>
      </c>
      <c r="L23" s="326">
        <f t="shared" si="4"/>
        <v>0</v>
      </c>
      <c r="M23" s="326">
        <f t="shared" si="5"/>
        <v>0</v>
      </c>
    </row>
    <row r="24" s="305" customFormat="1" ht="24" customHeight="1" spans="1:13">
      <c r="A24" s="323">
        <v>19</v>
      </c>
      <c r="B24" s="323"/>
      <c r="C24" s="323"/>
      <c r="D24" s="327" t="str">
        <f>数据对照表!D6</f>
        <v>地质费用</v>
      </c>
      <c r="E24" s="325">
        <f>SUMIFS('附表7-扣除项目明细采集底稿'!W:W,'附表7-扣除项目明细采集底稿'!E:E,数据对照表!D6,'附表7-扣除项目明细采集底稿'!V:V,"直接归集成本费用")</f>
        <v>0</v>
      </c>
      <c r="F24" s="325">
        <f>SUMIFS('附表7-扣除项目明细采集底稿'!X:X,'附表7-扣除项目明细采集底稿'!E:E,数据对照表!D6,'附表7-扣除项目明细采集底稿'!V:V,"直接归集成本费用")</f>
        <v>0</v>
      </c>
      <c r="G24" s="325">
        <f>SUMIFS('附表7-扣除项目明细采集底稿'!Y:Y,'附表7-扣除项目明细采集底稿'!E:E,数据对照表!D6,'附表7-扣除项目明细采集底稿'!V:V,"直接归集成本费用")</f>
        <v>0</v>
      </c>
      <c r="H24" s="326">
        <f t="shared" si="3"/>
        <v>0</v>
      </c>
      <c r="I24" s="325">
        <f>SUMIFS('附表7-扣除项目明细采集底稿'!W:W,'附表7-扣除项目明细采集底稿'!E:E,数据对照表!D6,'附表7-扣除项目明细采集底稿'!V:V,"共同成本费用")</f>
        <v>0</v>
      </c>
      <c r="J24" s="325">
        <f>SUMIFS('附表7-扣除项目明细采集底稿'!X:X,'附表7-扣除项目明细采集底稿'!E:E,数据对照表!D6,'附表7-扣除项目明细采集底稿'!V:V,"共同成本费用")</f>
        <v>0</v>
      </c>
      <c r="K24" s="325">
        <f>SUMIFS('附表7-扣除项目明细采集底稿'!Y:Y,'附表7-扣除项目明细采集底稿'!E:E,数据对照表!D6,'附表7-扣除项目明细采集底稿'!V:V,"共同成本费用")</f>
        <v>0</v>
      </c>
      <c r="L24" s="326">
        <f t="shared" si="4"/>
        <v>0</v>
      </c>
      <c r="M24" s="326">
        <f t="shared" si="5"/>
        <v>0</v>
      </c>
    </row>
    <row r="25" s="305" customFormat="1" ht="24" customHeight="1" spans="1:13">
      <c r="A25" s="323">
        <v>20</v>
      </c>
      <c r="B25" s="323"/>
      <c r="C25" s="323"/>
      <c r="D25" s="327" t="str">
        <f>数据对照表!D7</f>
        <v>勘探费用</v>
      </c>
      <c r="E25" s="325">
        <f>SUMIFS('附表7-扣除项目明细采集底稿'!W:W,'附表7-扣除项目明细采集底稿'!E:E,数据对照表!D7,'附表7-扣除项目明细采集底稿'!V:V,"直接归集成本费用")</f>
        <v>0</v>
      </c>
      <c r="F25" s="325">
        <f>SUMIFS('附表7-扣除项目明细采集底稿'!X:X,'附表7-扣除项目明细采集底稿'!E:E,数据对照表!D7,'附表7-扣除项目明细采集底稿'!V:V,"直接归集成本费用")</f>
        <v>0</v>
      </c>
      <c r="G25" s="325">
        <f>SUMIFS('附表7-扣除项目明细采集底稿'!Y:Y,'附表7-扣除项目明细采集底稿'!E:E,数据对照表!D7,'附表7-扣除项目明细采集底稿'!V:V,"直接归集成本费用")</f>
        <v>0</v>
      </c>
      <c r="H25" s="326">
        <f t="shared" si="3"/>
        <v>0</v>
      </c>
      <c r="I25" s="325">
        <f>SUMIFS('附表7-扣除项目明细采集底稿'!W:W,'附表7-扣除项目明细采集底稿'!E:E,数据对照表!D7,'附表7-扣除项目明细采集底稿'!V:V,"共同成本费用")</f>
        <v>20384.83</v>
      </c>
      <c r="J25" s="325">
        <f>SUMIFS('附表7-扣除项目明细采集底稿'!X:X,'附表7-扣除项目明细采集底稿'!E:E,数据对照表!D7,'附表7-扣除项目明细采集底稿'!V:V,"共同成本费用")</f>
        <v>0</v>
      </c>
      <c r="K25" s="325">
        <f>SUMIFS('附表7-扣除项目明细采集底稿'!Y:Y,'附表7-扣除项目明细采集底稿'!E:E,数据对照表!D7,'附表7-扣除项目明细采集底稿'!V:V,"共同成本费用")</f>
        <v>0</v>
      </c>
      <c r="L25" s="326">
        <f t="shared" si="4"/>
        <v>20384.83</v>
      </c>
      <c r="M25" s="326">
        <f t="shared" si="5"/>
        <v>20384.83</v>
      </c>
    </row>
    <row r="26" s="305" customFormat="1" ht="24" customHeight="1" spans="1:13">
      <c r="A26" s="323">
        <v>21</v>
      </c>
      <c r="B26" s="323"/>
      <c r="C26" s="323"/>
      <c r="D26" s="327" t="str">
        <f>数据对照表!D8</f>
        <v>测绘费用</v>
      </c>
      <c r="E26" s="325">
        <f>SUMIFS('附表7-扣除项目明细采集底稿'!W:W,'附表7-扣除项目明细采集底稿'!E:E,数据对照表!D8,'附表7-扣除项目明细采集底稿'!V:V,"直接归集成本费用")</f>
        <v>0</v>
      </c>
      <c r="F26" s="325">
        <f>SUMIFS('附表7-扣除项目明细采集底稿'!X:X,'附表7-扣除项目明细采集底稿'!E:E,数据对照表!D8,'附表7-扣除项目明细采集底稿'!V:V,"直接归集成本费用")</f>
        <v>0</v>
      </c>
      <c r="G26" s="325">
        <f>SUMIFS('附表7-扣除项目明细采集底稿'!Y:Y,'附表7-扣除项目明细采集底稿'!E:E,数据对照表!D8,'附表7-扣除项目明细采集底稿'!V:V,"直接归集成本费用")</f>
        <v>0</v>
      </c>
      <c r="H26" s="326">
        <f t="shared" si="3"/>
        <v>0</v>
      </c>
      <c r="I26" s="325">
        <f>SUMIFS('附表7-扣除项目明细采集底稿'!W:W,'附表7-扣除项目明细采集底稿'!E:E,数据对照表!D8,'附表7-扣除项目明细采集底稿'!V:V,"共同成本费用")</f>
        <v>29867.75</v>
      </c>
      <c r="J26" s="325">
        <f>SUMIFS('附表7-扣除项目明细采集底稿'!X:X,'附表7-扣除项目明细采集底稿'!E:E,数据对照表!D8,'附表7-扣除项目明细采集底稿'!V:V,"共同成本费用")</f>
        <v>0</v>
      </c>
      <c r="K26" s="325">
        <f>SUMIFS('附表7-扣除项目明细采集底稿'!Y:Y,'附表7-扣除项目明细采集底稿'!E:E,数据对照表!D8,'附表7-扣除项目明细采集底稿'!V:V,"共同成本费用")</f>
        <v>0</v>
      </c>
      <c r="L26" s="326">
        <f t="shared" si="4"/>
        <v>29867.75</v>
      </c>
      <c r="M26" s="326">
        <f t="shared" si="5"/>
        <v>29867.75</v>
      </c>
    </row>
    <row r="27" s="305" customFormat="1" ht="24" customHeight="1" spans="1:13">
      <c r="A27" s="323">
        <v>22</v>
      </c>
      <c r="B27" s="323"/>
      <c r="C27" s="323"/>
      <c r="D27" s="327" t="str">
        <f>数据对照表!D9</f>
        <v>七通一平支出</v>
      </c>
      <c r="E27" s="325">
        <f>SUMIFS('附表7-扣除项目明细采集底稿'!W:W,'附表7-扣除项目明细采集底稿'!E:E,数据对照表!D9,'附表7-扣除项目明细采集底稿'!V:V,"直接归集成本费用")</f>
        <v>0</v>
      </c>
      <c r="F27" s="325">
        <f>SUMIFS('附表7-扣除项目明细采集底稿'!X:X,'附表7-扣除项目明细采集底稿'!E:E,数据对照表!D9,'附表7-扣除项目明细采集底稿'!V:V,"直接归集成本费用")</f>
        <v>0</v>
      </c>
      <c r="G27" s="325">
        <f>SUMIFS('附表7-扣除项目明细采集底稿'!Y:Y,'附表7-扣除项目明细采集底稿'!E:E,数据对照表!D9,'附表7-扣除项目明细采集底稿'!V:V,"直接归集成本费用")</f>
        <v>0</v>
      </c>
      <c r="H27" s="326">
        <f t="shared" si="3"/>
        <v>0</v>
      </c>
      <c r="I27" s="325">
        <f>SUMIFS('附表7-扣除项目明细采集底稿'!W:W,'附表7-扣除项目明细采集底稿'!E:E,数据对照表!D9,'附表7-扣除项目明细采集底稿'!V:V,"共同成本费用")</f>
        <v>0</v>
      </c>
      <c r="J27" s="325">
        <f>SUMIFS('附表7-扣除项目明细采集底稿'!X:X,'附表7-扣除项目明细采集底稿'!E:E,数据对照表!D9,'附表7-扣除项目明细采集底稿'!V:V,"共同成本费用")</f>
        <v>0</v>
      </c>
      <c r="K27" s="325">
        <f>SUMIFS('附表7-扣除项目明细采集底稿'!Y:Y,'附表7-扣除项目明细采集底稿'!E:E,数据对照表!D9,'附表7-扣除项目明细采集底稿'!V:V,"共同成本费用")</f>
        <v>0</v>
      </c>
      <c r="L27" s="326">
        <f t="shared" si="4"/>
        <v>0</v>
      </c>
      <c r="M27" s="326">
        <f t="shared" si="5"/>
        <v>0</v>
      </c>
    </row>
    <row r="28" s="305" customFormat="1" ht="24" customHeight="1" spans="1:13">
      <c r="A28" s="323">
        <v>23</v>
      </c>
      <c r="B28" s="323"/>
      <c r="C28" s="323"/>
      <c r="D28" s="327" t="str">
        <f>数据对照表!D10</f>
        <v>其他前期工程费</v>
      </c>
      <c r="E28" s="325">
        <f>SUMIFS('附表7-扣除项目明细采集底稿'!W:W,'附表7-扣除项目明细采集底稿'!E:E,数据对照表!D10,'附表7-扣除项目明细采集底稿'!V:V,"直接归集成本费用")</f>
        <v>0</v>
      </c>
      <c r="F28" s="325">
        <f>SUMIFS('附表7-扣除项目明细采集底稿'!X:X,'附表7-扣除项目明细采集底稿'!E:E,数据对照表!D10,'附表7-扣除项目明细采集底稿'!V:V,"直接归集成本费用")</f>
        <v>0</v>
      </c>
      <c r="G28" s="325">
        <f>SUMIFS('附表7-扣除项目明细采集底稿'!Y:Y,'附表7-扣除项目明细采集底稿'!E:E,数据对照表!D10,'附表7-扣除项目明细采集底稿'!V:V,"直接归集成本费用")</f>
        <v>0</v>
      </c>
      <c r="H28" s="326">
        <f t="shared" si="3"/>
        <v>0</v>
      </c>
      <c r="I28" s="325">
        <f>SUMIFS('附表7-扣除项目明细采集底稿'!W:W,'附表7-扣除项目明细采集底稿'!E:E,数据对照表!D10,'附表7-扣除项目明细采集底稿'!V:V,"共同成本费用")</f>
        <v>202940.1</v>
      </c>
      <c r="J28" s="325">
        <f>SUMIFS('附表7-扣除项目明细采集底稿'!X:X,'附表7-扣除项目明细采集底稿'!E:E,数据对照表!D10,'附表7-扣除项目明细采集底稿'!V:V,"共同成本费用")</f>
        <v>0</v>
      </c>
      <c r="K28" s="325">
        <f>SUMIFS('附表7-扣除项目明细采集底稿'!Y:Y,'附表7-扣除项目明细采集底稿'!E:E,数据对照表!D10,'附表7-扣除项目明细采集底稿'!V:V,"共同成本费用")</f>
        <v>0</v>
      </c>
      <c r="L28" s="326">
        <f t="shared" si="4"/>
        <v>202940.1</v>
      </c>
      <c r="M28" s="326">
        <f t="shared" si="5"/>
        <v>202940.1</v>
      </c>
    </row>
    <row r="29" s="305" customFormat="1" ht="24" customHeight="1" spans="1:13">
      <c r="A29" s="323">
        <v>24</v>
      </c>
      <c r="B29" s="323"/>
      <c r="C29" s="324" t="str">
        <f>数据对照表!E1</f>
        <v>建筑安装工程费</v>
      </c>
      <c r="D29" s="324"/>
      <c r="E29" s="325">
        <f>SUMIFS('附表7-扣除项目明细采集底稿'!W:W,'附表7-扣除项目明细采集底稿'!D:D,数据对照表!E1,'附表7-扣除项目明细采集底稿'!V:V,"直接归集成本费用")</f>
        <v>0</v>
      </c>
      <c r="F29" s="325">
        <f>SUMIFS('附表7-扣除项目明细采集底稿'!X:X,'附表7-扣除项目明细采集底稿'!D:D,数据对照表!E1,'附表7-扣除项目明细采集底稿'!V:V,"直接归集成本费用")</f>
        <v>0</v>
      </c>
      <c r="G29" s="325">
        <f>SUMIFS('附表7-扣除项目明细采集底稿'!Y:Y,'附表7-扣除项目明细采集底稿'!D:D,数据对照表!E1,'附表7-扣除项目明细采集底稿'!V:V,"直接归集成本费用")</f>
        <v>0</v>
      </c>
      <c r="H29" s="326">
        <f t="shared" si="3"/>
        <v>0</v>
      </c>
      <c r="I29" s="325">
        <f>SUMIFS('附表7-扣除项目明细采集底稿'!W:W,'附表7-扣除项目明细采集底稿'!D:D,数据对照表!E1,'附表7-扣除项目明细采集底稿'!V:V,"共同成本费用")</f>
        <v>24729056.61</v>
      </c>
      <c r="J29" s="325">
        <f>SUMIFS('附表7-扣除项目明细采集底稿'!X:X,'附表7-扣除项目明细采集底稿'!D:D,数据对照表!E1,'附表7-扣除项目明细采集底稿'!V:V,"共同成本费用")</f>
        <v>0</v>
      </c>
      <c r="K29" s="325">
        <f>SUMIFS('附表7-扣除项目明细采集底稿'!Y:Y,'附表7-扣除项目明细采集底稿'!D:D,数据对照表!E1,'附表7-扣除项目明细采集底稿'!V:V,"共同成本费用")</f>
        <v>0</v>
      </c>
      <c r="L29" s="326">
        <f t="shared" si="4"/>
        <v>24729056.61</v>
      </c>
      <c r="M29" s="326">
        <f t="shared" si="5"/>
        <v>24729056.61</v>
      </c>
    </row>
    <row r="30" s="305" customFormat="1" ht="24" customHeight="1" spans="1:13">
      <c r="A30" s="323">
        <v>25</v>
      </c>
      <c r="B30" s="323"/>
      <c r="C30" s="323" t="s">
        <v>279</v>
      </c>
      <c r="D30" s="327" t="str">
        <f>数据对照表!E2</f>
        <v>桩基础工程费用</v>
      </c>
      <c r="E30" s="325">
        <f>SUMIFS('附表7-扣除项目明细采集底稿'!W:W,'附表7-扣除项目明细采集底稿'!E:E,数据对照表!E2,'附表7-扣除项目明细采集底稿'!V:V,"直接归集成本费用")</f>
        <v>0</v>
      </c>
      <c r="F30" s="325">
        <f>SUMIFS('附表7-扣除项目明细采集底稿'!X:X,'附表7-扣除项目明细采集底稿'!E:E,数据对照表!E2,'附表7-扣除项目明细采集底稿'!V:V,"直接归集成本费用")</f>
        <v>0</v>
      </c>
      <c r="G30" s="325">
        <f>SUMIFS('附表7-扣除项目明细采集底稿'!Y:Y,'附表7-扣除项目明细采集底稿'!E:E,数据对照表!E2,'附表7-扣除项目明细采集底稿'!V:V,"直接归集成本费用")</f>
        <v>0</v>
      </c>
      <c r="H30" s="326">
        <f t="shared" si="3"/>
        <v>0</v>
      </c>
      <c r="I30" s="325">
        <f>SUMIFS('附表7-扣除项目明细采集底稿'!W:W,'附表7-扣除项目明细采集底稿'!E:E,数据对照表!E2,'附表7-扣除项目明细采集底稿'!V:V,"共同成本费用")</f>
        <v>0</v>
      </c>
      <c r="J30" s="325">
        <f>SUMIFS('附表7-扣除项目明细采集底稿'!X:X,'附表7-扣除项目明细采集底稿'!E:E,数据对照表!E2,'附表7-扣除项目明细采集底稿'!V:V,"共同成本费用")</f>
        <v>0</v>
      </c>
      <c r="K30" s="325">
        <f>SUMIFS('附表7-扣除项目明细采集底稿'!Y:Y,'附表7-扣除项目明细采集底稿'!E:E,数据对照表!E2,'附表7-扣除项目明细采集底稿'!V:V,"共同成本费用")</f>
        <v>0</v>
      </c>
      <c r="L30" s="326">
        <f t="shared" si="4"/>
        <v>0</v>
      </c>
      <c r="M30" s="326">
        <f t="shared" si="5"/>
        <v>0</v>
      </c>
    </row>
    <row r="31" s="305" customFormat="1" ht="24" customHeight="1" spans="1:13">
      <c r="A31" s="323">
        <v>26</v>
      </c>
      <c r="B31" s="323"/>
      <c r="C31" s="323"/>
      <c r="D31" s="327" t="str">
        <f>数据对照表!E3</f>
        <v>地下室工程费用</v>
      </c>
      <c r="E31" s="325">
        <f>SUMIFS('附表7-扣除项目明细采集底稿'!W:W,'附表7-扣除项目明细采集底稿'!E:E,数据对照表!E3,'附表7-扣除项目明细采集底稿'!V:V,"直接归集成本费用")</f>
        <v>0</v>
      </c>
      <c r="F31" s="325">
        <f>SUMIFS('附表7-扣除项目明细采集底稿'!X:X,'附表7-扣除项目明细采集底稿'!E:E,数据对照表!E3,'附表7-扣除项目明细采集底稿'!V:V,"直接归集成本费用")</f>
        <v>0</v>
      </c>
      <c r="G31" s="325">
        <f>SUMIFS('附表7-扣除项目明细采集底稿'!Y:Y,'附表7-扣除项目明细采集底稿'!E:E,数据对照表!E3,'附表7-扣除项目明细采集底稿'!V:V,"直接归集成本费用")</f>
        <v>0</v>
      </c>
      <c r="H31" s="326">
        <f t="shared" si="3"/>
        <v>0</v>
      </c>
      <c r="I31" s="325">
        <f>SUMIFS('附表7-扣除项目明细采集底稿'!W:W,'附表7-扣除项目明细采集底稿'!E:E,数据对照表!E3,'附表7-扣除项目明细采集底稿'!V:V,"共同成本费用")</f>
        <v>0</v>
      </c>
      <c r="J31" s="325">
        <f>SUMIFS('附表7-扣除项目明细采集底稿'!X:X,'附表7-扣除项目明细采集底稿'!E:E,数据对照表!E3,'附表7-扣除项目明细采集底稿'!V:V,"共同成本费用")</f>
        <v>0</v>
      </c>
      <c r="K31" s="325">
        <f>SUMIFS('附表7-扣除项目明细采集底稿'!Y:Y,'附表7-扣除项目明细采集底稿'!E:E,数据对照表!E3,'附表7-扣除项目明细采集底稿'!V:V,"共同成本费用")</f>
        <v>0</v>
      </c>
      <c r="L31" s="326">
        <f t="shared" si="4"/>
        <v>0</v>
      </c>
      <c r="M31" s="326">
        <f t="shared" si="5"/>
        <v>0</v>
      </c>
    </row>
    <row r="32" s="305" customFormat="1" ht="24" customHeight="1" spans="1:13">
      <c r="A32" s="323">
        <v>27</v>
      </c>
      <c r="B32" s="323"/>
      <c r="C32" s="323"/>
      <c r="D32" s="327" t="str">
        <f>数据对照表!E4</f>
        <v>地上建筑工程费用</v>
      </c>
      <c r="E32" s="325">
        <f>SUMIFS('附表7-扣除项目明细采集底稿'!W:W,'附表7-扣除项目明细采集底稿'!E:E,数据对照表!E4,'附表7-扣除项目明细采集底稿'!V:V,"直接归集成本费用")</f>
        <v>0</v>
      </c>
      <c r="F32" s="325">
        <f>SUMIFS('附表7-扣除项目明细采集底稿'!X:X,'附表7-扣除项目明细采集底稿'!E:E,数据对照表!E4,'附表7-扣除项目明细采集底稿'!V:V,"直接归集成本费用")</f>
        <v>0</v>
      </c>
      <c r="G32" s="325">
        <f>SUMIFS('附表7-扣除项目明细采集底稿'!Y:Y,'附表7-扣除项目明细采集底稿'!E:E,数据对照表!E4,'附表7-扣除项目明细采集底稿'!V:V,"直接归集成本费用")</f>
        <v>0</v>
      </c>
      <c r="H32" s="326">
        <f t="shared" si="3"/>
        <v>0</v>
      </c>
      <c r="I32" s="325">
        <f>SUMIFS('附表7-扣除项目明细采集底稿'!W:W,'附表7-扣除项目明细采集底稿'!E:E,数据对照表!E4,'附表7-扣除项目明细采集底稿'!V:V,"共同成本费用")</f>
        <v>19790140.26</v>
      </c>
      <c r="J32" s="325">
        <f>SUMIFS('附表7-扣除项目明细采集底稿'!X:X,'附表7-扣除项目明细采集底稿'!E:E,数据对照表!E4,'附表7-扣除项目明细采集底稿'!V:V,"共同成本费用")</f>
        <v>0</v>
      </c>
      <c r="K32" s="325">
        <f>SUMIFS('附表7-扣除项目明细采集底稿'!Y:Y,'附表7-扣除项目明细采集底稿'!E:E,数据对照表!E4,'附表7-扣除项目明细采集底稿'!V:V,"共同成本费用")</f>
        <v>0</v>
      </c>
      <c r="L32" s="326">
        <f t="shared" si="4"/>
        <v>19790140.26</v>
      </c>
      <c r="M32" s="326">
        <f t="shared" si="5"/>
        <v>19790140.26</v>
      </c>
    </row>
    <row r="33" s="305" customFormat="1" ht="24" customHeight="1" spans="1:13">
      <c r="A33" s="323">
        <v>28</v>
      </c>
      <c r="B33" s="323"/>
      <c r="C33" s="323"/>
      <c r="D33" s="327" t="str">
        <f>数据对照表!E5</f>
        <v>户内装修费用</v>
      </c>
      <c r="E33" s="325">
        <f>SUMIFS('附表7-扣除项目明细采集底稿'!W:W,'附表7-扣除项目明细采集底稿'!E:E,数据对照表!E5,'附表7-扣除项目明细采集底稿'!V:V,"直接归集成本费用")</f>
        <v>0</v>
      </c>
      <c r="F33" s="325">
        <f>SUMIFS('附表7-扣除项目明细采集底稿'!X:X,'附表7-扣除项目明细采集底稿'!E:E,数据对照表!E5,'附表7-扣除项目明细采集底稿'!V:V,"直接归集成本费用")</f>
        <v>0</v>
      </c>
      <c r="G33" s="325">
        <f>SUMIFS('附表7-扣除项目明细采集底稿'!Y:Y,'附表7-扣除项目明细采集底稿'!E:E,数据对照表!E5,'附表7-扣除项目明细采集底稿'!V:V,"直接归集成本费用")</f>
        <v>0</v>
      </c>
      <c r="H33" s="326">
        <f t="shared" si="3"/>
        <v>0</v>
      </c>
      <c r="I33" s="325">
        <f>SUMIFS('附表7-扣除项目明细采集底稿'!W:W,'附表7-扣除项目明细采集底稿'!E:E,数据对照表!E5,'附表7-扣除项目明细采集底稿'!V:V,"共同成本费用")</f>
        <v>303834.44</v>
      </c>
      <c r="J33" s="325">
        <f>SUMIFS('附表7-扣除项目明细采集底稿'!X:X,'附表7-扣除项目明细采集底稿'!E:E,数据对照表!E5,'附表7-扣除项目明细采集底稿'!V:V,"共同成本费用")</f>
        <v>0</v>
      </c>
      <c r="K33" s="325">
        <f>SUMIFS('附表7-扣除项目明细采集底稿'!Y:Y,'附表7-扣除项目明细采集底稿'!E:E,数据对照表!E5,'附表7-扣除项目明细采集底稿'!V:V,"共同成本费用")</f>
        <v>0</v>
      </c>
      <c r="L33" s="326">
        <f t="shared" si="4"/>
        <v>303834.44</v>
      </c>
      <c r="M33" s="326">
        <f t="shared" si="5"/>
        <v>303834.44</v>
      </c>
    </row>
    <row r="34" s="305" customFormat="1" ht="24" customHeight="1" spans="1:13">
      <c r="A34" s="323">
        <v>29</v>
      </c>
      <c r="B34" s="323"/>
      <c r="C34" s="323"/>
      <c r="D34" s="327" t="str">
        <f>数据对照表!E6</f>
        <v>高档外立面工程费用</v>
      </c>
      <c r="E34" s="325">
        <f>SUMIFS('附表7-扣除项目明细采集底稿'!W:W,'附表7-扣除项目明细采集底稿'!E:E,数据对照表!E6,'附表7-扣除项目明细采集底稿'!V:V,"直接归集成本费用")</f>
        <v>0</v>
      </c>
      <c r="F34" s="325">
        <f>SUMIFS('附表7-扣除项目明细采集底稿'!X:X,'附表7-扣除项目明细采集底稿'!E:E,数据对照表!E6,'附表7-扣除项目明细采集底稿'!V:V,"直接归集成本费用")</f>
        <v>0</v>
      </c>
      <c r="G34" s="325">
        <f>SUMIFS('附表7-扣除项目明细采集底稿'!Y:Y,'附表7-扣除项目明细采集底稿'!E:E,数据对照表!E6,'附表7-扣除项目明细采集底稿'!V:V,"直接归集成本费用")</f>
        <v>0</v>
      </c>
      <c r="H34" s="326">
        <f t="shared" si="3"/>
        <v>0</v>
      </c>
      <c r="I34" s="325">
        <f>SUMIFS('附表7-扣除项目明细采集底稿'!W:W,'附表7-扣除项目明细采集底稿'!E:E,数据对照表!E6,'附表7-扣除项目明细采集底稿'!V:V,"共同成本费用")</f>
        <v>0</v>
      </c>
      <c r="J34" s="325">
        <f>SUMIFS('附表7-扣除项目明细采集底稿'!X:X,'附表7-扣除项目明细采集底稿'!E:E,数据对照表!E6,'附表7-扣除项目明细采集底稿'!V:V,"共同成本费用")</f>
        <v>0</v>
      </c>
      <c r="K34" s="325">
        <f>SUMIFS('附表7-扣除项目明细采集底稿'!Y:Y,'附表7-扣除项目明细采集底稿'!E:E,数据对照表!E6,'附表7-扣除项目明细采集底稿'!V:V,"共同成本费用")</f>
        <v>0</v>
      </c>
      <c r="L34" s="326">
        <f t="shared" si="4"/>
        <v>0</v>
      </c>
      <c r="M34" s="326">
        <f t="shared" si="5"/>
        <v>0</v>
      </c>
    </row>
    <row r="35" s="305" customFormat="1" ht="24" customHeight="1" spans="1:13">
      <c r="A35" s="323">
        <v>30</v>
      </c>
      <c r="B35" s="323"/>
      <c r="C35" s="323"/>
      <c r="D35" s="327" t="str">
        <f>数据对照表!E7</f>
        <v>其他建筑安装工程费</v>
      </c>
      <c r="E35" s="325">
        <f>SUMIFS('附表7-扣除项目明细采集底稿'!W:W,'附表7-扣除项目明细采集底稿'!E:E,数据对照表!E7,'附表7-扣除项目明细采集底稿'!V:V,"直接归集成本费用")</f>
        <v>0</v>
      </c>
      <c r="F35" s="325">
        <f>SUMIFS('附表7-扣除项目明细采集底稿'!X:X,'附表7-扣除项目明细采集底稿'!E:E,数据对照表!E7,'附表7-扣除项目明细采集底稿'!V:V,"直接归集成本费用")</f>
        <v>0</v>
      </c>
      <c r="G35" s="325">
        <f>SUMIFS('附表7-扣除项目明细采集底稿'!Y:Y,'附表7-扣除项目明细采集底稿'!E:E,数据对照表!E7,'附表7-扣除项目明细采集底稿'!V:V,"直接归集成本费用")</f>
        <v>0</v>
      </c>
      <c r="H35" s="326">
        <f t="shared" si="3"/>
        <v>0</v>
      </c>
      <c r="I35" s="325">
        <f>SUMIFS('附表7-扣除项目明细采集底稿'!W:W,'附表7-扣除项目明细采集底稿'!E:E,数据对照表!E7,'附表7-扣除项目明细采集底稿'!V:V,"共同成本费用")</f>
        <v>533932.36</v>
      </c>
      <c r="J35" s="325">
        <f>SUMIFS('附表7-扣除项目明细采集底稿'!X:X,'附表7-扣除项目明细采集底稿'!E:E,数据对照表!E7,'附表7-扣除项目明细采集底稿'!V:V,"共同成本费用")</f>
        <v>0</v>
      </c>
      <c r="K35" s="325">
        <f>SUMIFS('附表7-扣除项目明细采集底稿'!Y:Y,'附表7-扣除项目明细采集底稿'!E:E,数据对照表!E7,'附表7-扣除项目明细采集底稿'!V:V,"共同成本费用")</f>
        <v>0</v>
      </c>
      <c r="L35" s="326">
        <f t="shared" si="4"/>
        <v>533932.36</v>
      </c>
      <c r="M35" s="326">
        <f t="shared" si="5"/>
        <v>533932.36</v>
      </c>
    </row>
    <row r="36" s="305" customFormat="1" ht="24" customHeight="1" spans="1:13">
      <c r="A36" s="323">
        <v>31</v>
      </c>
      <c r="B36" s="323"/>
      <c r="C36" s="327" t="str">
        <f>数据对照表!F1</f>
        <v>基础设施费</v>
      </c>
      <c r="D36" s="327"/>
      <c r="E36" s="325">
        <f>SUMIFS('附表7-扣除项目明细采集底稿'!W:W,'附表7-扣除项目明细采集底稿'!D:D,数据对照表!F1,'附表7-扣除项目明细采集底稿'!V:V,"直接归集成本费用")</f>
        <v>0</v>
      </c>
      <c r="F36" s="325">
        <f>SUMIFS('附表7-扣除项目明细采集底稿'!X:X,'附表7-扣除项目明细采集底稿'!D:D,数据对照表!F1,'附表7-扣除项目明细采集底稿'!V:V,"直接归集成本费用")</f>
        <v>0</v>
      </c>
      <c r="G36" s="325">
        <f>SUMIFS('附表7-扣除项目明细采集底稿'!Y:Y,'附表7-扣除项目明细采集底稿'!D:D,数据对照表!F1,'附表7-扣除项目明细采集底稿'!V:V,"直接归集成本费用")</f>
        <v>0</v>
      </c>
      <c r="H36" s="326">
        <f t="shared" si="3"/>
        <v>0</v>
      </c>
      <c r="I36" s="325">
        <f>SUMIFS('附表7-扣除项目明细采集底稿'!W:W,'附表7-扣除项目明细采集底稿'!D:D,数据对照表!F1,'附表7-扣除项目明细采集底稿'!V:V,"共同成本费用")</f>
        <v>5886554.62</v>
      </c>
      <c r="J36" s="325">
        <f>SUMIFS('附表7-扣除项目明细采集底稿'!X:X,'附表7-扣除项目明细采集底稿'!D:D,数据对照表!F1,'附表7-扣除项目明细采集底稿'!V:V,"共同成本费用")</f>
        <v>0</v>
      </c>
      <c r="K36" s="325">
        <f>SUMIFS('附表7-扣除项目明细采集底稿'!Y:Y,'附表7-扣除项目明细采集底稿'!D:D,数据对照表!F1,'附表7-扣除项目明细采集底稿'!V:V,"共同成本费用")</f>
        <v>0</v>
      </c>
      <c r="L36" s="326">
        <f t="shared" si="4"/>
        <v>5886554.62</v>
      </c>
      <c r="M36" s="326">
        <f t="shared" si="5"/>
        <v>5886554.62</v>
      </c>
    </row>
    <row r="37" s="305" customFormat="1" ht="27.95" customHeight="1" spans="1:13">
      <c r="A37" s="323">
        <v>32</v>
      </c>
      <c r="B37" s="323"/>
      <c r="C37" s="323" t="s">
        <v>279</v>
      </c>
      <c r="D37" s="327" t="str">
        <f>数据对照表!F2</f>
        <v>开发小区内道路工程支出</v>
      </c>
      <c r="E37" s="325">
        <f>SUMIFS('附表7-扣除项目明细采集底稿'!W:W,'附表7-扣除项目明细采集底稿'!E:E,数据对照表!F2,'附表7-扣除项目明细采集底稿'!V:V,"直接归集成本费用")</f>
        <v>0</v>
      </c>
      <c r="F37" s="325">
        <f>SUMIFS('附表7-扣除项目明细采集底稿'!X:X,'附表7-扣除项目明细采集底稿'!E:E,数据对照表!F2,'附表7-扣除项目明细采集底稿'!V:V,"直接归集成本费用")</f>
        <v>0</v>
      </c>
      <c r="G37" s="325">
        <f>SUMIFS('附表7-扣除项目明细采集底稿'!Y:Y,'附表7-扣除项目明细采集底稿'!E:E,数据对照表!F2,'附表7-扣除项目明细采集底稿'!V:V,"直接归集成本费用")</f>
        <v>0</v>
      </c>
      <c r="H37" s="326">
        <f t="shared" si="3"/>
        <v>0</v>
      </c>
      <c r="I37" s="325">
        <f>SUMIFS('附表7-扣除项目明细采集底稿'!W:W,'附表7-扣除项目明细采集底稿'!E:E,数据对照表!F2,'附表7-扣除项目明细采集底稿'!V:V,"共同成本费用")</f>
        <v>0</v>
      </c>
      <c r="J37" s="325">
        <f>SUMIFS('附表7-扣除项目明细采集底稿'!X:X,'附表7-扣除项目明细采集底稿'!E:E,数据对照表!F2,'附表7-扣除项目明细采集底稿'!V:V,"共同成本费用")</f>
        <v>0</v>
      </c>
      <c r="K37" s="325">
        <f>SUMIFS('附表7-扣除项目明细采集底稿'!Y:Y,'附表7-扣除项目明细采集底稿'!E:E,数据对照表!F2,'附表7-扣除项目明细采集底稿'!V:V,"共同成本费用")</f>
        <v>0</v>
      </c>
      <c r="L37" s="326">
        <f t="shared" si="4"/>
        <v>0</v>
      </c>
      <c r="M37" s="326">
        <f t="shared" si="5"/>
        <v>0</v>
      </c>
    </row>
    <row r="38" s="305" customFormat="1" ht="24" customHeight="1" spans="1:13">
      <c r="A38" s="323">
        <v>33</v>
      </c>
      <c r="B38" s="323"/>
      <c r="C38" s="323"/>
      <c r="D38" s="327" t="str">
        <f>数据对照表!F3</f>
        <v>供水工程支出</v>
      </c>
      <c r="E38" s="325">
        <f>SUMIFS('附表7-扣除项目明细采集底稿'!W:W,'附表7-扣除项目明细采集底稿'!E:E,数据对照表!F3,'附表7-扣除项目明细采集底稿'!V:V,"直接归集成本费用")</f>
        <v>0</v>
      </c>
      <c r="F38" s="325">
        <f>SUMIFS('附表7-扣除项目明细采集底稿'!X:X,'附表7-扣除项目明细采集底稿'!E:E,数据对照表!F3,'附表7-扣除项目明细采集底稿'!V:V,"直接归集成本费用")</f>
        <v>0</v>
      </c>
      <c r="G38" s="325">
        <f>SUMIFS('附表7-扣除项目明细采集底稿'!Y:Y,'附表7-扣除项目明细采集底稿'!E:E,数据对照表!F3,'附表7-扣除项目明细采集底稿'!V:V,"直接归集成本费用")</f>
        <v>0</v>
      </c>
      <c r="H38" s="326">
        <f t="shared" ref="H38:H49" si="6">SUM(E38:G38)</f>
        <v>0</v>
      </c>
      <c r="I38" s="325">
        <f>SUMIFS('附表7-扣除项目明细采集底稿'!W:W,'附表7-扣除项目明细采集底稿'!E:E,数据对照表!F3,'附表7-扣除项目明细采集底稿'!V:V,"共同成本费用")</f>
        <v>66052.31</v>
      </c>
      <c r="J38" s="325">
        <f>SUMIFS('附表7-扣除项目明细采集底稿'!X:X,'附表7-扣除项目明细采集底稿'!E:E,数据对照表!F3,'附表7-扣除项目明细采集底稿'!V:V,"共同成本费用")</f>
        <v>0</v>
      </c>
      <c r="K38" s="325">
        <f>SUMIFS('附表7-扣除项目明细采集底稿'!Y:Y,'附表7-扣除项目明细采集底稿'!E:E,数据对照表!F3,'附表7-扣除项目明细采集底稿'!V:V,"共同成本费用")</f>
        <v>0</v>
      </c>
      <c r="L38" s="326">
        <f t="shared" ref="L38:L49" si="7">SUM(I38:K38)</f>
        <v>66052.31</v>
      </c>
      <c r="M38" s="326">
        <f t="shared" ref="M38:M49" si="8">H38+L38</f>
        <v>66052.31</v>
      </c>
    </row>
    <row r="39" s="305" customFormat="1" ht="24" customHeight="1" spans="1:13">
      <c r="A39" s="323">
        <v>34</v>
      </c>
      <c r="B39" s="323"/>
      <c r="C39" s="323"/>
      <c r="D39" s="327" t="str">
        <f>数据对照表!F4</f>
        <v>供电工程支出</v>
      </c>
      <c r="E39" s="325">
        <f>SUMIFS('附表7-扣除项目明细采集底稿'!W:W,'附表7-扣除项目明细采集底稿'!E:E,数据对照表!F4,'附表7-扣除项目明细采集底稿'!V:V,"直接归集成本费用")</f>
        <v>0</v>
      </c>
      <c r="F39" s="325">
        <f>SUMIFS('附表7-扣除项目明细采集底稿'!X:X,'附表7-扣除项目明细采集底稿'!E:E,数据对照表!F4,'附表7-扣除项目明细采集底稿'!V:V,"直接归集成本费用")</f>
        <v>0</v>
      </c>
      <c r="G39" s="325">
        <f>SUMIFS('附表7-扣除项目明细采集底稿'!Y:Y,'附表7-扣除项目明细采集底稿'!E:E,数据对照表!F4,'附表7-扣除项目明细采集底稿'!V:V,"直接归集成本费用")</f>
        <v>0</v>
      </c>
      <c r="H39" s="326">
        <f t="shared" si="6"/>
        <v>0</v>
      </c>
      <c r="I39" s="325">
        <f>SUMIFS('附表7-扣除项目明细采集底稿'!W:W,'附表7-扣除项目明细采集底稿'!E:E,数据对照表!F4,'附表7-扣除项目明细采集底稿'!V:V,"共同成本费用")</f>
        <v>1508240.01</v>
      </c>
      <c r="J39" s="325">
        <f>SUMIFS('附表7-扣除项目明细采集底稿'!X:X,'附表7-扣除项目明细采集底稿'!E:E,数据对照表!F4,'附表7-扣除项目明细采集底稿'!V:V,"共同成本费用")</f>
        <v>0</v>
      </c>
      <c r="K39" s="325">
        <f>SUMIFS('附表7-扣除项目明细采集底稿'!Y:Y,'附表7-扣除项目明细采集底稿'!E:E,数据对照表!F4,'附表7-扣除项目明细采集底稿'!V:V,"共同成本费用")</f>
        <v>0</v>
      </c>
      <c r="L39" s="326">
        <f t="shared" si="7"/>
        <v>1508240.01</v>
      </c>
      <c r="M39" s="326">
        <f t="shared" si="8"/>
        <v>1508240.01</v>
      </c>
    </row>
    <row r="40" s="305" customFormat="1" ht="24" customHeight="1" spans="1:13">
      <c r="A40" s="323">
        <v>35</v>
      </c>
      <c r="B40" s="323"/>
      <c r="C40" s="323"/>
      <c r="D40" s="327" t="str">
        <f>数据对照表!F5</f>
        <v>供气工程支出</v>
      </c>
      <c r="E40" s="325">
        <f>SUMIFS('附表7-扣除项目明细采集底稿'!W:W,'附表7-扣除项目明细采集底稿'!E:E,数据对照表!F5,'附表7-扣除项目明细采集底稿'!V:V,"直接归集成本费用")</f>
        <v>0</v>
      </c>
      <c r="F40" s="325">
        <f>SUMIFS('附表7-扣除项目明细采集底稿'!X:X,'附表7-扣除项目明细采集底稿'!E:E,数据对照表!F5,'附表7-扣除项目明细采集底稿'!V:V,"直接归集成本费用")</f>
        <v>0</v>
      </c>
      <c r="G40" s="325">
        <f>SUMIFS('附表7-扣除项目明细采集底稿'!Y:Y,'附表7-扣除项目明细采集底稿'!E:E,数据对照表!F5,'附表7-扣除项目明细采集底稿'!V:V,"直接归集成本费用")</f>
        <v>0</v>
      </c>
      <c r="H40" s="326">
        <f t="shared" si="6"/>
        <v>0</v>
      </c>
      <c r="I40" s="325">
        <f>SUMIFS('附表7-扣除项目明细采集底稿'!W:W,'附表7-扣除项目明细采集底稿'!E:E,数据对照表!F5,'附表7-扣除项目明细采集底稿'!V:V,"共同成本费用")</f>
        <v>326857.47</v>
      </c>
      <c r="J40" s="325">
        <f>SUMIFS('附表7-扣除项目明细采集底稿'!X:X,'附表7-扣除项目明细采集底稿'!E:E,数据对照表!F5,'附表7-扣除项目明细采集底稿'!V:V,"共同成本费用")</f>
        <v>0</v>
      </c>
      <c r="K40" s="325">
        <f>SUMIFS('附表7-扣除项目明细采集底稿'!Y:Y,'附表7-扣除项目明细采集底稿'!E:E,数据对照表!F5,'附表7-扣除项目明细采集底稿'!V:V,"共同成本费用")</f>
        <v>0</v>
      </c>
      <c r="L40" s="326">
        <f t="shared" si="7"/>
        <v>326857.47</v>
      </c>
      <c r="M40" s="326">
        <f t="shared" si="8"/>
        <v>326857.47</v>
      </c>
    </row>
    <row r="41" s="305" customFormat="1" ht="24" customHeight="1" spans="1:13">
      <c r="A41" s="323">
        <v>36</v>
      </c>
      <c r="B41" s="323"/>
      <c r="C41" s="323"/>
      <c r="D41" s="327" t="str">
        <f>数据对照表!F6</f>
        <v>排污工程支出</v>
      </c>
      <c r="E41" s="325">
        <f>SUMIFS('附表7-扣除项目明细采集底稿'!W:W,'附表7-扣除项目明细采集底稿'!E:E,数据对照表!F6,'附表7-扣除项目明细采集底稿'!V:V,"直接归集成本费用")</f>
        <v>0</v>
      </c>
      <c r="F41" s="325">
        <f>SUMIFS('附表7-扣除项目明细采集底稿'!X:X,'附表7-扣除项目明细采集底稿'!E:E,数据对照表!F6,'附表7-扣除项目明细采集底稿'!V:V,"直接归集成本费用")</f>
        <v>0</v>
      </c>
      <c r="G41" s="325">
        <f>SUMIFS('附表7-扣除项目明细采集底稿'!Y:Y,'附表7-扣除项目明细采集底稿'!E:E,数据对照表!F6,'附表7-扣除项目明细采集底稿'!V:V,"直接归集成本费用")</f>
        <v>0</v>
      </c>
      <c r="H41" s="326">
        <f t="shared" si="6"/>
        <v>0</v>
      </c>
      <c r="I41" s="325">
        <f>SUMIFS('附表7-扣除项目明细采集底稿'!W:W,'附表7-扣除项目明细采集底稿'!E:E,数据对照表!F6,'附表7-扣除项目明细采集底稿'!V:V,"共同成本费用")</f>
        <v>205136.25</v>
      </c>
      <c r="J41" s="325">
        <f>SUMIFS('附表7-扣除项目明细采集底稿'!X:X,'附表7-扣除项目明细采集底稿'!E:E,数据对照表!F6,'附表7-扣除项目明细采集底稿'!V:V,"共同成本费用")</f>
        <v>0</v>
      </c>
      <c r="K41" s="325">
        <f>SUMIFS('附表7-扣除项目明细采集底稿'!Y:Y,'附表7-扣除项目明细采集底稿'!E:E,数据对照表!F6,'附表7-扣除项目明细采集底稿'!V:V,"共同成本费用")</f>
        <v>0</v>
      </c>
      <c r="L41" s="326">
        <f t="shared" si="7"/>
        <v>205136.25</v>
      </c>
      <c r="M41" s="326">
        <f t="shared" si="8"/>
        <v>205136.25</v>
      </c>
    </row>
    <row r="42" s="305" customFormat="1" ht="24" customHeight="1" spans="1:13">
      <c r="A42" s="323">
        <v>37</v>
      </c>
      <c r="B42" s="323"/>
      <c r="C42" s="323"/>
      <c r="D42" s="327" t="str">
        <f>数据对照表!F7</f>
        <v>排洪工程支出</v>
      </c>
      <c r="E42" s="325">
        <f>SUMIFS('附表7-扣除项目明细采集底稿'!W:W,'附表7-扣除项目明细采集底稿'!E:E,数据对照表!F7,'附表7-扣除项目明细采集底稿'!V:V,"直接归集成本费用")</f>
        <v>0</v>
      </c>
      <c r="F42" s="325">
        <f>SUMIFS('附表7-扣除项目明细采集底稿'!X:X,'附表7-扣除项目明细采集底稿'!E:E,数据对照表!F7,'附表7-扣除项目明细采集底稿'!V:V,"直接归集成本费用")</f>
        <v>0</v>
      </c>
      <c r="G42" s="325">
        <f>SUMIFS('附表7-扣除项目明细采集底稿'!Y:Y,'附表7-扣除项目明细采集底稿'!E:E,数据对照表!F7,'附表7-扣除项目明细采集底稿'!V:V,"直接归集成本费用")</f>
        <v>0</v>
      </c>
      <c r="H42" s="326">
        <f t="shared" si="6"/>
        <v>0</v>
      </c>
      <c r="I42" s="325">
        <f>SUMIFS('附表7-扣除项目明细采集底稿'!W:W,'附表7-扣除项目明细采集底稿'!E:E,数据对照表!F7,'附表7-扣除项目明细采集底稿'!V:V,"共同成本费用")</f>
        <v>0</v>
      </c>
      <c r="J42" s="325">
        <f>SUMIFS('附表7-扣除项目明细采集底稿'!X:X,'附表7-扣除项目明细采集底稿'!E:E,数据对照表!F7,'附表7-扣除项目明细采集底稿'!V:V,"共同成本费用")</f>
        <v>0</v>
      </c>
      <c r="K42" s="325">
        <f>SUMIFS('附表7-扣除项目明细采集底稿'!Y:Y,'附表7-扣除项目明细采集底稿'!E:E,数据对照表!F7,'附表7-扣除项目明细采集底稿'!V:V,"共同成本费用")</f>
        <v>0</v>
      </c>
      <c r="L42" s="326">
        <f t="shared" si="7"/>
        <v>0</v>
      </c>
      <c r="M42" s="326">
        <f t="shared" si="8"/>
        <v>0</v>
      </c>
    </row>
    <row r="43" s="305" customFormat="1" ht="24" customHeight="1" spans="1:13">
      <c r="A43" s="323">
        <v>38</v>
      </c>
      <c r="B43" s="323"/>
      <c r="C43" s="323"/>
      <c r="D43" s="327" t="str">
        <f>数据对照表!F8</f>
        <v>通讯工程支出</v>
      </c>
      <c r="E43" s="325">
        <f>SUMIFS('附表7-扣除项目明细采集底稿'!W:W,'附表7-扣除项目明细采集底稿'!E:E,数据对照表!F8,'附表7-扣除项目明细采集底稿'!V:V,"直接归集成本费用")</f>
        <v>0</v>
      </c>
      <c r="F43" s="325">
        <f>SUMIFS('附表7-扣除项目明细采集底稿'!X:X,'附表7-扣除项目明细采集底稿'!E:E,数据对照表!F8,'附表7-扣除项目明细采集底稿'!V:V,"直接归集成本费用")</f>
        <v>0</v>
      </c>
      <c r="G43" s="325">
        <f>SUMIFS('附表7-扣除项目明细采集底稿'!Y:Y,'附表7-扣除项目明细采集底稿'!E:E,数据对照表!F8,'附表7-扣除项目明细采集底稿'!V:V,"直接归集成本费用")</f>
        <v>0</v>
      </c>
      <c r="H43" s="326">
        <f t="shared" si="6"/>
        <v>0</v>
      </c>
      <c r="I43" s="325">
        <f>SUMIFS('附表7-扣除项目明细采集底稿'!W:W,'附表7-扣除项目明细采集底稿'!E:E,数据对照表!F8,'附表7-扣除项目明细采集底稿'!V:V,"共同成本费用")</f>
        <v>249668.91</v>
      </c>
      <c r="J43" s="325">
        <f>SUMIFS('附表7-扣除项目明细采集底稿'!X:X,'附表7-扣除项目明细采集底稿'!E:E,数据对照表!F8,'附表7-扣除项目明细采集底稿'!V:V,"共同成本费用")</f>
        <v>0</v>
      </c>
      <c r="K43" s="325">
        <f>SUMIFS('附表7-扣除项目明细采集底稿'!Y:Y,'附表7-扣除项目明细采集底稿'!E:E,数据对照表!F8,'附表7-扣除项目明细采集底稿'!V:V,"共同成本费用")</f>
        <v>0</v>
      </c>
      <c r="L43" s="326">
        <f t="shared" si="7"/>
        <v>249668.91</v>
      </c>
      <c r="M43" s="326">
        <f t="shared" si="8"/>
        <v>249668.91</v>
      </c>
    </row>
    <row r="44" s="305" customFormat="1" ht="24" customHeight="1" spans="1:13">
      <c r="A44" s="323">
        <v>39</v>
      </c>
      <c r="B44" s="323"/>
      <c r="C44" s="323"/>
      <c r="D44" s="327" t="str">
        <f>数据对照表!F9</f>
        <v>照明工程支出</v>
      </c>
      <c r="E44" s="325">
        <f>SUMIFS('附表7-扣除项目明细采集底稿'!W:W,'附表7-扣除项目明细采集底稿'!E:E,数据对照表!F9,'附表7-扣除项目明细采集底稿'!V:V,"直接归集成本费用")</f>
        <v>0</v>
      </c>
      <c r="F44" s="325">
        <f>SUMIFS('附表7-扣除项目明细采集底稿'!X:X,'附表7-扣除项目明细采集底稿'!E:E,数据对照表!F9,'附表7-扣除项目明细采集底稿'!V:V,"直接归集成本费用")</f>
        <v>0</v>
      </c>
      <c r="G44" s="325">
        <f>SUMIFS('附表7-扣除项目明细采集底稿'!Y:Y,'附表7-扣除项目明细采集底稿'!E:E,数据对照表!F9,'附表7-扣除项目明细采集底稿'!V:V,"直接归集成本费用")</f>
        <v>0</v>
      </c>
      <c r="H44" s="326">
        <f t="shared" si="6"/>
        <v>0</v>
      </c>
      <c r="I44" s="325">
        <f>SUMIFS('附表7-扣除项目明细采集底稿'!W:W,'附表7-扣除项目明细采集底稿'!E:E,数据对照表!F9,'附表7-扣除项目明细采集底稿'!V:V,"共同成本费用")</f>
        <v>198019.8</v>
      </c>
      <c r="J44" s="325">
        <f>SUMIFS('附表7-扣除项目明细采集底稿'!X:X,'附表7-扣除项目明细采集底稿'!E:E,数据对照表!F9,'附表7-扣除项目明细采集底稿'!V:V,"共同成本费用")</f>
        <v>0</v>
      </c>
      <c r="K44" s="325">
        <f>SUMIFS('附表7-扣除项目明细采集底稿'!Y:Y,'附表7-扣除项目明细采集底稿'!E:E,数据对照表!F9,'附表7-扣除项目明细采集底稿'!V:V,"共同成本费用")</f>
        <v>0</v>
      </c>
      <c r="L44" s="326">
        <f t="shared" si="7"/>
        <v>198019.8</v>
      </c>
      <c r="M44" s="326">
        <f t="shared" si="8"/>
        <v>198019.8</v>
      </c>
    </row>
    <row r="45" s="305" customFormat="1" ht="24" customHeight="1" spans="1:13">
      <c r="A45" s="323">
        <v>40</v>
      </c>
      <c r="B45" s="323"/>
      <c r="C45" s="323"/>
      <c r="D45" s="327" t="str">
        <f>数据对照表!F10</f>
        <v>环卫工程支出</v>
      </c>
      <c r="E45" s="325">
        <f>SUMIFS('附表7-扣除项目明细采集底稿'!W:W,'附表7-扣除项目明细采集底稿'!E:E,数据对照表!F10,'附表7-扣除项目明细采集底稿'!V:V,"直接归集成本费用")</f>
        <v>0</v>
      </c>
      <c r="F45" s="325">
        <f>SUMIFS('附表7-扣除项目明细采集底稿'!X:X,'附表7-扣除项目明细采集底稿'!E:E,数据对照表!F10,'附表7-扣除项目明细采集底稿'!V:V,"直接归集成本费用")</f>
        <v>0</v>
      </c>
      <c r="G45" s="325">
        <f>SUMIFS('附表7-扣除项目明细采集底稿'!Y:Y,'附表7-扣除项目明细采集底稿'!E:E,数据对照表!F10,'附表7-扣除项目明细采集底稿'!V:V,"直接归集成本费用")</f>
        <v>0</v>
      </c>
      <c r="H45" s="326">
        <f t="shared" si="6"/>
        <v>0</v>
      </c>
      <c r="I45" s="325">
        <f>SUMIFS('附表7-扣除项目明细采集底稿'!W:W,'附表7-扣除项目明细采集底稿'!E:E,数据对照表!F10,'附表7-扣除项目明细采集底稿'!V:V,"共同成本费用")</f>
        <v>0</v>
      </c>
      <c r="J45" s="325">
        <f>SUMIFS('附表7-扣除项目明细采集底稿'!X:X,'附表7-扣除项目明细采集底稿'!E:E,数据对照表!F10,'附表7-扣除项目明细采集底稿'!V:V,"共同成本费用")</f>
        <v>0</v>
      </c>
      <c r="K45" s="325">
        <f>SUMIFS('附表7-扣除项目明细采集底稿'!Y:Y,'附表7-扣除项目明细采集底稿'!E:E,数据对照表!F10,'附表7-扣除项目明细采集底稿'!V:V,"共同成本费用")</f>
        <v>0</v>
      </c>
      <c r="L45" s="326">
        <f t="shared" si="7"/>
        <v>0</v>
      </c>
      <c r="M45" s="326">
        <f t="shared" si="8"/>
        <v>0</v>
      </c>
    </row>
    <row r="46" s="305" customFormat="1" ht="24" customHeight="1" spans="1:13">
      <c r="A46" s="323">
        <v>41</v>
      </c>
      <c r="B46" s="323"/>
      <c r="C46" s="323"/>
      <c r="D46" s="327" t="str">
        <f>数据对照表!F11</f>
        <v>绿化费用</v>
      </c>
      <c r="E46" s="325">
        <f>SUMIFS('附表7-扣除项目明细采集底稿'!W:W,'附表7-扣除项目明细采集底稿'!E:E,数据对照表!F11,'附表7-扣除项目明细采集底稿'!V:V,"直接归集成本费用")</f>
        <v>0</v>
      </c>
      <c r="F46" s="325">
        <f>SUMIFS('附表7-扣除项目明细采集底稿'!X:X,'附表7-扣除项目明细采集底稿'!E:E,数据对照表!F11,'附表7-扣除项目明细采集底稿'!V:V,"直接归集成本费用")</f>
        <v>0</v>
      </c>
      <c r="G46" s="325">
        <f>SUMIFS('附表7-扣除项目明细采集底稿'!Y:Y,'附表7-扣除项目明细采集底稿'!E:E,数据对照表!F11,'附表7-扣除项目明细采集底稿'!V:V,"直接归集成本费用")</f>
        <v>0</v>
      </c>
      <c r="H46" s="326">
        <f t="shared" si="6"/>
        <v>0</v>
      </c>
      <c r="I46" s="325">
        <f>SUMIFS('附表7-扣除项目明细采集底稿'!W:W,'附表7-扣除项目明细采集底稿'!E:E,数据对照表!F11,'附表7-扣除项目明细采集底稿'!V:V,"共同成本费用")</f>
        <v>2111750.91</v>
      </c>
      <c r="J46" s="325">
        <f>SUMIFS('附表7-扣除项目明细采集底稿'!X:X,'附表7-扣除项目明细采集底稿'!E:E,数据对照表!F11,'附表7-扣除项目明细采集底稿'!V:V,"共同成本费用")</f>
        <v>0</v>
      </c>
      <c r="K46" s="325">
        <f>SUMIFS('附表7-扣除项目明细采集底稿'!Y:Y,'附表7-扣除项目明细采集底稿'!E:E,数据对照表!F11,'附表7-扣除项目明细采集底稿'!V:V,"共同成本费用")</f>
        <v>0</v>
      </c>
      <c r="L46" s="326">
        <f t="shared" si="7"/>
        <v>2111750.91</v>
      </c>
      <c r="M46" s="326">
        <f t="shared" si="8"/>
        <v>2111750.91</v>
      </c>
    </row>
    <row r="47" s="305" customFormat="1" ht="27.95" customHeight="1" spans="1:13">
      <c r="A47" s="323">
        <v>42</v>
      </c>
      <c r="B47" s="323"/>
      <c r="C47" s="323"/>
      <c r="D47" s="327" t="str">
        <f>数据对照表!F12</f>
        <v>其他设施工程发生的支出</v>
      </c>
      <c r="E47" s="325">
        <f>SUMIFS('附表7-扣除项目明细采集底稿'!W:W,'附表7-扣除项目明细采集底稿'!E:E,数据对照表!F12,'附表7-扣除项目明细采集底稿'!V:V,"直接归集成本费用")</f>
        <v>0</v>
      </c>
      <c r="F47" s="325">
        <f>SUMIFS('附表7-扣除项目明细采集底稿'!X:X,'附表7-扣除项目明细采集底稿'!E:E,数据对照表!F12,'附表7-扣除项目明细采集底稿'!V:V,"直接归集成本费用")</f>
        <v>0</v>
      </c>
      <c r="G47" s="325">
        <f>SUMIFS('附表7-扣除项目明细采集底稿'!Y:Y,'附表7-扣除项目明细采集底稿'!E:E,数据对照表!F12,'附表7-扣除项目明细采集底稿'!V:V,"直接归集成本费用")</f>
        <v>0</v>
      </c>
      <c r="H47" s="326">
        <f t="shared" si="6"/>
        <v>0</v>
      </c>
      <c r="I47" s="325">
        <f>SUMIFS('附表7-扣除项目明细采集底稿'!W:W,'附表7-扣除项目明细采集底稿'!E:E,数据对照表!F12,'附表7-扣除项目明细采集底稿'!V:V,"共同成本费用")</f>
        <v>5321978.51</v>
      </c>
      <c r="J47" s="325">
        <f>SUMIFS('附表7-扣除项目明细采集底稿'!X:X,'附表7-扣除项目明细采集底稿'!E:E,数据对照表!F12,'附表7-扣除项目明细采集底稿'!V:V,"共同成本费用")</f>
        <v>0</v>
      </c>
      <c r="K47" s="325">
        <f>SUMIFS('附表7-扣除项目明细采集底稿'!Y:Y,'附表7-扣除项目明细采集底稿'!E:E,数据对照表!F12,'附表7-扣除项目明细采集底稿'!V:V,"共同成本费用")</f>
        <v>0</v>
      </c>
      <c r="L47" s="326">
        <f t="shared" si="7"/>
        <v>5321978.51</v>
      </c>
      <c r="M47" s="326">
        <f t="shared" si="8"/>
        <v>5321978.51</v>
      </c>
    </row>
    <row r="48" s="305" customFormat="1" ht="24" customHeight="1" spans="1:13">
      <c r="A48" s="323">
        <v>43</v>
      </c>
      <c r="B48" s="323"/>
      <c r="C48" s="327" t="str">
        <f>数据对照表!G1</f>
        <v>公共配套设施费</v>
      </c>
      <c r="D48" s="327"/>
      <c r="E48" s="325">
        <f>SUMIFS('附表7-扣除项目明细采集底稿'!W:W,'附表7-扣除项目明细采集底稿'!D:D,数据对照表!G1,'附表7-扣除项目明细采集底稿'!V:V,"直接归集成本费用")</f>
        <v>0</v>
      </c>
      <c r="F48" s="325">
        <f>SUMIFS('附表7-扣除项目明细采集底稿'!X:X,'附表7-扣除项目明细采集底稿'!D:D,数据对照表!G1,'附表7-扣除项目明细采集底稿'!V:V,"直接归集成本费用")</f>
        <v>0</v>
      </c>
      <c r="G48" s="325">
        <f>SUMIFS('附表7-扣除项目明细采集底稿'!Y:Y,'附表7-扣除项目明细采集底稿'!D:D,数据对照表!G1,'附表7-扣除项目明细采集底稿'!V:V,"直接归集成本费用")</f>
        <v>0</v>
      </c>
      <c r="H48" s="326">
        <f t="shared" si="6"/>
        <v>0</v>
      </c>
      <c r="I48" s="325">
        <f>SUMIFS('附表7-扣除项目明细采集底稿'!W:W,'附表7-扣除项目明细采集底稿'!D:D,数据对照表!G1,'附表7-扣除项目明细采集底稿'!V:V,"共同成本费用")</f>
        <v>0</v>
      </c>
      <c r="J48" s="325">
        <f>SUMIFS('附表7-扣除项目明细采集底稿'!X:X,'附表7-扣除项目明细采集底稿'!D:D,数据对照表!G1,'附表7-扣除项目明细采集底稿'!V:V,"共同成本费用")</f>
        <v>0</v>
      </c>
      <c r="K48" s="325">
        <f>SUMIFS('附表7-扣除项目明细采集底稿'!Y:Y,'附表7-扣除项目明细采集底稿'!D:D,数据对照表!G1,'附表7-扣除项目明细采集底稿'!V:V,"共同成本费用")</f>
        <v>0</v>
      </c>
      <c r="L48" s="326">
        <f t="shared" si="7"/>
        <v>0</v>
      </c>
      <c r="M48" s="326">
        <f t="shared" si="8"/>
        <v>0</v>
      </c>
    </row>
    <row r="49" s="305" customFormat="1" ht="24" customHeight="1" spans="1:13">
      <c r="A49" s="323">
        <v>44</v>
      </c>
      <c r="B49" s="323"/>
      <c r="C49" s="323" t="s">
        <v>279</v>
      </c>
      <c r="D49" s="327" t="str">
        <f>数据对照表!G2</f>
        <v>居委会用房费用</v>
      </c>
      <c r="E49" s="325">
        <f>SUMIFS('附表7-扣除项目明细采集底稿'!W:W,'附表7-扣除项目明细采集底稿'!E:E,数据对照表!G2,'附表7-扣除项目明细采集底稿'!V:V,"直接归集成本费用")</f>
        <v>0</v>
      </c>
      <c r="F49" s="325">
        <f>SUMIFS('附表7-扣除项目明细采集底稿'!X:X,'附表7-扣除项目明细采集底稿'!E:E,数据对照表!G2,'附表7-扣除项目明细采集底稿'!V:V,"直接归集成本费用")</f>
        <v>0</v>
      </c>
      <c r="G49" s="325">
        <f>SUMIFS('附表7-扣除项目明细采集底稿'!Y:Y,'附表7-扣除项目明细采集底稿'!E:E,数据对照表!G2,'附表7-扣除项目明细采集底稿'!V:V,"直接归集成本费用")</f>
        <v>0</v>
      </c>
      <c r="H49" s="326">
        <f t="shared" si="6"/>
        <v>0</v>
      </c>
      <c r="I49" s="325">
        <f>SUMIFS('附表7-扣除项目明细采集底稿'!W:W,'附表7-扣除项目明细采集底稿'!E:E,数据对照表!G2,'附表7-扣除项目明细采集底稿'!V:V,"共同成本费用")</f>
        <v>0</v>
      </c>
      <c r="J49" s="325">
        <f>SUMIFS('附表7-扣除项目明细采集底稿'!X:X,'附表7-扣除项目明细采集底稿'!E:E,数据对照表!G2,'附表7-扣除项目明细采集底稿'!V:V,"共同成本费用")</f>
        <v>0</v>
      </c>
      <c r="K49" s="325">
        <f>SUMIFS('附表7-扣除项目明细采集底稿'!Y:Y,'附表7-扣除项目明细采集底稿'!E:E,数据对照表!G2,'附表7-扣除项目明细采集底稿'!V:V,"共同成本费用")</f>
        <v>0</v>
      </c>
      <c r="L49" s="326">
        <f t="shared" si="7"/>
        <v>0</v>
      </c>
      <c r="M49" s="326">
        <f t="shared" si="8"/>
        <v>0</v>
      </c>
    </row>
    <row r="50" s="305" customFormat="1" ht="24" customHeight="1" spans="1:13">
      <c r="A50" s="323">
        <v>45</v>
      </c>
      <c r="B50" s="323"/>
      <c r="C50" s="323"/>
      <c r="D50" s="327" t="str">
        <f>数据对照表!G3</f>
        <v>派出所用房费用</v>
      </c>
      <c r="E50" s="325">
        <f>SUMIFS('附表7-扣除项目明细采集底稿'!W:W,'附表7-扣除项目明细采集底稿'!E:E,数据对照表!G3,'附表7-扣除项目明细采集底稿'!V:V,"直接归集成本费用")</f>
        <v>0</v>
      </c>
      <c r="F50" s="325">
        <f>SUMIFS('附表7-扣除项目明细采集底稿'!X:X,'附表7-扣除项目明细采集底稿'!E:E,数据对照表!G3,'附表7-扣除项目明细采集底稿'!V:V,"直接归集成本费用")</f>
        <v>0</v>
      </c>
      <c r="G50" s="325">
        <f>SUMIFS('附表7-扣除项目明细采集底稿'!Y:Y,'附表7-扣除项目明细采集底稿'!E:E,数据对照表!G3,'附表7-扣除项目明细采集底稿'!V:V,"直接归集成本费用")</f>
        <v>0</v>
      </c>
      <c r="H50" s="326">
        <f t="shared" ref="H50:H66" si="9">SUM(E50:G50)</f>
        <v>0</v>
      </c>
      <c r="I50" s="325">
        <f>SUMIFS('附表7-扣除项目明细采集底稿'!W:W,'附表7-扣除项目明细采集底稿'!E:E,数据对照表!G3,'附表7-扣除项目明细采集底稿'!V:V,"共同成本费用")</f>
        <v>0</v>
      </c>
      <c r="J50" s="325">
        <f>SUMIFS('附表7-扣除项目明细采集底稿'!X:X,'附表7-扣除项目明细采集底稿'!E:E,数据对照表!G3,'附表7-扣除项目明细采集底稿'!V:V,"共同成本费用")</f>
        <v>0</v>
      </c>
      <c r="K50" s="325">
        <f>SUMIFS('附表7-扣除项目明细采集底稿'!Y:Y,'附表7-扣除项目明细采集底稿'!E:E,数据对照表!G3,'附表7-扣除项目明细采集底稿'!V:V,"共同成本费用")</f>
        <v>0</v>
      </c>
      <c r="L50" s="326">
        <f t="shared" ref="L50:L66" si="10">SUM(I50:K50)</f>
        <v>0</v>
      </c>
      <c r="M50" s="326">
        <f t="shared" ref="M50:M66" si="11">H50+L50</f>
        <v>0</v>
      </c>
    </row>
    <row r="51" s="305" customFormat="1" ht="24" customHeight="1" spans="1:13">
      <c r="A51" s="323">
        <v>46</v>
      </c>
      <c r="B51" s="323"/>
      <c r="C51" s="323"/>
      <c r="D51" s="327" t="str">
        <f>数据对照表!G4</f>
        <v>会所费用</v>
      </c>
      <c r="E51" s="325">
        <f>SUMIFS('附表7-扣除项目明细采集底稿'!W:W,'附表7-扣除项目明细采集底稿'!E:E,数据对照表!G4,'附表7-扣除项目明细采集底稿'!V:V,"直接归集成本费用")</f>
        <v>0</v>
      </c>
      <c r="F51" s="325">
        <f>SUMIFS('附表7-扣除项目明细采集底稿'!X:X,'附表7-扣除项目明细采集底稿'!E:E,数据对照表!G4,'附表7-扣除项目明细采集底稿'!V:V,"直接归集成本费用")</f>
        <v>0</v>
      </c>
      <c r="G51" s="325">
        <f>SUMIFS('附表7-扣除项目明细采集底稿'!Y:Y,'附表7-扣除项目明细采集底稿'!E:E,数据对照表!G4,'附表7-扣除项目明细采集底稿'!V:V,"直接归集成本费用")</f>
        <v>0</v>
      </c>
      <c r="H51" s="326">
        <f t="shared" si="9"/>
        <v>0</v>
      </c>
      <c r="I51" s="325">
        <f>SUMIFS('附表7-扣除项目明细采集底稿'!W:W,'附表7-扣除项目明细采集底稿'!E:E,数据对照表!G4,'附表7-扣除项目明细采集底稿'!V:V,"共同成本费用")</f>
        <v>0</v>
      </c>
      <c r="J51" s="325">
        <f>SUMIFS('附表7-扣除项目明细采集底稿'!X:X,'附表7-扣除项目明细采集底稿'!E:E,数据对照表!G4,'附表7-扣除项目明细采集底稿'!V:V,"共同成本费用")</f>
        <v>0</v>
      </c>
      <c r="K51" s="325">
        <f>SUMIFS('附表7-扣除项目明细采集底稿'!Y:Y,'附表7-扣除项目明细采集底稿'!E:E,数据对照表!G4,'附表7-扣除项目明细采集底稿'!V:V,"共同成本费用")</f>
        <v>0</v>
      </c>
      <c r="L51" s="326">
        <f t="shared" si="10"/>
        <v>0</v>
      </c>
      <c r="M51" s="326">
        <f t="shared" si="11"/>
        <v>0</v>
      </c>
    </row>
    <row r="52" s="305" customFormat="1" ht="24" customHeight="1" spans="1:13">
      <c r="A52" s="323">
        <v>47</v>
      </c>
      <c r="B52" s="323"/>
      <c r="C52" s="323"/>
      <c r="D52" s="327" t="str">
        <f>数据对照表!G5</f>
        <v>非机动车库（场）费用</v>
      </c>
      <c r="E52" s="325">
        <f>SUMIFS('附表7-扣除项目明细采集底稿'!W:W,'附表7-扣除项目明细采集底稿'!E:E,数据对照表!G5,'附表7-扣除项目明细采集底稿'!V:V,"直接归集成本费用")</f>
        <v>0</v>
      </c>
      <c r="F52" s="325">
        <f>SUMIFS('附表7-扣除项目明细采集底稿'!X:X,'附表7-扣除项目明细采集底稿'!E:E,数据对照表!G5,'附表7-扣除项目明细采集底稿'!V:V,"直接归集成本费用")</f>
        <v>0</v>
      </c>
      <c r="G52" s="325">
        <f>SUMIFS('附表7-扣除项目明细采集底稿'!Y:Y,'附表7-扣除项目明细采集底稿'!E:E,数据对照表!G5,'附表7-扣除项目明细采集底稿'!V:V,"直接归集成本费用")</f>
        <v>0</v>
      </c>
      <c r="H52" s="326">
        <f t="shared" si="9"/>
        <v>0</v>
      </c>
      <c r="I52" s="325">
        <f>SUMIFS('附表7-扣除项目明细采集底稿'!W:W,'附表7-扣除项目明细采集底稿'!E:E,数据对照表!G5,'附表7-扣除项目明细采集底稿'!V:V,"共同成本费用")</f>
        <v>0</v>
      </c>
      <c r="J52" s="325">
        <f>SUMIFS('附表7-扣除项目明细采集底稿'!X:X,'附表7-扣除项目明细采集底稿'!E:E,数据对照表!G5,'附表7-扣除项目明细采集底稿'!V:V,"共同成本费用")</f>
        <v>0</v>
      </c>
      <c r="K52" s="325">
        <f>SUMIFS('附表7-扣除项目明细采集底稿'!Y:Y,'附表7-扣除项目明细采集底稿'!E:E,数据对照表!G5,'附表7-扣除项目明细采集底稿'!V:V,"共同成本费用")</f>
        <v>0</v>
      </c>
      <c r="L52" s="326">
        <f t="shared" si="10"/>
        <v>0</v>
      </c>
      <c r="M52" s="326">
        <f t="shared" si="11"/>
        <v>0</v>
      </c>
    </row>
    <row r="53" s="305" customFormat="1" ht="24" customHeight="1" spans="1:13">
      <c r="A53" s="323">
        <v>48</v>
      </c>
      <c r="B53" s="323"/>
      <c r="C53" s="323"/>
      <c r="D53" s="327" t="str">
        <f>数据对照表!G6</f>
        <v>地下人防设施费用</v>
      </c>
      <c r="E53" s="325">
        <f>SUMIFS('附表7-扣除项目明细采集底稿'!W:W,'附表7-扣除项目明细采集底稿'!E:E,数据对照表!G6,'附表7-扣除项目明细采集底稿'!V:V,"直接归集成本费用")</f>
        <v>0</v>
      </c>
      <c r="F53" s="325">
        <f>SUMIFS('附表7-扣除项目明细采集底稿'!X:X,'附表7-扣除项目明细采集底稿'!E:E,数据对照表!G6,'附表7-扣除项目明细采集底稿'!V:V,"直接归集成本费用")</f>
        <v>0</v>
      </c>
      <c r="G53" s="325">
        <f>SUMIFS('附表7-扣除项目明细采集底稿'!Y:Y,'附表7-扣除项目明细采集底稿'!E:E,数据对照表!G6,'附表7-扣除项目明细采集底稿'!V:V,"直接归集成本费用")</f>
        <v>0</v>
      </c>
      <c r="H53" s="326">
        <f t="shared" si="9"/>
        <v>0</v>
      </c>
      <c r="I53" s="325">
        <f>SUMIFS('附表7-扣除项目明细采集底稿'!W:W,'附表7-扣除项目明细采集底稿'!E:E,数据对照表!G6,'附表7-扣除项目明细采集底稿'!V:V,"共同成本费用")</f>
        <v>0</v>
      </c>
      <c r="J53" s="325">
        <f>SUMIFS('附表7-扣除项目明细采集底稿'!X:X,'附表7-扣除项目明细采集底稿'!E:E,数据对照表!G6,'附表7-扣除项目明细采集底稿'!V:V,"共同成本费用")</f>
        <v>0</v>
      </c>
      <c r="K53" s="325">
        <f>SUMIFS('附表7-扣除项目明细采集底稿'!Y:Y,'附表7-扣除项目明细采集底稿'!E:E,数据对照表!G6,'附表7-扣除项目明细采集底稿'!V:V,"共同成本费用")</f>
        <v>0</v>
      </c>
      <c r="L53" s="326">
        <f t="shared" si="10"/>
        <v>0</v>
      </c>
      <c r="M53" s="326">
        <f t="shared" si="11"/>
        <v>0</v>
      </c>
    </row>
    <row r="54" s="305" customFormat="1" ht="24" customHeight="1" spans="1:13">
      <c r="A54" s="323">
        <v>49</v>
      </c>
      <c r="B54" s="323"/>
      <c r="C54" s="323"/>
      <c r="D54" s="327" t="str">
        <f>数据对照表!G7</f>
        <v>物业管理场所费用</v>
      </c>
      <c r="E54" s="325">
        <f>SUMIFS('附表7-扣除项目明细采集底稿'!W:W,'附表7-扣除项目明细采集底稿'!E:E,数据对照表!G7,'附表7-扣除项目明细采集底稿'!V:V,"直接归集成本费用")</f>
        <v>0</v>
      </c>
      <c r="F54" s="325">
        <f>SUMIFS('附表7-扣除项目明细采集底稿'!X:X,'附表7-扣除项目明细采集底稿'!E:E,数据对照表!G7,'附表7-扣除项目明细采集底稿'!V:V,"直接归集成本费用")</f>
        <v>0</v>
      </c>
      <c r="G54" s="325">
        <f>SUMIFS('附表7-扣除项目明细采集底稿'!Y:Y,'附表7-扣除项目明细采集底稿'!E:E,数据对照表!G7,'附表7-扣除项目明细采集底稿'!V:V,"直接归集成本费用")</f>
        <v>0</v>
      </c>
      <c r="H54" s="326">
        <f t="shared" si="9"/>
        <v>0</v>
      </c>
      <c r="I54" s="325">
        <f>SUMIFS('附表7-扣除项目明细采集底稿'!W:W,'附表7-扣除项目明细采集底稿'!E:E,数据对照表!G7,'附表7-扣除项目明细采集底稿'!V:V,"共同成本费用")</f>
        <v>0</v>
      </c>
      <c r="J54" s="325">
        <f>SUMIFS('附表7-扣除项目明细采集底稿'!X:X,'附表7-扣除项目明细采集底稿'!E:E,数据对照表!G7,'附表7-扣除项目明细采集底稿'!V:V,"共同成本费用")</f>
        <v>0</v>
      </c>
      <c r="K54" s="325">
        <f>SUMIFS('附表7-扣除项目明细采集底稿'!Y:Y,'附表7-扣除项目明细采集底稿'!E:E,数据对照表!G7,'附表7-扣除项目明细采集底稿'!V:V,"共同成本费用")</f>
        <v>0</v>
      </c>
      <c r="L54" s="326">
        <f t="shared" si="10"/>
        <v>0</v>
      </c>
      <c r="M54" s="326">
        <f t="shared" si="11"/>
        <v>0</v>
      </c>
    </row>
    <row r="55" s="305" customFormat="1" ht="24" customHeight="1" spans="1:13">
      <c r="A55" s="323">
        <v>50</v>
      </c>
      <c r="B55" s="323"/>
      <c r="C55" s="323"/>
      <c r="D55" s="327" t="str">
        <f>数据对照表!G8</f>
        <v>变电站费用</v>
      </c>
      <c r="E55" s="325">
        <f>SUMIFS('附表7-扣除项目明细采集底稿'!W:W,'附表7-扣除项目明细采集底稿'!E:E,数据对照表!G8,'附表7-扣除项目明细采集底稿'!V:V,"直接归集成本费用")</f>
        <v>0</v>
      </c>
      <c r="F55" s="325">
        <f>SUMIFS('附表7-扣除项目明细采集底稿'!X:X,'附表7-扣除项目明细采集底稿'!E:E,数据对照表!G8,'附表7-扣除项目明细采集底稿'!V:V,"直接归集成本费用")</f>
        <v>0</v>
      </c>
      <c r="G55" s="325">
        <f>SUMIFS('附表7-扣除项目明细采集底稿'!Y:Y,'附表7-扣除项目明细采集底稿'!E:E,数据对照表!G8,'附表7-扣除项目明细采集底稿'!V:V,"直接归集成本费用")</f>
        <v>0</v>
      </c>
      <c r="H55" s="326">
        <f t="shared" si="9"/>
        <v>0</v>
      </c>
      <c r="I55" s="325">
        <f>SUMIFS('附表7-扣除项目明细采集底稿'!W:W,'附表7-扣除项目明细采集底稿'!E:E,数据对照表!G8,'附表7-扣除项目明细采集底稿'!V:V,"共同成本费用")</f>
        <v>0</v>
      </c>
      <c r="J55" s="325">
        <f>SUMIFS('附表7-扣除项目明细采集底稿'!X:X,'附表7-扣除项目明细采集底稿'!E:E,数据对照表!G8,'附表7-扣除项目明细采集底稿'!V:V,"共同成本费用")</f>
        <v>0</v>
      </c>
      <c r="K55" s="325">
        <f>SUMIFS('附表7-扣除项目明细采集底稿'!Y:Y,'附表7-扣除项目明细采集底稿'!E:E,数据对照表!G8,'附表7-扣除项目明细采集底稿'!V:V,"共同成本费用")</f>
        <v>0</v>
      </c>
      <c r="L55" s="326">
        <f t="shared" si="10"/>
        <v>0</v>
      </c>
      <c r="M55" s="326">
        <f t="shared" si="11"/>
        <v>0</v>
      </c>
    </row>
    <row r="56" s="305" customFormat="1" ht="24" customHeight="1" spans="1:13">
      <c r="A56" s="323">
        <v>51</v>
      </c>
      <c r="B56" s="323"/>
      <c r="C56" s="323"/>
      <c r="D56" s="327" t="str">
        <f>数据对照表!G9</f>
        <v>热力站费用</v>
      </c>
      <c r="E56" s="325">
        <f>SUMIFS('附表7-扣除项目明细采集底稿'!W:W,'附表7-扣除项目明细采集底稿'!E:E,数据对照表!G9,'附表7-扣除项目明细采集底稿'!V:V,"直接归集成本费用")</f>
        <v>0</v>
      </c>
      <c r="F56" s="325">
        <f>SUMIFS('附表7-扣除项目明细采集底稿'!X:X,'附表7-扣除项目明细采集底稿'!E:E,数据对照表!G9,'附表7-扣除项目明细采集底稿'!V:V,"直接归集成本费用")</f>
        <v>0</v>
      </c>
      <c r="G56" s="325">
        <f>SUMIFS('附表7-扣除项目明细采集底稿'!Y:Y,'附表7-扣除项目明细采集底稿'!E:E,数据对照表!G9,'附表7-扣除项目明细采集底稿'!V:V,"直接归集成本费用")</f>
        <v>0</v>
      </c>
      <c r="H56" s="326">
        <f t="shared" si="9"/>
        <v>0</v>
      </c>
      <c r="I56" s="325">
        <f>SUMIFS('附表7-扣除项目明细采集底稿'!W:W,'附表7-扣除项目明细采集底稿'!E:E,数据对照表!G9,'附表7-扣除项目明细采集底稿'!V:V,"共同成本费用")</f>
        <v>0</v>
      </c>
      <c r="J56" s="325">
        <f>SUMIFS('附表7-扣除项目明细采集底稿'!X:X,'附表7-扣除项目明细采集底稿'!E:E,数据对照表!G9,'附表7-扣除项目明细采集底稿'!V:V,"共同成本费用")</f>
        <v>0</v>
      </c>
      <c r="K56" s="325">
        <f>SUMIFS('附表7-扣除项目明细采集底稿'!Y:Y,'附表7-扣除项目明细采集底稿'!E:E,数据对照表!G9,'附表7-扣除项目明细采集底稿'!V:V,"共同成本费用")</f>
        <v>0</v>
      </c>
      <c r="L56" s="326">
        <f t="shared" si="10"/>
        <v>0</v>
      </c>
      <c r="M56" s="326">
        <f t="shared" si="11"/>
        <v>0</v>
      </c>
    </row>
    <row r="57" s="305" customFormat="1" ht="24" customHeight="1" spans="1:13">
      <c r="A57" s="323">
        <v>52</v>
      </c>
      <c r="B57" s="323"/>
      <c r="C57" s="323"/>
      <c r="D57" s="327" t="str">
        <f>数据对照表!G10</f>
        <v>水厂费用</v>
      </c>
      <c r="E57" s="325">
        <f>SUMIFS('附表7-扣除项目明细采集底稿'!W:W,'附表7-扣除项目明细采集底稿'!E:E,数据对照表!G10,'附表7-扣除项目明细采集底稿'!V:V,"直接归集成本费用")</f>
        <v>0</v>
      </c>
      <c r="F57" s="325">
        <f>SUMIFS('附表7-扣除项目明细采集底稿'!X:X,'附表7-扣除项目明细采集底稿'!E:E,数据对照表!G10,'附表7-扣除项目明细采集底稿'!V:V,"直接归集成本费用")</f>
        <v>0</v>
      </c>
      <c r="G57" s="325">
        <f>SUMIFS('附表7-扣除项目明细采集底稿'!Y:Y,'附表7-扣除项目明细采集底稿'!E:E,数据对照表!G10,'附表7-扣除项目明细采集底稿'!V:V,"直接归集成本费用")</f>
        <v>0</v>
      </c>
      <c r="H57" s="326">
        <f t="shared" si="9"/>
        <v>0</v>
      </c>
      <c r="I57" s="325">
        <f>SUMIFS('附表7-扣除项目明细采集底稿'!W:W,'附表7-扣除项目明细采集底稿'!E:E,数据对照表!G10,'附表7-扣除项目明细采集底稿'!V:V,"共同成本费用")</f>
        <v>0</v>
      </c>
      <c r="J57" s="325">
        <f>SUMIFS('附表7-扣除项目明细采集底稿'!X:X,'附表7-扣除项目明细采集底稿'!E:E,数据对照表!G10,'附表7-扣除项目明细采集底稿'!V:V,"共同成本费用")</f>
        <v>0</v>
      </c>
      <c r="K57" s="325">
        <f>SUMIFS('附表7-扣除项目明细采集底稿'!Y:Y,'附表7-扣除项目明细采集底稿'!E:E,数据对照表!G10,'附表7-扣除项目明细采集底稿'!V:V,"共同成本费用")</f>
        <v>0</v>
      </c>
      <c r="L57" s="326">
        <f t="shared" si="10"/>
        <v>0</v>
      </c>
      <c r="M57" s="326">
        <f t="shared" si="11"/>
        <v>0</v>
      </c>
    </row>
    <row r="58" s="305" customFormat="1" ht="24" customHeight="1" spans="1:13">
      <c r="A58" s="323">
        <v>53</v>
      </c>
      <c r="B58" s="323"/>
      <c r="C58" s="323"/>
      <c r="D58" s="327" t="str">
        <f>数据对照表!G11</f>
        <v>文体场馆费用</v>
      </c>
      <c r="E58" s="325">
        <f>SUMIFS('附表7-扣除项目明细采集底稿'!W:W,'附表7-扣除项目明细采集底稿'!E:E,数据对照表!G11,'附表7-扣除项目明细采集底稿'!V:V,"直接归集成本费用")</f>
        <v>0</v>
      </c>
      <c r="F58" s="325">
        <f>SUMIFS('附表7-扣除项目明细采集底稿'!X:X,'附表7-扣除项目明细采集底稿'!E:E,数据对照表!G11,'附表7-扣除项目明细采集底稿'!V:V,"直接归集成本费用")</f>
        <v>0</v>
      </c>
      <c r="G58" s="325">
        <f>SUMIFS('附表7-扣除项目明细采集底稿'!Y:Y,'附表7-扣除项目明细采集底稿'!E:E,数据对照表!G11,'附表7-扣除项目明细采集底稿'!V:V,"直接归集成本费用")</f>
        <v>0</v>
      </c>
      <c r="H58" s="326">
        <f t="shared" si="9"/>
        <v>0</v>
      </c>
      <c r="I58" s="325">
        <f>SUMIFS('附表7-扣除项目明细采集底稿'!W:W,'附表7-扣除项目明细采集底稿'!E:E,数据对照表!G11,'附表7-扣除项目明细采集底稿'!V:V,"共同成本费用")</f>
        <v>0</v>
      </c>
      <c r="J58" s="325">
        <f>SUMIFS('附表7-扣除项目明细采集底稿'!X:X,'附表7-扣除项目明细采集底稿'!E:E,数据对照表!G11,'附表7-扣除项目明细采集底稿'!V:V,"共同成本费用")</f>
        <v>0</v>
      </c>
      <c r="K58" s="325">
        <f>SUMIFS('附表7-扣除项目明细采集底稿'!Y:Y,'附表7-扣除项目明细采集底稿'!E:E,数据对照表!G11,'附表7-扣除项目明细采集底稿'!V:V,"共同成本费用")</f>
        <v>0</v>
      </c>
      <c r="L58" s="326">
        <f t="shared" si="10"/>
        <v>0</v>
      </c>
      <c r="M58" s="326">
        <f t="shared" si="11"/>
        <v>0</v>
      </c>
    </row>
    <row r="59" s="305" customFormat="1" ht="24" customHeight="1" spans="1:13">
      <c r="A59" s="323">
        <v>54</v>
      </c>
      <c r="B59" s="323"/>
      <c r="C59" s="323"/>
      <c r="D59" s="327" t="str">
        <f>数据对照表!G12</f>
        <v>学校费用</v>
      </c>
      <c r="E59" s="325">
        <f>SUMIFS('附表7-扣除项目明细采集底稿'!W:W,'附表7-扣除项目明细采集底稿'!E:E,数据对照表!G12,'附表7-扣除项目明细采集底稿'!V:V,"直接归集成本费用")</f>
        <v>0</v>
      </c>
      <c r="F59" s="325">
        <f>SUMIFS('附表7-扣除项目明细采集底稿'!X:X,'附表7-扣除项目明细采集底稿'!E:E,数据对照表!G12,'附表7-扣除项目明细采集底稿'!V:V,"直接归集成本费用")</f>
        <v>0</v>
      </c>
      <c r="G59" s="325">
        <f>SUMIFS('附表7-扣除项目明细采集底稿'!Y:Y,'附表7-扣除项目明细采集底稿'!E:E,数据对照表!G12,'附表7-扣除项目明细采集底稿'!V:V,"直接归集成本费用")</f>
        <v>0</v>
      </c>
      <c r="H59" s="326">
        <f t="shared" si="9"/>
        <v>0</v>
      </c>
      <c r="I59" s="325">
        <f>SUMIFS('附表7-扣除项目明细采集底稿'!W:W,'附表7-扣除项目明细采集底稿'!E:E,数据对照表!G12,'附表7-扣除项目明细采集底稿'!V:V,"共同成本费用")</f>
        <v>0</v>
      </c>
      <c r="J59" s="325">
        <f>SUMIFS('附表7-扣除项目明细采集底稿'!X:X,'附表7-扣除项目明细采集底稿'!E:E,数据对照表!G12,'附表7-扣除项目明细采集底稿'!V:V,"共同成本费用")</f>
        <v>0</v>
      </c>
      <c r="K59" s="325">
        <f>SUMIFS('附表7-扣除项目明细采集底稿'!Y:Y,'附表7-扣除项目明细采集底稿'!E:E,数据对照表!G12,'附表7-扣除项目明细采集底稿'!V:V,"共同成本费用")</f>
        <v>0</v>
      </c>
      <c r="L59" s="326">
        <f t="shared" si="10"/>
        <v>0</v>
      </c>
      <c r="M59" s="326">
        <f t="shared" si="11"/>
        <v>0</v>
      </c>
    </row>
    <row r="60" s="305" customFormat="1" ht="24" customHeight="1" spans="1:13">
      <c r="A60" s="323">
        <v>55</v>
      </c>
      <c r="B60" s="323"/>
      <c r="C60" s="323"/>
      <c r="D60" s="327" t="str">
        <f>数据对照表!G13</f>
        <v>幼儿园费用</v>
      </c>
      <c r="E60" s="325">
        <f>SUMIFS('附表7-扣除项目明细采集底稿'!W:W,'附表7-扣除项目明细采集底稿'!E:E,数据对照表!G13,'附表7-扣除项目明细采集底稿'!V:V,"直接归集成本费用")</f>
        <v>0</v>
      </c>
      <c r="F60" s="325">
        <f>SUMIFS('附表7-扣除项目明细采集底稿'!X:X,'附表7-扣除项目明细采集底稿'!E:E,数据对照表!G13,'附表7-扣除项目明细采集底稿'!V:V,"直接归集成本费用")</f>
        <v>0</v>
      </c>
      <c r="G60" s="325">
        <f>SUMIFS('附表7-扣除项目明细采集底稿'!Y:Y,'附表7-扣除项目明细采集底稿'!E:E,数据对照表!G13,'附表7-扣除项目明细采集底稿'!V:V,"直接归集成本费用")</f>
        <v>0</v>
      </c>
      <c r="H60" s="326">
        <f t="shared" si="9"/>
        <v>0</v>
      </c>
      <c r="I60" s="325">
        <f>SUMIFS('附表7-扣除项目明细采集底稿'!W:W,'附表7-扣除项目明细采集底稿'!E:E,数据对照表!G13,'附表7-扣除项目明细采集底稿'!V:V,"共同成本费用")</f>
        <v>0</v>
      </c>
      <c r="J60" s="325">
        <f>SUMIFS('附表7-扣除项目明细采集底稿'!X:X,'附表7-扣除项目明细采集底稿'!E:E,数据对照表!G13,'附表7-扣除项目明细采集底稿'!V:V,"共同成本费用")</f>
        <v>0</v>
      </c>
      <c r="K60" s="325">
        <f>SUMIFS('附表7-扣除项目明细采集底稿'!Y:Y,'附表7-扣除项目明细采集底稿'!E:E,数据对照表!G13,'附表7-扣除项目明细采集底稿'!V:V,"共同成本费用")</f>
        <v>0</v>
      </c>
      <c r="L60" s="326">
        <f t="shared" si="10"/>
        <v>0</v>
      </c>
      <c r="M60" s="326">
        <f t="shared" si="11"/>
        <v>0</v>
      </c>
    </row>
    <row r="61" s="305" customFormat="1" ht="24" customHeight="1" spans="1:13">
      <c r="A61" s="323">
        <v>56</v>
      </c>
      <c r="B61" s="323"/>
      <c r="C61" s="323"/>
      <c r="D61" s="327" t="str">
        <f>数据对照表!G14</f>
        <v>托儿所费用</v>
      </c>
      <c r="E61" s="325">
        <f>SUMIFS('附表7-扣除项目明细采集底稿'!W:W,'附表7-扣除项目明细采集底稿'!E:E,数据对照表!G14,'附表7-扣除项目明细采集底稿'!V:V,"直接归集成本费用")</f>
        <v>0</v>
      </c>
      <c r="F61" s="325">
        <f>SUMIFS('附表7-扣除项目明细采集底稿'!X:X,'附表7-扣除项目明细采集底稿'!E:E,数据对照表!G14,'附表7-扣除项目明细采集底稿'!V:V,"直接归集成本费用")</f>
        <v>0</v>
      </c>
      <c r="G61" s="325">
        <f>SUMIFS('附表7-扣除项目明细采集底稿'!Y:Y,'附表7-扣除项目明细采集底稿'!E:E,数据对照表!G14,'附表7-扣除项目明细采集底稿'!V:V,"直接归集成本费用")</f>
        <v>0</v>
      </c>
      <c r="H61" s="326">
        <f t="shared" si="9"/>
        <v>0</v>
      </c>
      <c r="I61" s="325">
        <f>SUMIFS('附表7-扣除项目明细采集底稿'!W:W,'附表7-扣除项目明细采集底稿'!E:E,数据对照表!G14,'附表7-扣除项目明细采集底稿'!V:V,"共同成本费用")</f>
        <v>0</v>
      </c>
      <c r="J61" s="325">
        <f>SUMIFS('附表7-扣除项目明细采集底稿'!X:X,'附表7-扣除项目明细采集底稿'!E:E,数据对照表!G14,'附表7-扣除项目明细采集底稿'!V:V,"共同成本费用")</f>
        <v>0</v>
      </c>
      <c r="K61" s="325">
        <f>SUMIFS('附表7-扣除项目明细采集底稿'!Y:Y,'附表7-扣除项目明细采集底稿'!E:E,数据对照表!G14,'附表7-扣除项目明细采集底稿'!V:V,"共同成本费用")</f>
        <v>0</v>
      </c>
      <c r="L61" s="326">
        <f t="shared" si="10"/>
        <v>0</v>
      </c>
      <c r="M61" s="326">
        <f t="shared" si="11"/>
        <v>0</v>
      </c>
    </row>
    <row r="62" s="305" customFormat="1" ht="24" customHeight="1" spans="1:13">
      <c r="A62" s="323">
        <v>57</v>
      </c>
      <c r="B62" s="323"/>
      <c r="C62" s="323"/>
      <c r="D62" s="327" t="str">
        <f>数据对照表!G15</f>
        <v>医院费用</v>
      </c>
      <c r="E62" s="325">
        <f>SUMIFS('附表7-扣除项目明细采集底稿'!W:W,'附表7-扣除项目明细采集底稿'!E:E,数据对照表!G15,'附表7-扣除项目明细采集底稿'!V:V,"直接归集成本费用")</f>
        <v>0</v>
      </c>
      <c r="F62" s="325">
        <f>SUMIFS('附表7-扣除项目明细采集底稿'!X:X,'附表7-扣除项目明细采集底稿'!E:E,数据对照表!G15,'附表7-扣除项目明细采集底稿'!V:V,"直接归集成本费用")</f>
        <v>0</v>
      </c>
      <c r="G62" s="325">
        <f>SUMIFS('附表7-扣除项目明细采集底稿'!Y:Y,'附表7-扣除项目明细采集底稿'!E:E,数据对照表!G15,'附表7-扣除项目明细采集底稿'!V:V,"直接归集成本费用")</f>
        <v>0</v>
      </c>
      <c r="H62" s="326">
        <f t="shared" si="9"/>
        <v>0</v>
      </c>
      <c r="I62" s="325">
        <f>SUMIFS('附表7-扣除项目明细采集底稿'!W:W,'附表7-扣除项目明细采集底稿'!E:E,数据对照表!G15,'附表7-扣除项目明细采集底稿'!V:V,"共同成本费用")</f>
        <v>0</v>
      </c>
      <c r="J62" s="325">
        <f>SUMIFS('附表7-扣除项目明细采集底稿'!X:X,'附表7-扣除项目明细采集底稿'!E:E,数据对照表!G15,'附表7-扣除项目明细采集底稿'!V:V,"共同成本费用")</f>
        <v>0</v>
      </c>
      <c r="K62" s="325">
        <f>SUMIFS('附表7-扣除项目明细采集底稿'!Y:Y,'附表7-扣除项目明细采集底稿'!E:E,数据对照表!G15,'附表7-扣除项目明细采集底稿'!V:V,"共同成本费用")</f>
        <v>0</v>
      </c>
      <c r="L62" s="326">
        <f t="shared" si="10"/>
        <v>0</v>
      </c>
      <c r="M62" s="326">
        <f t="shared" si="11"/>
        <v>0</v>
      </c>
    </row>
    <row r="63" s="305" customFormat="1" ht="24" customHeight="1" spans="1:13">
      <c r="A63" s="323">
        <v>58</v>
      </c>
      <c r="B63" s="323"/>
      <c r="C63" s="323"/>
      <c r="D63" s="327" t="str">
        <f>数据对照表!G16</f>
        <v>邮电通讯费用</v>
      </c>
      <c r="E63" s="325">
        <f>SUMIFS('附表7-扣除项目明细采集底稿'!W:W,'附表7-扣除项目明细采集底稿'!E:E,数据对照表!G16,'附表7-扣除项目明细采集底稿'!V:V,"直接归集成本费用")</f>
        <v>0</v>
      </c>
      <c r="F63" s="325">
        <f>SUMIFS('附表7-扣除项目明细采集底稿'!X:X,'附表7-扣除项目明细采集底稿'!E:E,数据对照表!G16,'附表7-扣除项目明细采集底稿'!V:V,"直接归集成本费用")</f>
        <v>0</v>
      </c>
      <c r="G63" s="325">
        <f>SUMIFS('附表7-扣除项目明细采集底稿'!Y:Y,'附表7-扣除项目明细采集底稿'!E:E,数据对照表!G16,'附表7-扣除项目明细采集底稿'!V:V,"直接归集成本费用")</f>
        <v>0</v>
      </c>
      <c r="H63" s="326">
        <f t="shared" si="9"/>
        <v>0</v>
      </c>
      <c r="I63" s="325">
        <f>SUMIFS('附表7-扣除项目明细采集底稿'!W:W,'附表7-扣除项目明细采集底稿'!E:E,数据对照表!G16,'附表7-扣除项目明细采集底稿'!V:V,"共同成本费用")</f>
        <v>0</v>
      </c>
      <c r="J63" s="325">
        <f>SUMIFS('附表7-扣除项目明细采集底稿'!X:X,'附表7-扣除项目明细采集底稿'!E:E,数据对照表!G16,'附表7-扣除项目明细采集底稿'!V:V,"共同成本费用")</f>
        <v>0</v>
      </c>
      <c r="K63" s="325">
        <f>SUMIFS('附表7-扣除项目明细采集底稿'!Y:Y,'附表7-扣除项目明细采集底稿'!E:E,数据对照表!G16,'附表7-扣除项目明细采集底稿'!V:V,"共同成本费用")</f>
        <v>0</v>
      </c>
      <c r="L63" s="326">
        <f t="shared" si="10"/>
        <v>0</v>
      </c>
      <c r="M63" s="326">
        <f t="shared" si="11"/>
        <v>0</v>
      </c>
    </row>
    <row r="64" s="305" customFormat="1" ht="27.95" customHeight="1" spans="1:13">
      <c r="A64" s="323">
        <v>59</v>
      </c>
      <c r="B64" s="323"/>
      <c r="C64" s="323"/>
      <c r="D64" s="327" t="str">
        <f>数据对照表!G17</f>
        <v>其他非营业性房产费用</v>
      </c>
      <c r="E64" s="325">
        <f>SUMIFS('附表7-扣除项目明细采集底稿'!W:W,'附表7-扣除项目明细采集底稿'!E:E,数据对照表!G17,'附表7-扣除项目明细采集底稿'!V:V,"直接归集成本费用")</f>
        <v>0</v>
      </c>
      <c r="F64" s="325">
        <f>SUMIFS('附表7-扣除项目明细采集底稿'!X:X,'附表7-扣除项目明细采集底稿'!E:E,数据对照表!G17,'附表7-扣除项目明细采集底稿'!V:V,"直接归集成本费用")</f>
        <v>0</v>
      </c>
      <c r="G64" s="325">
        <f>SUMIFS('附表7-扣除项目明细采集底稿'!Y:Y,'附表7-扣除项目明细采集底稿'!E:E,数据对照表!G17,'附表7-扣除项目明细采集底稿'!V:V,"直接归集成本费用")</f>
        <v>0</v>
      </c>
      <c r="H64" s="326">
        <f t="shared" si="9"/>
        <v>0</v>
      </c>
      <c r="I64" s="325">
        <f>SUMIFS('附表7-扣除项目明细采集底稿'!W:W,'附表7-扣除项目明细采集底稿'!E:E,数据对照表!G17,'附表7-扣除项目明细采集底稿'!V:V,"共同成本费用")</f>
        <v>0</v>
      </c>
      <c r="J64" s="325">
        <f>SUMIFS('附表7-扣除项目明细采集底稿'!X:X,'附表7-扣除项目明细采集底稿'!E:E,数据对照表!G17,'附表7-扣除项目明细采集底稿'!V:V,"共同成本费用")</f>
        <v>0</v>
      </c>
      <c r="K64" s="325">
        <f>SUMIFS('附表7-扣除项目明细采集底稿'!Y:Y,'附表7-扣除项目明细采集底稿'!E:E,数据对照表!G17,'附表7-扣除项目明细采集底稿'!V:V,"共同成本费用")</f>
        <v>0</v>
      </c>
      <c r="L64" s="326">
        <f t="shared" si="10"/>
        <v>0</v>
      </c>
      <c r="M64" s="326">
        <f t="shared" si="11"/>
        <v>0</v>
      </c>
    </row>
    <row r="65" s="305" customFormat="1" ht="24" customHeight="1" spans="1:13">
      <c r="A65" s="323">
        <v>60</v>
      </c>
      <c r="B65" s="323"/>
      <c r="C65" s="324" t="str">
        <f>数据对照表!H1</f>
        <v>开发间接费用</v>
      </c>
      <c r="D65" s="324"/>
      <c r="E65" s="325">
        <f>SUMIFS('附表7-扣除项目明细采集底稿'!W:W,'附表7-扣除项目明细采集底稿'!D:D,数据对照表!H1,'附表7-扣除项目明细采集底稿'!V:V,"直接归集成本费用")</f>
        <v>0</v>
      </c>
      <c r="F65" s="325">
        <f>SUMIFS('附表7-扣除项目明细采集底稿'!X:X,'附表7-扣除项目明细采集底稿'!D:D,数据对照表!H1,'附表7-扣除项目明细采集底稿'!V:V,"直接归集成本费用")</f>
        <v>0</v>
      </c>
      <c r="G65" s="325">
        <f>SUMIFS('附表7-扣除项目明细采集底稿'!Y:Y,'附表7-扣除项目明细采集底稿'!D:D,数据对照表!H1,'附表7-扣除项目明细采集底稿'!V:V,"直接归集成本费用")</f>
        <v>0</v>
      </c>
      <c r="H65" s="326">
        <f t="shared" si="9"/>
        <v>0</v>
      </c>
      <c r="I65" s="325">
        <f>SUMIFS('附表7-扣除项目明细采集底稿'!W:W,'附表7-扣除项目明细采集底稿'!D:D,数据对照表!H1,'附表7-扣除项目明细采集底稿'!V:V,"共同成本费用")</f>
        <v>0</v>
      </c>
      <c r="J65" s="325">
        <f>SUMIFS('附表7-扣除项目明细采集底稿'!X:X,'附表7-扣除项目明细采集底稿'!D:D,数据对照表!H1,'附表7-扣除项目明细采集底稿'!V:V,"共同成本费用")</f>
        <v>0</v>
      </c>
      <c r="K65" s="325">
        <f>SUMIFS('附表7-扣除项目明细采集底稿'!Y:Y,'附表7-扣除项目明细采集底稿'!D:D,数据对照表!H1,'附表7-扣除项目明细采集底稿'!V:V,"共同成本费用")</f>
        <v>0</v>
      </c>
      <c r="L65" s="326">
        <f t="shared" si="10"/>
        <v>0</v>
      </c>
      <c r="M65" s="326">
        <f t="shared" si="11"/>
        <v>0</v>
      </c>
    </row>
    <row r="66" s="305" customFormat="1" ht="24" customHeight="1" spans="1:13">
      <c r="A66" s="323">
        <v>61</v>
      </c>
      <c r="B66" s="323"/>
      <c r="C66" s="323" t="s">
        <v>279</v>
      </c>
      <c r="D66" s="327" t="str">
        <f>数据对照表!H2</f>
        <v>管理人员工资</v>
      </c>
      <c r="E66" s="325">
        <f>SUMIFS('附表7-扣除项目明细采集底稿'!W:W,'附表7-扣除项目明细采集底稿'!E:E,数据对照表!H2,'附表7-扣除项目明细采集底稿'!V:V,"直接归集成本费用")</f>
        <v>0</v>
      </c>
      <c r="F66" s="325">
        <f>SUMIFS('附表7-扣除项目明细采集底稿'!X:X,'附表7-扣除项目明细采集底稿'!E:E,数据对照表!H2,'附表7-扣除项目明细采集底稿'!V:V,"直接归集成本费用")</f>
        <v>0</v>
      </c>
      <c r="G66" s="325">
        <f>SUMIFS('附表7-扣除项目明细采集底稿'!Y:Y,'附表7-扣除项目明细采集底稿'!E:E,数据对照表!H2,'附表7-扣除项目明细采集底稿'!V:V,"直接归集成本费用")</f>
        <v>0</v>
      </c>
      <c r="H66" s="326">
        <f t="shared" si="9"/>
        <v>0</v>
      </c>
      <c r="I66" s="325">
        <f>SUMIFS('附表7-扣除项目明细采集底稿'!W:W,'附表7-扣除项目明细采集底稿'!E:E,数据对照表!H2,'附表7-扣除项目明细采集底稿'!V:V,"共同成本费用")</f>
        <v>0</v>
      </c>
      <c r="J66" s="325">
        <f>SUMIFS('附表7-扣除项目明细采集底稿'!X:X,'附表7-扣除项目明细采集底稿'!E:E,数据对照表!H2,'附表7-扣除项目明细采集底稿'!V:V,"共同成本费用")</f>
        <v>0</v>
      </c>
      <c r="K66" s="325">
        <f>SUMIFS('附表7-扣除项目明细采集底稿'!Y:Y,'附表7-扣除项目明细采集底稿'!E:E,数据对照表!H2,'附表7-扣除项目明细采集底稿'!V:V,"共同成本费用")</f>
        <v>0</v>
      </c>
      <c r="L66" s="326">
        <f t="shared" si="10"/>
        <v>0</v>
      </c>
      <c r="M66" s="326">
        <f t="shared" si="11"/>
        <v>0</v>
      </c>
    </row>
    <row r="67" s="305" customFormat="1" ht="24" customHeight="1" spans="1:13">
      <c r="A67" s="323">
        <v>62</v>
      </c>
      <c r="B67" s="323"/>
      <c r="C67" s="323"/>
      <c r="D67" s="327" t="str">
        <f>数据对照表!H3</f>
        <v>职工福利费</v>
      </c>
      <c r="E67" s="325">
        <f>SUMIFS('附表7-扣除项目明细采集底稿'!W:W,'附表7-扣除项目明细采集底稿'!E:E,数据对照表!H3,'附表7-扣除项目明细采集底稿'!V:V,"直接归集成本费用")</f>
        <v>0</v>
      </c>
      <c r="F67" s="325">
        <f>SUMIFS('附表7-扣除项目明细采集底稿'!X:X,'附表7-扣除项目明细采集底稿'!E:E,数据对照表!H3,'附表7-扣除项目明细采集底稿'!V:V,"直接归集成本费用")</f>
        <v>0</v>
      </c>
      <c r="G67" s="325">
        <f>SUMIFS('附表7-扣除项目明细采集底稿'!Y:Y,'附表7-扣除项目明细采集底稿'!E:E,数据对照表!H3,'附表7-扣除项目明细采集底稿'!V:V,"直接归集成本费用")</f>
        <v>0</v>
      </c>
      <c r="H67" s="326">
        <f t="shared" ref="H67:H74" si="12">SUM(E67:G67)</f>
        <v>0</v>
      </c>
      <c r="I67" s="325">
        <f>SUMIFS('附表7-扣除项目明细采集底稿'!W:W,'附表7-扣除项目明细采集底稿'!E:E,数据对照表!H3,'附表7-扣除项目明细采集底稿'!V:V,"共同成本费用")</f>
        <v>0</v>
      </c>
      <c r="J67" s="325">
        <f>SUMIFS('附表7-扣除项目明细采集底稿'!X:X,'附表7-扣除项目明细采集底稿'!E:E,数据对照表!H3,'附表7-扣除项目明细采集底稿'!V:V,"共同成本费用")</f>
        <v>0</v>
      </c>
      <c r="K67" s="325">
        <f>SUMIFS('附表7-扣除项目明细采集底稿'!Y:Y,'附表7-扣除项目明细采集底稿'!E:E,数据对照表!H3,'附表7-扣除项目明细采集底稿'!V:V,"共同成本费用")</f>
        <v>0</v>
      </c>
      <c r="L67" s="326">
        <f t="shared" ref="L67:L78" si="13">SUM(I67:K67)</f>
        <v>0</v>
      </c>
      <c r="M67" s="326">
        <f t="shared" ref="M67:M74" si="14">H67+L67</f>
        <v>0</v>
      </c>
    </row>
    <row r="68" s="305" customFormat="1" ht="24" customHeight="1" spans="1:13">
      <c r="A68" s="323">
        <v>63</v>
      </c>
      <c r="B68" s="323"/>
      <c r="C68" s="323"/>
      <c r="D68" s="327" t="str">
        <f>数据对照表!H4</f>
        <v>折旧费</v>
      </c>
      <c r="E68" s="325">
        <f>SUMIFS('附表7-扣除项目明细采集底稿'!W:W,'附表7-扣除项目明细采集底稿'!E:E,数据对照表!H4,'附表7-扣除项目明细采集底稿'!V:V,"直接归集成本费用")</f>
        <v>0</v>
      </c>
      <c r="F68" s="325">
        <f>SUMIFS('附表7-扣除项目明细采集底稿'!X:X,'附表7-扣除项目明细采集底稿'!E:E,数据对照表!H4,'附表7-扣除项目明细采集底稿'!V:V,"直接归集成本费用")</f>
        <v>0</v>
      </c>
      <c r="G68" s="325">
        <f>SUMIFS('附表7-扣除项目明细采集底稿'!Y:Y,'附表7-扣除项目明细采集底稿'!E:E,数据对照表!H4,'附表7-扣除项目明细采集底稿'!V:V,"直接归集成本费用")</f>
        <v>0</v>
      </c>
      <c r="H68" s="326">
        <f t="shared" si="12"/>
        <v>0</v>
      </c>
      <c r="I68" s="325">
        <f>SUMIFS('附表7-扣除项目明细采集底稿'!W:W,'附表7-扣除项目明细采集底稿'!E:E,数据对照表!H4,'附表7-扣除项目明细采集底稿'!V:V,"共同成本费用")</f>
        <v>0</v>
      </c>
      <c r="J68" s="325">
        <f>SUMIFS('附表7-扣除项目明细采集底稿'!X:X,'附表7-扣除项目明细采集底稿'!E:E,数据对照表!H4,'附表7-扣除项目明细采集底稿'!V:V,"共同成本费用")</f>
        <v>0</v>
      </c>
      <c r="K68" s="325">
        <f>SUMIFS('附表7-扣除项目明细采集底稿'!Y:Y,'附表7-扣除项目明细采集底稿'!E:E,数据对照表!H4,'附表7-扣除项目明细采集底稿'!V:V,"共同成本费用")</f>
        <v>0</v>
      </c>
      <c r="L68" s="326">
        <f t="shared" si="13"/>
        <v>0</v>
      </c>
      <c r="M68" s="326">
        <f t="shared" si="14"/>
        <v>0</v>
      </c>
    </row>
    <row r="69" s="305" customFormat="1" ht="24" customHeight="1" spans="1:13">
      <c r="A69" s="323">
        <v>64</v>
      </c>
      <c r="B69" s="323"/>
      <c r="C69" s="323"/>
      <c r="D69" s="327" t="str">
        <f>数据对照表!H5</f>
        <v>修理费</v>
      </c>
      <c r="E69" s="325">
        <f>SUMIFS('附表7-扣除项目明细采集底稿'!W:W,'附表7-扣除项目明细采集底稿'!E:E,数据对照表!H5,'附表7-扣除项目明细采集底稿'!V:V,"直接归集成本费用")</f>
        <v>0</v>
      </c>
      <c r="F69" s="325">
        <f>SUMIFS('附表7-扣除项目明细采集底稿'!X:X,'附表7-扣除项目明细采集底稿'!E:E,数据对照表!H5,'附表7-扣除项目明细采集底稿'!V:V,"直接归集成本费用")</f>
        <v>0</v>
      </c>
      <c r="G69" s="325">
        <f>SUMIFS('附表7-扣除项目明细采集底稿'!Y:Y,'附表7-扣除项目明细采集底稿'!E:E,数据对照表!H5,'附表7-扣除项目明细采集底稿'!V:V,"直接归集成本费用")</f>
        <v>0</v>
      </c>
      <c r="H69" s="326">
        <f t="shared" si="12"/>
        <v>0</v>
      </c>
      <c r="I69" s="325">
        <f>SUMIFS('附表7-扣除项目明细采集底稿'!W:W,'附表7-扣除项目明细采集底稿'!E:E,数据对照表!H5,'附表7-扣除项目明细采集底稿'!V:V,"共同成本费用")</f>
        <v>0</v>
      </c>
      <c r="J69" s="325">
        <f>SUMIFS('附表7-扣除项目明细采集底稿'!X:X,'附表7-扣除项目明细采集底稿'!E:E,数据对照表!H5,'附表7-扣除项目明细采集底稿'!V:V,"共同成本费用")</f>
        <v>0</v>
      </c>
      <c r="K69" s="325">
        <f>SUMIFS('附表7-扣除项目明细采集底稿'!Y:Y,'附表7-扣除项目明细采集底稿'!E:E,数据对照表!H5,'附表7-扣除项目明细采集底稿'!V:V,"共同成本费用")</f>
        <v>0</v>
      </c>
      <c r="L69" s="326">
        <f t="shared" si="13"/>
        <v>0</v>
      </c>
      <c r="M69" s="326">
        <f t="shared" si="14"/>
        <v>0</v>
      </c>
    </row>
    <row r="70" s="305" customFormat="1" ht="24" customHeight="1" spans="1:13">
      <c r="A70" s="323">
        <v>65</v>
      </c>
      <c r="B70" s="323"/>
      <c r="C70" s="323"/>
      <c r="D70" s="327" t="str">
        <f>数据对照表!H6</f>
        <v>办公费</v>
      </c>
      <c r="E70" s="325">
        <f>SUMIFS('附表7-扣除项目明细采集底稿'!W:W,'附表7-扣除项目明细采集底稿'!E:E,数据对照表!H6,'附表7-扣除项目明细采集底稿'!V:V,"直接归集成本费用")</f>
        <v>0</v>
      </c>
      <c r="F70" s="325">
        <f>SUMIFS('附表7-扣除项目明细采集底稿'!X:X,'附表7-扣除项目明细采集底稿'!E:E,数据对照表!H6,'附表7-扣除项目明细采集底稿'!V:V,"直接归集成本费用")</f>
        <v>0</v>
      </c>
      <c r="G70" s="325">
        <f>SUMIFS('附表7-扣除项目明细采集底稿'!Y:Y,'附表7-扣除项目明细采集底稿'!E:E,数据对照表!H6,'附表7-扣除项目明细采集底稿'!V:V,"直接归集成本费用")</f>
        <v>0</v>
      </c>
      <c r="H70" s="326">
        <f t="shared" si="12"/>
        <v>0</v>
      </c>
      <c r="I70" s="325">
        <f>SUMIFS('附表7-扣除项目明细采集底稿'!W:W,'附表7-扣除项目明细采集底稿'!E:E,数据对照表!H6,'附表7-扣除项目明细采集底稿'!V:V,"共同成本费用")</f>
        <v>0</v>
      </c>
      <c r="J70" s="325">
        <f>SUMIFS('附表7-扣除项目明细采集底稿'!X:X,'附表7-扣除项目明细采集底稿'!E:E,数据对照表!H6,'附表7-扣除项目明细采集底稿'!V:V,"共同成本费用")</f>
        <v>0</v>
      </c>
      <c r="K70" s="325">
        <f>SUMIFS('附表7-扣除项目明细采集底稿'!Y:Y,'附表7-扣除项目明细采集底稿'!E:E,数据对照表!H6,'附表7-扣除项目明细采集底稿'!V:V,"共同成本费用")</f>
        <v>0</v>
      </c>
      <c r="L70" s="326">
        <f t="shared" si="13"/>
        <v>0</v>
      </c>
      <c r="M70" s="326">
        <f t="shared" si="14"/>
        <v>0</v>
      </c>
    </row>
    <row r="71" s="305" customFormat="1" ht="24" customHeight="1" spans="1:13">
      <c r="A71" s="323">
        <v>66</v>
      </c>
      <c r="B71" s="323"/>
      <c r="C71" s="323"/>
      <c r="D71" s="327" t="str">
        <f>数据对照表!H7</f>
        <v>水电费</v>
      </c>
      <c r="E71" s="325">
        <f>SUMIFS('附表7-扣除项目明细采集底稿'!W:W,'附表7-扣除项目明细采集底稿'!E:E,数据对照表!H7,'附表7-扣除项目明细采集底稿'!V:V,"直接归集成本费用")</f>
        <v>0</v>
      </c>
      <c r="F71" s="325">
        <f>SUMIFS('附表7-扣除项目明细采集底稿'!X:X,'附表7-扣除项目明细采集底稿'!E:E,数据对照表!H7,'附表7-扣除项目明细采集底稿'!V:V,"直接归集成本费用")</f>
        <v>0</v>
      </c>
      <c r="G71" s="325">
        <f>SUMIFS('附表7-扣除项目明细采集底稿'!Y:Y,'附表7-扣除项目明细采集底稿'!E:E,数据对照表!H7,'附表7-扣除项目明细采集底稿'!V:V,"直接归集成本费用")</f>
        <v>0</v>
      </c>
      <c r="H71" s="326">
        <f t="shared" si="12"/>
        <v>0</v>
      </c>
      <c r="I71" s="325">
        <f>SUMIFS('附表7-扣除项目明细采集底稿'!W:W,'附表7-扣除项目明细采集底稿'!E:E,数据对照表!H7,'附表7-扣除项目明细采集底稿'!V:V,"共同成本费用")</f>
        <v>0</v>
      </c>
      <c r="J71" s="325">
        <f>SUMIFS('附表7-扣除项目明细采集底稿'!X:X,'附表7-扣除项目明细采集底稿'!E:E,数据对照表!H7,'附表7-扣除项目明细采集底稿'!V:V,"共同成本费用")</f>
        <v>0</v>
      </c>
      <c r="K71" s="325">
        <f>SUMIFS('附表7-扣除项目明细采集底稿'!Y:Y,'附表7-扣除项目明细采集底稿'!E:E,数据对照表!H7,'附表7-扣除项目明细采集底稿'!V:V,"共同成本费用")</f>
        <v>0</v>
      </c>
      <c r="L71" s="326">
        <f t="shared" si="13"/>
        <v>0</v>
      </c>
      <c r="M71" s="326">
        <f t="shared" si="14"/>
        <v>0</v>
      </c>
    </row>
    <row r="72" s="305" customFormat="1" ht="24" customHeight="1" spans="1:13">
      <c r="A72" s="323">
        <v>67</v>
      </c>
      <c r="B72" s="323"/>
      <c r="C72" s="323"/>
      <c r="D72" s="327" t="str">
        <f>数据对照表!H8</f>
        <v>劳动保护费</v>
      </c>
      <c r="E72" s="325">
        <f>SUMIFS('附表7-扣除项目明细采集底稿'!W:W,'附表7-扣除项目明细采集底稿'!E:E,数据对照表!H8,'附表7-扣除项目明细采集底稿'!V:V,"直接归集成本费用")</f>
        <v>0</v>
      </c>
      <c r="F72" s="325">
        <f>SUMIFS('附表7-扣除项目明细采集底稿'!X:X,'附表7-扣除项目明细采集底稿'!E:E,数据对照表!H8,'附表7-扣除项目明细采集底稿'!V:V,"直接归集成本费用")</f>
        <v>0</v>
      </c>
      <c r="G72" s="325">
        <f>SUMIFS('附表7-扣除项目明细采集底稿'!Y:Y,'附表7-扣除项目明细采集底稿'!E:E,数据对照表!H8,'附表7-扣除项目明细采集底稿'!V:V,"直接归集成本费用")</f>
        <v>0</v>
      </c>
      <c r="H72" s="326">
        <f t="shared" si="12"/>
        <v>0</v>
      </c>
      <c r="I72" s="325">
        <f>SUMIFS('附表7-扣除项目明细采集底稿'!W:W,'附表7-扣除项目明细采集底稿'!E:E,数据对照表!H8,'附表7-扣除项目明细采集底稿'!V:V,"共同成本费用")</f>
        <v>0</v>
      </c>
      <c r="J72" s="325">
        <f>SUMIFS('附表7-扣除项目明细采集底稿'!X:X,'附表7-扣除项目明细采集底稿'!E:E,数据对照表!H8,'附表7-扣除项目明细采集底稿'!V:V,"共同成本费用")</f>
        <v>0</v>
      </c>
      <c r="K72" s="325">
        <f>SUMIFS('附表7-扣除项目明细采集底稿'!Y:Y,'附表7-扣除项目明细采集底稿'!E:E,数据对照表!H8,'附表7-扣除项目明细采集底稿'!V:V,"共同成本费用")</f>
        <v>0</v>
      </c>
      <c r="L72" s="326">
        <f t="shared" si="13"/>
        <v>0</v>
      </c>
      <c r="M72" s="326">
        <f t="shared" si="14"/>
        <v>0</v>
      </c>
    </row>
    <row r="73" s="305" customFormat="1" ht="24" customHeight="1" spans="1:13">
      <c r="A73" s="323">
        <v>68</v>
      </c>
      <c r="B73" s="323"/>
      <c r="C73" s="323"/>
      <c r="D73" s="327" t="str">
        <f>数据对照表!H9</f>
        <v>周转房摊销费</v>
      </c>
      <c r="E73" s="325">
        <f>SUMIFS('附表7-扣除项目明细采集底稿'!W:W,'附表7-扣除项目明细采集底稿'!E:E,数据对照表!H9,'附表7-扣除项目明细采集底稿'!V:V,"直接归集成本费用")</f>
        <v>0</v>
      </c>
      <c r="F73" s="325">
        <f>SUMIFS('附表7-扣除项目明细采集底稿'!X:X,'附表7-扣除项目明细采集底稿'!E:E,数据对照表!H9,'附表7-扣除项目明细采集底稿'!V:V,"直接归集成本费用")</f>
        <v>0</v>
      </c>
      <c r="G73" s="325">
        <f>SUMIFS('附表7-扣除项目明细采集底稿'!Y:Y,'附表7-扣除项目明细采集底稿'!E:E,数据对照表!H9,'附表7-扣除项目明细采集底稿'!V:V,"直接归集成本费用")</f>
        <v>0</v>
      </c>
      <c r="H73" s="326">
        <f t="shared" si="12"/>
        <v>0</v>
      </c>
      <c r="I73" s="325">
        <f>SUMIFS('附表7-扣除项目明细采集底稿'!W:W,'附表7-扣除项目明细采集底稿'!E:E,数据对照表!H9,'附表7-扣除项目明细采集底稿'!V:V,"共同成本费用")</f>
        <v>0</v>
      </c>
      <c r="J73" s="325">
        <f>SUMIFS('附表7-扣除项目明细采集底稿'!X:X,'附表7-扣除项目明细采集底稿'!E:E,数据对照表!H9,'附表7-扣除项目明细采集底稿'!V:V,"共同成本费用")</f>
        <v>0</v>
      </c>
      <c r="K73" s="325">
        <f>SUMIFS('附表7-扣除项目明细采集底稿'!Y:Y,'附表7-扣除项目明细采集底稿'!E:E,数据对照表!H9,'附表7-扣除项目明细采集底稿'!V:V,"共同成本费用")</f>
        <v>0</v>
      </c>
      <c r="L73" s="326">
        <f t="shared" si="13"/>
        <v>0</v>
      </c>
      <c r="M73" s="326">
        <f t="shared" si="14"/>
        <v>0</v>
      </c>
    </row>
    <row r="74" s="305" customFormat="1" ht="24" customHeight="1" spans="1:13">
      <c r="A74" s="323">
        <v>69</v>
      </c>
      <c r="B74" s="323"/>
      <c r="C74" s="323"/>
      <c r="D74" s="327" t="str">
        <f>数据对照表!H10</f>
        <v>其他发生的间接费用</v>
      </c>
      <c r="E74" s="325">
        <f>SUMIFS('附表7-扣除项目明细采集底稿'!W:W,'附表7-扣除项目明细采集底稿'!E:E,数据对照表!H10,'附表7-扣除项目明细采集底稿'!V:V,"直接归集成本费用")</f>
        <v>0</v>
      </c>
      <c r="F74" s="325">
        <f>SUMIFS('附表7-扣除项目明细采集底稿'!X:X,'附表7-扣除项目明细采集底稿'!E:E,数据对照表!H10,'附表7-扣除项目明细采集底稿'!V:V,"直接归集成本费用")</f>
        <v>0</v>
      </c>
      <c r="G74" s="325">
        <f>SUMIFS('附表7-扣除项目明细采集底稿'!Y:Y,'附表7-扣除项目明细采集底稿'!E:E,数据对照表!H10,'附表7-扣除项目明细采集底稿'!V:V,"直接归集成本费用")</f>
        <v>0</v>
      </c>
      <c r="H74" s="326">
        <f t="shared" si="12"/>
        <v>0</v>
      </c>
      <c r="I74" s="325">
        <f>SUMIFS('附表7-扣除项目明细采集底稿'!W:W,'附表7-扣除项目明细采集底稿'!E:E,数据对照表!H10,'附表7-扣除项目明细采集底稿'!V:V,"共同成本费用")</f>
        <v>0</v>
      </c>
      <c r="J74" s="325">
        <f>SUMIFS('附表7-扣除项目明细采集底稿'!X:X,'附表7-扣除项目明细采集底稿'!E:E,数据对照表!H10,'附表7-扣除项目明细采集底稿'!V:V,"共同成本费用")</f>
        <v>0</v>
      </c>
      <c r="K74" s="325">
        <f>SUMIFS('附表7-扣除项目明细采集底稿'!Y:Y,'附表7-扣除项目明细采集底稿'!E:E,数据对照表!H10,'附表7-扣除项目明细采集底稿'!V:V,"共同成本费用")</f>
        <v>0</v>
      </c>
      <c r="L74" s="326">
        <f t="shared" si="13"/>
        <v>0</v>
      </c>
      <c r="M74" s="326">
        <f t="shared" si="14"/>
        <v>0</v>
      </c>
    </row>
    <row r="75" s="305" customFormat="1" ht="24" customHeight="1" spans="1:13">
      <c r="A75" s="323">
        <v>70</v>
      </c>
      <c r="B75" s="330" t="s">
        <v>157</v>
      </c>
      <c r="C75" s="331"/>
      <c r="D75" s="332"/>
      <c r="E75" s="325">
        <f>SUM(SUMIFS('附表7-扣除项目明细采集底稿'!W:W,'附表7-扣除项目明细采集底稿'!D:D,"土地征用及拆迁补偿费",'附表7-扣除项目明细采集底稿'!V:V,"直接归集成本费用",'附表7-扣除项目明细采集底稿'!AB:AB,"不可加计"),SUMIFS('附表7-扣除项目明细采集底稿'!W:W,'附表7-扣除项目明细采集底稿'!D:D,"前期工程费",'附表7-扣除项目明细采集底稿'!V:V,"直接归集成本费用",'附表7-扣除项目明细采集底稿'!AB:AB,"不可加计"),SUMIFS('附表7-扣除项目明细采集底稿'!W:W,'附表7-扣除项目明细采集底稿'!D:D,"建筑安装工程费",'附表7-扣除项目明细采集底稿'!V:V,"直接归集成本费用",'附表7-扣除项目明细采集底稿'!AB:AB,"不可加计"),SUMIFS('附表7-扣除项目明细采集底稿'!W:W,'附表7-扣除项目明细采集底稿'!D:D,"基础设施费",'附表7-扣除项目明细采集底稿'!V:V,"直接归集成本费用",'附表7-扣除项目明细采集底稿'!AB:AB,"不可加计"),SUMIFS('附表7-扣除项目明细采集底稿'!W:W,'附表7-扣除项目明细采集底稿'!D:D,"公共配套设施费",'附表7-扣除项目明细采集底稿'!V:V,"直接归集成本费用",'附表7-扣除项目明细采集底稿'!AB:AB,"不可加计"),SUMIFS('附表7-扣除项目明细采集底稿'!W:W,'附表7-扣除项目明细采集底稿'!D:D,"开发间接费用",'附表7-扣除项目明细采集底稿'!V:V,"直接归集成本费用",'附表7-扣除项目明细采集底稿'!AB:AB,"不可加计"))</f>
        <v>0</v>
      </c>
      <c r="F75" s="325">
        <f>SUM(SUMIFS('附表7-扣除项目明细采集底稿'!X:X,'附表7-扣除项目明细采集底稿'!D:D,"土地征用及拆迁补偿费",'附表7-扣除项目明细采集底稿'!V:V,"直接归集成本费用",'附表7-扣除项目明细采集底稿'!AB:AB,"不可加计"),SUMIFS('附表7-扣除项目明细采集底稿'!X:X,'附表7-扣除项目明细采集底稿'!D:D,"前期工程费",'附表7-扣除项目明细采集底稿'!V:V,"直接归集成本费用",'附表7-扣除项目明细采集底稿'!AB:AB,"不可加计"),SUMIFS('附表7-扣除项目明细采集底稿'!X:X,'附表7-扣除项目明细采集底稿'!D:D,"建筑安装工程费",'附表7-扣除项目明细采集底稿'!V:V,"直接归集成本费用",'附表7-扣除项目明细采集底稿'!AB:AB,"不可加计"),SUMIFS('附表7-扣除项目明细采集底稿'!X:X,'附表7-扣除项目明细采集底稿'!D:D,"基础设施费",'附表7-扣除项目明细采集底稿'!V:V,"直接归集成本费用",'附表7-扣除项目明细采集底稿'!AB:AB,"不可加计"),SUMIFS('附表7-扣除项目明细采集底稿'!X:X,'附表7-扣除项目明细采集底稿'!D:D,"公共配套设施费",'附表7-扣除项目明细采集底稿'!V:V,"直接归集成本费用",'附表7-扣除项目明细采集底稿'!AB:AB,"不可加计"),SUMIFS('附表7-扣除项目明细采集底稿'!X:X,'附表7-扣除项目明细采集底稿'!D:D,"开发间接费用",'附表7-扣除项目明细采集底稿'!V:V,"直接归集成本费用",'附表7-扣除项目明细采集底稿'!AB:AB,"不可加计"))</f>
        <v>0</v>
      </c>
      <c r="G75" s="325">
        <f>SUM(SUMIFS('附表7-扣除项目明细采集底稿'!Y:Y,'附表7-扣除项目明细采集底稿'!D:D,"土地征用及拆迁补偿费",'附表7-扣除项目明细采集底稿'!V:V,"直接归集成本费用",'附表7-扣除项目明细采集底稿'!AB:AB,"不可加计"),SUMIFS('附表7-扣除项目明细采集底稿'!Y:Y,'附表7-扣除项目明细采集底稿'!D:D,"前期工程费",'附表7-扣除项目明细采集底稿'!V:V,"直接归集成本费用",'附表7-扣除项目明细采集底稿'!AB:AB,"不可加计"),SUMIFS('附表7-扣除项目明细采集底稿'!Y:Y,'附表7-扣除项目明细采集底稿'!D:D,"建筑安装工程费",'附表7-扣除项目明细采集底稿'!V:V,"直接归集成本费用",'附表7-扣除项目明细采集底稿'!AB:AB,"不可加计"),SUMIFS('附表7-扣除项目明细采集底稿'!Y:Y,'附表7-扣除项目明细采集底稿'!D:D,"基础设施费",'附表7-扣除项目明细采集底稿'!V:V,"直接归集成本费用",'附表7-扣除项目明细采集底稿'!AB:AB,"不可加计"),SUMIFS('附表7-扣除项目明细采集底稿'!Y:Y,'附表7-扣除项目明细采集底稿'!D:D,"公共配套设施费",'附表7-扣除项目明细采集底稿'!V:V,"直接归集成本费用",'附表7-扣除项目明细采集底稿'!AB:AB,"不可加计"),SUMIFS('附表7-扣除项目明细采集底稿'!Y:Y,'附表7-扣除项目明细采集底稿'!D:D,"开发间接费用",'附表7-扣除项目明细采集底稿'!V:V,"直接归集成本费用",'附表7-扣除项目明细采集底稿'!AB:AB,"不可加计"))</f>
        <v>0</v>
      </c>
      <c r="H75" s="326">
        <f t="shared" ref="H75:H87" si="15">SUM(E75:G75)</f>
        <v>0</v>
      </c>
      <c r="I75" s="325">
        <f>SUM(SUMIFS('附表7-扣除项目明细采集底稿'!W:W,'附表7-扣除项目明细采集底稿'!D:D,"土地征用及拆迁补偿费",'附表7-扣除项目明细采集底稿'!V:V,"共同成本费用",'附表7-扣除项目明细采集底稿'!AB:AB,"不可加计"),SUMIFS('附表7-扣除项目明细采集底稿'!W:W,'附表7-扣除项目明细采集底稿'!D:D,"前期工程费",'附表7-扣除项目明细采集底稿'!V:V,"共同成本费用",'附表7-扣除项目明细采集底稿'!AB:AB,"不可加计"),SUMIFS('附表7-扣除项目明细采集底稿'!W:W,'附表7-扣除项目明细采集底稿'!D:D,"建筑安装工程费",'附表7-扣除项目明细采集底稿'!V:V,"共同成本费用",'附表7-扣除项目明细采集底稿'!AB:AB,"不可加计"),SUMIFS('附表7-扣除项目明细采集底稿'!W:W,'附表7-扣除项目明细采集底稿'!D:D,"基础设施费",'附表7-扣除项目明细采集底稿'!V:V,"共同成本费用",'附表7-扣除项目明细采集底稿'!AB:AB,"不可加计"),SUMIFS('附表7-扣除项目明细采集底稿'!W:W,'附表7-扣除项目明细采集底稿'!D:D,"公共配套设施费",'附表7-扣除项目明细采集底稿'!V:V,"共同成本费用",'附表7-扣除项目明细采集底稿'!AB:AB,"不可加计"),SUMIFS('附表7-扣除项目明细采集底稿'!W:W,'附表7-扣除项目明细采集底稿'!D:D,"开发间接费用",'附表7-扣除项目明细采集底稿'!V:V,"共同成本费用",'附表7-扣除项目明细采集底稿'!AB:AB,"不可加计"))</f>
        <v>0</v>
      </c>
      <c r="J75" s="325">
        <f>SUM(SUMIFS('附表7-扣除项目明细采集底稿'!X:X,'附表7-扣除项目明细采集底稿'!D:D,"土地征用及拆迁补偿费",'附表7-扣除项目明细采集底稿'!V:V,"共同成本费用",'附表7-扣除项目明细采集底稿'!AB:AB,"不可加计"),SUMIFS('附表7-扣除项目明细采集底稿'!X:X,'附表7-扣除项目明细采集底稿'!D:D,"前期工程费",'附表7-扣除项目明细采集底稿'!V:V,"共同成本费用",'附表7-扣除项目明细采集底稿'!AB:AB,"不可加计"),SUMIFS('附表7-扣除项目明细采集底稿'!X:X,'附表7-扣除项目明细采集底稿'!D:D,"建筑安装工程费",'附表7-扣除项目明细采集底稿'!V:V,"共同成本费用",'附表7-扣除项目明细采集底稿'!AB:AB,"不可加计"),SUMIFS('附表7-扣除项目明细采集底稿'!X:X,'附表7-扣除项目明细采集底稿'!D:D,"基础设施费",'附表7-扣除项目明细采集底稿'!V:V,"共同成本费用",'附表7-扣除项目明细采集底稿'!AB:AB,"不可加计"),SUMIFS('附表7-扣除项目明细采集底稿'!X:X,'附表7-扣除项目明细采集底稿'!D:D,"公共配套设施费",'附表7-扣除项目明细采集底稿'!V:V,"共同成本费用",'附表7-扣除项目明细采集底稿'!AB:AB,"不可加计"),SUMIFS('附表7-扣除项目明细采集底稿'!X:X,'附表7-扣除项目明细采集底稿'!D:D,"开发间接费用",'附表7-扣除项目明细采集底稿'!V:V,"共同成本费用",'附表7-扣除项目明细采集底稿'!AB:AB,"不可加计"))</f>
        <v>0</v>
      </c>
      <c r="K75" s="325">
        <f>SUM(SUMIFS('附表7-扣除项目明细采集底稿'!Y:Y,'附表7-扣除项目明细采集底稿'!D:D,"土地征用及拆迁补偿费",'附表7-扣除项目明细采集底稿'!V:V,"共同成本费用",'附表7-扣除项目明细采集底稿'!AB:AB,"不可加计"),SUMIFS('附表7-扣除项目明细采集底稿'!Y:Y,'附表7-扣除项目明细采集底稿'!D:D,"前期工程费",'附表7-扣除项目明细采集底稿'!V:V,"共同成本费用",'附表7-扣除项目明细采集底稿'!AB:AB,"不可加计"),SUMIFS('附表7-扣除项目明细采集底稿'!Y:Y,'附表7-扣除项目明细采集底稿'!D:D,"建筑安装工程费",'附表7-扣除项目明细采集底稿'!V:V,"共同成本费用",'附表7-扣除项目明细采集底稿'!AB:AB,"不可加计"),SUMIFS('附表7-扣除项目明细采集底稿'!Y:Y,'附表7-扣除项目明细采集底稿'!D:D,"基础设施费",'附表7-扣除项目明细采集底稿'!V:V,"共同成本费用",'附表7-扣除项目明细采集底稿'!AB:AB,"不可加计"),SUMIFS('附表7-扣除项目明细采集底稿'!Y:Y,'附表7-扣除项目明细采集底稿'!D:D,"公共配套设施费",'附表7-扣除项目明细采集底稿'!V:V,"共同成本费用",'附表7-扣除项目明细采集底稿'!AB:AB,"不可加计"),SUMIFS('附表7-扣除项目明细采集底稿'!Y:Y,'附表7-扣除项目明细采集底稿'!D:D,"开发间接费用",'附表7-扣除项目明细采集底稿'!V:V,"共同成本费用",'附表7-扣除项目明细采集底稿'!AB:AB,"不可加计"))</f>
        <v>0</v>
      </c>
      <c r="L75" s="326">
        <f t="shared" si="13"/>
        <v>0</v>
      </c>
      <c r="M75" s="326">
        <f t="shared" ref="M75:M87" si="16">H75+L75</f>
        <v>0</v>
      </c>
    </row>
    <row r="76" s="305" customFormat="1" ht="24" customHeight="1" spans="1:13">
      <c r="A76" s="323">
        <v>71</v>
      </c>
      <c r="B76" s="327" t="str">
        <f>数据对照表!I1</f>
        <v>房地产开发费用</v>
      </c>
      <c r="C76" s="327"/>
      <c r="D76" s="327"/>
      <c r="E76" s="325">
        <f>SUM(E77:E78)</f>
        <v>0</v>
      </c>
      <c r="F76" s="325">
        <f>SUM(F77:F78)</f>
        <v>0</v>
      </c>
      <c r="G76" s="325">
        <f>SUM(G77:G78)</f>
        <v>0</v>
      </c>
      <c r="H76" s="326">
        <f t="shared" si="15"/>
        <v>0</v>
      </c>
      <c r="I76" s="325">
        <f>SUM(I77:I78)</f>
        <v>3099213.345</v>
      </c>
      <c r="J76" s="325">
        <f>SUM(J77:J78)</f>
        <v>0</v>
      </c>
      <c r="K76" s="325">
        <f>SUM(K77:K78)</f>
        <v>0</v>
      </c>
      <c r="L76" s="326">
        <f t="shared" si="13"/>
        <v>3099213.345</v>
      </c>
      <c r="M76" s="326">
        <f t="shared" si="16"/>
        <v>3099213.345</v>
      </c>
    </row>
    <row r="77" s="305" customFormat="1" ht="24" customHeight="1" spans="1:13">
      <c r="A77" s="323">
        <v>72</v>
      </c>
      <c r="B77" s="323" t="s">
        <v>279</v>
      </c>
      <c r="C77" s="327" t="str">
        <f>数据对照表!I2</f>
        <v>利息支出</v>
      </c>
      <c r="D77" s="327" t="s">
        <v>281</v>
      </c>
      <c r="E77" s="325">
        <f>IF(D77="计算扣除",0,SUMIFS('附表7-扣除项目明细采集底稿'!W:W,'附表7-扣除项目明细采集底稿'!E:E,数据对照表!I2,'附表7-扣除项目明细采集底稿'!V:V,"直接归集成本费用"))</f>
        <v>0</v>
      </c>
      <c r="F77" s="325">
        <f>IF(D77="计算扣除",0,SUMIFS('附表7-扣除项目明细采集底稿'!X:X,'附表7-扣除项目明细采集底稿'!E:E,数据对照表!I2,'附表7-扣除项目明细采集底稿'!V:V,"直接归集成本费用"))</f>
        <v>0</v>
      </c>
      <c r="G77" s="325">
        <f>IF(D77="计算扣除",0,SUMIFS('附表7-扣除项目明细采集底稿'!Y:Y,'附表7-扣除项目明细采集底稿'!E:E,数据对照表!I2,'附表7-扣除项目明细采集底稿'!V:V,"直接归集成本费用"))</f>
        <v>0</v>
      </c>
      <c r="H77" s="326">
        <f t="shared" si="15"/>
        <v>0</v>
      </c>
      <c r="I77" s="325">
        <f>IF(D77="计算扣除",0,SUMIFS('附表7-扣除项目明细采集底稿'!W:W,'附表7-扣除项目明细采集底稿'!E:E,数据对照表!I2,'附表7-扣除项目明细采集底稿'!V:V,"共同成本费用"))</f>
        <v>0</v>
      </c>
      <c r="J77" s="325">
        <f>IF(D77="计算扣除",0,SUMIFS('附表7-扣除项目明细采集底稿'!X:X,'附表7-扣除项目明细采集底稿'!E:E,数据对照表!I2,'附表7-扣除项目明细采集底稿'!V:V,"共同成本费用"))</f>
        <v>0</v>
      </c>
      <c r="K77" s="325">
        <f>IF(D77="计算扣除",0,SUMIFS('附表7-扣除项目明细采集底稿'!Y:Y,'附表7-扣除项目明细采集底稿'!E:E,数据对照表!I2,'附表7-扣除项目明细采集底稿'!V:V,"共同成本费用"))</f>
        <v>0</v>
      </c>
      <c r="L77" s="326">
        <f t="shared" si="13"/>
        <v>0</v>
      </c>
      <c r="M77" s="326">
        <f t="shared" si="16"/>
        <v>0</v>
      </c>
    </row>
    <row r="78" s="305" customFormat="1" ht="24" customHeight="1" spans="1:13">
      <c r="A78" s="323">
        <v>73</v>
      </c>
      <c r="B78" s="323"/>
      <c r="C78" s="327" t="s">
        <v>282</v>
      </c>
      <c r="D78" s="327"/>
      <c r="E78" s="325">
        <f>IF($D$77="计算扣除",((E6-E10)+(E11-E75))*10%,((E6-E10)+(E11-E75))*5%)</f>
        <v>0</v>
      </c>
      <c r="F78" s="325">
        <f>IF($D$77="计算扣除",((F6-F10)+(F11-F75))*10%,((F6-F10)+(F11-F75))*5%)</f>
        <v>0</v>
      </c>
      <c r="G78" s="325">
        <f>IF($D$77="计算扣除",((G6-G10)+(G11-G75))*10%,((G6-G10)+(G11-G75))*5%)</f>
        <v>0</v>
      </c>
      <c r="H78" s="326">
        <f t="shared" si="15"/>
        <v>0</v>
      </c>
      <c r="I78" s="325">
        <f>IF($D$77="计算扣除",((I6-I10)+(I11-I75))*10%,((I6-I10)+(I11-I75))*5%)</f>
        <v>3099213.345</v>
      </c>
      <c r="J78" s="325">
        <f>IF($D$77="计算扣除",((J6-J10)+(J11-J75))*10%,((J6-J10)+(J11-J75))*5%)</f>
        <v>0</v>
      </c>
      <c r="K78" s="325">
        <f>IF($D$77="计算扣除",((K6-K10)+(K11-K75))*10%,((K6-K10)+(K11-K75))*5%)</f>
        <v>0</v>
      </c>
      <c r="L78" s="326">
        <f t="shared" si="13"/>
        <v>3099213.345</v>
      </c>
      <c r="M78" s="326">
        <f t="shared" si="16"/>
        <v>3099213.345</v>
      </c>
    </row>
    <row r="79" s="305" customFormat="1" ht="24" customHeight="1" spans="1:13">
      <c r="A79" s="323">
        <v>74</v>
      </c>
      <c r="B79" s="327" t="s">
        <v>283</v>
      </c>
      <c r="C79" s="327"/>
      <c r="D79" s="327"/>
      <c r="E79" s="325">
        <f>SUM(E80:E84)</f>
        <v>138467.795752294</v>
      </c>
      <c r="F79" s="325">
        <f>SUM(F80:F84)</f>
        <v>0</v>
      </c>
      <c r="G79" s="325">
        <f>SUM(G80:G84)</f>
        <v>0</v>
      </c>
      <c r="H79" s="326">
        <f t="shared" si="15"/>
        <v>138467.795752294</v>
      </c>
      <c r="I79" s="333"/>
      <c r="J79" s="333"/>
      <c r="K79" s="333"/>
      <c r="L79" s="333"/>
      <c r="M79" s="326">
        <f t="shared" si="16"/>
        <v>138467.795752294</v>
      </c>
    </row>
    <row r="80" s="305" customFormat="1" ht="24" customHeight="1" spans="1:13">
      <c r="A80" s="323">
        <v>75</v>
      </c>
      <c r="B80" s="323" t="s">
        <v>279</v>
      </c>
      <c r="C80" s="327" t="s">
        <v>284</v>
      </c>
      <c r="D80" s="327"/>
      <c r="E80" s="326">
        <v>0</v>
      </c>
      <c r="F80" s="326">
        <v>0</v>
      </c>
      <c r="G80" s="326">
        <v>0</v>
      </c>
      <c r="H80" s="326">
        <f t="shared" si="15"/>
        <v>0</v>
      </c>
      <c r="I80" s="333"/>
      <c r="J80" s="333"/>
      <c r="K80" s="333"/>
      <c r="L80" s="333"/>
      <c r="M80" s="326">
        <f t="shared" si="16"/>
        <v>0</v>
      </c>
    </row>
    <row r="81" s="305" customFormat="1" ht="24" customHeight="1" spans="1:13">
      <c r="A81" s="323">
        <v>76</v>
      </c>
      <c r="B81" s="323"/>
      <c r="C81" s="327" t="s">
        <v>285</v>
      </c>
      <c r="D81" s="327"/>
      <c r="E81" s="326">
        <v>67826.6966055046</v>
      </c>
      <c r="F81" s="326">
        <v>0</v>
      </c>
      <c r="G81" s="326">
        <v>0</v>
      </c>
      <c r="H81" s="326">
        <f t="shared" si="15"/>
        <v>67826.6966055046</v>
      </c>
      <c r="I81" s="333"/>
      <c r="J81" s="333"/>
      <c r="K81" s="333"/>
      <c r="L81" s="333"/>
      <c r="M81" s="326">
        <f t="shared" si="16"/>
        <v>67826.6966055046</v>
      </c>
    </row>
    <row r="82" s="305" customFormat="1" ht="24" customHeight="1" spans="1:13">
      <c r="A82" s="323">
        <v>77</v>
      </c>
      <c r="B82" s="323"/>
      <c r="C82" s="327" t="s">
        <v>286</v>
      </c>
      <c r="D82" s="327"/>
      <c r="E82" s="326">
        <v>29068.5756880734</v>
      </c>
      <c r="F82" s="326">
        <v>0</v>
      </c>
      <c r="G82" s="326">
        <v>0</v>
      </c>
      <c r="H82" s="326">
        <f t="shared" si="15"/>
        <v>29068.5756880734</v>
      </c>
      <c r="I82" s="333"/>
      <c r="J82" s="333"/>
      <c r="K82" s="333"/>
      <c r="L82" s="333"/>
      <c r="M82" s="326">
        <f t="shared" si="16"/>
        <v>29068.5756880734</v>
      </c>
    </row>
    <row r="83" s="305" customFormat="1" ht="24" customHeight="1" spans="1:13">
      <c r="A83" s="323">
        <v>78</v>
      </c>
      <c r="B83" s="323"/>
      <c r="C83" s="327" t="s">
        <v>287</v>
      </c>
      <c r="D83" s="327"/>
      <c r="E83" s="326">
        <v>19379.0504587156</v>
      </c>
      <c r="F83" s="326">
        <v>0</v>
      </c>
      <c r="G83" s="326">
        <v>0</v>
      </c>
      <c r="H83" s="326">
        <f t="shared" si="15"/>
        <v>19379.0504587156</v>
      </c>
      <c r="I83" s="333"/>
      <c r="J83" s="333"/>
      <c r="K83" s="333"/>
      <c r="L83" s="333"/>
      <c r="M83" s="326">
        <f t="shared" si="16"/>
        <v>19379.0504587156</v>
      </c>
    </row>
    <row r="84" s="305" customFormat="1" ht="24" customHeight="1" spans="1:13">
      <c r="A84" s="323">
        <v>79</v>
      </c>
      <c r="B84" s="323"/>
      <c r="C84" s="327" t="s">
        <v>288</v>
      </c>
      <c r="D84" s="327"/>
      <c r="E84" s="326">
        <v>22193.473</v>
      </c>
      <c r="F84" s="326">
        <v>0</v>
      </c>
      <c r="G84" s="326">
        <v>0</v>
      </c>
      <c r="H84" s="326">
        <f t="shared" si="15"/>
        <v>22193.473</v>
      </c>
      <c r="I84" s="333"/>
      <c r="J84" s="333"/>
      <c r="K84" s="333"/>
      <c r="L84" s="333"/>
      <c r="M84" s="326">
        <f t="shared" si="16"/>
        <v>22193.473</v>
      </c>
    </row>
    <row r="85" s="305" customFormat="1" ht="24" customHeight="1" spans="1:13">
      <c r="A85" s="323">
        <v>80</v>
      </c>
      <c r="B85" s="327" t="s">
        <v>289</v>
      </c>
      <c r="C85" s="327"/>
      <c r="D85" s="327"/>
      <c r="E85" s="325">
        <f>((E6-E10)+(E11-E75))*20%</f>
        <v>0</v>
      </c>
      <c r="F85" s="325">
        <f>((F6-F10)+(F11-F75))*20%</f>
        <v>0</v>
      </c>
      <c r="G85" s="325">
        <f>((G6-G10)+(G11-G75))*20%</f>
        <v>0</v>
      </c>
      <c r="H85" s="326">
        <f t="shared" si="15"/>
        <v>0</v>
      </c>
      <c r="I85" s="325">
        <f>((I6-I10)+(I11-I75))*20%</f>
        <v>6198426.69</v>
      </c>
      <c r="J85" s="325">
        <f>((J6-J10)+(J11-J75))*20%</f>
        <v>0</v>
      </c>
      <c r="K85" s="325">
        <f>((K6-K10)+(K11-K75))*20%</f>
        <v>0</v>
      </c>
      <c r="L85" s="326">
        <f t="shared" ref="L85:L87" si="17">SUM(I85:K85)</f>
        <v>6198426.69</v>
      </c>
      <c r="M85" s="326">
        <f t="shared" si="16"/>
        <v>6198426.69</v>
      </c>
    </row>
    <row r="86" s="305" customFormat="1" ht="24" customHeight="1" spans="1:13">
      <c r="A86" s="323">
        <v>81</v>
      </c>
      <c r="B86" s="327" t="s">
        <v>290</v>
      </c>
      <c r="C86" s="327"/>
      <c r="D86" s="327"/>
      <c r="E86" s="326">
        <v>0</v>
      </c>
      <c r="F86" s="326">
        <v>0</v>
      </c>
      <c r="G86" s="326">
        <v>0</v>
      </c>
      <c r="H86" s="326">
        <f t="shared" si="15"/>
        <v>0</v>
      </c>
      <c r="I86" s="326">
        <v>0</v>
      </c>
      <c r="J86" s="326">
        <v>0</v>
      </c>
      <c r="K86" s="326">
        <v>0</v>
      </c>
      <c r="L86" s="326">
        <f t="shared" si="17"/>
        <v>0</v>
      </c>
      <c r="M86" s="326">
        <f t="shared" si="16"/>
        <v>0</v>
      </c>
    </row>
    <row r="87" s="305" customFormat="1" ht="24" customHeight="1" spans="1:13">
      <c r="A87" s="323">
        <v>82</v>
      </c>
      <c r="B87" s="327" t="s">
        <v>109</v>
      </c>
      <c r="C87" s="327"/>
      <c r="D87" s="327"/>
      <c r="E87" s="325">
        <f>E6+E11+E76+E79+E85+SUM(E86)</f>
        <v>138467.795752294</v>
      </c>
      <c r="F87" s="325">
        <f>F6+F11+F76+F79+F85+SUM(F86)</f>
        <v>0</v>
      </c>
      <c r="G87" s="325">
        <f>G6+G11+G76+G79+G85+SUM(G86)</f>
        <v>0</v>
      </c>
      <c r="H87" s="326">
        <f t="shared" si="15"/>
        <v>138467.795752294</v>
      </c>
      <c r="I87" s="325">
        <f>I6+I11+I76+I79+I85+SUM(I86)</f>
        <v>40289773.485</v>
      </c>
      <c r="J87" s="325">
        <f>J6+J11+J76+J79+J85+SUM(J86)</f>
        <v>0</v>
      </c>
      <c r="K87" s="325">
        <f>K6+K11+K76+K79+K85+SUM(K86)</f>
        <v>0</v>
      </c>
      <c r="L87" s="326">
        <f t="shared" si="17"/>
        <v>40289773.485</v>
      </c>
      <c r="M87" s="326">
        <f t="shared" si="16"/>
        <v>40428241.2807523</v>
      </c>
    </row>
  </sheetData>
  <mergeCells count="41">
    <mergeCell ref="A1:M1"/>
    <mergeCell ref="A2:M2"/>
    <mergeCell ref="E3:H3"/>
    <mergeCell ref="I3:L3"/>
    <mergeCell ref="B6:D6"/>
    <mergeCell ref="C7:D7"/>
    <mergeCell ref="C8:D8"/>
    <mergeCell ref="C9:D9"/>
    <mergeCell ref="B10:D10"/>
    <mergeCell ref="B11:D11"/>
    <mergeCell ref="C12:D12"/>
    <mergeCell ref="C19:D19"/>
    <mergeCell ref="C29:D29"/>
    <mergeCell ref="C36:D36"/>
    <mergeCell ref="C48:D48"/>
    <mergeCell ref="C65:D65"/>
    <mergeCell ref="B75:D75"/>
    <mergeCell ref="B76:D76"/>
    <mergeCell ref="C78:D78"/>
    <mergeCell ref="B79:D79"/>
    <mergeCell ref="C80:D80"/>
    <mergeCell ref="C81:D81"/>
    <mergeCell ref="C82:D82"/>
    <mergeCell ref="C83:D83"/>
    <mergeCell ref="C84:D84"/>
    <mergeCell ref="B85:D85"/>
    <mergeCell ref="B86:D86"/>
    <mergeCell ref="B87:D87"/>
    <mergeCell ref="A3:A5"/>
    <mergeCell ref="B7:B9"/>
    <mergeCell ref="B12:B74"/>
    <mergeCell ref="B77:B78"/>
    <mergeCell ref="B80:B84"/>
    <mergeCell ref="C13:C18"/>
    <mergeCell ref="C20:C28"/>
    <mergeCell ref="C30:C35"/>
    <mergeCell ref="C37:C47"/>
    <mergeCell ref="C49:C64"/>
    <mergeCell ref="C66:C74"/>
    <mergeCell ref="M3:M4"/>
    <mergeCell ref="B3:D5"/>
  </mergeCells>
  <dataValidations count="2">
    <dataValidation allowBlank="1" showInputMessage="1" showErrorMessage="1" sqref="C77"/>
    <dataValidation type="list" allowBlank="1" showInputMessage="1" showErrorMessage="1" sqref="D77">
      <formula1>"据实扣除, 计算扣除"</formula1>
    </dataValidation>
  </dataValidations>
  <printOptions horizontalCentered="1"/>
  <pageMargins left="0.707638888888889" right="0.707638888888889" top="0.747916666666667" bottom="0.747916666666667" header="0.313888888888889" footer="0.313888888888889"/>
  <pageSetup paperSize="9" scale="58" fitToHeight="0" orientation="landscape"/>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222"/>
  <sheetViews>
    <sheetView topLeftCell="F23" workbookViewId="0">
      <selection activeCell="K12" sqref="K12:L12"/>
    </sheetView>
  </sheetViews>
  <sheetFormatPr defaultColWidth="5.6231884057971" defaultRowHeight="15"/>
  <cols>
    <col min="1" max="1" width="3.92028985507246" style="253" customWidth="1"/>
    <col min="2" max="2" width="9.2536231884058" style="253" customWidth="1"/>
    <col min="3" max="3" width="8.7536231884058" style="254" customWidth="1"/>
    <col min="4" max="5" width="8.1231884057971" style="253" customWidth="1"/>
    <col min="6" max="6" width="9.6231884057971" style="253" customWidth="1"/>
    <col min="7" max="7" width="11" style="253" customWidth="1"/>
    <col min="8" max="8" width="6.1231884057971" style="253" customWidth="1"/>
    <col min="9" max="9" width="8.1231884057971" style="253" customWidth="1"/>
    <col min="10" max="10" width="12.0797101449275" style="255" customWidth="1"/>
    <col min="11" max="11" width="9.42028985507246" style="253" customWidth="1"/>
    <col min="12" max="12" width="15.4202898550725" style="256" customWidth="1"/>
    <col min="13" max="13" width="8.1231884057971" style="253" customWidth="1"/>
    <col min="14" max="17" width="12" style="256" customWidth="1"/>
    <col min="18" max="18" width="5.20289855072464" style="253" customWidth="1"/>
    <col min="19" max="19" width="8.90579710144928" style="253" customWidth="1"/>
    <col min="20" max="20" width="12.7536231884058" style="257" customWidth="1"/>
    <col min="21" max="21" width="13.2826086956522" style="258" customWidth="1"/>
    <col min="22" max="22" width="12.4202898550725" style="256" customWidth="1"/>
    <col min="23" max="23" width="13.7028985507246" style="256" customWidth="1"/>
    <col min="24" max="24" width="13.2826086956522" style="256" customWidth="1"/>
    <col min="25" max="25" width="8.5" style="256" customWidth="1"/>
    <col min="26" max="26" width="6.5" style="253" customWidth="1"/>
    <col min="27" max="16384" width="5.6231884057971" style="259"/>
  </cols>
  <sheetData>
    <row r="1" ht="23.8" spans="1:26">
      <c r="A1" s="260" t="s">
        <v>291</v>
      </c>
      <c r="B1" s="260"/>
      <c r="C1" s="260"/>
      <c r="D1" s="260"/>
      <c r="E1" s="260"/>
      <c r="F1" s="260"/>
      <c r="G1" s="260"/>
      <c r="H1" s="260"/>
      <c r="I1" s="260"/>
      <c r="J1" s="261"/>
      <c r="K1" s="260"/>
      <c r="L1" s="262"/>
      <c r="M1" s="260"/>
      <c r="N1" s="262"/>
      <c r="O1" s="262"/>
      <c r="P1" s="262"/>
      <c r="Q1" s="262"/>
      <c r="R1" s="260"/>
      <c r="S1" s="260"/>
      <c r="T1" s="263"/>
      <c r="U1" s="264"/>
      <c r="V1" s="262"/>
      <c r="W1" s="262"/>
      <c r="X1" s="262"/>
      <c r="Y1" s="262"/>
      <c r="Z1" s="260"/>
    </row>
    <row r="2" s="249" customFormat="1" ht="14.4" spans="1:26">
      <c r="A2" s="55" t="str">
        <f>土地增值税税源明细表!F5&amp;"："&amp;土地增值税税源明细表!H5&amp;"          "&amp;土地增值税税源明细表!A5&amp;"："&amp;土地增值税税源明细表!B5&amp;"          "&amp;"金额单位:人民币元(列至角分)"</f>
        <v>项目编码：Z65280120200013          项目名称：春和景苑          金额单位:人民币元(列至角分)</v>
      </c>
      <c r="B2" s="55"/>
      <c r="C2" s="55"/>
      <c r="D2" s="55"/>
      <c r="E2" s="55"/>
      <c r="F2" s="55"/>
      <c r="G2" s="55"/>
      <c r="H2" s="55"/>
      <c r="I2" s="55"/>
      <c r="J2" s="265"/>
      <c r="K2" s="55"/>
      <c r="L2" s="266"/>
      <c r="M2" s="55"/>
      <c r="N2" s="266"/>
      <c r="O2" s="266"/>
      <c r="P2" s="266"/>
      <c r="Q2" s="266"/>
      <c r="R2" s="55"/>
      <c r="S2" s="55"/>
      <c r="T2" s="267"/>
      <c r="U2" s="268"/>
      <c r="V2" s="266"/>
      <c r="W2" s="266"/>
      <c r="X2" s="266"/>
      <c r="Y2" s="266"/>
      <c r="Z2" s="55"/>
    </row>
    <row r="3" s="250" customFormat="1" ht="23.8" spans="1:26">
      <c r="A3" s="269" t="s">
        <v>37</v>
      </c>
      <c r="B3" s="270" t="s">
        <v>292</v>
      </c>
      <c r="C3" s="270" t="s">
        <v>293</v>
      </c>
      <c r="D3" s="270" t="s">
        <v>294</v>
      </c>
      <c r="E3" s="270" t="s">
        <v>295</v>
      </c>
      <c r="F3" s="270" t="s">
        <v>47</v>
      </c>
      <c r="G3" s="270" t="s">
        <v>296</v>
      </c>
      <c r="H3" s="270" t="s">
        <v>297</v>
      </c>
      <c r="I3" s="271" t="s">
        <v>298</v>
      </c>
      <c r="J3" s="272" t="s">
        <v>299</v>
      </c>
      <c r="K3" s="271" t="s">
        <v>300</v>
      </c>
      <c r="L3" s="273" t="s">
        <v>301</v>
      </c>
      <c r="M3" s="270" t="s">
        <v>302</v>
      </c>
      <c r="N3" s="273" t="s">
        <v>303</v>
      </c>
      <c r="O3" s="273" t="s">
        <v>304</v>
      </c>
      <c r="P3" s="273" t="s">
        <v>305</v>
      </c>
      <c r="Q3" s="273" t="s">
        <v>306</v>
      </c>
      <c r="R3" s="270" t="s">
        <v>307</v>
      </c>
      <c r="S3" s="270" t="s">
        <v>308</v>
      </c>
      <c r="T3" s="274" t="s">
        <v>309</v>
      </c>
      <c r="U3" s="275" t="s">
        <v>310</v>
      </c>
      <c r="V3" s="273" t="s">
        <v>311</v>
      </c>
      <c r="W3" s="273" t="s">
        <v>312</v>
      </c>
      <c r="X3" s="276" t="s">
        <v>313</v>
      </c>
      <c r="Y3" s="273" t="s">
        <v>314</v>
      </c>
      <c r="Z3" s="270" t="s">
        <v>315</v>
      </c>
    </row>
    <row r="4" s="251" customFormat="1" ht="18" customHeight="1" spans="1:26">
      <c r="A4" s="277" t="s">
        <v>316</v>
      </c>
      <c r="B4" s="131" t="s">
        <v>317</v>
      </c>
      <c r="C4" s="131" t="s">
        <v>317</v>
      </c>
      <c r="D4" s="131" t="s">
        <v>317</v>
      </c>
      <c r="E4" s="131" t="s">
        <v>317</v>
      </c>
      <c r="F4" s="131" t="s">
        <v>317</v>
      </c>
      <c r="G4" s="131" t="s">
        <v>317</v>
      </c>
      <c r="H4" s="131" t="s">
        <v>317</v>
      </c>
      <c r="I4" s="131" t="s">
        <v>317</v>
      </c>
      <c r="J4" s="278" t="s">
        <v>317</v>
      </c>
      <c r="K4" s="131" t="s">
        <v>317</v>
      </c>
      <c r="L4" s="136">
        <f>SUM(L$7:L$1048576)</f>
        <v>44342824.11</v>
      </c>
      <c r="M4" s="131" t="s">
        <v>317</v>
      </c>
      <c r="N4" s="136">
        <f>SUM(N$7:N$1048576)</f>
        <v>14176.14</v>
      </c>
      <c r="O4" s="136">
        <f>SUM(O$7:O$1048576)</f>
        <v>0</v>
      </c>
      <c r="P4" s="136">
        <f>SUM(P$7:P$1048576)</f>
        <v>14176.14</v>
      </c>
      <c r="Q4" s="136">
        <f>SUM(Q$7:Q$1048576)</f>
        <v>0</v>
      </c>
      <c r="R4" s="131" t="s">
        <v>317</v>
      </c>
      <c r="S4" s="131" t="s">
        <v>317</v>
      </c>
      <c r="T4" s="279" t="s">
        <v>317</v>
      </c>
      <c r="U4" s="280">
        <f>SUM(U$7:U$1048576)</f>
        <v>40721947.9578899</v>
      </c>
      <c r="V4" s="136">
        <f>SUM(V$7:V$1048576)</f>
        <v>3664975.42</v>
      </c>
      <c r="W4" s="136">
        <f>SUM(W$7:W$1048576)</f>
        <v>44386923.3778899</v>
      </c>
      <c r="X4" s="136">
        <f>SUM(X$7:X$1048576)</f>
        <v>40721947.9578899</v>
      </c>
      <c r="Y4" s="281">
        <f>IF(SUMIFS(X$7:X$1048576,H$7:H$1048576,"已售")=0,"*",ROUND(SUMIFS(X$7:X$1048576,H$7:H$1048576,"已售")/SUMIFS(P$7:P$1048576,H$7:H$1048576,"已售"),2))</f>
        <v>3467.28</v>
      </c>
      <c r="Z4" s="131" t="s">
        <v>317</v>
      </c>
    </row>
    <row r="5" s="252" customFormat="1" ht="18" customHeight="1" spans="1:26">
      <c r="A5" s="277" t="s">
        <v>318</v>
      </c>
      <c r="B5" s="131" t="s">
        <v>317</v>
      </c>
      <c r="C5" s="131" t="s">
        <v>317</v>
      </c>
      <c r="D5" s="131" t="s">
        <v>317</v>
      </c>
      <c r="E5" s="131" t="s">
        <v>317</v>
      </c>
      <c r="F5" s="131" t="s">
        <v>317</v>
      </c>
      <c r="G5" s="131" t="s">
        <v>317</v>
      </c>
      <c r="H5" s="131" t="s">
        <v>317</v>
      </c>
      <c r="I5" s="131" t="s">
        <v>317</v>
      </c>
      <c r="J5" s="278" t="s">
        <v>317</v>
      </c>
      <c r="K5" s="131" t="s">
        <v>317</v>
      </c>
      <c r="L5" s="136">
        <f>SUBTOTAL(9,L$7:L$1048576)</f>
        <v>44342824.11</v>
      </c>
      <c r="M5" s="131" t="s">
        <v>317</v>
      </c>
      <c r="N5" s="136">
        <f>SUBTOTAL(9,N$7:N$1048576)</f>
        <v>14176.14</v>
      </c>
      <c r="O5" s="136">
        <f>SUBTOTAL(9,O$7:O$1048576)</f>
        <v>0</v>
      </c>
      <c r="P5" s="136">
        <f>SUBTOTAL(9,P$7:P$1048576)</f>
        <v>14176.14</v>
      </c>
      <c r="Q5" s="136">
        <f>SUBTOTAL(9,Q$7:Q$1048576)</f>
        <v>0</v>
      </c>
      <c r="R5" s="131" t="s">
        <v>317</v>
      </c>
      <c r="S5" s="131" t="s">
        <v>317</v>
      </c>
      <c r="T5" s="279" t="s">
        <v>317</v>
      </c>
      <c r="U5" s="280">
        <f>SUBTOTAL(9,U$7:U$1048576)</f>
        <v>40721947.9578899</v>
      </c>
      <c r="V5" s="136">
        <f>SUBTOTAL(9,V$7:V$1048576)</f>
        <v>3664975.42</v>
      </c>
      <c r="W5" s="136">
        <f>SUBTOTAL(9,W$7:W$1048576)</f>
        <v>44386923.3778899</v>
      </c>
      <c r="X5" s="136">
        <f>SUBTOTAL(9,X$7:X$1048576)</f>
        <v>40721947.9578899</v>
      </c>
      <c r="Y5" s="281">
        <f>IF(AND(SUBTOTAL(3,K$7:K$1048576)=SUBTOTAL(3,P$7:P$1048576),SUBTOTAL(9,P$7:P$1048576)&lt;&gt;0),ROUND(SUBTOTAL(9,X$7:X$1048576)/SUBTOTAL(9,P$7:P$1048576),2),"*")</f>
        <v>2872.57</v>
      </c>
      <c r="Z5" s="131" t="s">
        <v>317</v>
      </c>
    </row>
    <row r="6" s="252" customFormat="1" ht="23.8" spans="1:26">
      <c r="A6" s="282" t="s">
        <v>319</v>
      </c>
      <c r="B6" s="507" t="s">
        <v>42</v>
      </c>
      <c r="C6" s="507" t="s">
        <v>80</v>
      </c>
      <c r="D6" s="507" t="s">
        <v>83</v>
      </c>
      <c r="E6" s="507" t="s">
        <v>213</v>
      </c>
      <c r="F6" s="507" t="s">
        <v>244</v>
      </c>
      <c r="G6" s="507" t="s">
        <v>215</v>
      </c>
      <c r="H6" s="507" t="s">
        <v>216</v>
      </c>
      <c r="I6" s="507" t="s">
        <v>217</v>
      </c>
      <c r="J6" s="512" t="s">
        <v>224</v>
      </c>
      <c r="K6" s="507" t="s">
        <v>225</v>
      </c>
      <c r="L6" s="506" t="s">
        <v>253</v>
      </c>
      <c r="M6" s="507" t="s">
        <v>227</v>
      </c>
      <c r="N6" s="506" t="s">
        <v>320</v>
      </c>
      <c r="O6" s="506" t="s">
        <v>229</v>
      </c>
      <c r="P6" s="506" t="s">
        <v>321</v>
      </c>
      <c r="Q6" s="506" t="s">
        <v>257</v>
      </c>
      <c r="R6" s="507" t="s">
        <v>258</v>
      </c>
      <c r="S6" s="507" t="s">
        <v>259</v>
      </c>
      <c r="T6" s="513" t="s">
        <v>261</v>
      </c>
      <c r="U6" s="514" t="s">
        <v>263</v>
      </c>
      <c r="V6" s="506" t="s">
        <v>322</v>
      </c>
      <c r="W6" s="506" t="s">
        <v>323</v>
      </c>
      <c r="X6" s="506" t="s">
        <v>324</v>
      </c>
      <c r="Y6" s="506" t="s">
        <v>325</v>
      </c>
      <c r="Z6" s="507" t="s">
        <v>326</v>
      </c>
    </row>
    <row r="7" s="249" customFormat="1" spans="1:26">
      <c r="A7" s="285" t="s">
        <v>42</v>
      </c>
      <c r="B7" s="286" t="s">
        <v>42</v>
      </c>
      <c r="C7" s="286" t="s">
        <v>42</v>
      </c>
      <c r="D7" s="287" t="s">
        <v>42</v>
      </c>
      <c r="E7" s="286" t="s">
        <v>327</v>
      </c>
      <c r="F7" s="286" t="s">
        <v>112</v>
      </c>
      <c r="G7" s="285" t="s">
        <v>145</v>
      </c>
      <c r="H7" s="287" t="s">
        <v>328</v>
      </c>
      <c r="I7" s="287"/>
      <c r="J7" s="288" t="s">
        <v>112</v>
      </c>
      <c r="K7" s="289" t="s">
        <v>112</v>
      </c>
      <c r="L7" s="290" t="s">
        <v>112</v>
      </c>
      <c r="M7" s="287" t="s">
        <v>112</v>
      </c>
      <c r="N7" s="290">
        <v>120.69</v>
      </c>
      <c r="O7" s="290" t="s">
        <v>112</v>
      </c>
      <c r="P7" s="290">
        <v>120.69</v>
      </c>
      <c r="Q7" s="290"/>
      <c r="R7" s="290"/>
      <c r="S7" s="291"/>
      <c r="T7" s="292"/>
      <c r="U7" s="293"/>
      <c r="V7" s="290"/>
      <c r="W7" s="290">
        <f>ROUND(V7*0.09,2)</f>
        <v>0</v>
      </c>
      <c r="X7" s="290">
        <f>SUM(V7)+SUM(W7)</f>
        <v>0</v>
      </c>
      <c r="Y7" s="290"/>
      <c r="Z7" s="290" t="str">
        <f>IF(SUM(Q7)=0,"",ROUND(SUM(Y7)/SUM(Q7),2))</f>
        <v/>
      </c>
    </row>
    <row r="8" s="249" customFormat="1" spans="1:26">
      <c r="A8" s="285" t="s">
        <v>80</v>
      </c>
      <c r="B8" s="294" t="s">
        <v>42</v>
      </c>
      <c r="C8" s="294" t="s">
        <v>42</v>
      </c>
      <c r="D8" s="285" t="s">
        <v>42</v>
      </c>
      <c r="E8" s="294" t="s">
        <v>329</v>
      </c>
      <c r="F8" s="294" t="s">
        <v>112</v>
      </c>
      <c r="G8" s="285" t="s">
        <v>145</v>
      </c>
      <c r="H8" s="285" t="s">
        <v>330</v>
      </c>
      <c r="I8" s="285" t="s">
        <v>233</v>
      </c>
      <c r="J8" s="295">
        <v>20200009952</v>
      </c>
      <c r="K8" s="296" t="s">
        <v>331</v>
      </c>
      <c r="L8" s="297">
        <v>509082</v>
      </c>
      <c r="M8" s="285" t="s">
        <v>332</v>
      </c>
      <c r="N8" s="297">
        <v>109.48</v>
      </c>
      <c r="O8" s="297" t="s">
        <v>112</v>
      </c>
      <c r="P8" s="290">
        <v>109.48</v>
      </c>
      <c r="Q8" s="290"/>
      <c r="R8" s="290"/>
      <c r="S8" s="515" t="s">
        <v>333</v>
      </c>
      <c r="T8" s="298" t="s">
        <v>334</v>
      </c>
      <c r="U8" s="299">
        <v>467047.71</v>
      </c>
      <c r="V8" s="290">
        <f t="shared" ref="V8:V42" si="0">ROUND(U8*0.09,2)</f>
        <v>42034.29</v>
      </c>
      <c r="W8" s="290">
        <f t="shared" ref="W8:W42" si="1">SUM(U8)+SUM(V8)</f>
        <v>509082</v>
      </c>
      <c r="X8" s="290">
        <f>U8</f>
        <v>467047.71</v>
      </c>
      <c r="Y8" s="290">
        <f t="shared" ref="Y8:Y42" si="2">IF(SUM(P8)=0,"",ROUND(SUM(X8)/SUM(P8),2))</f>
        <v>4266.06</v>
      </c>
      <c r="Z8" s="290"/>
    </row>
    <row r="9" ht="23.8" spans="1:26">
      <c r="A9" s="285" t="s">
        <v>83</v>
      </c>
      <c r="B9" s="294" t="s">
        <v>42</v>
      </c>
      <c r="C9" s="294" t="s">
        <v>42</v>
      </c>
      <c r="D9" s="285" t="s">
        <v>80</v>
      </c>
      <c r="E9" s="294" t="s">
        <v>335</v>
      </c>
      <c r="F9" s="294" t="s">
        <v>112</v>
      </c>
      <c r="G9" s="285" t="s">
        <v>145</v>
      </c>
      <c r="H9" s="285" t="s">
        <v>330</v>
      </c>
      <c r="I9" s="285" t="s">
        <v>233</v>
      </c>
      <c r="J9" s="295">
        <v>20210000298</v>
      </c>
      <c r="K9" s="296" t="s">
        <v>336</v>
      </c>
      <c r="L9" s="297">
        <v>402743</v>
      </c>
      <c r="M9" s="285" t="s">
        <v>337</v>
      </c>
      <c r="N9" s="297">
        <v>120.69</v>
      </c>
      <c r="O9" s="297" t="s">
        <v>112</v>
      </c>
      <c r="P9" s="290">
        <v>120.69</v>
      </c>
      <c r="Q9" s="290"/>
      <c r="R9" s="290"/>
      <c r="S9" s="515" t="s">
        <v>333</v>
      </c>
      <c r="T9" s="300" t="s">
        <v>338</v>
      </c>
      <c r="U9" s="299">
        <v>369488.99</v>
      </c>
      <c r="V9" s="290">
        <f t="shared" si="0"/>
        <v>33254.01</v>
      </c>
      <c r="W9" s="290">
        <f t="shared" si="1"/>
        <v>402743</v>
      </c>
      <c r="X9" s="290">
        <f t="shared" ref="X8:X16" si="3">U9</f>
        <v>369488.99</v>
      </c>
      <c r="Y9" s="290">
        <f t="shared" si="2"/>
        <v>3061.47</v>
      </c>
      <c r="Z9" s="290"/>
    </row>
    <row r="10" ht="23.8" spans="1:26">
      <c r="A10" s="285" t="s">
        <v>213</v>
      </c>
      <c r="B10" s="294" t="s">
        <v>42</v>
      </c>
      <c r="C10" s="294" t="s">
        <v>42</v>
      </c>
      <c r="D10" s="285" t="s">
        <v>80</v>
      </c>
      <c r="E10" s="294" t="s">
        <v>339</v>
      </c>
      <c r="F10" s="294" t="s">
        <v>112</v>
      </c>
      <c r="G10" s="285" t="s">
        <v>145</v>
      </c>
      <c r="H10" s="285" t="s">
        <v>330</v>
      </c>
      <c r="I10" s="285" t="s">
        <v>233</v>
      </c>
      <c r="J10" s="295">
        <v>20210000265</v>
      </c>
      <c r="K10" s="296" t="s">
        <v>336</v>
      </c>
      <c r="L10" s="297">
        <v>383180</v>
      </c>
      <c r="M10" s="285" t="s">
        <v>340</v>
      </c>
      <c r="N10" s="297">
        <v>109.48</v>
      </c>
      <c r="O10" s="297" t="s">
        <v>112</v>
      </c>
      <c r="P10" s="290">
        <v>109.48</v>
      </c>
      <c r="Q10" s="290"/>
      <c r="R10" s="290"/>
      <c r="S10" s="515" t="s">
        <v>341</v>
      </c>
      <c r="T10" s="516" t="s">
        <v>342</v>
      </c>
      <c r="U10" s="299">
        <v>351541.28</v>
      </c>
      <c r="V10" s="290">
        <f t="shared" si="0"/>
        <v>31638.72</v>
      </c>
      <c r="W10" s="290">
        <f t="shared" si="1"/>
        <v>383180</v>
      </c>
      <c r="X10" s="290">
        <f t="shared" si="3"/>
        <v>351541.28</v>
      </c>
      <c r="Y10" s="290">
        <f t="shared" si="2"/>
        <v>3211.01</v>
      </c>
      <c r="Z10" s="290"/>
    </row>
    <row r="11" spans="1:26">
      <c r="A11" s="285" t="s">
        <v>244</v>
      </c>
      <c r="B11" s="286" t="s">
        <v>42</v>
      </c>
      <c r="C11" s="286" t="s">
        <v>42</v>
      </c>
      <c r="D11" s="287" t="s">
        <v>83</v>
      </c>
      <c r="E11" s="286" t="s">
        <v>343</v>
      </c>
      <c r="F11" s="286" t="s">
        <v>112</v>
      </c>
      <c r="G11" s="285" t="s">
        <v>145</v>
      </c>
      <c r="H11" s="287" t="s">
        <v>330</v>
      </c>
      <c r="I11" s="285" t="s">
        <v>233</v>
      </c>
      <c r="J11" s="288">
        <v>20200012337</v>
      </c>
      <c r="K11" s="289" t="s">
        <v>344</v>
      </c>
      <c r="L11" s="290">
        <v>393174</v>
      </c>
      <c r="M11" s="287" t="s">
        <v>345</v>
      </c>
      <c r="N11" s="290">
        <v>120.69</v>
      </c>
      <c r="O11" s="290" t="s">
        <v>112</v>
      </c>
      <c r="P11" s="290">
        <v>120.69</v>
      </c>
      <c r="Q11" s="290"/>
      <c r="R11" s="290"/>
      <c r="S11" s="515" t="s">
        <v>341</v>
      </c>
      <c r="T11" s="300" t="s">
        <v>346</v>
      </c>
      <c r="U11" s="299">
        <v>360710.09</v>
      </c>
      <c r="V11" s="290">
        <f t="shared" si="0"/>
        <v>32463.91</v>
      </c>
      <c r="W11" s="290">
        <f t="shared" si="1"/>
        <v>393174</v>
      </c>
      <c r="X11" s="290">
        <f t="shared" si="3"/>
        <v>360710.09</v>
      </c>
      <c r="Y11" s="290">
        <f t="shared" si="2"/>
        <v>2988.73</v>
      </c>
      <c r="Z11" s="290"/>
    </row>
    <row r="12" spans="1:26">
      <c r="A12" s="285" t="s">
        <v>215</v>
      </c>
      <c r="B12" s="294" t="s">
        <v>42</v>
      </c>
      <c r="C12" s="294" t="s">
        <v>42</v>
      </c>
      <c r="D12" s="285" t="s">
        <v>83</v>
      </c>
      <c r="E12" s="294" t="s">
        <v>347</v>
      </c>
      <c r="F12" s="294" t="s">
        <v>112</v>
      </c>
      <c r="G12" s="285" t="s">
        <v>145</v>
      </c>
      <c r="H12" s="285" t="s">
        <v>330</v>
      </c>
      <c r="I12" s="285" t="s">
        <v>233</v>
      </c>
      <c r="J12" s="295">
        <v>20200004260</v>
      </c>
      <c r="K12" s="296" t="s">
        <v>348</v>
      </c>
      <c r="L12" s="297">
        <v>394128</v>
      </c>
      <c r="M12" s="285" t="s">
        <v>349</v>
      </c>
      <c r="N12" s="297">
        <v>109.48</v>
      </c>
      <c r="O12" s="297" t="s">
        <v>112</v>
      </c>
      <c r="P12" s="290">
        <v>109.48</v>
      </c>
      <c r="Q12" s="290"/>
      <c r="R12" s="290"/>
      <c r="S12" s="515" t="s">
        <v>341</v>
      </c>
      <c r="T12" s="300" t="s">
        <v>350</v>
      </c>
      <c r="U12" s="299">
        <v>361585.32</v>
      </c>
      <c r="V12" s="290">
        <f t="shared" si="0"/>
        <v>32542.68</v>
      </c>
      <c r="W12" s="290">
        <f t="shared" si="1"/>
        <v>394128</v>
      </c>
      <c r="X12" s="290">
        <f t="shared" si="3"/>
        <v>361585.32</v>
      </c>
      <c r="Y12" s="290">
        <f t="shared" si="2"/>
        <v>3302.75</v>
      </c>
      <c r="Z12" s="290"/>
    </row>
    <row r="13" ht="23.8" spans="1:26">
      <c r="A13" s="285" t="s">
        <v>216</v>
      </c>
      <c r="B13" s="294" t="s">
        <v>42</v>
      </c>
      <c r="C13" s="294" t="s">
        <v>42</v>
      </c>
      <c r="D13" s="285" t="s">
        <v>213</v>
      </c>
      <c r="E13" s="294" t="s">
        <v>351</v>
      </c>
      <c r="F13" s="294" t="s">
        <v>112</v>
      </c>
      <c r="G13" s="285" t="s">
        <v>145</v>
      </c>
      <c r="H13" s="285" t="s">
        <v>330</v>
      </c>
      <c r="I13" s="285" t="s">
        <v>233</v>
      </c>
      <c r="J13" s="295">
        <v>20210000304</v>
      </c>
      <c r="K13" s="296" t="s">
        <v>352</v>
      </c>
      <c r="L13" s="297">
        <v>417587</v>
      </c>
      <c r="M13" s="285" t="s">
        <v>353</v>
      </c>
      <c r="N13" s="297">
        <v>120.69</v>
      </c>
      <c r="O13" s="297" t="s">
        <v>112</v>
      </c>
      <c r="P13" s="290">
        <v>120.69</v>
      </c>
      <c r="Q13" s="290"/>
      <c r="R13" s="290"/>
      <c r="S13" s="515" t="s">
        <v>341</v>
      </c>
      <c r="T13" s="301" t="s">
        <v>354</v>
      </c>
      <c r="U13" s="299">
        <v>383107.34</v>
      </c>
      <c r="V13" s="290">
        <f t="shared" si="0"/>
        <v>34479.66</v>
      </c>
      <c r="W13" s="290">
        <f t="shared" si="1"/>
        <v>417587</v>
      </c>
      <c r="X13" s="290">
        <f t="shared" si="3"/>
        <v>383107.34</v>
      </c>
      <c r="Y13" s="290">
        <f t="shared" si="2"/>
        <v>3174.31</v>
      </c>
      <c r="Z13" s="290"/>
    </row>
    <row r="14" ht="15.05" spans="1:26">
      <c r="A14" s="285" t="s">
        <v>217</v>
      </c>
      <c r="B14" s="294" t="s">
        <v>42</v>
      </c>
      <c r="C14" s="294" t="s">
        <v>42</v>
      </c>
      <c r="D14" s="285" t="s">
        <v>213</v>
      </c>
      <c r="E14" s="294" t="s">
        <v>355</v>
      </c>
      <c r="F14" s="294" t="s">
        <v>112</v>
      </c>
      <c r="G14" s="285" t="s">
        <v>145</v>
      </c>
      <c r="H14" s="285" t="s">
        <v>330</v>
      </c>
      <c r="I14" s="285" t="s">
        <v>233</v>
      </c>
      <c r="J14" s="295">
        <v>20200006986</v>
      </c>
      <c r="K14" s="296" t="s">
        <v>356</v>
      </c>
      <c r="L14" s="297">
        <v>394128</v>
      </c>
      <c r="M14" s="285" t="s">
        <v>357</v>
      </c>
      <c r="N14" s="297">
        <v>109.48</v>
      </c>
      <c r="O14" s="297" t="s">
        <v>112</v>
      </c>
      <c r="P14" s="290">
        <v>109.48</v>
      </c>
      <c r="Q14" s="290"/>
      <c r="R14" s="290"/>
      <c r="S14" s="515" t="s">
        <v>341</v>
      </c>
      <c r="T14" s="301" t="s">
        <v>358</v>
      </c>
      <c r="U14" s="299">
        <v>361585.32</v>
      </c>
      <c r="V14" s="290">
        <f t="shared" si="0"/>
        <v>32542.68</v>
      </c>
      <c r="W14" s="290">
        <f t="shared" si="1"/>
        <v>394128</v>
      </c>
      <c r="X14" s="290">
        <f t="shared" si="3"/>
        <v>361585.32</v>
      </c>
      <c r="Y14" s="290">
        <f t="shared" si="2"/>
        <v>3302.75</v>
      </c>
      <c r="Z14" s="290"/>
    </row>
    <row r="15" ht="15.05" spans="1:26">
      <c r="A15" s="285" t="s">
        <v>224</v>
      </c>
      <c r="B15" s="294" t="s">
        <v>42</v>
      </c>
      <c r="C15" s="294" t="s">
        <v>42</v>
      </c>
      <c r="D15" s="285" t="s">
        <v>244</v>
      </c>
      <c r="E15" s="294" t="s">
        <v>359</v>
      </c>
      <c r="F15" s="294" t="s">
        <v>112</v>
      </c>
      <c r="G15" s="285" t="s">
        <v>145</v>
      </c>
      <c r="H15" s="285" t="s">
        <v>330</v>
      </c>
      <c r="I15" s="285" t="s">
        <v>233</v>
      </c>
      <c r="J15" s="295">
        <v>20210002758</v>
      </c>
      <c r="K15" s="296" t="s">
        <v>360</v>
      </c>
      <c r="L15" s="297">
        <v>398277</v>
      </c>
      <c r="M15" s="285" t="s">
        <v>361</v>
      </c>
      <c r="N15" s="297">
        <v>120.69</v>
      </c>
      <c r="O15" s="297" t="s">
        <v>112</v>
      </c>
      <c r="P15" s="290">
        <v>120.69</v>
      </c>
      <c r="Q15" s="290"/>
      <c r="R15" s="290"/>
      <c r="S15" s="515" t="s">
        <v>341</v>
      </c>
      <c r="T15" s="301" t="s">
        <v>362</v>
      </c>
      <c r="U15" s="299">
        <v>365391.74</v>
      </c>
      <c r="V15" s="290">
        <f t="shared" si="0"/>
        <v>32885.26</v>
      </c>
      <c r="W15" s="290">
        <f t="shared" si="1"/>
        <v>398277</v>
      </c>
      <c r="X15" s="290">
        <f t="shared" si="3"/>
        <v>365391.74</v>
      </c>
      <c r="Y15" s="290">
        <f t="shared" si="2"/>
        <v>3027.52</v>
      </c>
      <c r="Z15" s="290"/>
    </row>
    <row r="16" ht="15.05" spans="1:26">
      <c r="A16" s="285" t="s">
        <v>225</v>
      </c>
      <c r="B16" s="294" t="s">
        <v>42</v>
      </c>
      <c r="C16" s="294" t="s">
        <v>42</v>
      </c>
      <c r="D16" s="285" t="s">
        <v>244</v>
      </c>
      <c r="E16" s="294" t="s">
        <v>363</v>
      </c>
      <c r="F16" s="294" t="s">
        <v>112</v>
      </c>
      <c r="G16" s="285" t="s">
        <v>145</v>
      </c>
      <c r="H16" s="285" t="s">
        <v>330</v>
      </c>
      <c r="I16" s="285" t="s">
        <v>233</v>
      </c>
      <c r="J16" s="295">
        <v>20200009940</v>
      </c>
      <c r="K16" s="296" t="s">
        <v>331</v>
      </c>
      <c r="L16" s="297">
        <v>361284</v>
      </c>
      <c r="M16" s="285" t="s">
        <v>364</v>
      </c>
      <c r="N16" s="297">
        <v>109.48</v>
      </c>
      <c r="O16" s="297" t="s">
        <v>112</v>
      </c>
      <c r="P16" s="290">
        <v>109.48</v>
      </c>
      <c r="Q16" s="290"/>
      <c r="R16" s="290"/>
      <c r="S16" s="515" t="s">
        <v>333</v>
      </c>
      <c r="T16" s="301" t="s">
        <v>365</v>
      </c>
      <c r="U16" s="299">
        <v>331453.21</v>
      </c>
      <c r="V16" s="290">
        <f t="shared" si="0"/>
        <v>29830.79</v>
      </c>
      <c r="W16" s="290">
        <f t="shared" si="1"/>
        <v>361284</v>
      </c>
      <c r="X16" s="290">
        <f t="shared" si="3"/>
        <v>331453.21</v>
      </c>
      <c r="Y16" s="290">
        <f t="shared" si="2"/>
        <v>3027.52</v>
      </c>
      <c r="Z16" s="290"/>
    </row>
    <row r="17" ht="15.65" spans="1:26">
      <c r="A17" s="285" t="s">
        <v>253</v>
      </c>
      <c r="B17" s="294" t="s">
        <v>42</v>
      </c>
      <c r="C17" s="294" t="s">
        <v>42</v>
      </c>
      <c r="D17" s="285" t="s">
        <v>215</v>
      </c>
      <c r="E17" s="294" t="s">
        <v>366</v>
      </c>
      <c r="F17" s="294" t="s">
        <v>112</v>
      </c>
      <c r="G17" s="285" t="s">
        <v>145</v>
      </c>
      <c r="H17" s="285" t="s">
        <v>330</v>
      </c>
      <c r="I17" s="285" t="s">
        <v>233</v>
      </c>
      <c r="J17" s="295">
        <v>20250003112</v>
      </c>
      <c r="K17" s="296" t="s">
        <v>367</v>
      </c>
      <c r="L17" s="297">
        <v>581364</v>
      </c>
      <c r="M17" s="285" t="s">
        <v>368</v>
      </c>
      <c r="N17" s="297">
        <v>120.69</v>
      </c>
      <c r="O17" s="297" t="s">
        <v>112</v>
      </c>
      <c r="P17" s="290">
        <v>120.69</v>
      </c>
      <c r="Q17" s="290"/>
      <c r="R17" s="290"/>
      <c r="S17" s="291"/>
      <c r="T17" s="302" t="s">
        <v>369</v>
      </c>
      <c r="U17" s="299">
        <v>533361.467889908</v>
      </c>
      <c r="V17" s="290">
        <f t="shared" si="0"/>
        <v>48002.53</v>
      </c>
      <c r="W17" s="290">
        <f t="shared" si="1"/>
        <v>581363.997889908</v>
      </c>
      <c r="X17" s="290">
        <f>L17/1.09</f>
        <v>533361.467889908</v>
      </c>
      <c r="Y17" s="290">
        <f t="shared" si="2"/>
        <v>4419.27</v>
      </c>
      <c r="Z17" s="290"/>
    </row>
    <row r="18" ht="23.8" spans="1:26">
      <c r="A18" s="285" t="s">
        <v>227</v>
      </c>
      <c r="B18" s="294" t="s">
        <v>42</v>
      </c>
      <c r="C18" s="294" t="s">
        <v>42</v>
      </c>
      <c r="D18" s="285" t="s">
        <v>215</v>
      </c>
      <c r="E18" s="294" t="s">
        <v>370</v>
      </c>
      <c r="F18" s="294" t="s">
        <v>112</v>
      </c>
      <c r="G18" s="285" t="s">
        <v>145</v>
      </c>
      <c r="H18" s="285" t="s">
        <v>330</v>
      </c>
      <c r="I18" s="285" t="s">
        <v>233</v>
      </c>
      <c r="J18" s="295">
        <v>20210000272</v>
      </c>
      <c r="K18" s="296" t="s">
        <v>336</v>
      </c>
      <c r="L18" s="297">
        <v>372232</v>
      </c>
      <c r="M18" s="285" t="s">
        <v>371</v>
      </c>
      <c r="N18" s="297">
        <v>109.48</v>
      </c>
      <c r="O18" s="297" t="s">
        <v>112</v>
      </c>
      <c r="P18" s="290">
        <v>109.48</v>
      </c>
      <c r="Q18" s="290"/>
      <c r="R18" s="290"/>
      <c r="S18" s="515" t="s">
        <v>341</v>
      </c>
      <c r="T18" s="301" t="s">
        <v>372</v>
      </c>
      <c r="U18" s="299">
        <v>341497.25</v>
      </c>
      <c r="V18" s="290">
        <f t="shared" si="0"/>
        <v>30734.75</v>
      </c>
      <c r="W18" s="290">
        <f t="shared" si="1"/>
        <v>372232</v>
      </c>
      <c r="X18" s="290">
        <f t="shared" ref="X18:X42" si="4">U18</f>
        <v>341497.25</v>
      </c>
      <c r="Y18" s="290">
        <f t="shared" si="2"/>
        <v>3119.27</v>
      </c>
      <c r="Z18" s="290"/>
    </row>
    <row r="19" ht="15.05" spans="1:26">
      <c r="A19" s="285" t="s">
        <v>228</v>
      </c>
      <c r="B19" s="286" t="s">
        <v>42</v>
      </c>
      <c r="C19" s="286" t="s">
        <v>80</v>
      </c>
      <c r="D19" s="287" t="s">
        <v>42</v>
      </c>
      <c r="E19" s="286" t="s">
        <v>327</v>
      </c>
      <c r="F19" s="286" t="s">
        <v>112</v>
      </c>
      <c r="G19" s="285" t="s">
        <v>145</v>
      </c>
      <c r="H19" s="287" t="s">
        <v>330</v>
      </c>
      <c r="I19" s="285" t="s">
        <v>233</v>
      </c>
      <c r="J19" s="288">
        <v>20210003390</v>
      </c>
      <c r="K19" s="289" t="s">
        <v>373</v>
      </c>
      <c r="L19" s="290">
        <v>437920</v>
      </c>
      <c r="M19" s="287" t="s">
        <v>374</v>
      </c>
      <c r="N19" s="290">
        <v>109.48</v>
      </c>
      <c r="O19" s="290" t="s">
        <v>112</v>
      </c>
      <c r="P19" s="290">
        <v>109.48</v>
      </c>
      <c r="Q19" s="290"/>
      <c r="R19" s="290"/>
      <c r="S19" s="515" t="s">
        <v>333</v>
      </c>
      <c r="T19" s="301" t="s">
        <v>375</v>
      </c>
      <c r="U19" s="299">
        <v>401761.47</v>
      </c>
      <c r="V19" s="290">
        <f t="shared" si="0"/>
        <v>36158.53</v>
      </c>
      <c r="W19" s="290">
        <f t="shared" si="1"/>
        <v>437920</v>
      </c>
      <c r="X19" s="290">
        <f t="shared" si="4"/>
        <v>401761.47</v>
      </c>
      <c r="Y19" s="290">
        <f t="shared" si="2"/>
        <v>3669.72</v>
      </c>
      <c r="Z19" s="290"/>
    </row>
    <row r="20" ht="15.05" spans="1:26">
      <c r="A20" s="285" t="s">
        <v>229</v>
      </c>
      <c r="B20" s="294" t="s">
        <v>42</v>
      </c>
      <c r="C20" s="294" t="s">
        <v>80</v>
      </c>
      <c r="D20" s="285" t="s">
        <v>42</v>
      </c>
      <c r="E20" s="294" t="s">
        <v>329</v>
      </c>
      <c r="F20" s="294" t="s">
        <v>112</v>
      </c>
      <c r="G20" s="285" t="s">
        <v>145</v>
      </c>
      <c r="H20" s="285" t="s">
        <v>330</v>
      </c>
      <c r="I20" s="285" t="s">
        <v>233</v>
      </c>
      <c r="J20" s="295">
        <v>20210012653</v>
      </c>
      <c r="K20" s="296" t="s">
        <v>376</v>
      </c>
      <c r="L20" s="297">
        <v>437920</v>
      </c>
      <c r="M20" s="285" t="s">
        <v>377</v>
      </c>
      <c r="N20" s="297">
        <v>109.48</v>
      </c>
      <c r="O20" s="297" t="s">
        <v>112</v>
      </c>
      <c r="P20" s="290">
        <v>109.48</v>
      </c>
      <c r="Q20" s="290"/>
      <c r="R20" s="290"/>
      <c r="S20" s="515" t="s">
        <v>333</v>
      </c>
      <c r="T20" s="301" t="s">
        <v>378</v>
      </c>
      <c r="U20" s="299">
        <v>401761.47</v>
      </c>
      <c r="V20" s="290">
        <f t="shared" si="0"/>
        <v>36158.53</v>
      </c>
      <c r="W20" s="290">
        <f t="shared" si="1"/>
        <v>437920</v>
      </c>
      <c r="X20" s="290">
        <f t="shared" si="4"/>
        <v>401761.47</v>
      </c>
      <c r="Y20" s="290">
        <f t="shared" si="2"/>
        <v>3669.72</v>
      </c>
      <c r="Z20" s="290"/>
    </row>
    <row r="21" ht="23.8" spans="1:26">
      <c r="A21" s="285" t="s">
        <v>230</v>
      </c>
      <c r="B21" s="294" t="s">
        <v>42</v>
      </c>
      <c r="C21" s="294" t="s">
        <v>80</v>
      </c>
      <c r="D21" s="285" t="s">
        <v>80</v>
      </c>
      <c r="E21" s="294" t="s">
        <v>335</v>
      </c>
      <c r="F21" s="294" t="s">
        <v>112</v>
      </c>
      <c r="G21" s="285" t="s">
        <v>145</v>
      </c>
      <c r="H21" s="285" t="s">
        <v>330</v>
      </c>
      <c r="I21" s="285" t="s">
        <v>233</v>
      </c>
      <c r="J21" s="295">
        <v>20200012600</v>
      </c>
      <c r="K21" s="296" t="s">
        <v>379</v>
      </c>
      <c r="L21" s="297">
        <v>372232</v>
      </c>
      <c r="M21" s="285" t="s">
        <v>380</v>
      </c>
      <c r="N21" s="297">
        <v>109.48</v>
      </c>
      <c r="O21" s="297" t="s">
        <v>112</v>
      </c>
      <c r="P21" s="290">
        <v>109.48</v>
      </c>
      <c r="Q21" s="290"/>
      <c r="R21" s="290"/>
      <c r="S21" s="515" t="s">
        <v>341</v>
      </c>
      <c r="T21" s="301" t="s">
        <v>381</v>
      </c>
      <c r="U21" s="299">
        <v>341497.25</v>
      </c>
      <c r="V21" s="290">
        <f t="shared" si="0"/>
        <v>30734.75</v>
      </c>
      <c r="W21" s="290">
        <f t="shared" si="1"/>
        <v>372232</v>
      </c>
      <c r="X21" s="290">
        <f t="shared" si="4"/>
        <v>341497.25</v>
      </c>
      <c r="Y21" s="290">
        <f t="shared" si="2"/>
        <v>3119.27</v>
      </c>
      <c r="Z21" s="290"/>
    </row>
    <row r="22" ht="15.05" spans="1:26">
      <c r="A22" s="285" t="s">
        <v>257</v>
      </c>
      <c r="B22" s="294" t="s">
        <v>42</v>
      </c>
      <c r="C22" s="294" t="s">
        <v>80</v>
      </c>
      <c r="D22" s="285" t="s">
        <v>80</v>
      </c>
      <c r="E22" s="294" t="s">
        <v>339</v>
      </c>
      <c r="F22" s="294" t="s">
        <v>112</v>
      </c>
      <c r="G22" s="285" t="s">
        <v>145</v>
      </c>
      <c r="H22" s="285" t="s">
        <v>330</v>
      </c>
      <c r="I22" s="285" t="s">
        <v>233</v>
      </c>
      <c r="J22" s="295">
        <v>20210000936</v>
      </c>
      <c r="K22" s="296" t="s">
        <v>382</v>
      </c>
      <c r="L22" s="297">
        <v>361284</v>
      </c>
      <c r="M22" s="285" t="s">
        <v>383</v>
      </c>
      <c r="N22" s="297">
        <v>109.48</v>
      </c>
      <c r="O22" s="297" t="s">
        <v>112</v>
      </c>
      <c r="P22" s="290">
        <v>109.48</v>
      </c>
      <c r="Q22" s="290"/>
      <c r="R22" s="290"/>
      <c r="S22" s="515" t="s">
        <v>333</v>
      </c>
      <c r="T22" s="301" t="s">
        <v>384</v>
      </c>
      <c r="U22" s="299">
        <v>331453.21</v>
      </c>
      <c r="V22" s="290">
        <f t="shared" si="0"/>
        <v>29830.79</v>
      </c>
      <c r="W22" s="290">
        <f t="shared" si="1"/>
        <v>361284</v>
      </c>
      <c r="X22" s="290">
        <f t="shared" si="4"/>
        <v>331453.21</v>
      </c>
      <c r="Y22" s="290">
        <f t="shared" si="2"/>
        <v>3027.52</v>
      </c>
      <c r="Z22" s="290"/>
    </row>
    <row r="23" ht="15.05" spans="1:26">
      <c r="A23" s="285" t="s">
        <v>258</v>
      </c>
      <c r="B23" s="286" t="s">
        <v>42</v>
      </c>
      <c r="C23" s="286" t="s">
        <v>80</v>
      </c>
      <c r="D23" s="287" t="s">
        <v>83</v>
      </c>
      <c r="E23" s="286" t="s">
        <v>343</v>
      </c>
      <c r="F23" s="286" t="s">
        <v>112</v>
      </c>
      <c r="G23" s="285" t="s">
        <v>145</v>
      </c>
      <c r="H23" s="287" t="s">
        <v>330</v>
      </c>
      <c r="I23" s="285" t="s">
        <v>233</v>
      </c>
      <c r="J23" s="288">
        <v>20200012293</v>
      </c>
      <c r="K23" s="289" t="s">
        <v>385</v>
      </c>
      <c r="L23" s="290">
        <v>361284</v>
      </c>
      <c r="M23" s="287" t="s">
        <v>386</v>
      </c>
      <c r="N23" s="290">
        <v>109.48</v>
      </c>
      <c r="O23" s="290" t="s">
        <v>112</v>
      </c>
      <c r="P23" s="290">
        <v>109.48</v>
      </c>
      <c r="Q23" s="290"/>
      <c r="R23" s="290"/>
      <c r="S23" s="515" t="s">
        <v>333</v>
      </c>
      <c r="T23" s="301" t="s">
        <v>387</v>
      </c>
      <c r="U23" s="299">
        <v>331453.21</v>
      </c>
      <c r="V23" s="290">
        <f t="shared" si="0"/>
        <v>29830.79</v>
      </c>
      <c r="W23" s="290">
        <f t="shared" si="1"/>
        <v>361284</v>
      </c>
      <c r="X23" s="290">
        <f t="shared" si="4"/>
        <v>331453.21</v>
      </c>
      <c r="Y23" s="290">
        <f t="shared" si="2"/>
        <v>3027.52</v>
      </c>
      <c r="Z23" s="290"/>
    </row>
    <row r="24" ht="15.05" spans="1:26">
      <c r="A24" s="285" t="s">
        <v>259</v>
      </c>
      <c r="B24" s="294" t="s">
        <v>42</v>
      </c>
      <c r="C24" s="294" t="s">
        <v>80</v>
      </c>
      <c r="D24" s="285" t="s">
        <v>83</v>
      </c>
      <c r="E24" s="294" t="s">
        <v>347</v>
      </c>
      <c r="F24" s="294" t="s">
        <v>112</v>
      </c>
      <c r="G24" s="285" t="s">
        <v>145</v>
      </c>
      <c r="H24" s="285" t="s">
        <v>330</v>
      </c>
      <c r="I24" s="285" t="s">
        <v>233</v>
      </c>
      <c r="J24" s="295">
        <v>20200001383</v>
      </c>
      <c r="K24" s="296" t="s">
        <v>388</v>
      </c>
      <c r="L24" s="297">
        <v>399602</v>
      </c>
      <c r="M24" s="285" t="s">
        <v>389</v>
      </c>
      <c r="N24" s="297">
        <v>109.48</v>
      </c>
      <c r="O24" s="297" t="s">
        <v>112</v>
      </c>
      <c r="P24" s="290">
        <v>109.48</v>
      </c>
      <c r="Q24" s="290"/>
      <c r="R24" s="290"/>
      <c r="S24" s="515" t="s">
        <v>333</v>
      </c>
      <c r="T24" s="301" t="s">
        <v>390</v>
      </c>
      <c r="U24" s="299">
        <v>366607.34</v>
      </c>
      <c r="V24" s="290">
        <f t="shared" si="0"/>
        <v>32994.66</v>
      </c>
      <c r="W24" s="290">
        <f t="shared" si="1"/>
        <v>399602</v>
      </c>
      <c r="X24" s="290">
        <f t="shared" si="4"/>
        <v>366607.34</v>
      </c>
      <c r="Y24" s="290">
        <f t="shared" si="2"/>
        <v>3348.62</v>
      </c>
      <c r="Z24" s="290"/>
    </row>
    <row r="25" ht="15.05" spans="1:26">
      <c r="A25" s="285" t="s">
        <v>261</v>
      </c>
      <c r="B25" s="294" t="s">
        <v>42</v>
      </c>
      <c r="C25" s="294" t="s">
        <v>80</v>
      </c>
      <c r="D25" s="285" t="s">
        <v>213</v>
      </c>
      <c r="E25" s="294" t="s">
        <v>351</v>
      </c>
      <c r="F25" s="294" t="s">
        <v>112</v>
      </c>
      <c r="G25" s="285" t="s">
        <v>145</v>
      </c>
      <c r="H25" s="285" t="s">
        <v>330</v>
      </c>
      <c r="I25" s="285" t="s">
        <v>233</v>
      </c>
      <c r="J25" s="295">
        <v>20210000634</v>
      </c>
      <c r="K25" s="296" t="s">
        <v>391</v>
      </c>
      <c r="L25" s="297">
        <v>383180</v>
      </c>
      <c r="M25" s="285" t="s">
        <v>392</v>
      </c>
      <c r="N25" s="297">
        <v>109.48</v>
      </c>
      <c r="O25" s="297" t="s">
        <v>112</v>
      </c>
      <c r="P25" s="290">
        <v>109.48</v>
      </c>
      <c r="Q25" s="290"/>
      <c r="R25" s="290"/>
      <c r="S25" s="515" t="s">
        <v>341</v>
      </c>
      <c r="T25" s="301" t="s">
        <v>393</v>
      </c>
      <c r="U25" s="299">
        <v>351541.28</v>
      </c>
      <c r="V25" s="290">
        <f t="shared" si="0"/>
        <v>31638.72</v>
      </c>
      <c r="W25" s="290">
        <f t="shared" si="1"/>
        <v>383180</v>
      </c>
      <c r="X25" s="290">
        <f t="shared" si="4"/>
        <v>351541.28</v>
      </c>
      <c r="Y25" s="290">
        <f t="shared" si="2"/>
        <v>3211.01</v>
      </c>
      <c r="Z25" s="290"/>
    </row>
    <row r="26" ht="23.8" spans="1:26">
      <c r="A26" s="285" t="s">
        <v>263</v>
      </c>
      <c r="B26" s="294" t="s">
        <v>42</v>
      </c>
      <c r="C26" s="294" t="s">
        <v>80</v>
      </c>
      <c r="D26" s="285" t="s">
        <v>213</v>
      </c>
      <c r="E26" s="294" t="s">
        <v>355</v>
      </c>
      <c r="F26" s="294" t="s">
        <v>112</v>
      </c>
      <c r="G26" s="285" t="s">
        <v>145</v>
      </c>
      <c r="H26" s="285" t="s">
        <v>330</v>
      </c>
      <c r="I26" s="285" t="s">
        <v>233</v>
      </c>
      <c r="J26" s="295">
        <v>20210000539</v>
      </c>
      <c r="K26" s="296" t="s">
        <v>394</v>
      </c>
      <c r="L26" s="297">
        <v>361284</v>
      </c>
      <c r="M26" s="285" t="s">
        <v>395</v>
      </c>
      <c r="N26" s="297">
        <v>109.48</v>
      </c>
      <c r="O26" s="297" t="s">
        <v>112</v>
      </c>
      <c r="P26" s="290">
        <v>109.48</v>
      </c>
      <c r="Q26" s="290"/>
      <c r="R26" s="290"/>
      <c r="S26" s="515" t="s">
        <v>341</v>
      </c>
      <c r="T26" s="301" t="s">
        <v>396</v>
      </c>
      <c r="U26" s="299">
        <v>331453.21</v>
      </c>
      <c r="V26" s="290">
        <f t="shared" si="0"/>
        <v>29830.79</v>
      </c>
      <c r="W26" s="290">
        <f t="shared" si="1"/>
        <v>361284</v>
      </c>
      <c r="X26" s="290">
        <f t="shared" si="4"/>
        <v>331453.21</v>
      </c>
      <c r="Y26" s="290">
        <f t="shared" si="2"/>
        <v>3027.52</v>
      </c>
      <c r="Z26" s="290"/>
    </row>
    <row r="27" ht="15.05" spans="1:26">
      <c r="A27" s="285" t="s">
        <v>322</v>
      </c>
      <c r="B27" s="294" t="s">
        <v>42</v>
      </c>
      <c r="C27" s="294" t="s">
        <v>80</v>
      </c>
      <c r="D27" s="285" t="s">
        <v>244</v>
      </c>
      <c r="E27" s="294" t="s">
        <v>359</v>
      </c>
      <c r="F27" s="294" t="s">
        <v>112</v>
      </c>
      <c r="G27" s="285" t="s">
        <v>145</v>
      </c>
      <c r="H27" s="285" t="s">
        <v>330</v>
      </c>
      <c r="I27" s="285" t="s">
        <v>233</v>
      </c>
      <c r="J27" s="295">
        <v>20210001483</v>
      </c>
      <c r="K27" s="296" t="s">
        <v>397</v>
      </c>
      <c r="L27" s="297">
        <v>360284</v>
      </c>
      <c r="M27" s="285" t="s">
        <v>398</v>
      </c>
      <c r="N27" s="297">
        <v>109.48</v>
      </c>
      <c r="O27" s="297" t="s">
        <v>112</v>
      </c>
      <c r="P27" s="290">
        <v>109.48</v>
      </c>
      <c r="Q27" s="290"/>
      <c r="R27" s="290"/>
      <c r="S27" s="515" t="s">
        <v>333</v>
      </c>
      <c r="T27" s="301" t="s">
        <v>399</v>
      </c>
      <c r="U27" s="299">
        <v>330535.78</v>
      </c>
      <c r="V27" s="290">
        <f t="shared" si="0"/>
        <v>29748.22</v>
      </c>
      <c r="W27" s="290">
        <f t="shared" si="1"/>
        <v>360284</v>
      </c>
      <c r="X27" s="290">
        <f t="shared" si="4"/>
        <v>330535.78</v>
      </c>
      <c r="Y27" s="290">
        <f t="shared" si="2"/>
        <v>3019.14</v>
      </c>
      <c r="Z27" s="290"/>
    </row>
    <row r="28" ht="23.8" spans="1:26">
      <c r="A28" s="285" t="s">
        <v>265</v>
      </c>
      <c r="B28" s="294" t="s">
        <v>42</v>
      </c>
      <c r="C28" s="294" t="s">
        <v>80</v>
      </c>
      <c r="D28" s="285" t="s">
        <v>244</v>
      </c>
      <c r="E28" s="294" t="s">
        <v>363</v>
      </c>
      <c r="F28" s="294" t="s">
        <v>112</v>
      </c>
      <c r="G28" s="285" t="s">
        <v>145</v>
      </c>
      <c r="H28" s="285" t="s">
        <v>330</v>
      </c>
      <c r="I28" s="285" t="s">
        <v>233</v>
      </c>
      <c r="J28" s="295">
        <v>20210000403</v>
      </c>
      <c r="K28" s="296" t="s">
        <v>400</v>
      </c>
      <c r="L28" s="297">
        <v>370043</v>
      </c>
      <c r="M28" s="285" t="s">
        <v>401</v>
      </c>
      <c r="N28" s="297">
        <v>109.48</v>
      </c>
      <c r="O28" s="297" t="s">
        <v>112</v>
      </c>
      <c r="P28" s="290">
        <v>109.48</v>
      </c>
      <c r="Q28" s="290"/>
      <c r="R28" s="290"/>
      <c r="S28" s="515" t="s">
        <v>341</v>
      </c>
      <c r="T28" s="301" t="s">
        <v>402</v>
      </c>
      <c r="U28" s="299">
        <v>339488.99</v>
      </c>
      <c r="V28" s="290">
        <f t="shared" si="0"/>
        <v>30554.01</v>
      </c>
      <c r="W28" s="290">
        <f t="shared" si="1"/>
        <v>370043</v>
      </c>
      <c r="X28" s="290">
        <f t="shared" si="4"/>
        <v>339488.99</v>
      </c>
      <c r="Y28" s="290">
        <f t="shared" si="2"/>
        <v>3100.92</v>
      </c>
      <c r="Z28" s="290"/>
    </row>
    <row r="29" spans="1:26">
      <c r="A29" s="285" t="s">
        <v>324</v>
      </c>
      <c r="B29" s="294" t="s">
        <v>42</v>
      </c>
      <c r="C29" s="294" t="s">
        <v>80</v>
      </c>
      <c r="D29" s="285" t="s">
        <v>215</v>
      </c>
      <c r="E29" s="294" t="s">
        <v>366</v>
      </c>
      <c r="F29" s="294" t="s">
        <v>112</v>
      </c>
      <c r="G29" s="285" t="s">
        <v>145</v>
      </c>
      <c r="H29" s="285" t="s">
        <v>330</v>
      </c>
      <c r="I29" s="285" t="s">
        <v>233</v>
      </c>
      <c r="J29" s="295">
        <v>20210009419</v>
      </c>
      <c r="K29" s="296" t="s">
        <v>403</v>
      </c>
      <c r="L29" s="297">
        <v>361284</v>
      </c>
      <c r="M29" s="285" t="s">
        <v>404</v>
      </c>
      <c r="N29" s="297">
        <v>109.48</v>
      </c>
      <c r="O29" s="297" t="s">
        <v>112</v>
      </c>
      <c r="P29" s="290">
        <v>109.48</v>
      </c>
      <c r="Q29" s="290"/>
      <c r="R29" s="290"/>
      <c r="S29" s="515" t="s">
        <v>341</v>
      </c>
      <c r="T29" s="303" t="s">
        <v>405</v>
      </c>
      <c r="U29" s="299">
        <v>331453.21</v>
      </c>
      <c r="V29" s="290">
        <f t="shared" si="0"/>
        <v>29830.79</v>
      </c>
      <c r="W29" s="290">
        <f t="shared" si="1"/>
        <v>361284</v>
      </c>
      <c r="X29" s="290">
        <f t="shared" si="4"/>
        <v>331453.21</v>
      </c>
      <c r="Y29" s="290">
        <f t="shared" si="2"/>
        <v>3027.52</v>
      </c>
      <c r="Z29" s="290"/>
    </row>
    <row r="30" ht="15.05" spans="1:26">
      <c r="A30" s="285" t="s">
        <v>406</v>
      </c>
      <c r="B30" s="294" t="s">
        <v>42</v>
      </c>
      <c r="C30" s="294" t="s">
        <v>80</v>
      </c>
      <c r="D30" s="285" t="s">
        <v>215</v>
      </c>
      <c r="E30" s="294" t="s">
        <v>370</v>
      </c>
      <c r="F30" s="294" t="s">
        <v>112</v>
      </c>
      <c r="G30" s="285" t="s">
        <v>145</v>
      </c>
      <c r="H30" s="285" t="s">
        <v>330</v>
      </c>
      <c r="I30" s="285" t="s">
        <v>233</v>
      </c>
      <c r="J30" s="295">
        <v>20210000693</v>
      </c>
      <c r="K30" s="296" t="s">
        <v>407</v>
      </c>
      <c r="L30" s="297">
        <v>383180</v>
      </c>
      <c r="M30" s="285" t="s">
        <v>408</v>
      </c>
      <c r="N30" s="297">
        <v>109.48</v>
      </c>
      <c r="O30" s="297" t="s">
        <v>112</v>
      </c>
      <c r="P30" s="290">
        <v>109.48</v>
      </c>
      <c r="Q30" s="290"/>
      <c r="R30" s="290"/>
      <c r="S30" s="515" t="s">
        <v>333</v>
      </c>
      <c r="T30" s="301" t="s">
        <v>409</v>
      </c>
      <c r="U30" s="299">
        <v>351541.28</v>
      </c>
      <c r="V30" s="290">
        <f t="shared" si="0"/>
        <v>31638.72</v>
      </c>
      <c r="W30" s="290">
        <f t="shared" si="1"/>
        <v>383180</v>
      </c>
      <c r="X30" s="290">
        <f t="shared" si="4"/>
        <v>351541.28</v>
      </c>
      <c r="Y30" s="290">
        <f t="shared" si="2"/>
        <v>3211.01</v>
      </c>
      <c r="Z30" s="290"/>
    </row>
    <row r="31" ht="15.05" spans="1:26">
      <c r="A31" s="285" t="s">
        <v>326</v>
      </c>
      <c r="B31" s="286" t="s">
        <v>42</v>
      </c>
      <c r="C31" s="286" t="s">
        <v>83</v>
      </c>
      <c r="D31" s="287" t="s">
        <v>42</v>
      </c>
      <c r="E31" s="286" t="s">
        <v>327</v>
      </c>
      <c r="F31" s="286" t="s">
        <v>112</v>
      </c>
      <c r="G31" s="285" t="s">
        <v>145</v>
      </c>
      <c r="H31" s="287" t="s">
        <v>330</v>
      </c>
      <c r="I31" s="285" t="s">
        <v>233</v>
      </c>
      <c r="J31" s="288">
        <v>20210007128</v>
      </c>
      <c r="K31" s="289" t="s">
        <v>410</v>
      </c>
      <c r="L31" s="290">
        <v>448868</v>
      </c>
      <c r="M31" s="287" t="s">
        <v>411</v>
      </c>
      <c r="N31" s="290">
        <v>109.48</v>
      </c>
      <c r="O31" s="290" t="s">
        <v>112</v>
      </c>
      <c r="P31" s="290">
        <v>109.48</v>
      </c>
      <c r="Q31" s="290"/>
      <c r="R31" s="290"/>
      <c r="S31" s="515" t="s">
        <v>341</v>
      </c>
      <c r="T31" s="301" t="s">
        <v>412</v>
      </c>
      <c r="U31" s="299">
        <v>411805.5</v>
      </c>
      <c r="V31" s="290">
        <f t="shared" si="0"/>
        <v>37062.5</v>
      </c>
      <c r="W31" s="290">
        <f t="shared" si="1"/>
        <v>448868</v>
      </c>
      <c r="X31" s="290">
        <f t="shared" si="4"/>
        <v>411805.5</v>
      </c>
      <c r="Y31" s="290">
        <f t="shared" si="2"/>
        <v>3761.47</v>
      </c>
      <c r="Z31" s="290"/>
    </row>
    <row r="32" ht="15.05" spans="1:26">
      <c r="A32" s="285" t="s">
        <v>413</v>
      </c>
      <c r="B32" s="294" t="s">
        <v>42</v>
      </c>
      <c r="C32" s="294" t="s">
        <v>83</v>
      </c>
      <c r="D32" s="285" t="s">
        <v>42</v>
      </c>
      <c r="E32" s="294" t="s">
        <v>329</v>
      </c>
      <c r="F32" s="294" t="s">
        <v>112</v>
      </c>
      <c r="G32" s="285" t="s">
        <v>145</v>
      </c>
      <c r="H32" s="285" t="s">
        <v>330</v>
      </c>
      <c r="I32" s="285" t="s">
        <v>233</v>
      </c>
      <c r="J32" s="295">
        <v>20220002475</v>
      </c>
      <c r="K32" s="296" t="s">
        <v>414</v>
      </c>
      <c r="L32" s="297">
        <v>518924</v>
      </c>
      <c r="M32" s="285" t="s">
        <v>415</v>
      </c>
      <c r="N32" s="297">
        <v>120.69</v>
      </c>
      <c r="O32" s="297" t="s">
        <v>112</v>
      </c>
      <c r="P32" s="290">
        <v>120.69</v>
      </c>
      <c r="Q32" s="290"/>
      <c r="R32" s="290"/>
      <c r="S32" s="515" t="s">
        <v>333</v>
      </c>
      <c r="T32" s="301" t="s">
        <v>416</v>
      </c>
      <c r="U32" s="299">
        <v>476077.06</v>
      </c>
      <c r="V32" s="290">
        <f t="shared" si="0"/>
        <v>42846.94</v>
      </c>
      <c r="W32" s="290">
        <f t="shared" si="1"/>
        <v>518924</v>
      </c>
      <c r="X32" s="290">
        <f t="shared" si="4"/>
        <v>476077.06</v>
      </c>
      <c r="Y32" s="290">
        <f t="shared" si="2"/>
        <v>3944.63</v>
      </c>
      <c r="Z32" s="290"/>
    </row>
    <row r="33" ht="23.8" spans="1:26">
      <c r="A33" s="285" t="s">
        <v>417</v>
      </c>
      <c r="B33" s="294" t="s">
        <v>42</v>
      </c>
      <c r="C33" s="294" t="s">
        <v>83</v>
      </c>
      <c r="D33" s="285" t="s">
        <v>80</v>
      </c>
      <c r="E33" s="294" t="s">
        <v>335</v>
      </c>
      <c r="F33" s="294" t="s">
        <v>112</v>
      </c>
      <c r="G33" s="285" t="s">
        <v>145</v>
      </c>
      <c r="H33" s="285" t="s">
        <v>330</v>
      </c>
      <c r="I33" s="285" t="s">
        <v>233</v>
      </c>
      <c r="J33" s="295">
        <v>20210002853</v>
      </c>
      <c r="K33" s="296" t="s">
        <v>418</v>
      </c>
      <c r="L33" s="297">
        <v>394128</v>
      </c>
      <c r="M33" s="285" t="s">
        <v>419</v>
      </c>
      <c r="N33" s="297">
        <v>109.48</v>
      </c>
      <c r="O33" s="297" t="s">
        <v>112</v>
      </c>
      <c r="P33" s="290">
        <v>109.48</v>
      </c>
      <c r="Q33" s="290"/>
      <c r="R33" s="290"/>
      <c r="S33" s="515" t="s">
        <v>333</v>
      </c>
      <c r="T33" s="301" t="s">
        <v>420</v>
      </c>
      <c r="U33" s="299">
        <v>361585.32</v>
      </c>
      <c r="V33" s="290">
        <f t="shared" si="0"/>
        <v>32542.68</v>
      </c>
      <c r="W33" s="290">
        <f t="shared" si="1"/>
        <v>394128</v>
      </c>
      <c r="X33" s="290">
        <f t="shared" si="4"/>
        <v>361585.32</v>
      </c>
      <c r="Y33" s="290">
        <f t="shared" si="2"/>
        <v>3302.75</v>
      </c>
      <c r="Z33" s="290"/>
    </row>
    <row r="34" spans="1:26">
      <c r="A34" s="285" t="s">
        <v>421</v>
      </c>
      <c r="B34" s="294" t="s">
        <v>42</v>
      </c>
      <c r="C34" s="294" t="s">
        <v>83</v>
      </c>
      <c r="D34" s="285" t="s">
        <v>80</v>
      </c>
      <c r="E34" s="294" t="s">
        <v>339</v>
      </c>
      <c r="F34" s="294" t="s">
        <v>112</v>
      </c>
      <c r="G34" s="285" t="s">
        <v>145</v>
      </c>
      <c r="H34" s="285" t="s">
        <v>330</v>
      </c>
      <c r="I34" s="285" t="s">
        <v>233</v>
      </c>
      <c r="J34" s="295">
        <v>20210003051</v>
      </c>
      <c r="K34" s="296" t="s">
        <v>422</v>
      </c>
      <c r="L34" s="297">
        <v>398277</v>
      </c>
      <c r="M34" s="285" t="s">
        <v>423</v>
      </c>
      <c r="N34" s="297">
        <v>120.69</v>
      </c>
      <c r="O34" s="297" t="s">
        <v>112</v>
      </c>
      <c r="P34" s="290">
        <v>120.69</v>
      </c>
      <c r="Q34" s="290"/>
      <c r="R34" s="290"/>
      <c r="S34" s="515" t="s">
        <v>341</v>
      </c>
      <c r="T34" s="292" t="s">
        <v>424</v>
      </c>
      <c r="U34" s="299">
        <v>365391.74</v>
      </c>
      <c r="V34" s="290">
        <f t="shared" si="0"/>
        <v>32885.26</v>
      </c>
      <c r="W34" s="290">
        <f t="shared" si="1"/>
        <v>398277</v>
      </c>
      <c r="X34" s="290">
        <f t="shared" si="4"/>
        <v>365391.74</v>
      </c>
      <c r="Y34" s="290">
        <f t="shared" si="2"/>
        <v>3027.52</v>
      </c>
      <c r="Z34" s="290"/>
    </row>
    <row r="35" spans="1:26">
      <c r="A35" s="285" t="s">
        <v>425</v>
      </c>
      <c r="B35" s="294" t="s">
        <v>42</v>
      </c>
      <c r="C35" s="294" t="s">
        <v>83</v>
      </c>
      <c r="D35" s="285" t="s">
        <v>83</v>
      </c>
      <c r="E35" s="294" t="s">
        <v>343</v>
      </c>
      <c r="F35" s="294" t="s">
        <v>112</v>
      </c>
      <c r="G35" s="285" t="s">
        <v>145</v>
      </c>
      <c r="H35" s="285" t="s">
        <v>330</v>
      </c>
      <c r="I35" s="285" t="s">
        <v>233</v>
      </c>
      <c r="J35" s="295">
        <v>20200008459</v>
      </c>
      <c r="K35" s="296" t="s">
        <v>426</v>
      </c>
      <c r="L35" s="297">
        <v>426972</v>
      </c>
      <c r="M35" s="285" t="s">
        <v>427</v>
      </c>
      <c r="N35" s="297">
        <v>109.48</v>
      </c>
      <c r="O35" s="297" t="s">
        <v>112</v>
      </c>
      <c r="P35" s="290">
        <v>109.48</v>
      </c>
      <c r="Q35" s="290"/>
      <c r="R35" s="290"/>
      <c r="S35" s="515" t="s">
        <v>341</v>
      </c>
      <c r="T35" s="292" t="s">
        <v>428</v>
      </c>
      <c r="U35" s="299">
        <v>391717.43</v>
      </c>
      <c r="V35" s="290">
        <f t="shared" si="0"/>
        <v>35254.57</v>
      </c>
      <c r="W35" s="290">
        <f t="shared" si="1"/>
        <v>426972</v>
      </c>
      <c r="X35" s="290">
        <f t="shared" si="4"/>
        <v>391717.43</v>
      </c>
      <c r="Y35" s="290">
        <f t="shared" si="2"/>
        <v>3577.98</v>
      </c>
      <c r="Z35" s="290"/>
    </row>
    <row r="36" spans="1:26">
      <c r="A36" s="285" t="s">
        <v>429</v>
      </c>
      <c r="B36" s="286" t="s">
        <v>42</v>
      </c>
      <c r="C36" s="286" t="s">
        <v>83</v>
      </c>
      <c r="D36" s="287" t="s">
        <v>83</v>
      </c>
      <c r="E36" s="286" t="s">
        <v>347</v>
      </c>
      <c r="F36" s="286" t="s">
        <v>112</v>
      </c>
      <c r="G36" s="285" t="s">
        <v>145</v>
      </c>
      <c r="H36" s="287" t="s">
        <v>330</v>
      </c>
      <c r="I36" s="285" t="s">
        <v>233</v>
      </c>
      <c r="J36" s="288">
        <v>20220000380</v>
      </c>
      <c r="K36" s="289" t="s">
        <v>430</v>
      </c>
      <c r="L36" s="290">
        <v>398277</v>
      </c>
      <c r="M36" s="287" t="s">
        <v>431</v>
      </c>
      <c r="N36" s="290">
        <v>120.69</v>
      </c>
      <c r="O36" s="290" t="s">
        <v>112</v>
      </c>
      <c r="P36" s="290">
        <v>120.69</v>
      </c>
      <c r="Q36" s="290"/>
      <c r="R36" s="290"/>
      <c r="S36" s="515" t="s">
        <v>333</v>
      </c>
      <c r="T36" s="292" t="s">
        <v>432</v>
      </c>
      <c r="U36" s="299">
        <v>365391.74</v>
      </c>
      <c r="V36" s="290">
        <f t="shared" si="0"/>
        <v>32885.26</v>
      </c>
      <c r="W36" s="290">
        <f t="shared" si="1"/>
        <v>398277</v>
      </c>
      <c r="X36" s="290">
        <f t="shared" si="4"/>
        <v>365391.74</v>
      </c>
      <c r="Y36" s="290">
        <f t="shared" si="2"/>
        <v>3027.52</v>
      </c>
      <c r="Z36" s="290"/>
    </row>
    <row r="37" ht="23.8" spans="1:26">
      <c r="A37" s="285" t="s">
        <v>433</v>
      </c>
      <c r="B37" s="294" t="s">
        <v>42</v>
      </c>
      <c r="C37" s="294" t="s">
        <v>83</v>
      </c>
      <c r="D37" s="285" t="s">
        <v>213</v>
      </c>
      <c r="E37" s="294" t="s">
        <v>351</v>
      </c>
      <c r="F37" s="294" t="s">
        <v>112</v>
      </c>
      <c r="G37" s="285" t="s">
        <v>145</v>
      </c>
      <c r="H37" s="285" t="s">
        <v>330</v>
      </c>
      <c r="I37" s="285" t="s">
        <v>233</v>
      </c>
      <c r="J37" s="295">
        <v>20210002849</v>
      </c>
      <c r="K37" s="296" t="s">
        <v>418</v>
      </c>
      <c r="L37" s="297">
        <v>405076</v>
      </c>
      <c r="M37" s="285" t="s">
        <v>434</v>
      </c>
      <c r="N37" s="297">
        <v>109.48</v>
      </c>
      <c r="O37" s="297" t="s">
        <v>112</v>
      </c>
      <c r="P37" s="290">
        <v>109.48</v>
      </c>
      <c r="Q37" s="290"/>
      <c r="R37" s="290"/>
      <c r="S37" s="515" t="s">
        <v>341</v>
      </c>
      <c r="T37" s="292" t="s">
        <v>435</v>
      </c>
      <c r="U37" s="299">
        <v>371629.36</v>
      </c>
      <c r="V37" s="290">
        <f t="shared" si="0"/>
        <v>33446.64</v>
      </c>
      <c r="W37" s="290">
        <f t="shared" si="1"/>
        <v>405076</v>
      </c>
      <c r="X37" s="290">
        <f t="shared" si="4"/>
        <v>371629.36</v>
      </c>
      <c r="Y37" s="290">
        <f t="shared" si="2"/>
        <v>3394.5</v>
      </c>
      <c r="Z37" s="290"/>
    </row>
    <row r="38" ht="23.8" spans="1:26">
      <c r="A38" s="285" t="s">
        <v>436</v>
      </c>
      <c r="B38" s="294" t="s">
        <v>42</v>
      </c>
      <c r="C38" s="294" t="s">
        <v>83</v>
      </c>
      <c r="D38" s="285" t="s">
        <v>213</v>
      </c>
      <c r="E38" s="294" t="s">
        <v>355</v>
      </c>
      <c r="F38" s="294" t="s">
        <v>112</v>
      </c>
      <c r="G38" s="285" t="s">
        <v>145</v>
      </c>
      <c r="H38" s="285" t="s">
        <v>330</v>
      </c>
      <c r="I38" s="285" t="s">
        <v>233</v>
      </c>
      <c r="J38" s="295">
        <v>20210004797</v>
      </c>
      <c r="K38" s="296" t="s">
        <v>437</v>
      </c>
      <c r="L38" s="297">
        <v>398277</v>
      </c>
      <c r="M38" s="285" t="s">
        <v>438</v>
      </c>
      <c r="N38" s="297">
        <v>120.69</v>
      </c>
      <c r="O38" s="297" t="s">
        <v>112</v>
      </c>
      <c r="P38" s="290">
        <v>120.69</v>
      </c>
      <c r="Q38" s="290"/>
      <c r="R38" s="290"/>
      <c r="S38" s="515" t="s">
        <v>341</v>
      </c>
      <c r="T38" s="292" t="s">
        <v>439</v>
      </c>
      <c r="U38" s="299">
        <v>365391.74</v>
      </c>
      <c r="V38" s="290">
        <f t="shared" si="0"/>
        <v>32885.26</v>
      </c>
      <c r="W38" s="290">
        <f t="shared" si="1"/>
        <v>398277</v>
      </c>
      <c r="X38" s="290">
        <f t="shared" si="4"/>
        <v>365391.74</v>
      </c>
      <c r="Y38" s="290">
        <f t="shared" si="2"/>
        <v>3027.52</v>
      </c>
      <c r="Z38" s="290"/>
    </row>
    <row r="39" spans="1:26">
      <c r="A39" s="285" t="s">
        <v>440</v>
      </c>
      <c r="B39" s="294" t="s">
        <v>42</v>
      </c>
      <c r="C39" s="294" t="s">
        <v>83</v>
      </c>
      <c r="D39" s="285" t="s">
        <v>244</v>
      </c>
      <c r="E39" s="294" t="s">
        <v>359</v>
      </c>
      <c r="F39" s="294" t="s">
        <v>112</v>
      </c>
      <c r="G39" s="285" t="s">
        <v>145</v>
      </c>
      <c r="H39" s="285" t="s">
        <v>330</v>
      </c>
      <c r="I39" s="285" t="s">
        <v>233</v>
      </c>
      <c r="J39" s="295">
        <v>20210005717</v>
      </c>
      <c r="K39" s="296" t="s">
        <v>441</v>
      </c>
      <c r="L39" s="297">
        <v>361284</v>
      </c>
      <c r="M39" s="285" t="s">
        <v>442</v>
      </c>
      <c r="N39" s="297">
        <v>109.48</v>
      </c>
      <c r="O39" s="297" t="s">
        <v>112</v>
      </c>
      <c r="P39" s="290">
        <v>109.48</v>
      </c>
      <c r="Q39" s="290"/>
      <c r="R39" s="290"/>
      <c r="S39" s="515" t="s">
        <v>333</v>
      </c>
      <c r="T39" s="292" t="s">
        <v>443</v>
      </c>
      <c r="U39" s="299">
        <v>331453.21</v>
      </c>
      <c r="V39" s="290">
        <f t="shared" si="0"/>
        <v>29830.79</v>
      </c>
      <c r="W39" s="290">
        <f t="shared" si="1"/>
        <v>361284</v>
      </c>
      <c r="X39" s="290">
        <f t="shared" si="4"/>
        <v>331453.21</v>
      </c>
      <c r="Y39" s="290">
        <f t="shared" si="2"/>
        <v>3027.52</v>
      </c>
      <c r="Z39" s="290"/>
    </row>
    <row r="40" spans="1:26">
      <c r="A40" s="285" t="s">
        <v>444</v>
      </c>
      <c r="B40" s="294" t="s">
        <v>42</v>
      </c>
      <c r="C40" s="294" t="s">
        <v>83</v>
      </c>
      <c r="D40" s="285" t="s">
        <v>244</v>
      </c>
      <c r="E40" s="294" t="s">
        <v>363</v>
      </c>
      <c r="F40" s="294" t="s">
        <v>112</v>
      </c>
      <c r="G40" s="285" t="s">
        <v>145</v>
      </c>
      <c r="H40" s="285" t="s">
        <v>330</v>
      </c>
      <c r="I40" s="285" t="s">
        <v>233</v>
      </c>
      <c r="J40" s="295">
        <v>20210000314</v>
      </c>
      <c r="K40" s="296" t="s">
        <v>352</v>
      </c>
      <c r="L40" s="297">
        <v>398277</v>
      </c>
      <c r="M40" s="285" t="s">
        <v>445</v>
      </c>
      <c r="N40" s="297">
        <v>120.69</v>
      </c>
      <c r="O40" s="297" t="s">
        <v>112</v>
      </c>
      <c r="P40" s="290">
        <v>120.69</v>
      </c>
      <c r="Q40" s="290"/>
      <c r="R40" s="290"/>
      <c r="S40" s="515" t="s">
        <v>333</v>
      </c>
      <c r="T40" s="292" t="s">
        <v>446</v>
      </c>
      <c r="U40" s="299">
        <v>365391.74</v>
      </c>
      <c r="V40" s="290">
        <f t="shared" si="0"/>
        <v>32885.26</v>
      </c>
      <c r="W40" s="290">
        <f t="shared" si="1"/>
        <v>398277</v>
      </c>
      <c r="X40" s="290">
        <f t="shared" si="4"/>
        <v>365391.74</v>
      </c>
      <c r="Y40" s="290">
        <f t="shared" si="2"/>
        <v>3027.52</v>
      </c>
      <c r="Z40" s="290"/>
    </row>
    <row r="41" spans="1:26">
      <c r="A41" s="285" t="s">
        <v>447</v>
      </c>
      <c r="B41" s="294" t="s">
        <v>42</v>
      </c>
      <c r="C41" s="294" t="s">
        <v>83</v>
      </c>
      <c r="D41" s="285" t="s">
        <v>215</v>
      </c>
      <c r="E41" s="294" t="s">
        <v>366</v>
      </c>
      <c r="F41" s="294" t="s">
        <v>112</v>
      </c>
      <c r="G41" s="285" t="s">
        <v>145</v>
      </c>
      <c r="H41" s="285" t="s">
        <v>330</v>
      </c>
      <c r="I41" s="285" t="s">
        <v>233</v>
      </c>
      <c r="J41" s="295">
        <v>20200006068</v>
      </c>
      <c r="K41" s="296" t="s">
        <v>448</v>
      </c>
      <c r="L41" s="297">
        <v>426972</v>
      </c>
      <c r="M41" s="285" t="s">
        <v>449</v>
      </c>
      <c r="N41" s="297">
        <v>109.48</v>
      </c>
      <c r="O41" s="297" t="s">
        <v>112</v>
      </c>
      <c r="P41" s="290">
        <v>109.48</v>
      </c>
      <c r="Q41" s="290"/>
      <c r="R41" s="290"/>
      <c r="S41" s="515" t="s">
        <v>333</v>
      </c>
      <c r="T41" s="292" t="s">
        <v>450</v>
      </c>
      <c r="U41" s="299">
        <v>391717.43</v>
      </c>
      <c r="V41" s="290">
        <f t="shared" si="0"/>
        <v>35254.57</v>
      </c>
      <c r="W41" s="290">
        <f t="shared" si="1"/>
        <v>426972</v>
      </c>
      <c r="X41" s="290">
        <f t="shared" si="4"/>
        <v>391717.43</v>
      </c>
      <c r="Y41" s="290">
        <f t="shared" si="2"/>
        <v>3577.98</v>
      </c>
      <c r="Z41" s="290"/>
    </row>
    <row r="42" ht="23.8" spans="1:26">
      <c r="A42" s="285" t="s">
        <v>451</v>
      </c>
      <c r="B42" s="294" t="s">
        <v>42</v>
      </c>
      <c r="C42" s="294" t="s">
        <v>83</v>
      </c>
      <c r="D42" s="285" t="s">
        <v>215</v>
      </c>
      <c r="E42" s="294" t="s">
        <v>370</v>
      </c>
      <c r="F42" s="294" t="s">
        <v>112</v>
      </c>
      <c r="G42" s="285" t="s">
        <v>145</v>
      </c>
      <c r="H42" s="285" t="s">
        <v>330</v>
      </c>
      <c r="I42" s="285" t="s">
        <v>233</v>
      </c>
      <c r="J42" s="295">
        <v>20210002499</v>
      </c>
      <c r="K42" s="296" t="s">
        <v>452</v>
      </c>
      <c r="L42" s="297">
        <v>434484</v>
      </c>
      <c r="M42" s="285" t="s">
        <v>453</v>
      </c>
      <c r="N42" s="297">
        <v>120.69</v>
      </c>
      <c r="O42" s="297" t="s">
        <v>112</v>
      </c>
      <c r="P42" s="290">
        <v>120.69</v>
      </c>
      <c r="Q42" s="290"/>
      <c r="R42" s="290"/>
      <c r="S42" s="515" t="s">
        <v>333</v>
      </c>
      <c r="T42" s="292" t="s">
        <v>454</v>
      </c>
      <c r="U42" s="299">
        <v>398609.17</v>
      </c>
      <c r="V42" s="290">
        <f t="shared" si="0"/>
        <v>35874.83</v>
      </c>
      <c r="W42" s="290">
        <f t="shared" si="1"/>
        <v>434484</v>
      </c>
      <c r="X42" s="290">
        <f t="shared" si="4"/>
        <v>398609.17</v>
      </c>
      <c r="Y42" s="290">
        <f t="shared" si="2"/>
        <v>3302.75</v>
      </c>
      <c r="Z42" s="290"/>
    </row>
    <row r="43" s="249" customFormat="1" ht="11.9" spans="1:26">
      <c r="A43" s="285" t="s">
        <v>455</v>
      </c>
      <c r="B43" s="294" t="s">
        <v>42</v>
      </c>
      <c r="C43" s="294" t="s">
        <v>42</v>
      </c>
      <c r="D43" s="285" t="s">
        <v>456</v>
      </c>
      <c r="E43" s="294" t="s">
        <v>457</v>
      </c>
      <c r="F43" s="294" t="s">
        <v>112</v>
      </c>
      <c r="G43" s="285" t="s">
        <v>458</v>
      </c>
      <c r="H43" s="285" t="s">
        <v>459</v>
      </c>
      <c r="I43" s="285"/>
      <c r="J43" s="295" t="s">
        <v>112</v>
      </c>
      <c r="K43" s="296" t="s">
        <v>112</v>
      </c>
      <c r="L43" s="297" t="s">
        <v>112</v>
      </c>
      <c r="M43" s="285" t="s">
        <v>112</v>
      </c>
      <c r="N43" s="297">
        <v>26.87</v>
      </c>
      <c r="O43" s="297" t="s">
        <v>112</v>
      </c>
      <c r="P43" s="297">
        <v>26.87</v>
      </c>
      <c r="Q43" s="290"/>
      <c r="R43" s="287" t="s">
        <v>112</v>
      </c>
      <c r="S43" s="286" t="s">
        <v>112</v>
      </c>
      <c r="T43" s="304" t="s">
        <v>112</v>
      </c>
      <c r="U43" s="299" t="s">
        <v>112</v>
      </c>
      <c r="V43" s="290">
        <f t="shared" ref="V43:V78" si="5">SUM(T43)+SUM(U43)</f>
        <v>0</v>
      </c>
      <c r="W43" s="290"/>
      <c r="X43" s="290" t="str">
        <f t="shared" ref="X43:X78" si="6">IF(SUM(O43)=0,"",ROUND(SUM(W43)/SUM(O43),2))</f>
        <v/>
      </c>
      <c r="Y43" s="287"/>
      <c r="Z43" s="287"/>
    </row>
    <row r="44" s="249" customFormat="1" ht="11.9" spans="1:26">
      <c r="A44" s="285" t="s">
        <v>460</v>
      </c>
      <c r="B44" s="294" t="s">
        <v>42</v>
      </c>
      <c r="C44" s="294" t="s">
        <v>42</v>
      </c>
      <c r="D44" s="285" t="s">
        <v>456</v>
      </c>
      <c r="E44" s="294" t="s">
        <v>461</v>
      </c>
      <c r="F44" s="294" t="s">
        <v>112</v>
      </c>
      <c r="G44" s="285" t="s">
        <v>458</v>
      </c>
      <c r="H44" s="285" t="s">
        <v>459</v>
      </c>
      <c r="I44" s="285"/>
      <c r="J44" s="295" t="s">
        <v>112</v>
      </c>
      <c r="K44" s="296" t="s">
        <v>112</v>
      </c>
      <c r="L44" s="297" t="s">
        <v>112</v>
      </c>
      <c r="M44" s="285" t="s">
        <v>112</v>
      </c>
      <c r="N44" s="297">
        <v>22.77</v>
      </c>
      <c r="O44" s="297" t="s">
        <v>112</v>
      </c>
      <c r="P44" s="297">
        <v>22.77</v>
      </c>
      <c r="Q44" s="290"/>
      <c r="R44" s="287" t="s">
        <v>112</v>
      </c>
      <c r="S44" s="286" t="s">
        <v>112</v>
      </c>
      <c r="T44" s="304" t="s">
        <v>112</v>
      </c>
      <c r="U44" s="299" t="s">
        <v>112</v>
      </c>
      <c r="V44" s="290">
        <f t="shared" si="5"/>
        <v>0</v>
      </c>
      <c r="W44" s="290"/>
      <c r="X44" s="290" t="str">
        <f t="shared" si="6"/>
        <v/>
      </c>
      <c r="Y44" s="287"/>
      <c r="Z44" s="287"/>
    </row>
    <row r="45" s="249" customFormat="1" ht="11.9" spans="1:26">
      <c r="A45" s="285" t="s">
        <v>462</v>
      </c>
      <c r="B45" s="294" t="s">
        <v>42</v>
      </c>
      <c r="C45" s="294" t="s">
        <v>42</v>
      </c>
      <c r="D45" s="285" t="s">
        <v>456</v>
      </c>
      <c r="E45" s="294" t="s">
        <v>463</v>
      </c>
      <c r="F45" s="294" t="s">
        <v>112</v>
      </c>
      <c r="G45" s="285" t="s">
        <v>458</v>
      </c>
      <c r="H45" s="285" t="s">
        <v>459</v>
      </c>
      <c r="I45" s="285"/>
      <c r="J45" s="295" t="s">
        <v>112</v>
      </c>
      <c r="K45" s="296" t="s">
        <v>112</v>
      </c>
      <c r="L45" s="297" t="s">
        <v>112</v>
      </c>
      <c r="M45" s="285" t="s">
        <v>112</v>
      </c>
      <c r="N45" s="297">
        <v>19.38</v>
      </c>
      <c r="O45" s="297" t="s">
        <v>112</v>
      </c>
      <c r="P45" s="297">
        <v>19.38</v>
      </c>
      <c r="Q45" s="290"/>
      <c r="R45" s="287" t="s">
        <v>112</v>
      </c>
      <c r="S45" s="286" t="s">
        <v>112</v>
      </c>
      <c r="T45" s="304" t="s">
        <v>112</v>
      </c>
      <c r="U45" s="299" t="s">
        <v>112</v>
      </c>
      <c r="V45" s="290">
        <f t="shared" si="5"/>
        <v>0</v>
      </c>
      <c r="W45" s="290"/>
      <c r="X45" s="290" t="str">
        <f t="shared" si="6"/>
        <v/>
      </c>
      <c r="Y45" s="287"/>
      <c r="Z45" s="287"/>
    </row>
    <row r="46" s="249" customFormat="1" ht="11.9" spans="1:26">
      <c r="A46" s="285" t="s">
        <v>464</v>
      </c>
      <c r="B46" s="294" t="s">
        <v>42</v>
      </c>
      <c r="C46" s="294" t="s">
        <v>42</v>
      </c>
      <c r="D46" s="285" t="s">
        <v>456</v>
      </c>
      <c r="E46" s="294" t="s">
        <v>465</v>
      </c>
      <c r="F46" s="294" t="s">
        <v>112</v>
      </c>
      <c r="G46" s="285" t="s">
        <v>458</v>
      </c>
      <c r="H46" s="285" t="s">
        <v>459</v>
      </c>
      <c r="I46" s="285"/>
      <c r="J46" s="295" t="s">
        <v>112</v>
      </c>
      <c r="K46" s="296" t="s">
        <v>112</v>
      </c>
      <c r="L46" s="297" t="s">
        <v>112</v>
      </c>
      <c r="M46" s="285" t="s">
        <v>112</v>
      </c>
      <c r="N46" s="297">
        <v>11.78</v>
      </c>
      <c r="O46" s="297" t="s">
        <v>112</v>
      </c>
      <c r="P46" s="297">
        <v>11.78</v>
      </c>
      <c r="Q46" s="290"/>
      <c r="R46" s="287" t="s">
        <v>112</v>
      </c>
      <c r="S46" s="286" t="s">
        <v>112</v>
      </c>
      <c r="T46" s="304" t="s">
        <v>112</v>
      </c>
      <c r="U46" s="299" t="s">
        <v>112</v>
      </c>
      <c r="V46" s="290">
        <f t="shared" si="5"/>
        <v>0</v>
      </c>
      <c r="W46" s="290"/>
      <c r="X46" s="290" t="str">
        <f t="shared" si="6"/>
        <v/>
      </c>
      <c r="Y46" s="287"/>
      <c r="Z46" s="287"/>
    </row>
    <row r="47" s="249" customFormat="1" ht="11.9" spans="1:26">
      <c r="A47" s="285" t="s">
        <v>466</v>
      </c>
      <c r="B47" s="294" t="s">
        <v>42</v>
      </c>
      <c r="C47" s="294" t="s">
        <v>42</v>
      </c>
      <c r="D47" s="285" t="s">
        <v>456</v>
      </c>
      <c r="E47" s="294" t="s">
        <v>467</v>
      </c>
      <c r="F47" s="294" t="s">
        <v>112</v>
      </c>
      <c r="G47" s="285" t="s">
        <v>458</v>
      </c>
      <c r="H47" s="285" t="s">
        <v>459</v>
      </c>
      <c r="I47" s="285"/>
      <c r="J47" s="295" t="s">
        <v>112</v>
      </c>
      <c r="K47" s="296" t="s">
        <v>112</v>
      </c>
      <c r="L47" s="297" t="s">
        <v>112</v>
      </c>
      <c r="M47" s="285" t="s">
        <v>112</v>
      </c>
      <c r="N47" s="297">
        <v>16.6</v>
      </c>
      <c r="O47" s="297" t="s">
        <v>112</v>
      </c>
      <c r="P47" s="297">
        <v>16.6</v>
      </c>
      <c r="Q47" s="290"/>
      <c r="R47" s="287" t="s">
        <v>112</v>
      </c>
      <c r="S47" s="286" t="s">
        <v>112</v>
      </c>
      <c r="T47" s="304" t="s">
        <v>112</v>
      </c>
      <c r="U47" s="299" t="s">
        <v>112</v>
      </c>
      <c r="V47" s="290">
        <f t="shared" si="5"/>
        <v>0</v>
      </c>
      <c r="W47" s="290"/>
      <c r="X47" s="290" t="str">
        <f t="shared" si="6"/>
        <v/>
      </c>
      <c r="Y47" s="287"/>
      <c r="Z47" s="287"/>
    </row>
    <row r="48" s="249" customFormat="1" ht="11.9" spans="1:26">
      <c r="A48" s="285" t="s">
        <v>468</v>
      </c>
      <c r="B48" s="294" t="s">
        <v>42</v>
      </c>
      <c r="C48" s="294" t="s">
        <v>42</v>
      </c>
      <c r="D48" s="285" t="s">
        <v>456</v>
      </c>
      <c r="E48" s="294" t="s">
        <v>469</v>
      </c>
      <c r="F48" s="294" t="s">
        <v>112</v>
      </c>
      <c r="G48" s="285" t="s">
        <v>458</v>
      </c>
      <c r="H48" s="285" t="s">
        <v>459</v>
      </c>
      <c r="I48" s="285"/>
      <c r="J48" s="295" t="s">
        <v>112</v>
      </c>
      <c r="K48" s="296" t="s">
        <v>112</v>
      </c>
      <c r="L48" s="297" t="s">
        <v>112</v>
      </c>
      <c r="M48" s="285" t="s">
        <v>112</v>
      </c>
      <c r="N48" s="297">
        <v>19.63</v>
      </c>
      <c r="O48" s="297" t="s">
        <v>112</v>
      </c>
      <c r="P48" s="297">
        <v>19.63</v>
      </c>
      <c r="Q48" s="290"/>
      <c r="R48" s="287" t="s">
        <v>112</v>
      </c>
      <c r="S48" s="286" t="s">
        <v>112</v>
      </c>
      <c r="T48" s="304" t="s">
        <v>112</v>
      </c>
      <c r="U48" s="299" t="s">
        <v>112</v>
      </c>
      <c r="V48" s="290">
        <f t="shared" si="5"/>
        <v>0</v>
      </c>
      <c r="W48" s="290"/>
      <c r="X48" s="290" t="str">
        <f t="shared" si="6"/>
        <v/>
      </c>
      <c r="Y48" s="287"/>
      <c r="Z48" s="287"/>
    </row>
    <row r="49" s="249" customFormat="1" ht="11.9" spans="1:26">
      <c r="A49" s="285" t="s">
        <v>470</v>
      </c>
      <c r="B49" s="294" t="s">
        <v>42</v>
      </c>
      <c r="C49" s="294" t="s">
        <v>42</v>
      </c>
      <c r="D49" s="285" t="s">
        <v>456</v>
      </c>
      <c r="E49" s="294" t="s">
        <v>471</v>
      </c>
      <c r="F49" s="294" t="s">
        <v>112</v>
      </c>
      <c r="G49" s="285" t="s">
        <v>458</v>
      </c>
      <c r="H49" s="285" t="s">
        <v>459</v>
      </c>
      <c r="I49" s="285"/>
      <c r="J49" s="295" t="s">
        <v>112</v>
      </c>
      <c r="K49" s="296" t="s">
        <v>112</v>
      </c>
      <c r="L49" s="297" t="s">
        <v>112</v>
      </c>
      <c r="M49" s="285" t="s">
        <v>112</v>
      </c>
      <c r="N49" s="297">
        <v>19.63</v>
      </c>
      <c r="O49" s="297" t="s">
        <v>112</v>
      </c>
      <c r="P49" s="297">
        <v>19.63</v>
      </c>
      <c r="Q49" s="290"/>
      <c r="R49" s="287" t="s">
        <v>112</v>
      </c>
      <c r="S49" s="286" t="s">
        <v>112</v>
      </c>
      <c r="T49" s="304" t="s">
        <v>112</v>
      </c>
      <c r="U49" s="299" t="s">
        <v>112</v>
      </c>
      <c r="V49" s="290">
        <f t="shared" si="5"/>
        <v>0</v>
      </c>
      <c r="W49" s="290"/>
      <c r="X49" s="290" t="str">
        <f t="shared" si="6"/>
        <v/>
      </c>
      <c r="Y49" s="287"/>
      <c r="Z49" s="287"/>
    </row>
    <row r="50" s="249" customFormat="1" ht="11.9" spans="1:26">
      <c r="A50" s="285" t="s">
        <v>472</v>
      </c>
      <c r="B50" s="286" t="s">
        <v>42</v>
      </c>
      <c r="C50" s="286" t="s">
        <v>42</v>
      </c>
      <c r="D50" s="287" t="s">
        <v>456</v>
      </c>
      <c r="E50" s="286" t="s">
        <v>473</v>
      </c>
      <c r="F50" s="286" t="s">
        <v>112</v>
      </c>
      <c r="G50" s="285" t="s">
        <v>458</v>
      </c>
      <c r="H50" s="285" t="s">
        <v>459</v>
      </c>
      <c r="I50" s="287"/>
      <c r="J50" s="288" t="s">
        <v>112</v>
      </c>
      <c r="K50" s="289" t="s">
        <v>112</v>
      </c>
      <c r="L50" s="290" t="s">
        <v>112</v>
      </c>
      <c r="M50" s="287" t="s">
        <v>112</v>
      </c>
      <c r="N50" s="290">
        <v>19.63</v>
      </c>
      <c r="O50" s="290" t="s">
        <v>112</v>
      </c>
      <c r="P50" s="290">
        <v>19.63</v>
      </c>
      <c r="Q50" s="290"/>
      <c r="R50" s="287" t="s">
        <v>112</v>
      </c>
      <c r="S50" s="286" t="s">
        <v>112</v>
      </c>
      <c r="T50" s="304" t="s">
        <v>112</v>
      </c>
      <c r="U50" s="299" t="s">
        <v>112</v>
      </c>
      <c r="V50" s="290">
        <f t="shared" si="5"/>
        <v>0</v>
      </c>
      <c r="W50" s="290"/>
      <c r="X50" s="290" t="str">
        <f t="shared" si="6"/>
        <v/>
      </c>
      <c r="Y50" s="287"/>
      <c r="Z50" s="287"/>
    </row>
    <row r="51" s="249" customFormat="1" ht="11.9" spans="1:26">
      <c r="A51" s="285" t="s">
        <v>474</v>
      </c>
      <c r="B51" s="294" t="s">
        <v>42</v>
      </c>
      <c r="C51" s="294" t="s">
        <v>42</v>
      </c>
      <c r="D51" s="285" t="s">
        <v>456</v>
      </c>
      <c r="E51" s="294" t="s">
        <v>475</v>
      </c>
      <c r="F51" s="294" t="s">
        <v>112</v>
      </c>
      <c r="G51" s="285" t="s">
        <v>458</v>
      </c>
      <c r="H51" s="285" t="s">
        <v>459</v>
      </c>
      <c r="I51" s="285"/>
      <c r="J51" s="295" t="s">
        <v>112</v>
      </c>
      <c r="K51" s="296" t="s">
        <v>112</v>
      </c>
      <c r="L51" s="297" t="s">
        <v>112</v>
      </c>
      <c r="M51" s="285" t="s">
        <v>112</v>
      </c>
      <c r="N51" s="297">
        <v>16.89</v>
      </c>
      <c r="O51" s="297" t="s">
        <v>112</v>
      </c>
      <c r="P51" s="297">
        <v>16.89</v>
      </c>
      <c r="Q51" s="290"/>
      <c r="R51" s="287" t="s">
        <v>112</v>
      </c>
      <c r="S51" s="286" t="s">
        <v>112</v>
      </c>
      <c r="T51" s="304" t="s">
        <v>112</v>
      </c>
      <c r="U51" s="299" t="s">
        <v>112</v>
      </c>
      <c r="V51" s="290">
        <f t="shared" si="5"/>
        <v>0</v>
      </c>
      <c r="W51" s="290"/>
      <c r="X51" s="290" t="str">
        <f t="shared" si="6"/>
        <v/>
      </c>
      <c r="Y51" s="287"/>
      <c r="Z51" s="287"/>
    </row>
    <row r="52" s="249" customFormat="1" ht="11.9" spans="1:26">
      <c r="A52" s="285" t="s">
        <v>476</v>
      </c>
      <c r="B52" s="294" t="s">
        <v>42</v>
      </c>
      <c r="C52" s="294" t="s">
        <v>42</v>
      </c>
      <c r="D52" s="285" t="s">
        <v>456</v>
      </c>
      <c r="E52" s="294" t="s">
        <v>477</v>
      </c>
      <c r="F52" s="294" t="s">
        <v>112</v>
      </c>
      <c r="G52" s="285" t="s">
        <v>458</v>
      </c>
      <c r="H52" s="285" t="s">
        <v>459</v>
      </c>
      <c r="I52" s="285"/>
      <c r="J52" s="295" t="s">
        <v>112</v>
      </c>
      <c r="K52" s="296" t="s">
        <v>112</v>
      </c>
      <c r="L52" s="297" t="s">
        <v>112</v>
      </c>
      <c r="M52" s="285" t="s">
        <v>112</v>
      </c>
      <c r="N52" s="297">
        <v>22.38</v>
      </c>
      <c r="O52" s="297" t="s">
        <v>112</v>
      </c>
      <c r="P52" s="297">
        <v>22.38</v>
      </c>
      <c r="Q52" s="290"/>
      <c r="R52" s="287" t="s">
        <v>112</v>
      </c>
      <c r="S52" s="286" t="s">
        <v>112</v>
      </c>
      <c r="T52" s="304" t="s">
        <v>112</v>
      </c>
      <c r="U52" s="299" t="s">
        <v>112</v>
      </c>
      <c r="V52" s="290">
        <f t="shared" si="5"/>
        <v>0</v>
      </c>
      <c r="W52" s="290"/>
      <c r="X52" s="290" t="str">
        <f t="shared" si="6"/>
        <v/>
      </c>
      <c r="Y52" s="287"/>
      <c r="Z52" s="287"/>
    </row>
    <row r="53" s="249" customFormat="1" ht="11.9" spans="1:26">
      <c r="A53" s="285" t="s">
        <v>478</v>
      </c>
      <c r="B53" s="286" t="s">
        <v>42</v>
      </c>
      <c r="C53" s="286" t="s">
        <v>42</v>
      </c>
      <c r="D53" s="287" t="s">
        <v>456</v>
      </c>
      <c r="E53" s="286" t="s">
        <v>479</v>
      </c>
      <c r="F53" s="286" t="s">
        <v>112</v>
      </c>
      <c r="G53" s="285" t="s">
        <v>458</v>
      </c>
      <c r="H53" s="285" t="s">
        <v>459</v>
      </c>
      <c r="I53" s="287"/>
      <c r="J53" s="288" t="s">
        <v>112</v>
      </c>
      <c r="K53" s="289" t="s">
        <v>112</v>
      </c>
      <c r="L53" s="290" t="s">
        <v>112</v>
      </c>
      <c r="M53" s="287" t="s">
        <v>112</v>
      </c>
      <c r="N53" s="290">
        <v>12.47</v>
      </c>
      <c r="O53" s="290" t="s">
        <v>112</v>
      </c>
      <c r="P53" s="290">
        <v>12.47</v>
      </c>
      <c r="Q53" s="290"/>
      <c r="R53" s="287" t="s">
        <v>112</v>
      </c>
      <c r="S53" s="286" t="s">
        <v>112</v>
      </c>
      <c r="T53" s="304" t="s">
        <v>112</v>
      </c>
      <c r="U53" s="299" t="s">
        <v>112</v>
      </c>
      <c r="V53" s="290">
        <f t="shared" si="5"/>
        <v>0</v>
      </c>
      <c r="W53" s="290"/>
      <c r="X53" s="290" t="str">
        <f t="shared" si="6"/>
        <v/>
      </c>
      <c r="Y53" s="287"/>
      <c r="Z53" s="287"/>
    </row>
    <row r="54" s="249" customFormat="1" ht="11.9" spans="1:26">
      <c r="A54" s="285" t="s">
        <v>480</v>
      </c>
      <c r="B54" s="294" t="s">
        <v>42</v>
      </c>
      <c r="C54" s="294" t="s">
        <v>42</v>
      </c>
      <c r="D54" s="285" t="s">
        <v>456</v>
      </c>
      <c r="E54" s="294" t="s">
        <v>481</v>
      </c>
      <c r="F54" s="294" t="s">
        <v>112</v>
      </c>
      <c r="G54" s="285" t="s">
        <v>458</v>
      </c>
      <c r="H54" s="285" t="s">
        <v>459</v>
      </c>
      <c r="I54" s="285"/>
      <c r="J54" s="295" t="s">
        <v>112</v>
      </c>
      <c r="K54" s="296" t="s">
        <v>112</v>
      </c>
      <c r="L54" s="297" t="s">
        <v>112</v>
      </c>
      <c r="M54" s="285" t="s">
        <v>112</v>
      </c>
      <c r="N54" s="297">
        <v>12.47</v>
      </c>
      <c r="O54" s="297" t="s">
        <v>112</v>
      </c>
      <c r="P54" s="297">
        <v>12.47</v>
      </c>
      <c r="Q54" s="290"/>
      <c r="R54" s="287" t="s">
        <v>112</v>
      </c>
      <c r="S54" s="286" t="s">
        <v>112</v>
      </c>
      <c r="T54" s="304" t="s">
        <v>112</v>
      </c>
      <c r="U54" s="299" t="s">
        <v>112</v>
      </c>
      <c r="V54" s="290">
        <f t="shared" si="5"/>
        <v>0</v>
      </c>
      <c r="W54" s="290"/>
      <c r="X54" s="290" t="str">
        <f t="shared" si="6"/>
        <v/>
      </c>
      <c r="Y54" s="287"/>
      <c r="Z54" s="287"/>
    </row>
    <row r="55" s="249" customFormat="1" ht="11.9" spans="1:26">
      <c r="A55" s="285" t="s">
        <v>482</v>
      </c>
      <c r="B55" s="294" t="s">
        <v>42</v>
      </c>
      <c r="C55" s="294" t="s">
        <v>42</v>
      </c>
      <c r="D55" s="285" t="s">
        <v>456</v>
      </c>
      <c r="E55" s="294" t="s">
        <v>483</v>
      </c>
      <c r="F55" s="294" t="s">
        <v>112</v>
      </c>
      <c r="G55" s="285" t="s">
        <v>458</v>
      </c>
      <c r="H55" s="285" t="s">
        <v>459</v>
      </c>
      <c r="I55" s="285"/>
      <c r="J55" s="295" t="s">
        <v>112</v>
      </c>
      <c r="K55" s="296" t="s">
        <v>112</v>
      </c>
      <c r="L55" s="297" t="s">
        <v>112</v>
      </c>
      <c r="M55" s="285" t="s">
        <v>112</v>
      </c>
      <c r="N55" s="297">
        <v>12.47</v>
      </c>
      <c r="O55" s="297" t="s">
        <v>112</v>
      </c>
      <c r="P55" s="297">
        <v>12.47</v>
      </c>
      <c r="Q55" s="290"/>
      <c r="R55" s="287" t="s">
        <v>112</v>
      </c>
      <c r="S55" s="286" t="s">
        <v>112</v>
      </c>
      <c r="T55" s="304" t="s">
        <v>112</v>
      </c>
      <c r="U55" s="299" t="s">
        <v>112</v>
      </c>
      <c r="V55" s="290">
        <f t="shared" si="5"/>
        <v>0</v>
      </c>
      <c r="W55" s="290"/>
      <c r="X55" s="290" t="str">
        <f t="shared" si="6"/>
        <v/>
      </c>
      <c r="Y55" s="287"/>
      <c r="Z55" s="287"/>
    </row>
    <row r="56" s="249" customFormat="1" ht="11.9" spans="1:26">
      <c r="A56" s="285" t="s">
        <v>484</v>
      </c>
      <c r="B56" s="294" t="s">
        <v>42</v>
      </c>
      <c r="C56" s="294" t="s">
        <v>42</v>
      </c>
      <c r="D56" s="285" t="s">
        <v>456</v>
      </c>
      <c r="E56" s="294" t="s">
        <v>485</v>
      </c>
      <c r="F56" s="294" t="s">
        <v>112</v>
      </c>
      <c r="G56" s="285" t="s">
        <v>458</v>
      </c>
      <c r="H56" s="285" t="s">
        <v>459</v>
      </c>
      <c r="I56" s="285"/>
      <c r="J56" s="295" t="s">
        <v>112</v>
      </c>
      <c r="K56" s="296" t="s">
        <v>112</v>
      </c>
      <c r="L56" s="297" t="s">
        <v>112</v>
      </c>
      <c r="M56" s="285" t="s">
        <v>112</v>
      </c>
      <c r="N56" s="297">
        <v>12.47</v>
      </c>
      <c r="O56" s="297" t="s">
        <v>112</v>
      </c>
      <c r="P56" s="297">
        <v>12.47</v>
      </c>
      <c r="Q56" s="290"/>
      <c r="R56" s="287" t="s">
        <v>112</v>
      </c>
      <c r="S56" s="286" t="s">
        <v>112</v>
      </c>
      <c r="T56" s="304" t="s">
        <v>112</v>
      </c>
      <c r="U56" s="299" t="s">
        <v>112</v>
      </c>
      <c r="V56" s="290">
        <f t="shared" si="5"/>
        <v>0</v>
      </c>
      <c r="W56" s="290"/>
      <c r="X56" s="290" t="str">
        <f t="shared" si="6"/>
        <v/>
      </c>
      <c r="Y56" s="287"/>
      <c r="Z56" s="287"/>
    </row>
    <row r="57" s="249" customFormat="1" ht="11.9" spans="1:26">
      <c r="A57" s="285" t="s">
        <v>486</v>
      </c>
      <c r="B57" s="294" t="s">
        <v>42</v>
      </c>
      <c r="C57" s="294" t="s">
        <v>42</v>
      </c>
      <c r="D57" s="285" t="s">
        <v>456</v>
      </c>
      <c r="E57" s="294" t="s">
        <v>487</v>
      </c>
      <c r="F57" s="294" t="s">
        <v>112</v>
      </c>
      <c r="G57" s="285" t="s">
        <v>458</v>
      </c>
      <c r="H57" s="285" t="s">
        <v>459</v>
      </c>
      <c r="I57" s="285"/>
      <c r="J57" s="295" t="s">
        <v>112</v>
      </c>
      <c r="K57" s="296" t="s">
        <v>112</v>
      </c>
      <c r="L57" s="297" t="s">
        <v>112</v>
      </c>
      <c r="M57" s="285" t="s">
        <v>112</v>
      </c>
      <c r="N57" s="297">
        <v>22.38</v>
      </c>
      <c r="O57" s="297" t="s">
        <v>112</v>
      </c>
      <c r="P57" s="297">
        <v>22.38</v>
      </c>
      <c r="Q57" s="290"/>
      <c r="R57" s="287" t="s">
        <v>112</v>
      </c>
      <c r="S57" s="286" t="s">
        <v>112</v>
      </c>
      <c r="T57" s="304" t="s">
        <v>112</v>
      </c>
      <c r="U57" s="299" t="s">
        <v>112</v>
      </c>
      <c r="V57" s="290">
        <f t="shared" si="5"/>
        <v>0</v>
      </c>
      <c r="W57" s="290"/>
      <c r="X57" s="290" t="str">
        <f t="shared" si="6"/>
        <v/>
      </c>
      <c r="Y57" s="287"/>
      <c r="Z57" s="287"/>
    </row>
    <row r="58" s="249" customFormat="1" ht="11.9" spans="1:26">
      <c r="A58" s="285" t="s">
        <v>488</v>
      </c>
      <c r="B58" s="294" t="s">
        <v>42</v>
      </c>
      <c r="C58" s="294" t="s">
        <v>42</v>
      </c>
      <c r="D58" s="285" t="s">
        <v>456</v>
      </c>
      <c r="E58" s="294" t="s">
        <v>489</v>
      </c>
      <c r="F58" s="294" t="s">
        <v>112</v>
      </c>
      <c r="G58" s="285" t="s">
        <v>458</v>
      </c>
      <c r="H58" s="285" t="s">
        <v>459</v>
      </c>
      <c r="I58" s="285"/>
      <c r="J58" s="295" t="s">
        <v>112</v>
      </c>
      <c r="K58" s="296" t="s">
        <v>112</v>
      </c>
      <c r="L58" s="297" t="s">
        <v>112</v>
      </c>
      <c r="M58" s="285" t="s">
        <v>112</v>
      </c>
      <c r="N58" s="297">
        <v>16.89</v>
      </c>
      <c r="O58" s="297" t="s">
        <v>112</v>
      </c>
      <c r="P58" s="297">
        <v>16.89</v>
      </c>
      <c r="Q58" s="290"/>
      <c r="R58" s="287" t="s">
        <v>112</v>
      </c>
      <c r="S58" s="286" t="s">
        <v>112</v>
      </c>
      <c r="T58" s="304" t="s">
        <v>112</v>
      </c>
      <c r="U58" s="299" t="s">
        <v>112</v>
      </c>
      <c r="V58" s="290">
        <f t="shared" si="5"/>
        <v>0</v>
      </c>
      <c r="W58" s="290"/>
      <c r="X58" s="290" t="str">
        <f t="shared" si="6"/>
        <v/>
      </c>
      <c r="Y58" s="287"/>
      <c r="Z58" s="287"/>
    </row>
    <row r="59" s="249" customFormat="1" ht="11.9" spans="1:26">
      <c r="A59" s="285" t="s">
        <v>490</v>
      </c>
      <c r="B59" s="294" t="s">
        <v>42</v>
      </c>
      <c r="C59" s="294" t="s">
        <v>42</v>
      </c>
      <c r="D59" s="285" t="s">
        <v>456</v>
      </c>
      <c r="E59" s="294" t="s">
        <v>491</v>
      </c>
      <c r="F59" s="294" t="s">
        <v>112</v>
      </c>
      <c r="G59" s="285" t="s">
        <v>458</v>
      </c>
      <c r="H59" s="285" t="s">
        <v>459</v>
      </c>
      <c r="I59" s="285"/>
      <c r="J59" s="295" t="s">
        <v>112</v>
      </c>
      <c r="K59" s="296" t="s">
        <v>112</v>
      </c>
      <c r="L59" s="297" t="s">
        <v>112</v>
      </c>
      <c r="M59" s="285" t="s">
        <v>112</v>
      </c>
      <c r="N59" s="297">
        <v>19.63</v>
      </c>
      <c r="O59" s="297" t="s">
        <v>112</v>
      </c>
      <c r="P59" s="297">
        <v>19.63</v>
      </c>
      <c r="Q59" s="290"/>
      <c r="R59" s="287" t="s">
        <v>112</v>
      </c>
      <c r="S59" s="286" t="s">
        <v>112</v>
      </c>
      <c r="T59" s="304" t="s">
        <v>112</v>
      </c>
      <c r="U59" s="299" t="s">
        <v>112</v>
      </c>
      <c r="V59" s="290">
        <f t="shared" si="5"/>
        <v>0</v>
      </c>
      <c r="W59" s="290"/>
      <c r="X59" s="290" t="str">
        <f t="shared" si="6"/>
        <v/>
      </c>
      <c r="Y59" s="287"/>
      <c r="Z59" s="287"/>
    </row>
    <row r="60" s="249" customFormat="1" ht="11.9" spans="1:26">
      <c r="A60" s="285" t="s">
        <v>492</v>
      </c>
      <c r="B60" s="294" t="s">
        <v>42</v>
      </c>
      <c r="C60" s="294" t="s">
        <v>42</v>
      </c>
      <c r="D60" s="285" t="s">
        <v>456</v>
      </c>
      <c r="E60" s="294" t="s">
        <v>493</v>
      </c>
      <c r="F60" s="294" t="s">
        <v>112</v>
      </c>
      <c r="G60" s="285" t="s">
        <v>458</v>
      </c>
      <c r="H60" s="285" t="s">
        <v>459</v>
      </c>
      <c r="I60" s="285"/>
      <c r="J60" s="295" t="s">
        <v>112</v>
      </c>
      <c r="K60" s="296" t="s">
        <v>112</v>
      </c>
      <c r="L60" s="297" t="s">
        <v>112</v>
      </c>
      <c r="M60" s="285" t="s">
        <v>112</v>
      </c>
      <c r="N60" s="297">
        <v>19.63</v>
      </c>
      <c r="O60" s="297" t="s">
        <v>112</v>
      </c>
      <c r="P60" s="297">
        <v>19.63</v>
      </c>
      <c r="Q60" s="290"/>
      <c r="R60" s="287" t="s">
        <v>112</v>
      </c>
      <c r="S60" s="286" t="s">
        <v>112</v>
      </c>
      <c r="T60" s="304" t="s">
        <v>112</v>
      </c>
      <c r="U60" s="299" t="s">
        <v>112</v>
      </c>
      <c r="V60" s="290">
        <f t="shared" si="5"/>
        <v>0</v>
      </c>
      <c r="W60" s="290"/>
      <c r="X60" s="290" t="str">
        <f t="shared" si="6"/>
        <v/>
      </c>
      <c r="Y60" s="287"/>
      <c r="Z60" s="287"/>
    </row>
    <row r="61" s="249" customFormat="1" ht="11.9" spans="1:26">
      <c r="A61" s="285" t="s">
        <v>494</v>
      </c>
      <c r="B61" s="294" t="s">
        <v>42</v>
      </c>
      <c r="C61" s="294" t="s">
        <v>42</v>
      </c>
      <c r="D61" s="285" t="s">
        <v>456</v>
      </c>
      <c r="E61" s="294" t="s">
        <v>495</v>
      </c>
      <c r="F61" s="294" t="s">
        <v>112</v>
      </c>
      <c r="G61" s="285" t="s">
        <v>458</v>
      </c>
      <c r="H61" s="285" t="s">
        <v>459</v>
      </c>
      <c r="I61" s="285"/>
      <c r="J61" s="295" t="s">
        <v>112</v>
      </c>
      <c r="K61" s="296" t="s">
        <v>112</v>
      </c>
      <c r="L61" s="297" t="s">
        <v>112</v>
      </c>
      <c r="M61" s="285" t="s">
        <v>112</v>
      </c>
      <c r="N61" s="297">
        <v>19.63</v>
      </c>
      <c r="O61" s="297" t="s">
        <v>112</v>
      </c>
      <c r="P61" s="297">
        <v>19.63</v>
      </c>
      <c r="Q61" s="290"/>
      <c r="R61" s="287" t="s">
        <v>112</v>
      </c>
      <c r="S61" s="286" t="s">
        <v>112</v>
      </c>
      <c r="T61" s="304" t="s">
        <v>112</v>
      </c>
      <c r="U61" s="299" t="s">
        <v>112</v>
      </c>
      <c r="V61" s="290">
        <f t="shared" si="5"/>
        <v>0</v>
      </c>
      <c r="W61" s="290"/>
      <c r="X61" s="290" t="str">
        <f t="shared" si="6"/>
        <v/>
      </c>
      <c r="Y61" s="287"/>
      <c r="Z61" s="287"/>
    </row>
    <row r="62" s="249" customFormat="1" ht="11.9" spans="1:26">
      <c r="A62" s="285" t="s">
        <v>496</v>
      </c>
      <c r="B62" s="294" t="s">
        <v>42</v>
      </c>
      <c r="C62" s="294" t="s">
        <v>42</v>
      </c>
      <c r="D62" s="285" t="s">
        <v>456</v>
      </c>
      <c r="E62" s="294" t="s">
        <v>497</v>
      </c>
      <c r="F62" s="294" t="s">
        <v>112</v>
      </c>
      <c r="G62" s="285" t="s">
        <v>458</v>
      </c>
      <c r="H62" s="285" t="s">
        <v>459</v>
      </c>
      <c r="I62" s="285"/>
      <c r="J62" s="295" t="s">
        <v>112</v>
      </c>
      <c r="K62" s="296" t="s">
        <v>112</v>
      </c>
      <c r="L62" s="297" t="s">
        <v>112</v>
      </c>
      <c r="M62" s="285" t="s">
        <v>112</v>
      </c>
      <c r="N62" s="297">
        <v>15.81</v>
      </c>
      <c r="O62" s="297" t="s">
        <v>112</v>
      </c>
      <c r="P62" s="297">
        <v>15.81</v>
      </c>
      <c r="Q62" s="290"/>
      <c r="R62" s="287" t="s">
        <v>112</v>
      </c>
      <c r="S62" s="286" t="s">
        <v>112</v>
      </c>
      <c r="T62" s="304" t="s">
        <v>112</v>
      </c>
      <c r="U62" s="299" t="s">
        <v>112</v>
      </c>
      <c r="V62" s="290">
        <f t="shared" si="5"/>
        <v>0</v>
      </c>
      <c r="W62" s="290"/>
      <c r="X62" s="290" t="str">
        <f t="shared" si="6"/>
        <v/>
      </c>
      <c r="Y62" s="287"/>
      <c r="Z62" s="287"/>
    </row>
    <row r="63" s="249" customFormat="1" ht="11.9" spans="1:26">
      <c r="A63" s="285" t="s">
        <v>498</v>
      </c>
      <c r="B63" s="294" t="s">
        <v>42</v>
      </c>
      <c r="C63" s="294" t="s">
        <v>42</v>
      </c>
      <c r="D63" s="285" t="s">
        <v>456</v>
      </c>
      <c r="E63" s="294" t="s">
        <v>499</v>
      </c>
      <c r="F63" s="294" t="s">
        <v>112</v>
      </c>
      <c r="G63" s="285" t="s">
        <v>458</v>
      </c>
      <c r="H63" s="285" t="s">
        <v>459</v>
      </c>
      <c r="I63" s="285"/>
      <c r="J63" s="295" t="s">
        <v>112</v>
      </c>
      <c r="K63" s="296" t="s">
        <v>112</v>
      </c>
      <c r="L63" s="297" t="s">
        <v>112</v>
      </c>
      <c r="M63" s="285" t="s">
        <v>112</v>
      </c>
      <c r="N63" s="297">
        <v>16.89</v>
      </c>
      <c r="O63" s="297" t="s">
        <v>112</v>
      </c>
      <c r="P63" s="297">
        <v>16.89</v>
      </c>
      <c r="Q63" s="290"/>
      <c r="R63" s="287" t="s">
        <v>112</v>
      </c>
      <c r="S63" s="286" t="s">
        <v>112</v>
      </c>
      <c r="T63" s="304" t="s">
        <v>112</v>
      </c>
      <c r="U63" s="299" t="s">
        <v>112</v>
      </c>
      <c r="V63" s="290">
        <f t="shared" si="5"/>
        <v>0</v>
      </c>
      <c r="W63" s="290"/>
      <c r="X63" s="290" t="str">
        <f t="shared" si="6"/>
        <v/>
      </c>
      <c r="Y63" s="287"/>
      <c r="Z63" s="287"/>
    </row>
    <row r="64" s="249" customFormat="1" ht="11.9" spans="1:26">
      <c r="A64" s="285" t="s">
        <v>500</v>
      </c>
      <c r="B64" s="294" t="s">
        <v>42</v>
      </c>
      <c r="C64" s="294" t="s">
        <v>42</v>
      </c>
      <c r="D64" s="285" t="s">
        <v>456</v>
      </c>
      <c r="E64" s="294" t="s">
        <v>501</v>
      </c>
      <c r="F64" s="294" t="s">
        <v>112</v>
      </c>
      <c r="G64" s="285" t="s">
        <v>458</v>
      </c>
      <c r="H64" s="285" t="s">
        <v>459</v>
      </c>
      <c r="I64" s="285"/>
      <c r="J64" s="295" t="s">
        <v>112</v>
      </c>
      <c r="K64" s="296" t="s">
        <v>112</v>
      </c>
      <c r="L64" s="297" t="s">
        <v>112</v>
      </c>
      <c r="M64" s="285" t="s">
        <v>112</v>
      </c>
      <c r="N64" s="297">
        <v>9.38</v>
      </c>
      <c r="O64" s="297" t="s">
        <v>112</v>
      </c>
      <c r="P64" s="297">
        <v>9.38</v>
      </c>
      <c r="Q64" s="290"/>
      <c r="R64" s="287" t="s">
        <v>112</v>
      </c>
      <c r="S64" s="286" t="s">
        <v>112</v>
      </c>
      <c r="T64" s="304" t="s">
        <v>112</v>
      </c>
      <c r="U64" s="299" t="s">
        <v>112</v>
      </c>
      <c r="V64" s="290">
        <f t="shared" si="5"/>
        <v>0</v>
      </c>
      <c r="W64" s="290"/>
      <c r="X64" s="290" t="str">
        <f t="shared" si="6"/>
        <v/>
      </c>
      <c r="Y64" s="287"/>
      <c r="Z64" s="287"/>
    </row>
    <row r="65" s="249" customFormat="1" ht="11.9" spans="1:26">
      <c r="A65" s="285" t="s">
        <v>502</v>
      </c>
      <c r="B65" s="294" t="s">
        <v>42</v>
      </c>
      <c r="C65" s="294" t="s">
        <v>42</v>
      </c>
      <c r="D65" s="285" t="s">
        <v>456</v>
      </c>
      <c r="E65" s="294" t="s">
        <v>503</v>
      </c>
      <c r="F65" s="294" t="s">
        <v>112</v>
      </c>
      <c r="G65" s="285" t="s">
        <v>458</v>
      </c>
      <c r="H65" s="285" t="s">
        <v>459</v>
      </c>
      <c r="I65" s="285"/>
      <c r="J65" s="295" t="s">
        <v>112</v>
      </c>
      <c r="K65" s="296" t="s">
        <v>112</v>
      </c>
      <c r="L65" s="297" t="s">
        <v>112</v>
      </c>
      <c r="M65" s="285" t="s">
        <v>112</v>
      </c>
      <c r="N65" s="297">
        <v>21.96</v>
      </c>
      <c r="O65" s="297" t="s">
        <v>112</v>
      </c>
      <c r="P65" s="297">
        <v>21.96</v>
      </c>
      <c r="Q65" s="290"/>
      <c r="R65" s="287" t="s">
        <v>112</v>
      </c>
      <c r="S65" s="286" t="s">
        <v>112</v>
      </c>
      <c r="T65" s="304" t="s">
        <v>112</v>
      </c>
      <c r="U65" s="299" t="s">
        <v>112</v>
      </c>
      <c r="V65" s="290">
        <f t="shared" si="5"/>
        <v>0</v>
      </c>
      <c r="W65" s="290"/>
      <c r="X65" s="290" t="str">
        <f t="shared" si="6"/>
        <v/>
      </c>
      <c r="Y65" s="287"/>
      <c r="Z65" s="287"/>
    </row>
    <row r="66" s="249" customFormat="1" ht="11.9" spans="1:26">
      <c r="A66" s="285" t="s">
        <v>504</v>
      </c>
      <c r="B66" s="294" t="s">
        <v>42</v>
      </c>
      <c r="C66" s="294" t="s">
        <v>42</v>
      </c>
      <c r="D66" s="285" t="s">
        <v>456</v>
      </c>
      <c r="E66" s="294" t="s">
        <v>505</v>
      </c>
      <c r="F66" s="294" t="s">
        <v>112</v>
      </c>
      <c r="G66" s="285" t="s">
        <v>458</v>
      </c>
      <c r="H66" s="285" t="s">
        <v>459</v>
      </c>
      <c r="I66" s="285"/>
      <c r="J66" s="295" t="s">
        <v>112</v>
      </c>
      <c r="K66" s="296" t="s">
        <v>112</v>
      </c>
      <c r="L66" s="297" t="s">
        <v>112</v>
      </c>
      <c r="M66" s="285" t="s">
        <v>112</v>
      </c>
      <c r="N66" s="297">
        <v>12.47</v>
      </c>
      <c r="O66" s="297" t="s">
        <v>112</v>
      </c>
      <c r="P66" s="297">
        <v>12.47</v>
      </c>
      <c r="Q66" s="290"/>
      <c r="R66" s="287" t="s">
        <v>112</v>
      </c>
      <c r="S66" s="286" t="s">
        <v>112</v>
      </c>
      <c r="T66" s="304" t="s">
        <v>112</v>
      </c>
      <c r="U66" s="299" t="s">
        <v>112</v>
      </c>
      <c r="V66" s="290">
        <f t="shared" si="5"/>
        <v>0</v>
      </c>
      <c r="W66" s="290"/>
      <c r="X66" s="290" t="str">
        <f t="shared" si="6"/>
        <v/>
      </c>
      <c r="Y66" s="287"/>
      <c r="Z66" s="287"/>
    </row>
    <row r="67" s="249" customFormat="1" ht="11.9" spans="1:26">
      <c r="A67" s="285" t="s">
        <v>506</v>
      </c>
      <c r="B67" s="294" t="s">
        <v>42</v>
      </c>
      <c r="C67" s="294" t="s">
        <v>42</v>
      </c>
      <c r="D67" s="285" t="s">
        <v>456</v>
      </c>
      <c r="E67" s="294" t="s">
        <v>507</v>
      </c>
      <c r="F67" s="294" t="s">
        <v>112</v>
      </c>
      <c r="G67" s="285" t="s">
        <v>458</v>
      </c>
      <c r="H67" s="285" t="s">
        <v>459</v>
      </c>
      <c r="I67" s="285"/>
      <c r="J67" s="295" t="s">
        <v>112</v>
      </c>
      <c r="K67" s="296" t="s">
        <v>112</v>
      </c>
      <c r="L67" s="297" t="s">
        <v>112</v>
      </c>
      <c r="M67" s="285" t="s">
        <v>112</v>
      </c>
      <c r="N67" s="297">
        <v>24.95</v>
      </c>
      <c r="O67" s="297" t="s">
        <v>112</v>
      </c>
      <c r="P67" s="297">
        <v>24.95</v>
      </c>
      <c r="Q67" s="290"/>
      <c r="R67" s="287" t="s">
        <v>112</v>
      </c>
      <c r="S67" s="286" t="s">
        <v>112</v>
      </c>
      <c r="T67" s="304" t="s">
        <v>112</v>
      </c>
      <c r="U67" s="299" t="s">
        <v>112</v>
      </c>
      <c r="V67" s="290">
        <f t="shared" si="5"/>
        <v>0</v>
      </c>
      <c r="W67" s="290"/>
      <c r="X67" s="290" t="str">
        <f t="shared" si="6"/>
        <v/>
      </c>
      <c r="Y67" s="287"/>
      <c r="Z67" s="287"/>
    </row>
    <row r="68" s="249" customFormat="1" ht="11.9" spans="1:26">
      <c r="A68" s="285" t="s">
        <v>508</v>
      </c>
      <c r="B68" s="294" t="s">
        <v>42</v>
      </c>
      <c r="C68" s="294" t="s">
        <v>42</v>
      </c>
      <c r="D68" s="285" t="s">
        <v>456</v>
      </c>
      <c r="E68" s="294" t="s">
        <v>509</v>
      </c>
      <c r="F68" s="294" t="s">
        <v>112</v>
      </c>
      <c r="G68" s="285" t="s">
        <v>458</v>
      </c>
      <c r="H68" s="285" t="s">
        <v>459</v>
      </c>
      <c r="I68" s="285"/>
      <c r="J68" s="295" t="s">
        <v>112</v>
      </c>
      <c r="K68" s="296" t="s">
        <v>112</v>
      </c>
      <c r="L68" s="297" t="s">
        <v>112</v>
      </c>
      <c r="M68" s="285" t="s">
        <v>112</v>
      </c>
      <c r="N68" s="297">
        <v>21.96</v>
      </c>
      <c r="O68" s="297" t="s">
        <v>112</v>
      </c>
      <c r="P68" s="297">
        <v>21.96</v>
      </c>
      <c r="Q68" s="290"/>
      <c r="R68" s="287" t="s">
        <v>112</v>
      </c>
      <c r="S68" s="286" t="s">
        <v>112</v>
      </c>
      <c r="T68" s="304" t="s">
        <v>112</v>
      </c>
      <c r="U68" s="299" t="s">
        <v>112</v>
      </c>
      <c r="V68" s="290">
        <f t="shared" si="5"/>
        <v>0</v>
      </c>
      <c r="W68" s="290"/>
      <c r="X68" s="290" t="str">
        <f t="shared" si="6"/>
        <v/>
      </c>
      <c r="Y68" s="287"/>
      <c r="Z68" s="287"/>
    </row>
    <row r="69" s="249" customFormat="1" ht="11.9" spans="1:26">
      <c r="A69" s="285" t="s">
        <v>510</v>
      </c>
      <c r="B69" s="294" t="s">
        <v>42</v>
      </c>
      <c r="C69" s="294" t="s">
        <v>42</v>
      </c>
      <c r="D69" s="285" t="s">
        <v>456</v>
      </c>
      <c r="E69" s="294" t="s">
        <v>511</v>
      </c>
      <c r="F69" s="294" t="s">
        <v>112</v>
      </c>
      <c r="G69" s="285" t="s">
        <v>458</v>
      </c>
      <c r="H69" s="285" t="s">
        <v>459</v>
      </c>
      <c r="I69" s="285"/>
      <c r="J69" s="295" t="s">
        <v>112</v>
      </c>
      <c r="K69" s="296" t="s">
        <v>112</v>
      </c>
      <c r="L69" s="297" t="s">
        <v>112</v>
      </c>
      <c r="M69" s="285" t="s">
        <v>112</v>
      </c>
      <c r="N69" s="297">
        <v>9.38</v>
      </c>
      <c r="O69" s="297" t="s">
        <v>112</v>
      </c>
      <c r="P69" s="297">
        <v>9.38</v>
      </c>
      <c r="Q69" s="290"/>
      <c r="R69" s="287" t="s">
        <v>112</v>
      </c>
      <c r="S69" s="286" t="s">
        <v>112</v>
      </c>
      <c r="T69" s="304" t="s">
        <v>112</v>
      </c>
      <c r="U69" s="299" t="s">
        <v>112</v>
      </c>
      <c r="V69" s="290">
        <f t="shared" si="5"/>
        <v>0</v>
      </c>
      <c r="W69" s="290"/>
      <c r="X69" s="290" t="str">
        <f t="shared" si="6"/>
        <v/>
      </c>
      <c r="Y69" s="287"/>
      <c r="Z69" s="287"/>
    </row>
    <row r="70" s="249" customFormat="1" ht="11.9" spans="1:26">
      <c r="A70" s="285" t="s">
        <v>512</v>
      </c>
      <c r="B70" s="294" t="s">
        <v>42</v>
      </c>
      <c r="C70" s="294" t="s">
        <v>42</v>
      </c>
      <c r="D70" s="285" t="s">
        <v>456</v>
      </c>
      <c r="E70" s="294" t="s">
        <v>513</v>
      </c>
      <c r="F70" s="294" t="s">
        <v>112</v>
      </c>
      <c r="G70" s="285" t="s">
        <v>458</v>
      </c>
      <c r="H70" s="285" t="s">
        <v>459</v>
      </c>
      <c r="I70" s="285"/>
      <c r="J70" s="295" t="s">
        <v>112</v>
      </c>
      <c r="K70" s="296" t="s">
        <v>112</v>
      </c>
      <c r="L70" s="297" t="s">
        <v>112</v>
      </c>
      <c r="M70" s="285" t="s">
        <v>112</v>
      </c>
      <c r="N70" s="297">
        <v>16.89</v>
      </c>
      <c r="O70" s="297" t="s">
        <v>112</v>
      </c>
      <c r="P70" s="297">
        <v>16.89</v>
      </c>
      <c r="Q70" s="290"/>
      <c r="R70" s="287" t="s">
        <v>112</v>
      </c>
      <c r="S70" s="286" t="s">
        <v>112</v>
      </c>
      <c r="T70" s="304" t="s">
        <v>112</v>
      </c>
      <c r="U70" s="299" t="s">
        <v>112</v>
      </c>
      <c r="V70" s="290">
        <f t="shared" si="5"/>
        <v>0</v>
      </c>
      <c r="W70" s="290"/>
      <c r="X70" s="290" t="str">
        <f t="shared" si="6"/>
        <v/>
      </c>
      <c r="Y70" s="287"/>
      <c r="Z70" s="287"/>
    </row>
    <row r="71" s="249" customFormat="1" ht="11.9" spans="1:26">
      <c r="A71" s="285" t="s">
        <v>514</v>
      </c>
      <c r="B71" s="286" t="s">
        <v>42</v>
      </c>
      <c r="C71" s="286" t="s">
        <v>42</v>
      </c>
      <c r="D71" s="287" t="s">
        <v>456</v>
      </c>
      <c r="E71" s="286" t="s">
        <v>515</v>
      </c>
      <c r="F71" s="286" t="s">
        <v>112</v>
      </c>
      <c r="G71" s="285" t="s">
        <v>458</v>
      </c>
      <c r="H71" s="285" t="s">
        <v>459</v>
      </c>
      <c r="I71" s="287"/>
      <c r="J71" s="288" t="s">
        <v>112</v>
      </c>
      <c r="K71" s="289" t="s">
        <v>112</v>
      </c>
      <c r="L71" s="290" t="s">
        <v>112</v>
      </c>
      <c r="M71" s="287" t="s">
        <v>112</v>
      </c>
      <c r="N71" s="290">
        <v>19.63</v>
      </c>
      <c r="O71" s="290" t="s">
        <v>112</v>
      </c>
      <c r="P71" s="290">
        <v>19.63</v>
      </c>
      <c r="Q71" s="290"/>
      <c r="R71" s="287" t="s">
        <v>112</v>
      </c>
      <c r="S71" s="286" t="s">
        <v>112</v>
      </c>
      <c r="T71" s="304" t="s">
        <v>112</v>
      </c>
      <c r="U71" s="299" t="s">
        <v>112</v>
      </c>
      <c r="V71" s="290">
        <f t="shared" si="5"/>
        <v>0</v>
      </c>
      <c r="W71" s="290"/>
      <c r="X71" s="290" t="str">
        <f t="shared" si="6"/>
        <v/>
      </c>
      <c r="Y71" s="287"/>
      <c r="Z71" s="287"/>
    </row>
    <row r="72" s="249" customFormat="1" ht="11.9" spans="1:26">
      <c r="A72" s="285" t="s">
        <v>516</v>
      </c>
      <c r="B72" s="294" t="s">
        <v>42</v>
      </c>
      <c r="C72" s="294" t="s">
        <v>42</v>
      </c>
      <c r="D72" s="285" t="s">
        <v>456</v>
      </c>
      <c r="E72" s="294" t="s">
        <v>517</v>
      </c>
      <c r="F72" s="294" t="s">
        <v>112</v>
      </c>
      <c r="G72" s="285" t="s">
        <v>458</v>
      </c>
      <c r="H72" s="285" t="s">
        <v>459</v>
      </c>
      <c r="I72" s="285"/>
      <c r="J72" s="295" t="s">
        <v>112</v>
      </c>
      <c r="K72" s="296" t="s">
        <v>112</v>
      </c>
      <c r="L72" s="297" t="s">
        <v>112</v>
      </c>
      <c r="M72" s="285" t="s">
        <v>112</v>
      </c>
      <c r="N72" s="297">
        <v>19.63</v>
      </c>
      <c r="O72" s="297" t="s">
        <v>112</v>
      </c>
      <c r="P72" s="297">
        <v>19.63</v>
      </c>
      <c r="Q72" s="290"/>
      <c r="R72" s="287" t="s">
        <v>112</v>
      </c>
      <c r="S72" s="286" t="s">
        <v>112</v>
      </c>
      <c r="T72" s="304" t="s">
        <v>112</v>
      </c>
      <c r="U72" s="299" t="s">
        <v>112</v>
      </c>
      <c r="V72" s="290">
        <f t="shared" si="5"/>
        <v>0</v>
      </c>
      <c r="W72" s="290"/>
      <c r="X72" s="290" t="str">
        <f t="shared" si="6"/>
        <v/>
      </c>
      <c r="Y72" s="287"/>
      <c r="Z72" s="287"/>
    </row>
    <row r="73" s="249" customFormat="1" ht="11.9" spans="1:26">
      <c r="A73" s="285" t="s">
        <v>518</v>
      </c>
      <c r="B73" s="294" t="s">
        <v>42</v>
      </c>
      <c r="C73" s="294" t="s">
        <v>42</v>
      </c>
      <c r="D73" s="285" t="s">
        <v>456</v>
      </c>
      <c r="E73" s="294" t="s">
        <v>519</v>
      </c>
      <c r="F73" s="294" t="s">
        <v>112</v>
      </c>
      <c r="G73" s="285" t="s">
        <v>458</v>
      </c>
      <c r="H73" s="285" t="s">
        <v>459</v>
      </c>
      <c r="I73" s="285"/>
      <c r="J73" s="295" t="s">
        <v>112</v>
      </c>
      <c r="K73" s="296" t="s">
        <v>112</v>
      </c>
      <c r="L73" s="297" t="s">
        <v>112</v>
      </c>
      <c r="M73" s="285" t="s">
        <v>112</v>
      </c>
      <c r="N73" s="297">
        <v>19.63</v>
      </c>
      <c r="O73" s="297" t="s">
        <v>112</v>
      </c>
      <c r="P73" s="297">
        <v>19.63</v>
      </c>
      <c r="Q73" s="290"/>
      <c r="R73" s="287" t="s">
        <v>112</v>
      </c>
      <c r="S73" s="286" t="s">
        <v>112</v>
      </c>
      <c r="T73" s="304" t="s">
        <v>112</v>
      </c>
      <c r="U73" s="299" t="s">
        <v>112</v>
      </c>
      <c r="V73" s="290">
        <f t="shared" si="5"/>
        <v>0</v>
      </c>
      <c r="W73" s="290"/>
      <c r="X73" s="290" t="str">
        <f t="shared" si="6"/>
        <v/>
      </c>
      <c r="Y73" s="287"/>
      <c r="Z73" s="287"/>
    </row>
    <row r="74" s="249" customFormat="1" ht="11.9" spans="1:26">
      <c r="A74" s="285" t="s">
        <v>520</v>
      </c>
      <c r="B74" s="294" t="s">
        <v>42</v>
      </c>
      <c r="C74" s="294" t="s">
        <v>42</v>
      </c>
      <c r="D74" s="285" t="s">
        <v>456</v>
      </c>
      <c r="E74" s="294" t="s">
        <v>521</v>
      </c>
      <c r="F74" s="294" t="s">
        <v>112</v>
      </c>
      <c r="G74" s="285" t="s">
        <v>458</v>
      </c>
      <c r="H74" s="285" t="s">
        <v>459</v>
      </c>
      <c r="I74" s="285"/>
      <c r="J74" s="295" t="s">
        <v>112</v>
      </c>
      <c r="K74" s="296" t="s">
        <v>112</v>
      </c>
      <c r="L74" s="297" t="s">
        <v>112</v>
      </c>
      <c r="M74" s="285" t="s">
        <v>112</v>
      </c>
      <c r="N74" s="297">
        <v>16.6</v>
      </c>
      <c r="O74" s="297" t="s">
        <v>112</v>
      </c>
      <c r="P74" s="297">
        <v>16.6</v>
      </c>
      <c r="Q74" s="290"/>
      <c r="R74" s="287" t="s">
        <v>112</v>
      </c>
      <c r="S74" s="286" t="s">
        <v>112</v>
      </c>
      <c r="T74" s="304" t="s">
        <v>112</v>
      </c>
      <c r="U74" s="299" t="s">
        <v>112</v>
      </c>
      <c r="V74" s="290">
        <f t="shared" si="5"/>
        <v>0</v>
      </c>
      <c r="W74" s="290"/>
      <c r="X74" s="290" t="str">
        <f t="shared" si="6"/>
        <v/>
      </c>
      <c r="Y74" s="287"/>
      <c r="Z74" s="287"/>
    </row>
    <row r="75" s="249" customFormat="1" ht="11.9" spans="1:26">
      <c r="A75" s="285" t="s">
        <v>522</v>
      </c>
      <c r="B75" s="294" t="s">
        <v>42</v>
      </c>
      <c r="C75" s="294" t="s">
        <v>42</v>
      </c>
      <c r="D75" s="285" t="s">
        <v>456</v>
      </c>
      <c r="E75" s="294" t="s">
        <v>523</v>
      </c>
      <c r="F75" s="294" t="s">
        <v>112</v>
      </c>
      <c r="G75" s="285" t="s">
        <v>458</v>
      </c>
      <c r="H75" s="285" t="s">
        <v>459</v>
      </c>
      <c r="I75" s="285"/>
      <c r="J75" s="295" t="s">
        <v>112</v>
      </c>
      <c r="K75" s="296" t="s">
        <v>112</v>
      </c>
      <c r="L75" s="297" t="s">
        <v>112</v>
      </c>
      <c r="M75" s="285" t="s">
        <v>112</v>
      </c>
      <c r="N75" s="297">
        <v>11.78</v>
      </c>
      <c r="O75" s="297" t="s">
        <v>112</v>
      </c>
      <c r="P75" s="297">
        <v>11.78</v>
      </c>
      <c r="Q75" s="290"/>
      <c r="R75" s="287" t="s">
        <v>112</v>
      </c>
      <c r="S75" s="286" t="s">
        <v>112</v>
      </c>
      <c r="T75" s="304" t="s">
        <v>112</v>
      </c>
      <c r="U75" s="299" t="s">
        <v>112</v>
      </c>
      <c r="V75" s="290">
        <f t="shared" si="5"/>
        <v>0</v>
      </c>
      <c r="W75" s="290"/>
      <c r="X75" s="290" t="str">
        <f t="shared" si="6"/>
        <v/>
      </c>
      <c r="Y75" s="287"/>
      <c r="Z75" s="287"/>
    </row>
    <row r="76" spans="1:26">
      <c r="A76" s="285" t="s">
        <v>524</v>
      </c>
      <c r="B76" s="294" t="s">
        <v>42</v>
      </c>
      <c r="C76" s="294" t="s">
        <v>42</v>
      </c>
      <c r="D76" s="285" t="s">
        <v>456</v>
      </c>
      <c r="E76" s="294" t="s">
        <v>525</v>
      </c>
      <c r="F76" s="294" t="s">
        <v>112</v>
      </c>
      <c r="G76" s="285" t="s">
        <v>458</v>
      </c>
      <c r="H76" s="285" t="s">
        <v>459</v>
      </c>
      <c r="I76" s="285"/>
      <c r="J76" s="295" t="s">
        <v>112</v>
      </c>
      <c r="K76" s="296" t="s">
        <v>112</v>
      </c>
      <c r="L76" s="297" t="s">
        <v>112</v>
      </c>
      <c r="M76" s="285" t="s">
        <v>112</v>
      </c>
      <c r="N76" s="297">
        <v>19.38</v>
      </c>
      <c r="O76" s="297" t="s">
        <v>112</v>
      </c>
      <c r="P76" s="297">
        <v>19.38</v>
      </c>
      <c r="Q76" s="290"/>
      <c r="R76" s="287" t="s">
        <v>112</v>
      </c>
      <c r="S76" s="286" t="s">
        <v>112</v>
      </c>
      <c r="T76" s="304" t="s">
        <v>112</v>
      </c>
      <c r="U76" s="299" t="s">
        <v>112</v>
      </c>
      <c r="V76" s="290">
        <f t="shared" si="5"/>
        <v>0</v>
      </c>
      <c r="W76" s="290"/>
      <c r="X76" s="290" t="str">
        <f t="shared" si="6"/>
        <v/>
      </c>
      <c r="Y76" s="287"/>
      <c r="Z76" s="287"/>
    </row>
    <row r="77" spans="1:26">
      <c r="A77" s="285" t="s">
        <v>526</v>
      </c>
      <c r="B77" s="294" t="s">
        <v>42</v>
      </c>
      <c r="C77" s="294" t="s">
        <v>42</v>
      </c>
      <c r="D77" s="285" t="s">
        <v>456</v>
      </c>
      <c r="E77" s="294" t="s">
        <v>527</v>
      </c>
      <c r="F77" s="294" t="s">
        <v>112</v>
      </c>
      <c r="G77" s="285" t="s">
        <v>458</v>
      </c>
      <c r="H77" s="285" t="s">
        <v>459</v>
      </c>
      <c r="I77" s="285"/>
      <c r="J77" s="295" t="s">
        <v>112</v>
      </c>
      <c r="K77" s="296" t="s">
        <v>112</v>
      </c>
      <c r="L77" s="297" t="s">
        <v>112</v>
      </c>
      <c r="M77" s="285" t="s">
        <v>112</v>
      </c>
      <c r="N77" s="297">
        <v>22.77</v>
      </c>
      <c r="O77" s="297" t="s">
        <v>112</v>
      </c>
      <c r="P77" s="297">
        <v>22.77</v>
      </c>
      <c r="Q77" s="290"/>
      <c r="R77" s="287" t="s">
        <v>112</v>
      </c>
      <c r="S77" s="286" t="s">
        <v>112</v>
      </c>
      <c r="T77" s="304" t="s">
        <v>112</v>
      </c>
      <c r="U77" s="299" t="s">
        <v>112</v>
      </c>
      <c r="V77" s="290">
        <f t="shared" si="5"/>
        <v>0</v>
      </c>
      <c r="W77" s="290"/>
      <c r="X77" s="290" t="str">
        <f t="shared" si="6"/>
        <v/>
      </c>
      <c r="Y77" s="287"/>
      <c r="Z77" s="287"/>
    </row>
    <row r="78" spans="1:26">
      <c r="A78" s="285" t="s">
        <v>528</v>
      </c>
      <c r="B78" s="286" t="s">
        <v>42</v>
      </c>
      <c r="C78" s="286" t="s">
        <v>42</v>
      </c>
      <c r="D78" s="287" t="s">
        <v>456</v>
      </c>
      <c r="E78" s="286" t="s">
        <v>529</v>
      </c>
      <c r="F78" s="286" t="s">
        <v>112</v>
      </c>
      <c r="G78" s="285" t="s">
        <v>458</v>
      </c>
      <c r="H78" s="285" t="s">
        <v>459</v>
      </c>
      <c r="I78" s="287"/>
      <c r="J78" s="288" t="s">
        <v>112</v>
      </c>
      <c r="K78" s="289" t="s">
        <v>112</v>
      </c>
      <c r="L78" s="290" t="s">
        <v>112</v>
      </c>
      <c r="M78" s="287" t="s">
        <v>112</v>
      </c>
      <c r="N78" s="290">
        <v>26.87</v>
      </c>
      <c r="O78" s="290" t="s">
        <v>112</v>
      </c>
      <c r="P78" s="290">
        <v>26.87</v>
      </c>
      <c r="Q78" s="290"/>
      <c r="R78" s="287" t="s">
        <v>112</v>
      </c>
      <c r="S78" s="286" t="s">
        <v>112</v>
      </c>
      <c r="T78" s="304" t="s">
        <v>112</v>
      </c>
      <c r="U78" s="299" t="s">
        <v>112</v>
      </c>
      <c r="V78" s="290">
        <f t="shared" si="5"/>
        <v>0</v>
      </c>
      <c r="W78" s="290"/>
      <c r="X78" s="290" t="str">
        <f t="shared" si="6"/>
        <v/>
      </c>
      <c r="Y78" s="287"/>
      <c r="Z78" s="287"/>
    </row>
    <row r="79" ht="21.3" spans="1:26">
      <c r="A79" s="285" t="s">
        <v>530</v>
      </c>
      <c r="B79" s="294" t="s">
        <v>80</v>
      </c>
      <c r="C79" s="294" t="s">
        <v>42</v>
      </c>
      <c r="D79" s="285" t="s">
        <v>42</v>
      </c>
      <c r="E79" s="294" t="s">
        <v>327</v>
      </c>
      <c r="F79" s="294" t="s">
        <v>112</v>
      </c>
      <c r="G79" s="285" t="s">
        <v>145</v>
      </c>
      <c r="H79" s="285" t="s">
        <v>330</v>
      </c>
      <c r="I79" s="285" t="s">
        <v>233</v>
      </c>
      <c r="J79" s="295">
        <v>20210000956</v>
      </c>
      <c r="K79" s="296" t="s">
        <v>531</v>
      </c>
      <c r="L79" s="297">
        <v>494825</v>
      </c>
      <c r="M79" s="285" t="s">
        <v>532</v>
      </c>
      <c r="N79" s="297">
        <v>120.69</v>
      </c>
      <c r="O79" s="297" t="s">
        <v>112</v>
      </c>
      <c r="P79" s="290">
        <v>120.69</v>
      </c>
      <c r="Q79" s="290"/>
      <c r="R79" s="290"/>
      <c r="S79" s="291"/>
      <c r="T79" s="292" t="s">
        <v>533</v>
      </c>
      <c r="U79" s="299">
        <v>453971.56</v>
      </c>
      <c r="V79" s="290">
        <f t="shared" ref="V79:V114" si="7">ROUND(U79*0.09,2)</f>
        <v>40857.44</v>
      </c>
      <c r="W79" s="290">
        <f t="shared" ref="W79:W114" si="8">SUM(U79)+SUM(V79)</f>
        <v>494829</v>
      </c>
      <c r="X79" s="290">
        <f t="shared" ref="X79:X103" si="9">U79</f>
        <v>453971.56</v>
      </c>
      <c r="Y79" s="290">
        <f t="shared" ref="Y79:Y114" si="10">IF(SUM(P79)=0,"",ROUND(SUM(X79)/SUM(P79),2))</f>
        <v>3761.47</v>
      </c>
      <c r="Z79" s="290"/>
    </row>
    <row r="80" ht="23.8" spans="1:26">
      <c r="A80" s="285" t="s">
        <v>534</v>
      </c>
      <c r="B80" s="294" t="s">
        <v>80</v>
      </c>
      <c r="C80" s="294" t="s">
        <v>42</v>
      </c>
      <c r="D80" s="285" t="s">
        <v>42</v>
      </c>
      <c r="E80" s="294" t="s">
        <v>329</v>
      </c>
      <c r="F80" s="294" t="s">
        <v>112</v>
      </c>
      <c r="G80" s="285" t="s">
        <v>145</v>
      </c>
      <c r="H80" s="285" t="s">
        <v>330</v>
      </c>
      <c r="I80" s="285" t="s">
        <v>233</v>
      </c>
      <c r="J80" s="295">
        <v>20200004538</v>
      </c>
      <c r="K80" s="296" t="s">
        <v>535</v>
      </c>
      <c r="L80" s="297">
        <v>570000</v>
      </c>
      <c r="M80" s="285" t="s">
        <v>536</v>
      </c>
      <c r="N80" s="297">
        <v>109.48</v>
      </c>
      <c r="O80" s="297" t="s">
        <v>112</v>
      </c>
      <c r="P80" s="290">
        <v>109.48</v>
      </c>
      <c r="Q80" s="290"/>
      <c r="R80" s="290"/>
      <c r="S80" s="515" t="s">
        <v>341</v>
      </c>
      <c r="T80" s="292" t="s">
        <v>537</v>
      </c>
      <c r="U80" s="299">
        <v>522935.78</v>
      </c>
      <c r="V80" s="290">
        <f t="shared" si="7"/>
        <v>47064.22</v>
      </c>
      <c r="W80" s="290">
        <f t="shared" si="8"/>
        <v>570000</v>
      </c>
      <c r="X80" s="290">
        <f t="shared" si="9"/>
        <v>522935.78</v>
      </c>
      <c r="Y80" s="290">
        <f t="shared" si="10"/>
        <v>4776.54</v>
      </c>
      <c r="Z80" s="290"/>
    </row>
    <row r="81" spans="1:26">
      <c r="A81" s="285" t="s">
        <v>538</v>
      </c>
      <c r="B81" s="294" t="s">
        <v>80</v>
      </c>
      <c r="C81" s="294" t="s">
        <v>42</v>
      </c>
      <c r="D81" s="285" t="s">
        <v>80</v>
      </c>
      <c r="E81" s="294" t="s">
        <v>335</v>
      </c>
      <c r="F81" s="294" t="s">
        <v>112</v>
      </c>
      <c r="G81" s="285" t="s">
        <v>145</v>
      </c>
      <c r="H81" s="285" t="s">
        <v>330</v>
      </c>
      <c r="I81" s="285" t="s">
        <v>233</v>
      </c>
      <c r="J81" s="295">
        <v>20210004358</v>
      </c>
      <c r="K81" s="296" t="s">
        <v>539</v>
      </c>
      <c r="L81" s="297">
        <v>398277</v>
      </c>
      <c r="M81" s="285" t="s">
        <v>540</v>
      </c>
      <c r="N81" s="297">
        <v>120.69</v>
      </c>
      <c r="O81" s="297" t="s">
        <v>112</v>
      </c>
      <c r="P81" s="290">
        <v>120.69</v>
      </c>
      <c r="Q81" s="290"/>
      <c r="R81" s="290"/>
      <c r="S81" s="515" t="s">
        <v>341</v>
      </c>
      <c r="T81" s="292" t="s">
        <v>541</v>
      </c>
      <c r="U81" s="299">
        <v>365391.74</v>
      </c>
      <c r="V81" s="290">
        <f t="shared" si="7"/>
        <v>32885.26</v>
      </c>
      <c r="W81" s="290">
        <f t="shared" si="8"/>
        <v>398277</v>
      </c>
      <c r="X81" s="290">
        <f t="shared" si="9"/>
        <v>365391.74</v>
      </c>
      <c r="Y81" s="290">
        <f t="shared" si="10"/>
        <v>3027.52</v>
      </c>
      <c r="Z81" s="290"/>
    </row>
    <row r="82" spans="1:26">
      <c r="A82" s="285" t="s">
        <v>542</v>
      </c>
      <c r="B82" s="294" t="s">
        <v>80</v>
      </c>
      <c r="C82" s="294" t="s">
        <v>42</v>
      </c>
      <c r="D82" s="285" t="s">
        <v>80</v>
      </c>
      <c r="E82" s="294" t="s">
        <v>339</v>
      </c>
      <c r="F82" s="294" t="s">
        <v>112</v>
      </c>
      <c r="G82" s="285" t="s">
        <v>145</v>
      </c>
      <c r="H82" s="285" t="s">
        <v>330</v>
      </c>
      <c r="I82" s="285" t="s">
        <v>233</v>
      </c>
      <c r="J82" s="295">
        <v>20200007011</v>
      </c>
      <c r="K82" s="296" t="s">
        <v>356</v>
      </c>
      <c r="L82" s="297">
        <v>352000</v>
      </c>
      <c r="M82" s="285" t="s">
        <v>543</v>
      </c>
      <c r="N82" s="297">
        <v>109.48</v>
      </c>
      <c r="O82" s="297" t="s">
        <v>112</v>
      </c>
      <c r="P82" s="290">
        <v>109.48</v>
      </c>
      <c r="Q82" s="290"/>
      <c r="R82" s="290"/>
      <c r="S82" s="515" t="s">
        <v>341</v>
      </c>
      <c r="T82" s="292" t="s">
        <v>544</v>
      </c>
      <c r="U82" s="299">
        <v>322935.78</v>
      </c>
      <c r="V82" s="290">
        <f t="shared" si="7"/>
        <v>29064.22</v>
      </c>
      <c r="W82" s="290">
        <f t="shared" si="8"/>
        <v>352000</v>
      </c>
      <c r="X82" s="290">
        <f t="shared" si="9"/>
        <v>322935.78</v>
      </c>
      <c r="Y82" s="290">
        <f t="shared" si="10"/>
        <v>2949.72</v>
      </c>
      <c r="Z82" s="290"/>
    </row>
    <row r="83" ht="23.8" spans="1:26">
      <c r="A83" s="285" t="s">
        <v>545</v>
      </c>
      <c r="B83" s="294" t="s">
        <v>80</v>
      </c>
      <c r="C83" s="294" t="s">
        <v>42</v>
      </c>
      <c r="D83" s="285" t="s">
        <v>83</v>
      </c>
      <c r="E83" s="294" t="s">
        <v>343</v>
      </c>
      <c r="F83" s="294" t="s">
        <v>112</v>
      </c>
      <c r="G83" s="285" t="s">
        <v>145</v>
      </c>
      <c r="H83" s="285" t="s">
        <v>330</v>
      </c>
      <c r="I83" s="285" t="s">
        <v>233</v>
      </c>
      <c r="J83" s="295">
        <v>20210000952</v>
      </c>
      <c r="K83" s="296" t="s">
        <v>531</v>
      </c>
      <c r="L83" s="297">
        <v>398277</v>
      </c>
      <c r="M83" s="285" t="s">
        <v>546</v>
      </c>
      <c r="N83" s="297">
        <v>120.69</v>
      </c>
      <c r="O83" s="297" t="s">
        <v>112</v>
      </c>
      <c r="P83" s="290">
        <v>120.69</v>
      </c>
      <c r="Q83" s="290"/>
      <c r="R83" s="290"/>
      <c r="S83" s="515" t="s">
        <v>547</v>
      </c>
      <c r="T83" s="292" t="s">
        <v>548</v>
      </c>
      <c r="U83" s="299">
        <v>365391.74</v>
      </c>
      <c r="V83" s="290">
        <f t="shared" si="7"/>
        <v>32885.26</v>
      </c>
      <c r="W83" s="290">
        <f t="shared" si="8"/>
        <v>398277</v>
      </c>
      <c r="X83" s="290">
        <f t="shared" si="9"/>
        <v>365391.74</v>
      </c>
      <c r="Y83" s="290">
        <f t="shared" si="10"/>
        <v>3027.52</v>
      </c>
      <c r="Z83" s="290"/>
    </row>
    <row r="84" ht="23.8" spans="1:26">
      <c r="A84" s="285" t="s">
        <v>549</v>
      </c>
      <c r="B84" s="294" t="s">
        <v>80</v>
      </c>
      <c r="C84" s="294" t="s">
        <v>42</v>
      </c>
      <c r="D84" s="285" t="s">
        <v>83</v>
      </c>
      <c r="E84" s="294" t="s">
        <v>347</v>
      </c>
      <c r="F84" s="294" t="s">
        <v>112</v>
      </c>
      <c r="G84" s="285" t="s">
        <v>145</v>
      </c>
      <c r="H84" s="285" t="s">
        <v>330</v>
      </c>
      <c r="I84" s="285" t="s">
        <v>233</v>
      </c>
      <c r="J84" s="295">
        <v>20200004748</v>
      </c>
      <c r="K84" s="296" t="s">
        <v>550</v>
      </c>
      <c r="L84" s="297">
        <v>412000</v>
      </c>
      <c r="M84" s="285" t="s">
        <v>551</v>
      </c>
      <c r="N84" s="297">
        <v>109.48</v>
      </c>
      <c r="O84" s="297" t="s">
        <v>112</v>
      </c>
      <c r="P84" s="290">
        <v>109.48</v>
      </c>
      <c r="Q84" s="290"/>
      <c r="R84" s="290"/>
      <c r="S84" s="515" t="s">
        <v>333</v>
      </c>
      <c r="T84" s="292" t="s">
        <v>552</v>
      </c>
      <c r="U84" s="299">
        <v>377981.65</v>
      </c>
      <c r="V84" s="290">
        <f t="shared" si="7"/>
        <v>34018.35</v>
      </c>
      <c r="W84" s="290">
        <f t="shared" si="8"/>
        <v>412000</v>
      </c>
      <c r="X84" s="290">
        <f t="shared" si="9"/>
        <v>377981.65</v>
      </c>
      <c r="Y84" s="290">
        <f t="shared" si="10"/>
        <v>3452.52</v>
      </c>
      <c r="Z84" s="290"/>
    </row>
    <row r="85" ht="23.8" spans="1:26">
      <c r="A85" s="285" t="s">
        <v>553</v>
      </c>
      <c r="B85" s="294" t="s">
        <v>80</v>
      </c>
      <c r="C85" s="294" t="s">
        <v>42</v>
      </c>
      <c r="D85" s="285" t="s">
        <v>213</v>
      </c>
      <c r="E85" s="294" t="s">
        <v>351</v>
      </c>
      <c r="F85" s="294" t="s">
        <v>112</v>
      </c>
      <c r="G85" s="285" t="s">
        <v>145</v>
      </c>
      <c r="H85" s="285" t="s">
        <v>330</v>
      </c>
      <c r="I85" s="285" t="s">
        <v>233</v>
      </c>
      <c r="J85" s="295">
        <v>20210000484</v>
      </c>
      <c r="K85" s="296" t="s">
        <v>554</v>
      </c>
      <c r="L85" s="297">
        <v>398277</v>
      </c>
      <c r="M85" s="285" t="s">
        <v>555</v>
      </c>
      <c r="N85" s="297">
        <v>120.69</v>
      </c>
      <c r="O85" s="297" t="s">
        <v>112</v>
      </c>
      <c r="P85" s="290">
        <v>120.69</v>
      </c>
      <c r="Q85" s="290"/>
      <c r="R85" s="290"/>
      <c r="S85" s="515" t="s">
        <v>333</v>
      </c>
      <c r="T85" s="292" t="s">
        <v>556</v>
      </c>
      <c r="U85" s="299">
        <v>365391.74</v>
      </c>
      <c r="V85" s="290">
        <f t="shared" si="7"/>
        <v>32885.26</v>
      </c>
      <c r="W85" s="290">
        <f t="shared" si="8"/>
        <v>398277</v>
      </c>
      <c r="X85" s="290">
        <f t="shared" si="9"/>
        <v>365391.74</v>
      </c>
      <c r="Y85" s="290">
        <f t="shared" si="10"/>
        <v>3027.52</v>
      </c>
      <c r="Z85" s="290"/>
    </row>
    <row r="86" spans="1:26">
      <c r="A86" s="285" t="s">
        <v>557</v>
      </c>
      <c r="B86" s="294" t="s">
        <v>80</v>
      </c>
      <c r="C86" s="294" t="s">
        <v>42</v>
      </c>
      <c r="D86" s="285" t="s">
        <v>213</v>
      </c>
      <c r="E86" s="294" t="s">
        <v>355</v>
      </c>
      <c r="F86" s="294" t="s">
        <v>112</v>
      </c>
      <c r="G86" s="285" t="s">
        <v>145</v>
      </c>
      <c r="H86" s="285" t="s">
        <v>330</v>
      </c>
      <c r="I86" s="285" t="s">
        <v>233</v>
      </c>
      <c r="J86" s="295">
        <v>20200009754</v>
      </c>
      <c r="K86" s="296" t="s">
        <v>558</v>
      </c>
      <c r="L86" s="297">
        <v>406475</v>
      </c>
      <c r="M86" s="285" t="s">
        <v>559</v>
      </c>
      <c r="N86" s="297">
        <v>109.48</v>
      </c>
      <c r="O86" s="297" t="s">
        <v>112</v>
      </c>
      <c r="P86" s="290">
        <v>109.48</v>
      </c>
      <c r="Q86" s="290"/>
      <c r="R86" s="290"/>
      <c r="S86" s="515" t="s">
        <v>341</v>
      </c>
      <c r="T86" s="292" t="s">
        <v>560</v>
      </c>
      <c r="U86" s="299">
        <v>372912.84</v>
      </c>
      <c r="V86" s="290">
        <f t="shared" si="7"/>
        <v>33562.16</v>
      </c>
      <c r="W86" s="290">
        <f t="shared" si="8"/>
        <v>406475</v>
      </c>
      <c r="X86" s="290">
        <f t="shared" si="9"/>
        <v>372912.84</v>
      </c>
      <c r="Y86" s="290">
        <f t="shared" si="10"/>
        <v>3406.22</v>
      </c>
      <c r="Z86" s="290"/>
    </row>
    <row r="87" spans="1:26">
      <c r="A87" s="285" t="s">
        <v>561</v>
      </c>
      <c r="B87" s="294" t="s">
        <v>80</v>
      </c>
      <c r="C87" s="294" t="s">
        <v>42</v>
      </c>
      <c r="D87" s="285" t="s">
        <v>244</v>
      </c>
      <c r="E87" s="294" t="s">
        <v>359</v>
      </c>
      <c r="F87" s="294" t="s">
        <v>112</v>
      </c>
      <c r="G87" s="285" t="s">
        <v>145</v>
      </c>
      <c r="H87" s="285" t="s">
        <v>330</v>
      </c>
      <c r="I87" s="285" t="s">
        <v>233</v>
      </c>
      <c r="J87" s="295">
        <v>20200008465</v>
      </c>
      <c r="K87" s="296" t="s">
        <v>426</v>
      </c>
      <c r="L87" s="297">
        <v>454096</v>
      </c>
      <c r="M87" s="285" t="s">
        <v>562</v>
      </c>
      <c r="N87" s="297">
        <v>120.69</v>
      </c>
      <c r="O87" s="297" t="s">
        <v>112</v>
      </c>
      <c r="P87" s="290">
        <v>120.69</v>
      </c>
      <c r="Q87" s="290"/>
      <c r="R87" s="290"/>
      <c r="S87" s="515" t="s">
        <v>333</v>
      </c>
      <c r="T87" s="292" t="s">
        <v>563</v>
      </c>
      <c r="U87" s="299">
        <v>416601.83</v>
      </c>
      <c r="V87" s="290">
        <f t="shared" si="7"/>
        <v>37494.16</v>
      </c>
      <c r="W87" s="290">
        <f t="shared" si="8"/>
        <v>454095.99</v>
      </c>
      <c r="X87" s="290">
        <f t="shared" si="9"/>
        <v>416601.83</v>
      </c>
      <c r="Y87" s="290">
        <f t="shared" si="10"/>
        <v>3451.83</v>
      </c>
      <c r="Z87" s="290"/>
    </row>
    <row r="88" spans="1:26">
      <c r="A88" s="285" t="s">
        <v>564</v>
      </c>
      <c r="B88" s="294" t="s">
        <v>80</v>
      </c>
      <c r="C88" s="294" t="s">
        <v>42</v>
      </c>
      <c r="D88" s="285" t="s">
        <v>244</v>
      </c>
      <c r="E88" s="294" t="s">
        <v>363</v>
      </c>
      <c r="F88" s="294" t="s">
        <v>112</v>
      </c>
      <c r="G88" s="285" t="s">
        <v>145</v>
      </c>
      <c r="H88" s="285" t="s">
        <v>330</v>
      </c>
      <c r="I88" s="285" t="s">
        <v>233</v>
      </c>
      <c r="J88" s="295">
        <v>20200007261</v>
      </c>
      <c r="K88" s="296" t="s">
        <v>565</v>
      </c>
      <c r="L88" s="297">
        <v>410000</v>
      </c>
      <c r="M88" s="285" t="s">
        <v>566</v>
      </c>
      <c r="N88" s="297">
        <v>109.48</v>
      </c>
      <c r="O88" s="297" t="s">
        <v>112</v>
      </c>
      <c r="P88" s="290">
        <v>109.48</v>
      </c>
      <c r="Q88" s="290"/>
      <c r="R88" s="290"/>
      <c r="S88" s="515" t="s">
        <v>333</v>
      </c>
      <c r="T88" s="292" t="s">
        <v>567</v>
      </c>
      <c r="U88" s="299">
        <v>376146.79</v>
      </c>
      <c r="V88" s="290">
        <f t="shared" si="7"/>
        <v>33853.21</v>
      </c>
      <c r="W88" s="290">
        <f t="shared" si="8"/>
        <v>410000</v>
      </c>
      <c r="X88" s="290">
        <f t="shared" si="9"/>
        <v>376146.79</v>
      </c>
      <c r="Y88" s="290">
        <f t="shared" si="10"/>
        <v>3435.76</v>
      </c>
      <c r="Z88" s="290"/>
    </row>
    <row r="89" ht="23.8" spans="1:26">
      <c r="A89" s="285" t="s">
        <v>568</v>
      </c>
      <c r="B89" s="294" t="s">
        <v>80</v>
      </c>
      <c r="C89" s="294" t="s">
        <v>42</v>
      </c>
      <c r="D89" s="285" t="s">
        <v>215</v>
      </c>
      <c r="E89" s="294" t="s">
        <v>366</v>
      </c>
      <c r="F89" s="294" t="s">
        <v>112</v>
      </c>
      <c r="G89" s="285" t="s">
        <v>145</v>
      </c>
      <c r="H89" s="285" t="s">
        <v>330</v>
      </c>
      <c r="I89" s="285" t="s">
        <v>233</v>
      </c>
      <c r="J89" s="295">
        <v>20210000273</v>
      </c>
      <c r="K89" s="296" t="s">
        <v>336</v>
      </c>
      <c r="L89" s="297">
        <v>434484</v>
      </c>
      <c r="M89" s="285" t="s">
        <v>569</v>
      </c>
      <c r="N89" s="297">
        <v>120.69</v>
      </c>
      <c r="O89" s="297" t="s">
        <v>112</v>
      </c>
      <c r="P89" s="290">
        <v>120.69</v>
      </c>
      <c r="Q89" s="290"/>
      <c r="R89" s="290"/>
      <c r="S89" s="515" t="s">
        <v>333</v>
      </c>
      <c r="T89" s="292" t="s">
        <v>570</v>
      </c>
      <c r="U89" s="299">
        <v>398609.17</v>
      </c>
      <c r="V89" s="290">
        <f t="shared" si="7"/>
        <v>35874.83</v>
      </c>
      <c r="W89" s="290">
        <f t="shared" si="8"/>
        <v>434484</v>
      </c>
      <c r="X89" s="290">
        <f t="shared" si="9"/>
        <v>398609.17</v>
      </c>
      <c r="Y89" s="290">
        <f t="shared" si="10"/>
        <v>3302.75</v>
      </c>
      <c r="Z89" s="290"/>
    </row>
    <row r="90" spans="1:26">
      <c r="A90" s="285" t="s">
        <v>571</v>
      </c>
      <c r="B90" s="294" t="s">
        <v>80</v>
      </c>
      <c r="C90" s="294" t="s">
        <v>42</v>
      </c>
      <c r="D90" s="285" t="s">
        <v>215</v>
      </c>
      <c r="E90" s="294" t="s">
        <v>370</v>
      </c>
      <c r="F90" s="294" t="s">
        <v>112</v>
      </c>
      <c r="G90" s="285" t="s">
        <v>145</v>
      </c>
      <c r="H90" s="285" t="s">
        <v>330</v>
      </c>
      <c r="I90" s="285" t="s">
        <v>233</v>
      </c>
      <c r="J90" s="295">
        <v>20210000080</v>
      </c>
      <c r="K90" s="296" t="s">
        <v>572</v>
      </c>
      <c r="L90" s="297">
        <v>361284</v>
      </c>
      <c r="M90" s="285" t="s">
        <v>573</v>
      </c>
      <c r="N90" s="297">
        <v>109.48</v>
      </c>
      <c r="O90" s="297" t="s">
        <v>112</v>
      </c>
      <c r="P90" s="290">
        <v>109.48</v>
      </c>
      <c r="Q90" s="290"/>
      <c r="R90" s="290"/>
      <c r="S90" s="515" t="s">
        <v>341</v>
      </c>
      <c r="T90" s="292" t="s">
        <v>574</v>
      </c>
      <c r="U90" s="299">
        <v>331453.21</v>
      </c>
      <c r="V90" s="290">
        <f t="shared" si="7"/>
        <v>29830.79</v>
      </c>
      <c r="W90" s="290">
        <f t="shared" si="8"/>
        <v>361284</v>
      </c>
      <c r="X90" s="290">
        <f t="shared" si="9"/>
        <v>331453.21</v>
      </c>
      <c r="Y90" s="290">
        <f t="shared" si="10"/>
        <v>3027.52</v>
      </c>
      <c r="Z90" s="290"/>
    </row>
    <row r="91" spans="1:26">
      <c r="A91" s="285" t="s">
        <v>575</v>
      </c>
      <c r="B91" s="294" t="s">
        <v>80</v>
      </c>
      <c r="C91" s="294" t="s">
        <v>80</v>
      </c>
      <c r="D91" s="285" t="s">
        <v>42</v>
      </c>
      <c r="E91" s="294" t="s">
        <v>327</v>
      </c>
      <c r="F91" s="294" t="s">
        <v>112</v>
      </c>
      <c r="G91" s="285" t="s">
        <v>145</v>
      </c>
      <c r="H91" s="285" t="s">
        <v>330</v>
      </c>
      <c r="I91" s="285" t="s">
        <v>233</v>
      </c>
      <c r="J91" s="295">
        <v>20200006371</v>
      </c>
      <c r="K91" s="296" t="s">
        <v>576</v>
      </c>
      <c r="L91" s="297">
        <v>600000</v>
      </c>
      <c r="M91" s="285" t="s">
        <v>577</v>
      </c>
      <c r="N91" s="297">
        <v>109.48</v>
      </c>
      <c r="O91" s="297" t="s">
        <v>112</v>
      </c>
      <c r="P91" s="290">
        <v>109.48</v>
      </c>
      <c r="Q91" s="290"/>
      <c r="R91" s="290"/>
      <c r="S91" s="515" t="s">
        <v>333</v>
      </c>
      <c r="T91" s="292" t="s">
        <v>578</v>
      </c>
      <c r="U91" s="299">
        <v>550458.72</v>
      </c>
      <c r="V91" s="290">
        <f t="shared" si="7"/>
        <v>49541.28</v>
      </c>
      <c r="W91" s="290">
        <f t="shared" si="8"/>
        <v>600000</v>
      </c>
      <c r="X91" s="290">
        <f t="shared" si="9"/>
        <v>550458.72</v>
      </c>
      <c r="Y91" s="290">
        <f t="shared" si="10"/>
        <v>5027.94</v>
      </c>
      <c r="Z91" s="290"/>
    </row>
    <row r="92" spans="1:26">
      <c r="A92" s="285" t="s">
        <v>579</v>
      </c>
      <c r="B92" s="294" t="s">
        <v>80</v>
      </c>
      <c r="C92" s="294" t="s">
        <v>80</v>
      </c>
      <c r="D92" s="285" t="s">
        <v>42</v>
      </c>
      <c r="E92" s="294" t="s">
        <v>329</v>
      </c>
      <c r="F92" s="294" t="s">
        <v>112</v>
      </c>
      <c r="G92" s="285" t="s">
        <v>145</v>
      </c>
      <c r="H92" s="285" t="s">
        <v>330</v>
      </c>
      <c r="I92" s="285" t="s">
        <v>233</v>
      </c>
      <c r="J92" s="295">
        <v>20220001083</v>
      </c>
      <c r="K92" s="296" t="s">
        <v>580</v>
      </c>
      <c r="L92" s="297">
        <v>550000</v>
      </c>
      <c r="M92" s="285" t="s">
        <v>581</v>
      </c>
      <c r="N92" s="297">
        <v>109.48</v>
      </c>
      <c r="O92" s="297" t="s">
        <v>112</v>
      </c>
      <c r="P92" s="290">
        <v>109.48</v>
      </c>
      <c r="Q92" s="290"/>
      <c r="R92" s="290"/>
      <c r="S92" s="515" t="s">
        <v>333</v>
      </c>
      <c r="T92" s="292" t="s">
        <v>582</v>
      </c>
      <c r="U92" s="299">
        <v>504587.16</v>
      </c>
      <c r="V92" s="290">
        <f t="shared" si="7"/>
        <v>45412.84</v>
      </c>
      <c r="W92" s="290">
        <f t="shared" si="8"/>
        <v>550000</v>
      </c>
      <c r="X92" s="290">
        <f t="shared" si="9"/>
        <v>504587.16</v>
      </c>
      <c r="Y92" s="290">
        <f t="shared" si="10"/>
        <v>4608.94</v>
      </c>
      <c r="Z92" s="290"/>
    </row>
    <row r="93" ht="23.8" spans="1:26">
      <c r="A93" s="285" t="s">
        <v>583</v>
      </c>
      <c r="B93" s="294" t="s">
        <v>80</v>
      </c>
      <c r="C93" s="294" t="s">
        <v>80</v>
      </c>
      <c r="D93" s="285" t="s">
        <v>80</v>
      </c>
      <c r="E93" s="294" t="s">
        <v>335</v>
      </c>
      <c r="F93" s="294" t="s">
        <v>112</v>
      </c>
      <c r="G93" s="285" t="s">
        <v>145</v>
      </c>
      <c r="H93" s="285" t="s">
        <v>330</v>
      </c>
      <c r="I93" s="285" t="s">
        <v>233</v>
      </c>
      <c r="J93" s="295">
        <v>20200009774</v>
      </c>
      <c r="K93" s="296" t="s">
        <v>584</v>
      </c>
      <c r="L93" s="297">
        <v>397289</v>
      </c>
      <c r="M93" s="285" t="s">
        <v>585</v>
      </c>
      <c r="N93" s="297">
        <v>109.48</v>
      </c>
      <c r="O93" s="297" t="s">
        <v>112</v>
      </c>
      <c r="P93" s="290">
        <v>109.48</v>
      </c>
      <c r="Q93" s="290"/>
      <c r="R93" s="290"/>
      <c r="S93" s="515" t="s">
        <v>341</v>
      </c>
      <c r="T93" s="517" t="s">
        <v>586</v>
      </c>
      <c r="U93" s="299">
        <v>364485.32</v>
      </c>
      <c r="V93" s="290">
        <f t="shared" si="7"/>
        <v>32803.68</v>
      </c>
      <c r="W93" s="290">
        <f t="shared" si="8"/>
        <v>397289</v>
      </c>
      <c r="X93" s="290">
        <f t="shared" si="9"/>
        <v>364485.32</v>
      </c>
      <c r="Y93" s="290">
        <f t="shared" si="10"/>
        <v>3329.24</v>
      </c>
      <c r="Z93" s="290"/>
    </row>
    <row r="94" ht="23.8" spans="1:26">
      <c r="A94" s="285" t="s">
        <v>587</v>
      </c>
      <c r="B94" s="294" t="s">
        <v>80</v>
      </c>
      <c r="C94" s="294" t="s">
        <v>80</v>
      </c>
      <c r="D94" s="285" t="s">
        <v>80</v>
      </c>
      <c r="E94" s="294" t="s">
        <v>339</v>
      </c>
      <c r="F94" s="294" t="s">
        <v>112</v>
      </c>
      <c r="G94" s="285" t="s">
        <v>145</v>
      </c>
      <c r="H94" s="285" t="s">
        <v>330</v>
      </c>
      <c r="I94" s="285" t="s">
        <v>233</v>
      </c>
      <c r="J94" s="295">
        <v>20210002890</v>
      </c>
      <c r="K94" s="296" t="s">
        <v>588</v>
      </c>
      <c r="L94" s="297">
        <v>452131</v>
      </c>
      <c r="M94" s="285" t="s">
        <v>589</v>
      </c>
      <c r="N94" s="297">
        <v>109.48</v>
      </c>
      <c r="O94" s="297" t="s">
        <v>112</v>
      </c>
      <c r="P94" s="290">
        <v>109.48</v>
      </c>
      <c r="Q94" s="290"/>
      <c r="R94" s="290"/>
      <c r="S94" s="515" t="s">
        <v>333</v>
      </c>
      <c r="T94" s="292" t="s">
        <v>590</v>
      </c>
      <c r="U94" s="299">
        <v>414799.08</v>
      </c>
      <c r="V94" s="290">
        <f t="shared" si="7"/>
        <v>37331.92</v>
      </c>
      <c r="W94" s="290">
        <f t="shared" si="8"/>
        <v>452131</v>
      </c>
      <c r="X94" s="290">
        <f t="shared" si="9"/>
        <v>414799.08</v>
      </c>
      <c r="Y94" s="290">
        <f t="shared" si="10"/>
        <v>3788.81</v>
      </c>
      <c r="Z94" s="290"/>
    </row>
    <row r="95" spans="1:26">
      <c r="A95" s="285" t="s">
        <v>591</v>
      </c>
      <c r="B95" s="294" t="s">
        <v>80</v>
      </c>
      <c r="C95" s="294" t="s">
        <v>80</v>
      </c>
      <c r="D95" s="285" t="s">
        <v>83</v>
      </c>
      <c r="E95" s="294" t="s">
        <v>343</v>
      </c>
      <c r="F95" s="294" t="s">
        <v>112</v>
      </c>
      <c r="G95" s="285" t="s">
        <v>145</v>
      </c>
      <c r="H95" s="285" t="s">
        <v>330</v>
      </c>
      <c r="I95" s="285" t="s">
        <v>233</v>
      </c>
      <c r="J95" s="295">
        <v>20210000492</v>
      </c>
      <c r="K95" s="296" t="s">
        <v>592</v>
      </c>
      <c r="L95" s="297">
        <v>394128</v>
      </c>
      <c r="M95" s="285" t="s">
        <v>593</v>
      </c>
      <c r="N95" s="297">
        <v>109.48</v>
      </c>
      <c r="O95" s="297" t="s">
        <v>112</v>
      </c>
      <c r="P95" s="290">
        <v>109.48</v>
      </c>
      <c r="Q95" s="290"/>
      <c r="R95" s="290"/>
      <c r="S95" s="515" t="s">
        <v>333</v>
      </c>
      <c r="T95" s="292" t="s">
        <v>594</v>
      </c>
      <c r="U95" s="299">
        <v>361585.32</v>
      </c>
      <c r="V95" s="290">
        <f t="shared" si="7"/>
        <v>32542.68</v>
      </c>
      <c r="W95" s="290">
        <f t="shared" si="8"/>
        <v>394128</v>
      </c>
      <c r="X95" s="290">
        <f t="shared" si="9"/>
        <v>361585.32</v>
      </c>
      <c r="Y95" s="290">
        <f t="shared" si="10"/>
        <v>3302.75</v>
      </c>
      <c r="Z95" s="290"/>
    </row>
    <row r="96" ht="47.6" spans="1:26">
      <c r="A96" s="285" t="s">
        <v>595</v>
      </c>
      <c r="B96" s="294" t="s">
        <v>80</v>
      </c>
      <c r="C96" s="294" t="s">
        <v>80</v>
      </c>
      <c r="D96" s="285" t="s">
        <v>83</v>
      </c>
      <c r="E96" s="294" t="s">
        <v>347</v>
      </c>
      <c r="F96" s="294" t="s">
        <v>112</v>
      </c>
      <c r="G96" s="285" t="s">
        <v>145</v>
      </c>
      <c r="H96" s="285" t="s">
        <v>330</v>
      </c>
      <c r="I96" s="285" t="s">
        <v>233</v>
      </c>
      <c r="J96" s="295">
        <v>20210003136</v>
      </c>
      <c r="K96" s="296" t="s">
        <v>596</v>
      </c>
      <c r="L96" s="297">
        <v>405076</v>
      </c>
      <c r="M96" s="285" t="s">
        <v>597</v>
      </c>
      <c r="N96" s="297">
        <v>109.48</v>
      </c>
      <c r="O96" s="297" t="s">
        <v>112</v>
      </c>
      <c r="P96" s="290">
        <v>109.48</v>
      </c>
      <c r="Q96" s="290"/>
      <c r="R96" s="290"/>
      <c r="S96" s="515" t="s">
        <v>333</v>
      </c>
      <c r="T96" s="292" t="s">
        <v>598</v>
      </c>
      <c r="U96" s="299">
        <v>371629.36</v>
      </c>
      <c r="V96" s="290">
        <f t="shared" si="7"/>
        <v>33446.64</v>
      </c>
      <c r="W96" s="290">
        <f t="shared" si="8"/>
        <v>405076</v>
      </c>
      <c r="X96" s="290">
        <f t="shared" si="9"/>
        <v>371629.36</v>
      </c>
      <c r="Y96" s="290">
        <f t="shared" si="10"/>
        <v>3394.5</v>
      </c>
      <c r="Z96" s="290"/>
    </row>
    <row r="97" ht="23.8" spans="1:26">
      <c r="A97" s="285" t="s">
        <v>599</v>
      </c>
      <c r="B97" s="294" t="s">
        <v>80</v>
      </c>
      <c r="C97" s="294" t="s">
        <v>80</v>
      </c>
      <c r="D97" s="285" t="s">
        <v>213</v>
      </c>
      <c r="E97" s="294" t="s">
        <v>351</v>
      </c>
      <c r="F97" s="294" t="s">
        <v>112</v>
      </c>
      <c r="G97" s="285" t="s">
        <v>145</v>
      </c>
      <c r="H97" s="285" t="s">
        <v>330</v>
      </c>
      <c r="I97" s="285" t="s">
        <v>233</v>
      </c>
      <c r="J97" s="295">
        <v>20210000815</v>
      </c>
      <c r="K97" s="296" t="s">
        <v>600</v>
      </c>
      <c r="L97" s="297">
        <v>361284</v>
      </c>
      <c r="M97" s="285" t="s">
        <v>601</v>
      </c>
      <c r="N97" s="297">
        <v>109.48</v>
      </c>
      <c r="O97" s="297" t="s">
        <v>112</v>
      </c>
      <c r="P97" s="290">
        <v>109.48</v>
      </c>
      <c r="Q97" s="290"/>
      <c r="R97" s="290"/>
      <c r="S97" s="515" t="s">
        <v>333</v>
      </c>
      <c r="T97" s="292" t="s">
        <v>602</v>
      </c>
      <c r="U97" s="299">
        <v>331453.21</v>
      </c>
      <c r="V97" s="290">
        <f t="shared" si="7"/>
        <v>29830.79</v>
      </c>
      <c r="W97" s="290">
        <f t="shared" si="8"/>
        <v>361284</v>
      </c>
      <c r="X97" s="290">
        <f t="shared" si="9"/>
        <v>331453.21</v>
      </c>
      <c r="Y97" s="290">
        <f t="shared" si="10"/>
        <v>3027.52</v>
      </c>
      <c r="Z97" s="290"/>
    </row>
    <row r="98" spans="1:26">
      <c r="A98" s="285" t="s">
        <v>603</v>
      </c>
      <c r="B98" s="294" t="s">
        <v>80</v>
      </c>
      <c r="C98" s="294" t="s">
        <v>80</v>
      </c>
      <c r="D98" s="285" t="s">
        <v>213</v>
      </c>
      <c r="E98" s="294" t="s">
        <v>355</v>
      </c>
      <c r="F98" s="294" t="s">
        <v>112</v>
      </c>
      <c r="G98" s="285" t="s">
        <v>145</v>
      </c>
      <c r="H98" s="285" t="s">
        <v>330</v>
      </c>
      <c r="I98" s="285" t="s">
        <v>233</v>
      </c>
      <c r="J98" s="295">
        <v>20210003551</v>
      </c>
      <c r="K98" s="296" t="s">
        <v>604</v>
      </c>
      <c r="L98" s="297">
        <v>405076</v>
      </c>
      <c r="M98" s="285" t="s">
        <v>605</v>
      </c>
      <c r="N98" s="297">
        <v>109.48</v>
      </c>
      <c r="O98" s="297" t="s">
        <v>112</v>
      </c>
      <c r="P98" s="290">
        <v>109.48</v>
      </c>
      <c r="Q98" s="290"/>
      <c r="R98" s="290"/>
      <c r="S98" s="515" t="s">
        <v>333</v>
      </c>
      <c r="T98" s="292" t="s">
        <v>606</v>
      </c>
      <c r="U98" s="299">
        <v>371629.36</v>
      </c>
      <c r="V98" s="290">
        <f t="shared" si="7"/>
        <v>33446.64</v>
      </c>
      <c r="W98" s="290">
        <f t="shared" si="8"/>
        <v>405076</v>
      </c>
      <c r="X98" s="290">
        <f t="shared" si="9"/>
        <v>371629.36</v>
      </c>
      <c r="Y98" s="290">
        <f t="shared" si="10"/>
        <v>3394.5</v>
      </c>
      <c r="Z98" s="290"/>
    </row>
    <row r="99" spans="1:26">
      <c r="A99" s="285" t="s">
        <v>607</v>
      </c>
      <c r="B99" s="294" t="s">
        <v>80</v>
      </c>
      <c r="C99" s="294" t="s">
        <v>80</v>
      </c>
      <c r="D99" s="285" t="s">
        <v>244</v>
      </c>
      <c r="E99" s="294" t="s">
        <v>359</v>
      </c>
      <c r="F99" s="294" t="s">
        <v>112</v>
      </c>
      <c r="G99" s="285" t="s">
        <v>145</v>
      </c>
      <c r="H99" s="285" t="s">
        <v>330</v>
      </c>
      <c r="I99" s="285" t="s">
        <v>233</v>
      </c>
      <c r="J99" s="295">
        <v>20200008551</v>
      </c>
      <c r="K99" s="296" t="s">
        <v>608</v>
      </c>
      <c r="L99" s="297">
        <v>388873</v>
      </c>
      <c r="M99" s="285" t="s">
        <v>609</v>
      </c>
      <c r="N99" s="297">
        <v>109.48</v>
      </c>
      <c r="O99" s="297" t="s">
        <v>112</v>
      </c>
      <c r="P99" s="290">
        <v>109.48</v>
      </c>
      <c r="Q99" s="290"/>
      <c r="R99" s="290"/>
      <c r="S99" s="515" t="s">
        <v>341</v>
      </c>
      <c r="T99" s="292" t="s">
        <v>610</v>
      </c>
      <c r="U99" s="299">
        <v>356764.22</v>
      </c>
      <c r="V99" s="290">
        <f t="shared" si="7"/>
        <v>32108.78</v>
      </c>
      <c r="W99" s="290">
        <f t="shared" si="8"/>
        <v>388873</v>
      </c>
      <c r="X99" s="290">
        <f t="shared" si="9"/>
        <v>356764.22</v>
      </c>
      <c r="Y99" s="290">
        <f t="shared" si="10"/>
        <v>3258.72</v>
      </c>
      <c r="Z99" s="290"/>
    </row>
    <row r="100" spans="1:26">
      <c r="A100" s="285" t="s">
        <v>611</v>
      </c>
      <c r="B100" s="294" t="s">
        <v>80</v>
      </c>
      <c r="C100" s="294" t="s">
        <v>80</v>
      </c>
      <c r="D100" s="285" t="s">
        <v>244</v>
      </c>
      <c r="E100" s="294" t="s">
        <v>363</v>
      </c>
      <c r="F100" s="294" t="s">
        <v>112</v>
      </c>
      <c r="G100" s="285" t="s">
        <v>145</v>
      </c>
      <c r="H100" s="285" t="s">
        <v>330</v>
      </c>
      <c r="I100" s="285" t="s">
        <v>233</v>
      </c>
      <c r="J100" s="295">
        <v>20210013781</v>
      </c>
      <c r="K100" s="296" t="s">
        <v>612</v>
      </c>
      <c r="L100" s="297">
        <v>516305</v>
      </c>
      <c r="M100" s="285" t="s">
        <v>613</v>
      </c>
      <c r="N100" s="297">
        <v>109.48</v>
      </c>
      <c r="O100" s="297" t="s">
        <v>112</v>
      </c>
      <c r="P100" s="290">
        <v>109.48</v>
      </c>
      <c r="Q100" s="290"/>
      <c r="R100" s="290"/>
      <c r="S100" s="515" t="s">
        <v>333</v>
      </c>
      <c r="T100" s="292" t="s">
        <v>614</v>
      </c>
      <c r="U100" s="299">
        <v>473674.31</v>
      </c>
      <c r="V100" s="290">
        <f t="shared" si="7"/>
        <v>42630.69</v>
      </c>
      <c r="W100" s="290">
        <f t="shared" si="8"/>
        <v>516305</v>
      </c>
      <c r="X100" s="290">
        <f t="shared" si="9"/>
        <v>473674.31</v>
      </c>
      <c r="Y100" s="290">
        <f t="shared" si="10"/>
        <v>4326.58</v>
      </c>
      <c r="Z100" s="290"/>
    </row>
    <row r="101" spans="1:26">
      <c r="A101" s="285" t="s">
        <v>615</v>
      </c>
      <c r="B101" s="294" t="s">
        <v>80</v>
      </c>
      <c r="C101" s="294" t="s">
        <v>80</v>
      </c>
      <c r="D101" s="285" t="s">
        <v>215</v>
      </c>
      <c r="E101" s="294" t="s">
        <v>366</v>
      </c>
      <c r="F101" s="294" t="s">
        <v>112</v>
      </c>
      <c r="G101" s="285" t="s">
        <v>145</v>
      </c>
      <c r="H101" s="285" t="s">
        <v>330</v>
      </c>
      <c r="I101" s="285" t="s">
        <v>233</v>
      </c>
      <c r="J101" s="295">
        <v>20210001031</v>
      </c>
      <c r="K101" s="296" t="s">
        <v>616</v>
      </c>
      <c r="L101" s="297">
        <v>383180</v>
      </c>
      <c r="M101" s="285" t="s">
        <v>617</v>
      </c>
      <c r="N101" s="297">
        <v>109.48</v>
      </c>
      <c r="O101" s="297" t="s">
        <v>112</v>
      </c>
      <c r="P101" s="290">
        <v>109.48</v>
      </c>
      <c r="Q101" s="290"/>
      <c r="R101" s="290"/>
      <c r="S101" s="515" t="s">
        <v>341</v>
      </c>
      <c r="T101" s="292" t="s">
        <v>618</v>
      </c>
      <c r="U101" s="299">
        <v>351541.28</v>
      </c>
      <c r="V101" s="290">
        <f t="shared" si="7"/>
        <v>31638.72</v>
      </c>
      <c r="W101" s="290">
        <f t="shared" si="8"/>
        <v>383180</v>
      </c>
      <c r="X101" s="290">
        <f t="shared" si="9"/>
        <v>351541.28</v>
      </c>
      <c r="Y101" s="290">
        <f t="shared" si="10"/>
        <v>3211.01</v>
      </c>
      <c r="Z101" s="290"/>
    </row>
    <row r="102" ht="23.8" spans="1:26">
      <c r="A102" s="285" t="s">
        <v>619</v>
      </c>
      <c r="B102" s="294" t="s">
        <v>80</v>
      </c>
      <c r="C102" s="294" t="s">
        <v>80</v>
      </c>
      <c r="D102" s="285" t="s">
        <v>215</v>
      </c>
      <c r="E102" s="294" t="s">
        <v>370</v>
      </c>
      <c r="F102" s="294" t="s">
        <v>112</v>
      </c>
      <c r="G102" s="285" t="s">
        <v>145</v>
      </c>
      <c r="H102" s="285" t="s">
        <v>330</v>
      </c>
      <c r="I102" s="285" t="s">
        <v>233</v>
      </c>
      <c r="J102" s="295">
        <v>20230003690</v>
      </c>
      <c r="K102" s="296" t="s">
        <v>620</v>
      </c>
      <c r="L102" s="297">
        <v>523314.4</v>
      </c>
      <c r="M102" s="285" t="s">
        <v>621</v>
      </c>
      <c r="N102" s="297">
        <v>109.48</v>
      </c>
      <c r="O102" s="297" t="s">
        <v>112</v>
      </c>
      <c r="P102" s="290">
        <v>109.48</v>
      </c>
      <c r="Q102" s="290"/>
      <c r="R102" s="290"/>
      <c r="S102" s="515" t="s">
        <v>547</v>
      </c>
      <c r="T102" s="292" t="s">
        <v>622</v>
      </c>
      <c r="U102" s="299">
        <v>480104.95</v>
      </c>
      <c r="V102" s="290">
        <f t="shared" si="7"/>
        <v>43209.45</v>
      </c>
      <c r="W102" s="290">
        <f t="shared" si="8"/>
        <v>523314.4</v>
      </c>
      <c r="X102" s="290">
        <f t="shared" si="9"/>
        <v>480104.95</v>
      </c>
      <c r="Y102" s="290">
        <f t="shared" si="10"/>
        <v>4385.32</v>
      </c>
      <c r="Z102" s="290"/>
    </row>
    <row r="103" ht="21.3" spans="1:26">
      <c r="A103" s="285" t="s">
        <v>623</v>
      </c>
      <c r="B103" s="294" t="s">
        <v>80</v>
      </c>
      <c r="C103" s="294" t="s">
        <v>83</v>
      </c>
      <c r="D103" s="285" t="s">
        <v>42</v>
      </c>
      <c r="E103" s="294" t="s">
        <v>327</v>
      </c>
      <c r="F103" s="294" t="s">
        <v>112</v>
      </c>
      <c r="G103" s="285" t="s">
        <v>145</v>
      </c>
      <c r="H103" s="285" t="s">
        <v>330</v>
      </c>
      <c r="I103" s="285" t="s">
        <v>233</v>
      </c>
      <c r="J103" s="295">
        <v>20240005331</v>
      </c>
      <c r="K103" s="296" t="s">
        <v>624</v>
      </c>
      <c r="L103" s="297">
        <v>734672</v>
      </c>
      <c r="M103" s="285" t="s">
        <v>625</v>
      </c>
      <c r="N103" s="297">
        <v>109.48</v>
      </c>
      <c r="O103" s="297" t="s">
        <v>112</v>
      </c>
      <c r="P103" s="290">
        <v>109.48</v>
      </c>
      <c r="Q103" s="290"/>
      <c r="R103" s="290"/>
      <c r="S103" s="291"/>
      <c r="T103" s="517" t="s">
        <v>626</v>
      </c>
      <c r="U103" s="299">
        <v>674011.01</v>
      </c>
      <c r="V103" s="290">
        <f t="shared" si="7"/>
        <v>60660.99</v>
      </c>
      <c r="W103" s="290">
        <f t="shared" si="8"/>
        <v>734672</v>
      </c>
      <c r="X103" s="290">
        <f t="shared" si="9"/>
        <v>674011.01</v>
      </c>
      <c r="Y103" s="290">
        <f t="shared" si="10"/>
        <v>6156.48</v>
      </c>
      <c r="Z103" s="290"/>
    </row>
    <row r="104" spans="1:26">
      <c r="A104" s="285" t="s">
        <v>627</v>
      </c>
      <c r="B104" s="294" t="s">
        <v>80</v>
      </c>
      <c r="C104" s="294" t="s">
        <v>83</v>
      </c>
      <c r="D104" s="285" t="s">
        <v>42</v>
      </c>
      <c r="E104" s="294" t="s">
        <v>329</v>
      </c>
      <c r="F104" s="294" t="s">
        <v>112</v>
      </c>
      <c r="G104" s="285" t="s">
        <v>145</v>
      </c>
      <c r="H104" s="285" t="s">
        <v>328</v>
      </c>
      <c r="I104" s="285"/>
      <c r="J104" s="295" t="s">
        <v>112</v>
      </c>
      <c r="K104" s="296" t="s">
        <v>112</v>
      </c>
      <c r="L104" s="297" t="s">
        <v>112</v>
      </c>
      <c r="M104" s="285" t="s">
        <v>112</v>
      </c>
      <c r="N104" s="297">
        <v>120.69</v>
      </c>
      <c r="O104" s="297" t="s">
        <v>112</v>
      </c>
      <c r="P104" s="290">
        <v>120.69</v>
      </c>
      <c r="Q104" s="290"/>
      <c r="R104" s="290"/>
      <c r="S104" s="291"/>
      <c r="T104" s="292"/>
      <c r="U104" s="299"/>
      <c r="V104" s="290">
        <f t="shared" si="7"/>
        <v>0</v>
      </c>
      <c r="W104" s="290">
        <f t="shared" si="8"/>
        <v>0</v>
      </c>
      <c r="X104" s="290"/>
      <c r="Y104" s="290">
        <f t="shared" si="10"/>
        <v>0</v>
      </c>
      <c r="Z104" s="290"/>
    </row>
    <row r="105" ht="23.8" spans="1:26">
      <c r="A105" s="285" t="s">
        <v>628</v>
      </c>
      <c r="B105" s="294" t="s">
        <v>80</v>
      </c>
      <c r="C105" s="294" t="s">
        <v>83</v>
      </c>
      <c r="D105" s="285" t="s">
        <v>80</v>
      </c>
      <c r="E105" s="294" t="s">
        <v>335</v>
      </c>
      <c r="F105" s="294" t="s">
        <v>112</v>
      </c>
      <c r="G105" s="285" t="s">
        <v>145</v>
      </c>
      <c r="H105" s="285" t="s">
        <v>330</v>
      </c>
      <c r="I105" s="285" t="s">
        <v>233</v>
      </c>
      <c r="J105" s="295">
        <v>20230001449</v>
      </c>
      <c r="K105" s="296">
        <v>44973</v>
      </c>
      <c r="L105" s="297">
        <v>489947.71</v>
      </c>
      <c r="M105" s="285" t="s">
        <v>629</v>
      </c>
      <c r="N105" s="297">
        <v>109.48</v>
      </c>
      <c r="O105" s="297" t="s">
        <v>112</v>
      </c>
      <c r="P105" s="290">
        <v>109.48</v>
      </c>
      <c r="Q105" s="290"/>
      <c r="R105" s="290"/>
      <c r="S105" s="515" t="s">
        <v>630</v>
      </c>
      <c r="T105" s="292" t="s">
        <v>631</v>
      </c>
      <c r="U105" s="299">
        <v>489947.71</v>
      </c>
      <c r="V105" s="290">
        <f t="shared" si="7"/>
        <v>44095.29</v>
      </c>
      <c r="W105" s="290">
        <f t="shared" si="8"/>
        <v>534043</v>
      </c>
      <c r="X105" s="290">
        <f t="shared" ref="X105:X114" si="11">U105</f>
        <v>489947.71</v>
      </c>
      <c r="Y105" s="290">
        <f t="shared" si="10"/>
        <v>4475.23</v>
      </c>
      <c r="Z105" s="290"/>
    </row>
    <row r="106" spans="1:26">
      <c r="A106" s="285" t="s">
        <v>632</v>
      </c>
      <c r="B106" s="294" t="s">
        <v>80</v>
      </c>
      <c r="C106" s="294" t="s">
        <v>83</v>
      </c>
      <c r="D106" s="285" t="s">
        <v>80</v>
      </c>
      <c r="E106" s="294" t="s">
        <v>339</v>
      </c>
      <c r="F106" s="294" t="s">
        <v>112</v>
      </c>
      <c r="G106" s="285" t="s">
        <v>145</v>
      </c>
      <c r="H106" s="285" t="s">
        <v>328</v>
      </c>
      <c r="I106" s="285"/>
      <c r="J106" s="295" t="s">
        <v>112</v>
      </c>
      <c r="K106" s="296" t="s">
        <v>112</v>
      </c>
      <c r="L106" s="297" t="s">
        <v>112</v>
      </c>
      <c r="M106" s="285" t="s">
        <v>112</v>
      </c>
      <c r="N106" s="297">
        <v>120.69</v>
      </c>
      <c r="O106" s="297" t="s">
        <v>112</v>
      </c>
      <c r="P106" s="290">
        <v>120.69</v>
      </c>
      <c r="Q106" s="290"/>
      <c r="R106" s="290"/>
      <c r="S106" s="291"/>
      <c r="T106" s="292"/>
      <c r="U106" s="299"/>
      <c r="V106" s="290">
        <f t="shared" si="7"/>
        <v>0</v>
      </c>
      <c r="W106" s="290">
        <f t="shared" si="8"/>
        <v>0</v>
      </c>
      <c r="X106" s="290"/>
      <c r="Y106" s="290">
        <f t="shared" si="10"/>
        <v>0</v>
      </c>
      <c r="Z106" s="290"/>
    </row>
    <row r="107" spans="1:26">
      <c r="A107" s="285" t="s">
        <v>327</v>
      </c>
      <c r="B107" s="294" t="s">
        <v>80</v>
      </c>
      <c r="C107" s="294" t="s">
        <v>83</v>
      </c>
      <c r="D107" s="285" t="s">
        <v>83</v>
      </c>
      <c r="E107" s="294" t="s">
        <v>343</v>
      </c>
      <c r="F107" s="294" t="s">
        <v>112</v>
      </c>
      <c r="G107" s="285" t="s">
        <v>145</v>
      </c>
      <c r="H107" s="285" t="s">
        <v>330</v>
      </c>
      <c r="I107" s="285" t="s">
        <v>233</v>
      </c>
      <c r="J107" s="295">
        <v>20220000721</v>
      </c>
      <c r="K107" s="296" t="s">
        <v>633</v>
      </c>
      <c r="L107" s="297">
        <v>506666</v>
      </c>
      <c r="M107" s="285" t="s">
        <v>634</v>
      </c>
      <c r="N107" s="297">
        <v>109.48</v>
      </c>
      <c r="O107" s="297" t="s">
        <v>112</v>
      </c>
      <c r="P107" s="290">
        <v>109.48</v>
      </c>
      <c r="Q107" s="290"/>
      <c r="R107" s="290"/>
      <c r="S107" s="515" t="s">
        <v>333</v>
      </c>
      <c r="T107" s="292" t="s">
        <v>635</v>
      </c>
      <c r="U107" s="299">
        <v>464831.19</v>
      </c>
      <c r="V107" s="290">
        <f t="shared" si="7"/>
        <v>41834.81</v>
      </c>
      <c r="W107" s="290">
        <f t="shared" si="8"/>
        <v>506666</v>
      </c>
      <c r="X107" s="290">
        <f t="shared" si="11"/>
        <v>464831.19</v>
      </c>
      <c r="Y107" s="290">
        <f t="shared" si="10"/>
        <v>4245.81</v>
      </c>
      <c r="Z107" s="290"/>
    </row>
    <row r="108" spans="1:26">
      <c r="A108" s="285" t="s">
        <v>329</v>
      </c>
      <c r="B108" s="294" t="s">
        <v>80</v>
      </c>
      <c r="C108" s="294" t="s">
        <v>83</v>
      </c>
      <c r="D108" s="285" t="s">
        <v>83</v>
      </c>
      <c r="E108" s="294" t="s">
        <v>347</v>
      </c>
      <c r="F108" s="294" t="s">
        <v>112</v>
      </c>
      <c r="G108" s="285" t="s">
        <v>145</v>
      </c>
      <c r="H108" s="285" t="s">
        <v>328</v>
      </c>
      <c r="I108" s="285"/>
      <c r="J108" s="295" t="s">
        <v>112</v>
      </c>
      <c r="K108" s="296" t="s">
        <v>112</v>
      </c>
      <c r="L108" s="297" t="s">
        <v>112</v>
      </c>
      <c r="M108" s="285" t="s">
        <v>112</v>
      </c>
      <c r="N108" s="297">
        <v>120.69</v>
      </c>
      <c r="O108" s="297" t="s">
        <v>112</v>
      </c>
      <c r="P108" s="290">
        <v>120.69</v>
      </c>
      <c r="Q108" s="290"/>
      <c r="R108" s="290"/>
      <c r="S108" s="291"/>
      <c r="T108" s="292"/>
      <c r="U108" s="299"/>
      <c r="V108" s="290">
        <f t="shared" si="7"/>
        <v>0</v>
      </c>
      <c r="W108" s="290">
        <f t="shared" si="8"/>
        <v>0</v>
      </c>
      <c r="X108" s="290"/>
      <c r="Y108" s="290">
        <f t="shared" si="10"/>
        <v>0</v>
      </c>
      <c r="Z108" s="290"/>
    </row>
    <row r="109" spans="1:26">
      <c r="A109" s="285" t="s">
        <v>636</v>
      </c>
      <c r="B109" s="294" t="s">
        <v>80</v>
      </c>
      <c r="C109" s="294" t="s">
        <v>83</v>
      </c>
      <c r="D109" s="285" t="s">
        <v>213</v>
      </c>
      <c r="E109" s="294" t="s">
        <v>351</v>
      </c>
      <c r="F109" s="294" t="s">
        <v>112</v>
      </c>
      <c r="G109" s="285" t="s">
        <v>145</v>
      </c>
      <c r="H109" s="285" t="s">
        <v>330</v>
      </c>
      <c r="I109" s="285" t="s">
        <v>233</v>
      </c>
      <c r="J109" s="295">
        <v>20220005737</v>
      </c>
      <c r="K109" s="296" t="s">
        <v>637</v>
      </c>
      <c r="L109" s="297">
        <v>512366</v>
      </c>
      <c r="M109" s="285" t="s">
        <v>638</v>
      </c>
      <c r="N109" s="297">
        <v>109.48</v>
      </c>
      <c r="O109" s="297" t="s">
        <v>112</v>
      </c>
      <c r="P109" s="290">
        <v>109.48</v>
      </c>
      <c r="Q109" s="290"/>
      <c r="R109" s="290"/>
      <c r="S109" s="515" t="s">
        <v>547</v>
      </c>
      <c r="T109" s="292" t="s">
        <v>639</v>
      </c>
      <c r="U109" s="299">
        <v>470060.55</v>
      </c>
      <c r="V109" s="290">
        <f t="shared" si="7"/>
        <v>42305.45</v>
      </c>
      <c r="W109" s="290">
        <f t="shared" si="8"/>
        <v>512366</v>
      </c>
      <c r="X109" s="290">
        <f t="shared" si="11"/>
        <v>470060.55</v>
      </c>
      <c r="Y109" s="290">
        <f t="shared" si="10"/>
        <v>4293.57</v>
      </c>
      <c r="Z109" s="290"/>
    </row>
    <row r="110" spans="1:26">
      <c r="A110" s="285" t="s">
        <v>640</v>
      </c>
      <c r="B110" s="294" t="s">
        <v>80</v>
      </c>
      <c r="C110" s="294" t="s">
        <v>83</v>
      </c>
      <c r="D110" s="285" t="s">
        <v>213</v>
      </c>
      <c r="E110" s="294" t="s">
        <v>355</v>
      </c>
      <c r="F110" s="294" t="s">
        <v>112</v>
      </c>
      <c r="G110" s="285" t="s">
        <v>145</v>
      </c>
      <c r="H110" s="285" t="s">
        <v>330</v>
      </c>
      <c r="I110" s="285" t="s">
        <v>233</v>
      </c>
      <c r="J110" s="295">
        <v>20210011503</v>
      </c>
      <c r="K110" s="296" t="s">
        <v>641</v>
      </c>
      <c r="L110" s="297">
        <v>565071</v>
      </c>
      <c r="M110" s="285" t="s">
        <v>642</v>
      </c>
      <c r="N110" s="297">
        <v>120.69</v>
      </c>
      <c r="O110" s="297" t="s">
        <v>112</v>
      </c>
      <c r="P110" s="290">
        <v>120.69</v>
      </c>
      <c r="Q110" s="290"/>
      <c r="R110" s="290"/>
      <c r="S110" s="515" t="s">
        <v>333</v>
      </c>
      <c r="T110" s="292" t="s">
        <v>643</v>
      </c>
      <c r="U110" s="299">
        <v>518413.76</v>
      </c>
      <c r="V110" s="290">
        <f t="shared" si="7"/>
        <v>46657.24</v>
      </c>
      <c r="W110" s="290">
        <f t="shared" si="8"/>
        <v>565071</v>
      </c>
      <c r="X110" s="290">
        <f t="shared" si="11"/>
        <v>518413.76</v>
      </c>
      <c r="Y110" s="290">
        <f t="shared" si="10"/>
        <v>4295.42</v>
      </c>
      <c r="Z110" s="290"/>
    </row>
    <row r="111" spans="1:26">
      <c r="A111" s="285" t="s">
        <v>644</v>
      </c>
      <c r="B111" s="294" t="s">
        <v>80</v>
      </c>
      <c r="C111" s="294" t="s">
        <v>83</v>
      </c>
      <c r="D111" s="285" t="s">
        <v>244</v>
      </c>
      <c r="E111" s="294" t="s">
        <v>359</v>
      </c>
      <c r="F111" s="294" t="s">
        <v>112</v>
      </c>
      <c r="G111" s="285" t="s">
        <v>145</v>
      </c>
      <c r="H111" s="285" t="s">
        <v>330</v>
      </c>
      <c r="I111" s="285" t="s">
        <v>233</v>
      </c>
      <c r="J111" s="295">
        <v>20220000671</v>
      </c>
      <c r="K111" s="296" t="s">
        <v>645</v>
      </c>
      <c r="L111" s="297">
        <v>517840</v>
      </c>
      <c r="M111" s="285" t="s">
        <v>646</v>
      </c>
      <c r="N111" s="297">
        <v>109.48</v>
      </c>
      <c r="O111" s="297" t="s">
        <v>112</v>
      </c>
      <c r="P111" s="290">
        <v>109.48</v>
      </c>
      <c r="Q111" s="290"/>
      <c r="R111" s="290"/>
      <c r="S111" s="515" t="s">
        <v>333</v>
      </c>
      <c r="T111" s="292" t="s">
        <v>647</v>
      </c>
      <c r="U111" s="299">
        <v>475082.57</v>
      </c>
      <c r="V111" s="290">
        <f t="shared" si="7"/>
        <v>42757.43</v>
      </c>
      <c r="W111" s="290">
        <f t="shared" si="8"/>
        <v>517840</v>
      </c>
      <c r="X111" s="290">
        <f t="shared" si="11"/>
        <v>475082.57</v>
      </c>
      <c r="Y111" s="290">
        <f t="shared" si="10"/>
        <v>4339.45</v>
      </c>
      <c r="Z111" s="290"/>
    </row>
    <row r="112" spans="1:26">
      <c r="A112" s="285" t="s">
        <v>648</v>
      </c>
      <c r="B112" s="294" t="s">
        <v>80</v>
      </c>
      <c r="C112" s="294" t="s">
        <v>83</v>
      </c>
      <c r="D112" s="285" t="s">
        <v>244</v>
      </c>
      <c r="E112" s="294" t="s">
        <v>363</v>
      </c>
      <c r="F112" s="294" t="s">
        <v>112</v>
      </c>
      <c r="G112" s="285" t="s">
        <v>145</v>
      </c>
      <c r="H112" s="285" t="s">
        <v>330</v>
      </c>
      <c r="I112" s="285" t="s">
        <v>233</v>
      </c>
      <c r="J112" s="295">
        <v>20210010336</v>
      </c>
      <c r="K112" s="296" t="s">
        <v>649</v>
      </c>
      <c r="L112" s="297">
        <v>428588</v>
      </c>
      <c r="M112" s="285" t="s">
        <v>650</v>
      </c>
      <c r="N112" s="297">
        <v>120.69</v>
      </c>
      <c r="O112" s="297" t="s">
        <v>112</v>
      </c>
      <c r="P112" s="290">
        <v>120.69</v>
      </c>
      <c r="Q112" s="290"/>
      <c r="R112" s="290"/>
      <c r="S112" s="515" t="s">
        <v>333</v>
      </c>
      <c r="T112" s="292" t="s">
        <v>651</v>
      </c>
      <c r="U112" s="299">
        <v>393200</v>
      </c>
      <c r="V112" s="290">
        <f t="shared" si="7"/>
        <v>35388</v>
      </c>
      <c r="W112" s="290">
        <f t="shared" si="8"/>
        <v>428588</v>
      </c>
      <c r="X112" s="290">
        <f t="shared" si="11"/>
        <v>393200</v>
      </c>
      <c r="Y112" s="290">
        <f t="shared" si="10"/>
        <v>3257.93</v>
      </c>
      <c r="Z112" s="290"/>
    </row>
    <row r="113" ht="23.8" spans="1:26">
      <c r="A113" s="285" t="s">
        <v>652</v>
      </c>
      <c r="B113" s="294" t="s">
        <v>80</v>
      </c>
      <c r="C113" s="294" t="s">
        <v>83</v>
      </c>
      <c r="D113" s="285" t="s">
        <v>215</v>
      </c>
      <c r="E113" s="294" t="s">
        <v>366</v>
      </c>
      <c r="F113" s="294" t="s">
        <v>112</v>
      </c>
      <c r="G113" s="285" t="s">
        <v>145</v>
      </c>
      <c r="H113" s="285" t="s">
        <v>330</v>
      </c>
      <c r="I113" s="285" t="s">
        <v>233</v>
      </c>
      <c r="J113" s="295">
        <v>20230005873</v>
      </c>
      <c r="K113" s="296" t="s">
        <v>653</v>
      </c>
      <c r="L113" s="297">
        <v>533387</v>
      </c>
      <c r="M113" s="285" t="s">
        <v>654</v>
      </c>
      <c r="N113" s="297">
        <v>109.48</v>
      </c>
      <c r="O113" s="297" t="s">
        <v>112</v>
      </c>
      <c r="P113" s="290">
        <v>109.48</v>
      </c>
      <c r="Q113" s="290"/>
      <c r="R113" s="290"/>
      <c r="S113" s="515" t="s">
        <v>547</v>
      </c>
      <c r="T113" s="292" t="s">
        <v>655</v>
      </c>
      <c r="U113" s="299">
        <v>489345.87</v>
      </c>
      <c r="V113" s="290">
        <f t="shared" si="7"/>
        <v>44041.13</v>
      </c>
      <c r="W113" s="290">
        <f t="shared" si="8"/>
        <v>533387</v>
      </c>
      <c r="X113" s="290">
        <f t="shared" si="11"/>
        <v>489345.87</v>
      </c>
      <c r="Y113" s="290">
        <f t="shared" si="10"/>
        <v>4469.73</v>
      </c>
      <c r="Z113" s="290"/>
    </row>
    <row r="114" spans="1:26">
      <c r="A114" s="285" t="s">
        <v>656</v>
      </c>
      <c r="B114" s="294" t="s">
        <v>80</v>
      </c>
      <c r="C114" s="294" t="s">
        <v>83</v>
      </c>
      <c r="D114" s="285" t="s">
        <v>215</v>
      </c>
      <c r="E114" s="294" t="s">
        <v>370</v>
      </c>
      <c r="F114" s="294" t="s">
        <v>112</v>
      </c>
      <c r="G114" s="285" t="s">
        <v>145</v>
      </c>
      <c r="H114" s="285" t="s">
        <v>330</v>
      </c>
      <c r="I114" s="285" t="s">
        <v>233</v>
      </c>
      <c r="J114" s="295">
        <v>20230000729</v>
      </c>
      <c r="K114" s="296" t="s">
        <v>657</v>
      </c>
      <c r="L114" s="297">
        <v>398277</v>
      </c>
      <c r="M114" s="285" t="s">
        <v>658</v>
      </c>
      <c r="N114" s="297">
        <v>120.69</v>
      </c>
      <c r="O114" s="297" t="s">
        <v>112</v>
      </c>
      <c r="P114" s="290">
        <v>120.69</v>
      </c>
      <c r="Q114" s="290"/>
      <c r="R114" s="290"/>
      <c r="S114" s="515" t="s">
        <v>333</v>
      </c>
      <c r="T114" s="292" t="s">
        <v>659</v>
      </c>
      <c r="U114" s="299">
        <v>365391.74</v>
      </c>
      <c r="V114" s="290">
        <f t="shared" si="7"/>
        <v>32885.26</v>
      </c>
      <c r="W114" s="290">
        <f t="shared" si="8"/>
        <v>398277</v>
      </c>
      <c r="X114" s="290">
        <f t="shared" si="11"/>
        <v>365391.74</v>
      </c>
      <c r="Y114" s="290">
        <f t="shared" si="10"/>
        <v>3027.52</v>
      </c>
      <c r="Z114" s="290"/>
    </row>
    <row r="115" spans="1:26">
      <c r="A115" s="285" t="s">
        <v>660</v>
      </c>
      <c r="B115" s="294" t="s">
        <v>80</v>
      </c>
      <c r="C115" s="294" t="s">
        <v>42</v>
      </c>
      <c r="D115" s="285" t="s">
        <v>456</v>
      </c>
      <c r="E115" s="294" t="s">
        <v>457</v>
      </c>
      <c r="F115" s="294" t="s">
        <v>112</v>
      </c>
      <c r="G115" s="285" t="s">
        <v>458</v>
      </c>
      <c r="H115" s="285" t="s">
        <v>459</v>
      </c>
      <c r="I115" s="285"/>
      <c r="J115" s="295" t="s">
        <v>112</v>
      </c>
      <c r="K115" s="296" t="s">
        <v>112</v>
      </c>
      <c r="L115" s="297" t="s">
        <v>112</v>
      </c>
      <c r="M115" s="285" t="s">
        <v>112</v>
      </c>
      <c r="N115" s="297">
        <v>26.87</v>
      </c>
      <c r="O115" s="297" t="s">
        <v>112</v>
      </c>
      <c r="P115" s="290">
        <v>26.87</v>
      </c>
      <c r="Q115" s="290"/>
      <c r="R115" s="290" t="s">
        <v>112</v>
      </c>
      <c r="S115" s="291" t="s">
        <v>112</v>
      </c>
      <c r="T115" s="292" t="s">
        <v>112</v>
      </c>
      <c r="U115" s="299" t="s">
        <v>112</v>
      </c>
      <c r="V115" s="290">
        <f t="shared" ref="V115:V150" si="12">SUM(T115)+SUM(U115)</f>
        <v>0</v>
      </c>
      <c r="W115" s="290"/>
      <c r="X115" s="290" t="str">
        <f t="shared" ref="X115:X150" si="13">IF(SUM(O115)=0,"",ROUND(SUM(W115)/SUM(O115),2))</f>
        <v/>
      </c>
      <c r="Y115" s="290"/>
      <c r="Z115" s="290"/>
    </row>
    <row r="116" spans="1:26">
      <c r="A116" s="285" t="s">
        <v>661</v>
      </c>
      <c r="B116" s="294" t="s">
        <v>80</v>
      </c>
      <c r="C116" s="294" t="s">
        <v>42</v>
      </c>
      <c r="D116" s="285" t="s">
        <v>456</v>
      </c>
      <c r="E116" s="294" t="s">
        <v>461</v>
      </c>
      <c r="F116" s="294" t="s">
        <v>112</v>
      </c>
      <c r="G116" s="285" t="s">
        <v>458</v>
      </c>
      <c r="H116" s="285" t="s">
        <v>459</v>
      </c>
      <c r="I116" s="285"/>
      <c r="J116" s="295" t="s">
        <v>112</v>
      </c>
      <c r="K116" s="296" t="s">
        <v>112</v>
      </c>
      <c r="L116" s="297" t="s">
        <v>112</v>
      </c>
      <c r="M116" s="285" t="s">
        <v>112</v>
      </c>
      <c r="N116" s="297">
        <v>22.77</v>
      </c>
      <c r="O116" s="297" t="s">
        <v>112</v>
      </c>
      <c r="P116" s="290">
        <v>22.77</v>
      </c>
      <c r="Q116" s="290"/>
      <c r="R116" s="290" t="s">
        <v>112</v>
      </c>
      <c r="S116" s="291" t="s">
        <v>112</v>
      </c>
      <c r="T116" s="292" t="s">
        <v>112</v>
      </c>
      <c r="U116" s="299" t="s">
        <v>112</v>
      </c>
      <c r="V116" s="290">
        <f t="shared" si="12"/>
        <v>0</v>
      </c>
      <c r="W116" s="290"/>
      <c r="X116" s="290" t="str">
        <f t="shared" si="13"/>
        <v/>
      </c>
      <c r="Y116" s="290"/>
      <c r="Z116" s="290"/>
    </row>
    <row r="117" spans="1:26">
      <c r="A117" s="285" t="s">
        <v>662</v>
      </c>
      <c r="B117" s="294" t="s">
        <v>80</v>
      </c>
      <c r="C117" s="294" t="s">
        <v>42</v>
      </c>
      <c r="D117" s="285" t="s">
        <v>456</v>
      </c>
      <c r="E117" s="294" t="s">
        <v>463</v>
      </c>
      <c r="F117" s="294" t="s">
        <v>112</v>
      </c>
      <c r="G117" s="285" t="s">
        <v>458</v>
      </c>
      <c r="H117" s="285" t="s">
        <v>459</v>
      </c>
      <c r="I117" s="285"/>
      <c r="J117" s="295" t="s">
        <v>112</v>
      </c>
      <c r="K117" s="296" t="s">
        <v>112</v>
      </c>
      <c r="L117" s="297" t="s">
        <v>112</v>
      </c>
      <c r="M117" s="285" t="s">
        <v>112</v>
      </c>
      <c r="N117" s="297">
        <v>19.38</v>
      </c>
      <c r="O117" s="297" t="s">
        <v>112</v>
      </c>
      <c r="P117" s="290">
        <v>19.38</v>
      </c>
      <c r="Q117" s="290"/>
      <c r="R117" s="290" t="s">
        <v>112</v>
      </c>
      <c r="S117" s="291" t="s">
        <v>112</v>
      </c>
      <c r="T117" s="292" t="s">
        <v>112</v>
      </c>
      <c r="U117" s="299" t="s">
        <v>112</v>
      </c>
      <c r="V117" s="290">
        <f t="shared" si="12"/>
        <v>0</v>
      </c>
      <c r="W117" s="290"/>
      <c r="X117" s="290" t="str">
        <f t="shared" si="13"/>
        <v/>
      </c>
      <c r="Y117" s="290"/>
      <c r="Z117" s="290"/>
    </row>
    <row r="118" spans="1:26">
      <c r="A118" s="285" t="s">
        <v>663</v>
      </c>
      <c r="B118" s="294" t="s">
        <v>80</v>
      </c>
      <c r="C118" s="294" t="s">
        <v>42</v>
      </c>
      <c r="D118" s="285" t="s">
        <v>456</v>
      </c>
      <c r="E118" s="294" t="s">
        <v>465</v>
      </c>
      <c r="F118" s="294" t="s">
        <v>112</v>
      </c>
      <c r="G118" s="285" t="s">
        <v>458</v>
      </c>
      <c r="H118" s="285" t="s">
        <v>459</v>
      </c>
      <c r="I118" s="285"/>
      <c r="J118" s="295" t="s">
        <v>112</v>
      </c>
      <c r="K118" s="296" t="s">
        <v>112</v>
      </c>
      <c r="L118" s="297" t="s">
        <v>112</v>
      </c>
      <c r="M118" s="285" t="s">
        <v>112</v>
      </c>
      <c r="N118" s="297">
        <v>11.78</v>
      </c>
      <c r="O118" s="297" t="s">
        <v>112</v>
      </c>
      <c r="P118" s="290">
        <v>11.78</v>
      </c>
      <c r="Q118" s="290"/>
      <c r="R118" s="290" t="s">
        <v>112</v>
      </c>
      <c r="S118" s="291" t="s">
        <v>112</v>
      </c>
      <c r="T118" s="292" t="s">
        <v>112</v>
      </c>
      <c r="U118" s="299" t="s">
        <v>112</v>
      </c>
      <c r="V118" s="290">
        <f t="shared" si="12"/>
        <v>0</v>
      </c>
      <c r="W118" s="290"/>
      <c r="X118" s="290" t="str">
        <f t="shared" si="13"/>
        <v/>
      </c>
      <c r="Y118" s="290"/>
      <c r="Z118" s="290"/>
    </row>
    <row r="119" spans="1:26">
      <c r="A119" s="285" t="s">
        <v>664</v>
      </c>
      <c r="B119" s="294" t="s">
        <v>80</v>
      </c>
      <c r="C119" s="294" t="s">
        <v>42</v>
      </c>
      <c r="D119" s="285" t="s">
        <v>456</v>
      </c>
      <c r="E119" s="294" t="s">
        <v>467</v>
      </c>
      <c r="F119" s="294" t="s">
        <v>112</v>
      </c>
      <c r="G119" s="285" t="s">
        <v>458</v>
      </c>
      <c r="H119" s="285" t="s">
        <v>459</v>
      </c>
      <c r="I119" s="285"/>
      <c r="J119" s="295" t="s">
        <v>112</v>
      </c>
      <c r="K119" s="296" t="s">
        <v>112</v>
      </c>
      <c r="L119" s="297" t="s">
        <v>112</v>
      </c>
      <c r="M119" s="285" t="s">
        <v>112</v>
      </c>
      <c r="N119" s="297">
        <v>16.6</v>
      </c>
      <c r="O119" s="297" t="s">
        <v>112</v>
      </c>
      <c r="P119" s="290">
        <v>16.6</v>
      </c>
      <c r="Q119" s="290"/>
      <c r="R119" s="290" t="s">
        <v>112</v>
      </c>
      <c r="S119" s="291" t="s">
        <v>112</v>
      </c>
      <c r="T119" s="292" t="s">
        <v>112</v>
      </c>
      <c r="U119" s="299" t="s">
        <v>112</v>
      </c>
      <c r="V119" s="290">
        <f t="shared" si="12"/>
        <v>0</v>
      </c>
      <c r="W119" s="290"/>
      <c r="X119" s="290" t="str">
        <f t="shared" si="13"/>
        <v/>
      </c>
      <c r="Y119" s="290"/>
      <c r="Z119" s="290"/>
    </row>
    <row r="120" spans="1:26">
      <c r="A120" s="285" t="s">
        <v>665</v>
      </c>
      <c r="B120" s="294" t="s">
        <v>80</v>
      </c>
      <c r="C120" s="294" t="s">
        <v>42</v>
      </c>
      <c r="D120" s="285" t="s">
        <v>456</v>
      </c>
      <c r="E120" s="294" t="s">
        <v>469</v>
      </c>
      <c r="F120" s="294" t="s">
        <v>112</v>
      </c>
      <c r="G120" s="285" t="s">
        <v>458</v>
      </c>
      <c r="H120" s="285" t="s">
        <v>459</v>
      </c>
      <c r="I120" s="285"/>
      <c r="J120" s="295" t="s">
        <v>112</v>
      </c>
      <c r="K120" s="296" t="s">
        <v>112</v>
      </c>
      <c r="L120" s="297" t="s">
        <v>112</v>
      </c>
      <c r="M120" s="285" t="s">
        <v>112</v>
      </c>
      <c r="N120" s="297">
        <v>19.63</v>
      </c>
      <c r="O120" s="297" t="s">
        <v>112</v>
      </c>
      <c r="P120" s="290">
        <v>19.63</v>
      </c>
      <c r="Q120" s="290"/>
      <c r="R120" s="290" t="s">
        <v>112</v>
      </c>
      <c r="S120" s="291" t="s">
        <v>112</v>
      </c>
      <c r="T120" s="292" t="s">
        <v>112</v>
      </c>
      <c r="U120" s="299" t="s">
        <v>112</v>
      </c>
      <c r="V120" s="290">
        <f t="shared" si="12"/>
        <v>0</v>
      </c>
      <c r="W120" s="290"/>
      <c r="X120" s="290" t="str">
        <f t="shared" si="13"/>
        <v/>
      </c>
      <c r="Y120" s="290"/>
      <c r="Z120" s="290"/>
    </row>
    <row r="121" spans="1:26">
      <c r="A121" s="285" t="s">
        <v>666</v>
      </c>
      <c r="B121" s="294" t="s">
        <v>80</v>
      </c>
      <c r="C121" s="294" t="s">
        <v>42</v>
      </c>
      <c r="D121" s="285" t="s">
        <v>456</v>
      </c>
      <c r="E121" s="294" t="s">
        <v>471</v>
      </c>
      <c r="F121" s="294" t="s">
        <v>112</v>
      </c>
      <c r="G121" s="285" t="s">
        <v>458</v>
      </c>
      <c r="H121" s="285" t="s">
        <v>459</v>
      </c>
      <c r="I121" s="285"/>
      <c r="J121" s="295" t="s">
        <v>112</v>
      </c>
      <c r="K121" s="296" t="s">
        <v>112</v>
      </c>
      <c r="L121" s="297" t="s">
        <v>112</v>
      </c>
      <c r="M121" s="285" t="s">
        <v>112</v>
      </c>
      <c r="N121" s="297">
        <v>19.63</v>
      </c>
      <c r="O121" s="297" t="s">
        <v>112</v>
      </c>
      <c r="P121" s="290">
        <v>19.63</v>
      </c>
      <c r="Q121" s="290"/>
      <c r="R121" s="290" t="s">
        <v>112</v>
      </c>
      <c r="S121" s="291" t="s">
        <v>112</v>
      </c>
      <c r="T121" s="292" t="s">
        <v>112</v>
      </c>
      <c r="U121" s="299" t="s">
        <v>112</v>
      </c>
      <c r="V121" s="290">
        <f t="shared" si="12"/>
        <v>0</v>
      </c>
      <c r="W121" s="290"/>
      <c r="X121" s="290" t="str">
        <f t="shared" si="13"/>
        <v/>
      </c>
      <c r="Y121" s="290"/>
      <c r="Z121" s="290"/>
    </row>
    <row r="122" spans="1:26">
      <c r="A122" s="285" t="s">
        <v>667</v>
      </c>
      <c r="B122" s="294" t="s">
        <v>80</v>
      </c>
      <c r="C122" s="294" t="s">
        <v>42</v>
      </c>
      <c r="D122" s="285" t="s">
        <v>456</v>
      </c>
      <c r="E122" s="294" t="s">
        <v>473</v>
      </c>
      <c r="F122" s="294" t="s">
        <v>112</v>
      </c>
      <c r="G122" s="285" t="s">
        <v>458</v>
      </c>
      <c r="H122" s="285" t="s">
        <v>459</v>
      </c>
      <c r="I122" s="285"/>
      <c r="J122" s="295" t="s">
        <v>112</v>
      </c>
      <c r="K122" s="296" t="s">
        <v>112</v>
      </c>
      <c r="L122" s="297" t="s">
        <v>112</v>
      </c>
      <c r="M122" s="285" t="s">
        <v>112</v>
      </c>
      <c r="N122" s="297">
        <v>19.63</v>
      </c>
      <c r="O122" s="297" t="s">
        <v>112</v>
      </c>
      <c r="P122" s="290">
        <v>19.63</v>
      </c>
      <c r="Q122" s="290"/>
      <c r="R122" s="290" t="s">
        <v>112</v>
      </c>
      <c r="S122" s="291" t="s">
        <v>112</v>
      </c>
      <c r="T122" s="292" t="s">
        <v>112</v>
      </c>
      <c r="U122" s="299" t="s">
        <v>112</v>
      </c>
      <c r="V122" s="290">
        <f t="shared" si="12"/>
        <v>0</v>
      </c>
      <c r="W122" s="290"/>
      <c r="X122" s="290" t="str">
        <f t="shared" si="13"/>
        <v/>
      </c>
      <c r="Y122" s="290"/>
      <c r="Z122" s="290"/>
    </row>
    <row r="123" spans="1:26">
      <c r="A123" s="285" t="s">
        <v>668</v>
      </c>
      <c r="B123" s="294" t="s">
        <v>80</v>
      </c>
      <c r="C123" s="294" t="s">
        <v>42</v>
      </c>
      <c r="D123" s="285" t="s">
        <v>456</v>
      </c>
      <c r="E123" s="294" t="s">
        <v>475</v>
      </c>
      <c r="F123" s="294" t="s">
        <v>112</v>
      </c>
      <c r="G123" s="285" t="s">
        <v>458</v>
      </c>
      <c r="H123" s="285" t="s">
        <v>459</v>
      </c>
      <c r="I123" s="285"/>
      <c r="J123" s="295" t="s">
        <v>112</v>
      </c>
      <c r="K123" s="296" t="s">
        <v>112</v>
      </c>
      <c r="L123" s="297" t="s">
        <v>112</v>
      </c>
      <c r="M123" s="285" t="s">
        <v>112</v>
      </c>
      <c r="N123" s="297">
        <v>16.89</v>
      </c>
      <c r="O123" s="297" t="s">
        <v>112</v>
      </c>
      <c r="P123" s="290">
        <v>16.89</v>
      </c>
      <c r="Q123" s="290"/>
      <c r="R123" s="290" t="s">
        <v>112</v>
      </c>
      <c r="S123" s="291" t="s">
        <v>112</v>
      </c>
      <c r="T123" s="292" t="s">
        <v>112</v>
      </c>
      <c r="U123" s="299" t="s">
        <v>112</v>
      </c>
      <c r="V123" s="290">
        <f t="shared" si="12"/>
        <v>0</v>
      </c>
      <c r="W123" s="290"/>
      <c r="X123" s="290" t="str">
        <f t="shared" si="13"/>
        <v/>
      </c>
      <c r="Y123" s="290"/>
      <c r="Z123" s="290"/>
    </row>
    <row r="124" spans="1:26">
      <c r="A124" s="285" t="s">
        <v>669</v>
      </c>
      <c r="B124" s="294" t="s">
        <v>80</v>
      </c>
      <c r="C124" s="294" t="s">
        <v>42</v>
      </c>
      <c r="D124" s="285" t="s">
        <v>456</v>
      </c>
      <c r="E124" s="294" t="s">
        <v>477</v>
      </c>
      <c r="F124" s="294" t="s">
        <v>112</v>
      </c>
      <c r="G124" s="285" t="s">
        <v>458</v>
      </c>
      <c r="H124" s="285" t="s">
        <v>459</v>
      </c>
      <c r="I124" s="285"/>
      <c r="J124" s="295" t="s">
        <v>112</v>
      </c>
      <c r="K124" s="296" t="s">
        <v>112</v>
      </c>
      <c r="L124" s="297" t="s">
        <v>112</v>
      </c>
      <c r="M124" s="285" t="s">
        <v>112</v>
      </c>
      <c r="N124" s="297">
        <v>22.38</v>
      </c>
      <c r="O124" s="297" t="s">
        <v>112</v>
      </c>
      <c r="P124" s="290">
        <v>22.38</v>
      </c>
      <c r="Q124" s="290"/>
      <c r="R124" s="290" t="s">
        <v>112</v>
      </c>
      <c r="S124" s="291" t="s">
        <v>112</v>
      </c>
      <c r="T124" s="292" t="s">
        <v>112</v>
      </c>
      <c r="U124" s="299" t="s">
        <v>112</v>
      </c>
      <c r="V124" s="290">
        <f t="shared" si="12"/>
        <v>0</v>
      </c>
      <c r="W124" s="290"/>
      <c r="X124" s="290" t="str">
        <f t="shared" si="13"/>
        <v/>
      </c>
      <c r="Y124" s="290"/>
      <c r="Z124" s="290"/>
    </row>
    <row r="125" spans="1:26">
      <c r="A125" s="285" t="s">
        <v>670</v>
      </c>
      <c r="B125" s="294" t="s">
        <v>80</v>
      </c>
      <c r="C125" s="294" t="s">
        <v>42</v>
      </c>
      <c r="D125" s="285" t="s">
        <v>456</v>
      </c>
      <c r="E125" s="294" t="s">
        <v>479</v>
      </c>
      <c r="F125" s="294" t="s">
        <v>112</v>
      </c>
      <c r="G125" s="285" t="s">
        <v>458</v>
      </c>
      <c r="H125" s="285" t="s">
        <v>459</v>
      </c>
      <c r="I125" s="285"/>
      <c r="J125" s="295" t="s">
        <v>112</v>
      </c>
      <c r="K125" s="296" t="s">
        <v>112</v>
      </c>
      <c r="L125" s="297" t="s">
        <v>112</v>
      </c>
      <c r="M125" s="285" t="s">
        <v>112</v>
      </c>
      <c r="N125" s="297">
        <v>12.47</v>
      </c>
      <c r="O125" s="297" t="s">
        <v>112</v>
      </c>
      <c r="P125" s="290">
        <v>12.47</v>
      </c>
      <c r="Q125" s="290"/>
      <c r="R125" s="290" t="s">
        <v>112</v>
      </c>
      <c r="S125" s="291" t="s">
        <v>112</v>
      </c>
      <c r="T125" s="292" t="s">
        <v>112</v>
      </c>
      <c r="U125" s="299" t="s">
        <v>112</v>
      </c>
      <c r="V125" s="290">
        <f t="shared" si="12"/>
        <v>0</v>
      </c>
      <c r="W125" s="290"/>
      <c r="X125" s="290" t="str">
        <f t="shared" si="13"/>
        <v/>
      </c>
      <c r="Y125" s="290"/>
      <c r="Z125" s="290"/>
    </row>
    <row r="126" spans="1:26">
      <c r="A126" s="285" t="s">
        <v>671</v>
      </c>
      <c r="B126" s="294" t="s">
        <v>80</v>
      </c>
      <c r="C126" s="294" t="s">
        <v>42</v>
      </c>
      <c r="D126" s="285" t="s">
        <v>456</v>
      </c>
      <c r="E126" s="294" t="s">
        <v>481</v>
      </c>
      <c r="F126" s="294" t="s">
        <v>112</v>
      </c>
      <c r="G126" s="285" t="s">
        <v>458</v>
      </c>
      <c r="H126" s="285" t="s">
        <v>459</v>
      </c>
      <c r="I126" s="285"/>
      <c r="J126" s="295" t="s">
        <v>112</v>
      </c>
      <c r="K126" s="296" t="s">
        <v>112</v>
      </c>
      <c r="L126" s="297" t="s">
        <v>112</v>
      </c>
      <c r="M126" s="285" t="s">
        <v>112</v>
      </c>
      <c r="N126" s="297">
        <v>12.47</v>
      </c>
      <c r="O126" s="297" t="s">
        <v>112</v>
      </c>
      <c r="P126" s="290">
        <v>12.47</v>
      </c>
      <c r="Q126" s="290"/>
      <c r="R126" s="290" t="s">
        <v>112</v>
      </c>
      <c r="S126" s="291" t="s">
        <v>112</v>
      </c>
      <c r="T126" s="292" t="s">
        <v>112</v>
      </c>
      <c r="U126" s="299" t="s">
        <v>112</v>
      </c>
      <c r="V126" s="290">
        <f t="shared" si="12"/>
        <v>0</v>
      </c>
      <c r="W126" s="290"/>
      <c r="X126" s="290" t="str">
        <f t="shared" si="13"/>
        <v/>
      </c>
      <c r="Y126" s="290"/>
      <c r="Z126" s="290"/>
    </row>
    <row r="127" spans="1:26">
      <c r="A127" s="285" t="s">
        <v>672</v>
      </c>
      <c r="B127" s="294" t="s">
        <v>80</v>
      </c>
      <c r="C127" s="294" t="s">
        <v>42</v>
      </c>
      <c r="D127" s="285" t="s">
        <v>456</v>
      </c>
      <c r="E127" s="294" t="s">
        <v>483</v>
      </c>
      <c r="F127" s="294" t="s">
        <v>112</v>
      </c>
      <c r="G127" s="285" t="s">
        <v>458</v>
      </c>
      <c r="H127" s="285" t="s">
        <v>459</v>
      </c>
      <c r="I127" s="285"/>
      <c r="J127" s="295" t="s">
        <v>112</v>
      </c>
      <c r="K127" s="296" t="s">
        <v>112</v>
      </c>
      <c r="L127" s="297" t="s">
        <v>112</v>
      </c>
      <c r="M127" s="285" t="s">
        <v>112</v>
      </c>
      <c r="N127" s="297">
        <v>12.47</v>
      </c>
      <c r="O127" s="297" t="s">
        <v>112</v>
      </c>
      <c r="P127" s="290">
        <v>12.47</v>
      </c>
      <c r="Q127" s="290"/>
      <c r="R127" s="290" t="s">
        <v>112</v>
      </c>
      <c r="S127" s="291" t="s">
        <v>112</v>
      </c>
      <c r="T127" s="292" t="s">
        <v>112</v>
      </c>
      <c r="U127" s="299" t="s">
        <v>112</v>
      </c>
      <c r="V127" s="290">
        <f t="shared" si="12"/>
        <v>0</v>
      </c>
      <c r="W127" s="290"/>
      <c r="X127" s="290" t="str">
        <f t="shared" si="13"/>
        <v/>
      </c>
      <c r="Y127" s="290"/>
      <c r="Z127" s="290"/>
    </row>
    <row r="128" spans="1:26">
      <c r="A128" s="285" t="s">
        <v>673</v>
      </c>
      <c r="B128" s="294" t="s">
        <v>80</v>
      </c>
      <c r="C128" s="294" t="s">
        <v>42</v>
      </c>
      <c r="D128" s="285" t="s">
        <v>456</v>
      </c>
      <c r="E128" s="294" t="s">
        <v>485</v>
      </c>
      <c r="F128" s="294" t="s">
        <v>112</v>
      </c>
      <c r="G128" s="285" t="s">
        <v>458</v>
      </c>
      <c r="H128" s="285" t="s">
        <v>459</v>
      </c>
      <c r="I128" s="285"/>
      <c r="J128" s="295" t="s">
        <v>112</v>
      </c>
      <c r="K128" s="296" t="s">
        <v>112</v>
      </c>
      <c r="L128" s="297" t="s">
        <v>112</v>
      </c>
      <c r="M128" s="285" t="s">
        <v>112</v>
      </c>
      <c r="N128" s="297">
        <v>12.47</v>
      </c>
      <c r="O128" s="297" t="s">
        <v>112</v>
      </c>
      <c r="P128" s="290">
        <v>12.47</v>
      </c>
      <c r="Q128" s="290"/>
      <c r="R128" s="290" t="s">
        <v>112</v>
      </c>
      <c r="S128" s="291" t="s">
        <v>112</v>
      </c>
      <c r="T128" s="292" t="s">
        <v>112</v>
      </c>
      <c r="U128" s="299" t="s">
        <v>112</v>
      </c>
      <c r="V128" s="290">
        <f t="shared" si="12"/>
        <v>0</v>
      </c>
      <c r="W128" s="290"/>
      <c r="X128" s="290" t="str">
        <f t="shared" si="13"/>
        <v/>
      </c>
      <c r="Y128" s="290"/>
      <c r="Z128" s="290"/>
    </row>
    <row r="129" spans="1:26">
      <c r="A129" s="285" t="s">
        <v>674</v>
      </c>
      <c r="B129" s="294" t="s">
        <v>80</v>
      </c>
      <c r="C129" s="294" t="s">
        <v>42</v>
      </c>
      <c r="D129" s="285" t="s">
        <v>456</v>
      </c>
      <c r="E129" s="294" t="s">
        <v>487</v>
      </c>
      <c r="F129" s="294" t="s">
        <v>112</v>
      </c>
      <c r="G129" s="285" t="s">
        <v>458</v>
      </c>
      <c r="H129" s="285" t="s">
        <v>459</v>
      </c>
      <c r="I129" s="285"/>
      <c r="J129" s="295" t="s">
        <v>112</v>
      </c>
      <c r="K129" s="296" t="s">
        <v>112</v>
      </c>
      <c r="L129" s="297" t="s">
        <v>112</v>
      </c>
      <c r="M129" s="285" t="s">
        <v>112</v>
      </c>
      <c r="N129" s="297">
        <v>22.38</v>
      </c>
      <c r="O129" s="297" t="s">
        <v>112</v>
      </c>
      <c r="P129" s="290">
        <v>22.38</v>
      </c>
      <c r="Q129" s="290"/>
      <c r="R129" s="290" t="s">
        <v>112</v>
      </c>
      <c r="S129" s="291" t="s">
        <v>112</v>
      </c>
      <c r="T129" s="292" t="s">
        <v>112</v>
      </c>
      <c r="U129" s="299" t="s">
        <v>112</v>
      </c>
      <c r="V129" s="290">
        <f t="shared" si="12"/>
        <v>0</v>
      </c>
      <c r="W129" s="290"/>
      <c r="X129" s="290" t="str">
        <f t="shared" si="13"/>
        <v/>
      </c>
      <c r="Y129" s="290"/>
      <c r="Z129" s="290"/>
    </row>
    <row r="130" spans="1:26">
      <c r="A130" s="285" t="s">
        <v>675</v>
      </c>
      <c r="B130" s="294" t="s">
        <v>80</v>
      </c>
      <c r="C130" s="294" t="s">
        <v>42</v>
      </c>
      <c r="D130" s="285" t="s">
        <v>456</v>
      </c>
      <c r="E130" s="294" t="s">
        <v>489</v>
      </c>
      <c r="F130" s="294" t="s">
        <v>112</v>
      </c>
      <c r="G130" s="285" t="s">
        <v>458</v>
      </c>
      <c r="H130" s="285" t="s">
        <v>459</v>
      </c>
      <c r="I130" s="285"/>
      <c r="J130" s="295" t="s">
        <v>112</v>
      </c>
      <c r="K130" s="296" t="s">
        <v>112</v>
      </c>
      <c r="L130" s="297" t="s">
        <v>112</v>
      </c>
      <c r="M130" s="285" t="s">
        <v>112</v>
      </c>
      <c r="N130" s="297">
        <v>16.89</v>
      </c>
      <c r="O130" s="297" t="s">
        <v>112</v>
      </c>
      <c r="P130" s="290">
        <v>16.89</v>
      </c>
      <c r="Q130" s="290"/>
      <c r="R130" s="290" t="s">
        <v>112</v>
      </c>
      <c r="S130" s="291" t="s">
        <v>112</v>
      </c>
      <c r="T130" s="292" t="s">
        <v>112</v>
      </c>
      <c r="U130" s="299" t="s">
        <v>112</v>
      </c>
      <c r="V130" s="290">
        <f t="shared" si="12"/>
        <v>0</v>
      </c>
      <c r="W130" s="290"/>
      <c r="X130" s="290" t="str">
        <f t="shared" si="13"/>
        <v/>
      </c>
      <c r="Y130" s="290"/>
      <c r="Z130" s="290"/>
    </row>
    <row r="131" spans="1:26">
      <c r="A131" s="285" t="s">
        <v>676</v>
      </c>
      <c r="B131" s="294" t="s">
        <v>80</v>
      </c>
      <c r="C131" s="294" t="s">
        <v>42</v>
      </c>
      <c r="D131" s="285" t="s">
        <v>456</v>
      </c>
      <c r="E131" s="294" t="s">
        <v>491</v>
      </c>
      <c r="F131" s="294" t="s">
        <v>112</v>
      </c>
      <c r="G131" s="285" t="s">
        <v>458</v>
      </c>
      <c r="H131" s="285" t="s">
        <v>459</v>
      </c>
      <c r="I131" s="285"/>
      <c r="J131" s="295" t="s">
        <v>112</v>
      </c>
      <c r="K131" s="296" t="s">
        <v>112</v>
      </c>
      <c r="L131" s="297" t="s">
        <v>112</v>
      </c>
      <c r="M131" s="285" t="s">
        <v>112</v>
      </c>
      <c r="N131" s="297">
        <v>19.63</v>
      </c>
      <c r="O131" s="297" t="s">
        <v>112</v>
      </c>
      <c r="P131" s="290">
        <v>19.63</v>
      </c>
      <c r="Q131" s="290"/>
      <c r="R131" s="290" t="s">
        <v>112</v>
      </c>
      <c r="S131" s="291" t="s">
        <v>112</v>
      </c>
      <c r="T131" s="292" t="s">
        <v>112</v>
      </c>
      <c r="U131" s="299" t="s">
        <v>112</v>
      </c>
      <c r="V131" s="290">
        <f t="shared" si="12"/>
        <v>0</v>
      </c>
      <c r="W131" s="290"/>
      <c r="X131" s="290" t="str">
        <f t="shared" si="13"/>
        <v/>
      </c>
      <c r="Y131" s="290"/>
      <c r="Z131" s="290"/>
    </row>
    <row r="132" spans="1:26">
      <c r="A132" s="285" t="s">
        <v>677</v>
      </c>
      <c r="B132" s="294" t="s">
        <v>80</v>
      </c>
      <c r="C132" s="294" t="s">
        <v>42</v>
      </c>
      <c r="D132" s="285" t="s">
        <v>456</v>
      </c>
      <c r="E132" s="294" t="s">
        <v>493</v>
      </c>
      <c r="F132" s="294" t="s">
        <v>112</v>
      </c>
      <c r="G132" s="285" t="s">
        <v>458</v>
      </c>
      <c r="H132" s="285" t="s">
        <v>459</v>
      </c>
      <c r="I132" s="285"/>
      <c r="J132" s="295" t="s">
        <v>112</v>
      </c>
      <c r="K132" s="296" t="s">
        <v>112</v>
      </c>
      <c r="L132" s="297" t="s">
        <v>112</v>
      </c>
      <c r="M132" s="285" t="s">
        <v>112</v>
      </c>
      <c r="N132" s="297">
        <v>19.63</v>
      </c>
      <c r="O132" s="297" t="s">
        <v>112</v>
      </c>
      <c r="P132" s="290">
        <v>19.63</v>
      </c>
      <c r="Q132" s="290"/>
      <c r="R132" s="290" t="s">
        <v>112</v>
      </c>
      <c r="S132" s="291" t="s">
        <v>112</v>
      </c>
      <c r="T132" s="292" t="s">
        <v>112</v>
      </c>
      <c r="U132" s="299" t="s">
        <v>112</v>
      </c>
      <c r="V132" s="290">
        <f t="shared" si="12"/>
        <v>0</v>
      </c>
      <c r="W132" s="290"/>
      <c r="X132" s="290" t="str">
        <f t="shared" si="13"/>
        <v/>
      </c>
      <c r="Y132" s="290"/>
      <c r="Z132" s="290"/>
    </row>
    <row r="133" spans="1:26">
      <c r="A133" s="285" t="s">
        <v>678</v>
      </c>
      <c r="B133" s="294" t="s">
        <v>80</v>
      </c>
      <c r="C133" s="294" t="s">
        <v>42</v>
      </c>
      <c r="D133" s="285" t="s">
        <v>456</v>
      </c>
      <c r="E133" s="294" t="s">
        <v>495</v>
      </c>
      <c r="F133" s="294" t="s">
        <v>112</v>
      </c>
      <c r="G133" s="285" t="s">
        <v>458</v>
      </c>
      <c r="H133" s="285" t="s">
        <v>459</v>
      </c>
      <c r="I133" s="285"/>
      <c r="J133" s="295" t="s">
        <v>112</v>
      </c>
      <c r="K133" s="296" t="s">
        <v>112</v>
      </c>
      <c r="L133" s="297" t="s">
        <v>112</v>
      </c>
      <c r="M133" s="285" t="s">
        <v>112</v>
      </c>
      <c r="N133" s="297">
        <v>19.63</v>
      </c>
      <c r="O133" s="297" t="s">
        <v>112</v>
      </c>
      <c r="P133" s="290">
        <v>19.63</v>
      </c>
      <c r="Q133" s="290"/>
      <c r="R133" s="290" t="s">
        <v>112</v>
      </c>
      <c r="S133" s="291" t="s">
        <v>112</v>
      </c>
      <c r="T133" s="292" t="s">
        <v>112</v>
      </c>
      <c r="U133" s="299" t="s">
        <v>112</v>
      </c>
      <c r="V133" s="290">
        <f t="shared" si="12"/>
        <v>0</v>
      </c>
      <c r="W133" s="290"/>
      <c r="X133" s="290" t="str">
        <f t="shared" si="13"/>
        <v/>
      </c>
      <c r="Y133" s="290"/>
      <c r="Z133" s="290"/>
    </row>
    <row r="134" spans="1:26">
      <c r="A134" s="285" t="s">
        <v>679</v>
      </c>
      <c r="B134" s="294" t="s">
        <v>80</v>
      </c>
      <c r="C134" s="294" t="s">
        <v>42</v>
      </c>
      <c r="D134" s="285" t="s">
        <v>456</v>
      </c>
      <c r="E134" s="294" t="s">
        <v>497</v>
      </c>
      <c r="F134" s="294" t="s">
        <v>112</v>
      </c>
      <c r="G134" s="285" t="s">
        <v>458</v>
      </c>
      <c r="H134" s="285" t="s">
        <v>459</v>
      </c>
      <c r="I134" s="285"/>
      <c r="J134" s="295" t="s">
        <v>112</v>
      </c>
      <c r="K134" s="296" t="s">
        <v>112</v>
      </c>
      <c r="L134" s="297" t="s">
        <v>112</v>
      </c>
      <c r="M134" s="285" t="s">
        <v>112</v>
      </c>
      <c r="N134" s="297">
        <v>15.81</v>
      </c>
      <c r="O134" s="297" t="s">
        <v>112</v>
      </c>
      <c r="P134" s="290">
        <v>15.81</v>
      </c>
      <c r="Q134" s="290"/>
      <c r="R134" s="290" t="s">
        <v>112</v>
      </c>
      <c r="S134" s="291" t="s">
        <v>112</v>
      </c>
      <c r="T134" s="292" t="s">
        <v>112</v>
      </c>
      <c r="U134" s="299" t="s">
        <v>112</v>
      </c>
      <c r="V134" s="290">
        <f t="shared" si="12"/>
        <v>0</v>
      </c>
      <c r="W134" s="290"/>
      <c r="X134" s="290" t="str">
        <f t="shared" si="13"/>
        <v/>
      </c>
      <c r="Y134" s="290"/>
      <c r="Z134" s="290"/>
    </row>
    <row r="135" spans="1:26">
      <c r="A135" s="285" t="s">
        <v>680</v>
      </c>
      <c r="B135" s="294" t="s">
        <v>80</v>
      </c>
      <c r="C135" s="294" t="s">
        <v>42</v>
      </c>
      <c r="D135" s="285" t="s">
        <v>456</v>
      </c>
      <c r="E135" s="294" t="s">
        <v>499</v>
      </c>
      <c r="F135" s="294" t="s">
        <v>112</v>
      </c>
      <c r="G135" s="285" t="s">
        <v>458</v>
      </c>
      <c r="H135" s="285" t="s">
        <v>459</v>
      </c>
      <c r="I135" s="285"/>
      <c r="J135" s="295" t="s">
        <v>112</v>
      </c>
      <c r="K135" s="296" t="s">
        <v>112</v>
      </c>
      <c r="L135" s="297" t="s">
        <v>112</v>
      </c>
      <c r="M135" s="285" t="s">
        <v>112</v>
      </c>
      <c r="N135" s="297">
        <v>16.89</v>
      </c>
      <c r="O135" s="297" t="s">
        <v>112</v>
      </c>
      <c r="P135" s="290">
        <v>16.89</v>
      </c>
      <c r="Q135" s="290"/>
      <c r="R135" s="290" t="s">
        <v>112</v>
      </c>
      <c r="S135" s="291" t="s">
        <v>112</v>
      </c>
      <c r="T135" s="292" t="s">
        <v>112</v>
      </c>
      <c r="U135" s="299" t="s">
        <v>112</v>
      </c>
      <c r="V135" s="290">
        <f t="shared" si="12"/>
        <v>0</v>
      </c>
      <c r="W135" s="290"/>
      <c r="X135" s="290" t="str">
        <f t="shared" si="13"/>
        <v/>
      </c>
      <c r="Y135" s="290"/>
      <c r="Z135" s="290"/>
    </row>
    <row r="136" spans="1:26">
      <c r="A136" s="285" t="s">
        <v>681</v>
      </c>
      <c r="B136" s="294" t="s">
        <v>80</v>
      </c>
      <c r="C136" s="294" t="s">
        <v>42</v>
      </c>
      <c r="D136" s="285" t="s">
        <v>456</v>
      </c>
      <c r="E136" s="294" t="s">
        <v>501</v>
      </c>
      <c r="F136" s="294" t="s">
        <v>112</v>
      </c>
      <c r="G136" s="285" t="s">
        <v>458</v>
      </c>
      <c r="H136" s="285" t="s">
        <v>459</v>
      </c>
      <c r="I136" s="285"/>
      <c r="J136" s="295" t="s">
        <v>112</v>
      </c>
      <c r="K136" s="296" t="s">
        <v>112</v>
      </c>
      <c r="L136" s="297" t="s">
        <v>112</v>
      </c>
      <c r="M136" s="285" t="s">
        <v>112</v>
      </c>
      <c r="N136" s="297">
        <v>9.38</v>
      </c>
      <c r="O136" s="297" t="s">
        <v>112</v>
      </c>
      <c r="P136" s="290">
        <v>9.38</v>
      </c>
      <c r="Q136" s="290"/>
      <c r="R136" s="290" t="s">
        <v>112</v>
      </c>
      <c r="S136" s="291" t="s">
        <v>112</v>
      </c>
      <c r="T136" s="292" t="s">
        <v>112</v>
      </c>
      <c r="U136" s="299" t="s">
        <v>112</v>
      </c>
      <c r="V136" s="290">
        <f t="shared" si="12"/>
        <v>0</v>
      </c>
      <c r="W136" s="290"/>
      <c r="X136" s="290" t="str">
        <f t="shared" si="13"/>
        <v/>
      </c>
      <c r="Y136" s="290"/>
      <c r="Z136" s="290"/>
    </row>
    <row r="137" spans="1:26">
      <c r="A137" s="285" t="s">
        <v>682</v>
      </c>
      <c r="B137" s="294" t="s">
        <v>80</v>
      </c>
      <c r="C137" s="294" t="s">
        <v>42</v>
      </c>
      <c r="D137" s="285" t="s">
        <v>456</v>
      </c>
      <c r="E137" s="294" t="s">
        <v>503</v>
      </c>
      <c r="F137" s="294" t="s">
        <v>112</v>
      </c>
      <c r="G137" s="285" t="s">
        <v>458</v>
      </c>
      <c r="H137" s="285" t="s">
        <v>459</v>
      </c>
      <c r="I137" s="285"/>
      <c r="J137" s="295" t="s">
        <v>112</v>
      </c>
      <c r="K137" s="296" t="s">
        <v>112</v>
      </c>
      <c r="L137" s="297" t="s">
        <v>112</v>
      </c>
      <c r="M137" s="285" t="s">
        <v>112</v>
      </c>
      <c r="N137" s="297">
        <v>21.96</v>
      </c>
      <c r="O137" s="297" t="s">
        <v>112</v>
      </c>
      <c r="P137" s="290">
        <v>21.96</v>
      </c>
      <c r="Q137" s="290"/>
      <c r="R137" s="290" t="s">
        <v>112</v>
      </c>
      <c r="S137" s="291" t="s">
        <v>112</v>
      </c>
      <c r="T137" s="292" t="s">
        <v>112</v>
      </c>
      <c r="U137" s="299" t="s">
        <v>112</v>
      </c>
      <c r="V137" s="290">
        <f t="shared" si="12"/>
        <v>0</v>
      </c>
      <c r="W137" s="290"/>
      <c r="X137" s="290" t="str">
        <f t="shared" si="13"/>
        <v/>
      </c>
      <c r="Y137" s="290"/>
      <c r="Z137" s="290"/>
    </row>
    <row r="138" spans="1:26">
      <c r="A138" s="285" t="s">
        <v>683</v>
      </c>
      <c r="B138" s="294" t="s">
        <v>80</v>
      </c>
      <c r="C138" s="294" t="s">
        <v>42</v>
      </c>
      <c r="D138" s="285" t="s">
        <v>456</v>
      </c>
      <c r="E138" s="294" t="s">
        <v>505</v>
      </c>
      <c r="F138" s="294" t="s">
        <v>112</v>
      </c>
      <c r="G138" s="285" t="s">
        <v>458</v>
      </c>
      <c r="H138" s="285" t="s">
        <v>459</v>
      </c>
      <c r="I138" s="285"/>
      <c r="J138" s="295" t="s">
        <v>112</v>
      </c>
      <c r="K138" s="296" t="s">
        <v>112</v>
      </c>
      <c r="L138" s="297" t="s">
        <v>112</v>
      </c>
      <c r="M138" s="285" t="s">
        <v>112</v>
      </c>
      <c r="N138" s="297">
        <v>12.47</v>
      </c>
      <c r="O138" s="297" t="s">
        <v>112</v>
      </c>
      <c r="P138" s="290">
        <v>12.47</v>
      </c>
      <c r="Q138" s="290"/>
      <c r="R138" s="290" t="s">
        <v>112</v>
      </c>
      <c r="S138" s="291" t="s">
        <v>112</v>
      </c>
      <c r="T138" s="292" t="s">
        <v>112</v>
      </c>
      <c r="U138" s="299" t="s">
        <v>112</v>
      </c>
      <c r="V138" s="290">
        <f t="shared" si="12"/>
        <v>0</v>
      </c>
      <c r="W138" s="290"/>
      <c r="X138" s="290" t="str">
        <f t="shared" si="13"/>
        <v/>
      </c>
      <c r="Y138" s="290"/>
      <c r="Z138" s="290"/>
    </row>
    <row r="139" spans="1:26">
      <c r="A139" s="285" t="s">
        <v>684</v>
      </c>
      <c r="B139" s="294" t="s">
        <v>80</v>
      </c>
      <c r="C139" s="294" t="s">
        <v>42</v>
      </c>
      <c r="D139" s="285" t="s">
        <v>456</v>
      </c>
      <c r="E139" s="294" t="s">
        <v>507</v>
      </c>
      <c r="F139" s="294" t="s">
        <v>112</v>
      </c>
      <c r="G139" s="285" t="s">
        <v>458</v>
      </c>
      <c r="H139" s="285" t="s">
        <v>459</v>
      </c>
      <c r="I139" s="285"/>
      <c r="J139" s="295" t="s">
        <v>112</v>
      </c>
      <c r="K139" s="296" t="s">
        <v>112</v>
      </c>
      <c r="L139" s="297" t="s">
        <v>112</v>
      </c>
      <c r="M139" s="285" t="s">
        <v>112</v>
      </c>
      <c r="N139" s="297">
        <v>24.95</v>
      </c>
      <c r="O139" s="297" t="s">
        <v>112</v>
      </c>
      <c r="P139" s="290">
        <v>24.95</v>
      </c>
      <c r="Q139" s="290"/>
      <c r="R139" s="290" t="s">
        <v>112</v>
      </c>
      <c r="S139" s="291" t="s">
        <v>112</v>
      </c>
      <c r="T139" s="292" t="s">
        <v>112</v>
      </c>
      <c r="U139" s="299" t="s">
        <v>112</v>
      </c>
      <c r="V139" s="290">
        <f t="shared" si="12"/>
        <v>0</v>
      </c>
      <c r="W139" s="290"/>
      <c r="X139" s="290" t="str">
        <f t="shared" si="13"/>
        <v/>
      </c>
      <c r="Y139" s="290"/>
      <c r="Z139" s="290"/>
    </row>
    <row r="140" spans="1:26">
      <c r="A140" s="285" t="s">
        <v>685</v>
      </c>
      <c r="B140" s="294" t="s">
        <v>80</v>
      </c>
      <c r="C140" s="294" t="s">
        <v>42</v>
      </c>
      <c r="D140" s="285" t="s">
        <v>456</v>
      </c>
      <c r="E140" s="294" t="s">
        <v>509</v>
      </c>
      <c r="F140" s="294" t="s">
        <v>112</v>
      </c>
      <c r="G140" s="285" t="s">
        <v>458</v>
      </c>
      <c r="H140" s="285" t="s">
        <v>459</v>
      </c>
      <c r="I140" s="285"/>
      <c r="J140" s="295" t="s">
        <v>112</v>
      </c>
      <c r="K140" s="296" t="s">
        <v>112</v>
      </c>
      <c r="L140" s="297" t="s">
        <v>112</v>
      </c>
      <c r="M140" s="285" t="s">
        <v>112</v>
      </c>
      <c r="N140" s="297">
        <v>21.96</v>
      </c>
      <c r="O140" s="297" t="s">
        <v>112</v>
      </c>
      <c r="P140" s="290">
        <v>21.96</v>
      </c>
      <c r="Q140" s="290"/>
      <c r="R140" s="290" t="s">
        <v>112</v>
      </c>
      <c r="S140" s="291" t="s">
        <v>112</v>
      </c>
      <c r="T140" s="292" t="s">
        <v>112</v>
      </c>
      <c r="U140" s="299" t="s">
        <v>112</v>
      </c>
      <c r="V140" s="290">
        <f t="shared" si="12"/>
        <v>0</v>
      </c>
      <c r="W140" s="290"/>
      <c r="X140" s="290" t="str">
        <f t="shared" si="13"/>
        <v/>
      </c>
      <c r="Y140" s="290"/>
      <c r="Z140" s="290"/>
    </row>
    <row r="141" spans="1:26">
      <c r="A141" s="285" t="s">
        <v>686</v>
      </c>
      <c r="B141" s="294" t="s">
        <v>80</v>
      </c>
      <c r="C141" s="294" t="s">
        <v>42</v>
      </c>
      <c r="D141" s="285" t="s">
        <v>456</v>
      </c>
      <c r="E141" s="294" t="s">
        <v>511</v>
      </c>
      <c r="F141" s="294" t="s">
        <v>112</v>
      </c>
      <c r="G141" s="285" t="s">
        <v>458</v>
      </c>
      <c r="H141" s="285" t="s">
        <v>459</v>
      </c>
      <c r="I141" s="285"/>
      <c r="J141" s="295" t="s">
        <v>112</v>
      </c>
      <c r="K141" s="296" t="s">
        <v>112</v>
      </c>
      <c r="L141" s="297" t="s">
        <v>112</v>
      </c>
      <c r="M141" s="285" t="s">
        <v>112</v>
      </c>
      <c r="N141" s="297">
        <v>9.38</v>
      </c>
      <c r="O141" s="297" t="s">
        <v>112</v>
      </c>
      <c r="P141" s="290">
        <v>9.38</v>
      </c>
      <c r="Q141" s="290"/>
      <c r="R141" s="290" t="s">
        <v>112</v>
      </c>
      <c r="S141" s="291" t="s">
        <v>112</v>
      </c>
      <c r="T141" s="292" t="s">
        <v>112</v>
      </c>
      <c r="U141" s="299" t="s">
        <v>112</v>
      </c>
      <c r="V141" s="290">
        <f t="shared" si="12"/>
        <v>0</v>
      </c>
      <c r="W141" s="290"/>
      <c r="X141" s="290" t="str">
        <f t="shared" si="13"/>
        <v/>
      </c>
      <c r="Y141" s="290"/>
      <c r="Z141" s="290"/>
    </row>
    <row r="142" spans="1:26">
      <c r="A142" s="285" t="s">
        <v>687</v>
      </c>
      <c r="B142" s="294" t="s">
        <v>80</v>
      </c>
      <c r="C142" s="294" t="s">
        <v>42</v>
      </c>
      <c r="D142" s="285" t="s">
        <v>456</v>
      </c>
      <c r="E142" s="294" t="s">
        <v>513</v>
      </c>
      <c r="F142" s="294" t="s">
        <v>112</v>
      </c>
      <c r="G142" s="285" t="s">
        <v>458</v>
      </c>
      <c r="H142" s="285" t="s">
        <v>459</v>
      </c>
      <c r="I142" s="285"/>
      <c r="J142" s="295" t="s">
        <v>112</v>
      </c>
      <c r="K142" s="296" t="s">
        <v>112</v>
      </c>
      <c r="L142" s="297" t="s">
        <v>112</v>
      </c>
      <c r="M142" s="285" t="s">
        <v>112</v>
      </c>
      <c r="N142" s="297">
        <v>16.89</v>
      </c>
      <c r="O142" s="297" t="s">
        <v>112</v>
      </c>
      <c r="P142" s="290">
        <v>16.89</v>
      </c>
      <c r="Q142" s="290"/>
      <c r="R142" s="290" t="s">
        <v>112</v>
      </c>
      <c r="S142" s="291" t="s">
        <v>112</v>
      </c>
      <c r="T142" s="292" t="s">
        <v>112</v>
      </c>
      <c r="U142" s="299" t="s">
        <v>112</v>
      </c>
      <c r="V142" s="290">
        <f t="shared" si="12"/>
        <v>0</v>
      </c>
      <c r="W142" s="290"/>
      <c r="X142" s="290" t="str">
        <f t="shared" si="13"/>
        <v/>
      </c>
      <c r="Y142" s="290"/>
      <c r="Z142" s="290"/>
    </row>
    <row r="143" spans="1:26">
      <c r="A143" s="285" t="s">
        <v>688</v>
      </c>
      <c r="B143" s="294" t="s">
        <v>80</v>
      </c>
      <c r="C143" s="294" t="s">
        <v>42</v>
      </c>
      <c r="D143" s="285" t="s">
        <v>456</v>
      </c>
      <c r="E143" s="294" t="s">
        <v>515</v>
      </c>
      <c r="F143" s="294" t="s">
        <v>112</v>
      </c>
      <c r="G143" s="285" t="s">
        <v>458</v>
      </c>
      <c r="H143" s="285" t="s">
        <v>459</v>
      </c>
      <c r="I143" s="285"/>
      <c r="J143" s="295" t="s">
        <v>112</v>
      </c>
      <c r="K143" s="296" t="s">
        <v>112</v>
      </c>
      <c r="L143" s="297" t="s">
        <v>112</v>
      </c>
      <c r="M143" s="285" t="s">
        <v>112</v>
      </c>
      <c r="N143" s="297">
        <v>19.63</v>
      </c>
      <c r="O143" s="297" t="s">
        <v>112</v>
      </c>
      <c r="P143" s="290">
        <v>19.63</v>
      </c>
      <c r="Q143" s="290"/>
      <c r="R143" s="290" t="s">
        <v>112</v>
      </c>
      <c r="S143" s="291" t="s">
        <v>112</v>
      </c>
      <c r="T143" s="292" t="s">
        <v>112</v>
      </c>
      <c r="U143" s="299" t="s">
        <v>112</v>
      </c>
      <c r="V143" s="290">
        <f t="shared" si="12"/>
        <v>0</v>
      </c>
      <c r="W143" s="290"/>
      <c r="X143" s="290" t="str">
        <f t="shared" si="13"/>
        <v/>
      </c>
      <c r="Y143" s="290"/>
      <c r="Z143" s="290"/>
    </row>
    <row r="144" spans="1:26">
      <c r="A144" s="285" t="s">
        <v>689</v>
      </c>
      <c r="B144" s="294" t="s">
        <v>80</v>
      </c>
      <c r="C144" s="294" t="s">
        <v>42</v>
      </c>
      <c r="D144" s="285" t="s">
        <v>456</v>
      </c>
      <c r="E144" s="294" t="s">
        <v>517</v>
      </c>
      <c r="F144" s="294" t="s">
        <v>112</v>
      </c>
      <c r="G144" s="285" t="s">
        <v>458</v>
      </c>
      <c r="H144" s="285" t="s">
        <v>459</v>
      </c>
      <c r="I144" s="285"/>
      <c r="J144" s="295" t="s">
        <v>112</v>
      </c>
      <c r="K144" s="296" t="s">
        <v>112</v>
      </c>
      <c r="L144" s="297" t="s">
        <v>112</v>
      </c>
      <c r="M144" s="285" t="s">
        <v>112</v>
      </c>
      <c r="N144" s="297">
        <v>19.63</v>
      </c>
      <c r="O144" s="297" t="s">
        <v>112</v>
      </c>
      <c r="P144" s="290">
        <v>19.63</v>
      </c>
      <c r="Q144" s="290"/>
      <c r="R144" s="290" t="s">
        <v>112</v>
      </c>
      <c r="S144" s="291" t="s">
        <v>112</v>
      </c>
      <c r="T144" s="292" t="s">
        <v>112</v>
      </c>
      <c r="U144" s="299" t="s">
        <v>112</v>
      </c>
      <c r="V144" s="290">
        <f t="shared" si="12"/>
        <v>0</v>
      </c>
      <c r="W144" s="290"/>
      <c r="X144" s="290" t="str">
        <f t="shared" si="13"/>
        <v/>
      </c>
      <c r="Y144" s="290"/>
      <c r="Z144" s="290"/>
    </row>
    <row r="145" spans="1:26">
      <c r="A145" s="285" t="s">
        <v>690</v>
      </c>
      <c r="B145" s="294" t="s">
        <v>80</v>
      </c>
      <c r="C145" s="294" t="s">
        <v>42</v>
      </c>
      <c r="D145" s="285" t="s">
        <v>456</v>
      </c>
      <c r="E145" s="294" t="s">
        <v>519</v>
      </c>
      <c r="F145" s="294" t="s">
        <v>112</v>
      </c>
      <c r="G145" s="285" t="s">
        <v>458</v>
      </c>
      <c r="H145" s="285" t="s">
        <v>459</v>
      </c>
      <c r="I145" s="285"/>
      <c r="J145" s="295" t="s">
        <v>112</v>
      </c>
      <c r="K145" s="296" t="s">
        <v>112</v>
      </c>
      <c r="L145" s="297" t="s">
        <v>112</v>
      </c>
      <c r="M145" s="285" t="s">
        <v>112</v>
      </c>
      <c r="N145" s="297">
        <v>19.63</v>
      </c>
      <c r="O145" s="297" t="s">
        <v>112</v>
      </c>
      <c r="P145" s="290">
        <v>19.63</v>
      </c>
      <c r="Q145" s="290"/>
      <c r="R145" s="290" t="s">
        <v>112</v>
      </c>
      <c r="S145" s="291" t="s">
        <v>112</v>
      </c>
      <c r="T145" s="292" t="s">
        <v>112</v>
      </c>
      <c r="U145" s="299" t="s">
        <v>112</v>
      </c>
      <c r="V145" s="290">
        <f t="shared" si="12"/>
        <v>0</v>
      </c>
      <c r="W145" s="290"/>
      <c r="X145" s="290" t="str">
        <f t="shared" si="13"/>
        <v/>
      </c>
      <c r="Y145" s="290"/>
      <c r="Z145" s="290"/>
    </row>
    <row r="146" spans="1:26">
      <c r="A146" s="285" t="s">
        <v>691</v>
      </c>
      <c r="B146" s="294" t="s">
        <v>80</v>
      </c>
      <c r="C146" s="294" t="s">
        <v>42</v>
      </c>
      <c r="D146" s="285" t="s">
        <v>456</v>
      </c>
      <c r="E146" s="294" t="s">
        <v>521</v>
      </c>
      <c r="F146" s="294" t="s">
        <v>112</v>
      </c>
      <c r="G146" s="285" t="s">
        <v>458</v>
      </c>
      <c r="H146" s="285" t="s">
        <v>459</v>
      </c>
      <c r="I146" s="285"/>
      <c r="J146" s="295" t="s">
        <v>112</v>
      </c>
      <c r="K146" s="296" t="s">
        <v>112</v>
      </c>
      <c r="L146" s="297" t="s">
        <v>112</v>
      </c>
      <c r="M146" s="285" t="s">
        <v>112</v>
      </c>
      <c r="N146" s="297">
        <v>16.6</v>
      </c>
      <c r="O146" s="297" t="s">
        <v>112</v>
      </c>
      <c r="P146" s="290">
        <v>16.6</v>
      </c>
      <c r="Q146" s="290"/>
      <c r="R146" s="290" t="s">
        <v>112</v>
      </c>
      <c r="S146" s="291" t="s">
        <v>112</v>
      </c>
      <c r="T146" s="292" t="s">
        <v>112</v>
      </c>
      <c r="U146" s="299" t="s">
        <v>112</v>
      </c>
      <c r="V146" s="290">
        <f t="shared" si="12"/>
        <v>0</v>
      </c>
      <c r="W146" s="290"/>
      <c r="X146" s="290" t="str">
        <f t="shared" si="13"/>
        <v/>
      </c>
      <c r="Y146" s="290"/>
      <c r="Z146" s="290"/>
    </row>
    <row r="147" spans="1:26">
      <c r="A147" s="285" t="s">
        <v>692</v>
      </c>
      <c r="B147" s="294" t="s">
        <v>80</v>
      </c>
      <c r="C147" s="294" t="s">
        <v>42</v>
      </c>
      <c r="D147" s="285" t="s">
        <v>456</v>
      </c>
      <c r="E147" s="294" t="s">
        <v>523</v>
      </c>
      <c r="F147" s="294" t="s">
        <v>112</v>
      </c>
      <c r="G147" s="285" t="s">
        <v>458</v>
      </c>
      <c r="H147" s="285" t="s">
        <v>459</v>
      </c>
      <c r="I147" s="285"/>
      <c r="J147" s="295" t="s">
        <v>112</v>
      </c>
      <c r="K147" s="296" t="s">
        <v>112</v>
      </c>
      <c r="L147" s="297" t="s">
        <v>112</v>
      </c>
      <c r="M147" s="285" t="s">
        <v>112</v>
      </c>
      <c r="N147" s="297">
        <v>11.78</v>
      </c>
      <c r="O147" s="297" t="s">
        <v>112</v>
      </c>
      <c r="P147" s="290">
        <v>11.78</v>
      </c>
      <c r="Q147" s="290"/>
      <c r="R147" s="290" t="s">
        <v>112</v>
      </c>
      <c r="S147" s="291" t="s">
        <v>112</v>
      </c>
      <c r="T147" s="292" t="s">
        <v>112</v>
      </c>
      <c r="U147" s="299" t="s">
        <v>112</v>
      </c>
      <c r="V147" s="290">
        <f t="shared" si="12"/>
        <v>0</v>
      </c>
      <c r="W147" s="290"/>
      <c r="X147" s="290" t="str">
        <f t="shared" si="13"/>
        <v/>
      </c>
      <c r="Y147" s="290"/>
      <c r="Z147" s="290"/>
    </row>
    <row r="148" spans="1:26">
      <c r="A148" s="285" t="s">
        <v>693</v>
      </c>
      <c r="B148" s="294" t="s">
        <v>80</v>
      </c>
      <c r="C148" s="294" t="s">
        <v>42</v>
      </c>
      <c r="D148" s="285" t="s">
        <v>456</v>
      </c>
      <c r="E148" s="294" t="s">
        <v>525</v>
      </c>
      <c r="F148" s="294" t="s">
        <v>112</v>
      </c>
      <c r="G148" s="285" t="s">
        <v>458</v>
      </c>
      <c r="H148" s="285" t="s">
        <v>459</v>
      </c>
      <c r="I148" s="285"/>
      <c r="J148" s="295" t="s">
        <v>112</v>
      </c>
      <c r="K148" s="296" t="s">
        <v>112</v>
      </c>
      <c r="L148" s="297" t="s">
        <v>112</v>
      </c>
      <c r="M148" s="285" t="s">
        <v>112</v>
      </c>
      <c r="N148" s="297">
        <v>19.38</v>
      </c>
      <c r="O148" s="297" t="s">
        <v>112</v>
      </c>
      <c r="P148" s="290">
        <v>19.38</v>
      </c>
      <c r="Q148" s="290"/>
      <c r="R148" s="290" t="s">
        <v>112</v>
      </c>
      <c r="S148" s="291" t="s">
        <v>112</v>
      </c>
      <c r="T148" s="292" t="s">
        <v>112</v>
      </c>
      <c r="U148" s="299" t="s">
        <v>112</v>
      </c>
      <c r="V148" s="290">
        <f t="shared" si="12"/>
        <v>0</v>
      </c>
      <c r="W148" s="290"/>
      <c r="X148" s="290" t="str">
        <f t="shared" si="13"/>
        <v/>
      </c>
      <c r="Y148" s="290"/>
      <c r="Z148" s="290"/>
    </row>
    <row r="149" spans="1:26">
      <c r="A149" s="285" t="s">
        <v>694</v>
      </c>
      <c r="B149" s="294" t="s">
        <v>80</v>
      </c>
      <c r="C149" s="294" t="s">
        <v>42</v>
      </c>
      <c r="D149" s="285" t="s">
        <v>456</v>
      </c>
      <c r="E149" s="294" t="s">
        <v>527</v>
      </c>
      <c r="F149" s="294" t="s">
        <v>112</v>
      </c>
      <c r="G149" s="285" t="s">
        <v>458</v>
      </c>
      <c r="H149" s="285" t="s">
        <v>459</v>
      </c>
      <c r="I149" s="285"/>
      <c r="J149" s="295" t="s">
        <v>112</v>
      </c>
      <c r="K149" s="296" t="s">
        <v>112</v>
      </c>
      <c r="L149" s="297" t="s">
        <v>112</v>
      </c>
      <c r="M149" s="285" t="s">
        <v>112</v>
      </c>
      <c r="N149" s="297">
        <v>22.77</v>
      </c>
      <c r="O149" s="297" t="s">
        <v>112</v>
      </c>
      <c r="P149" s="290">
        <v>22.77</v>
      </c>
      <c r="Q149" s="290"/>
      <c r="R149" s="290" t="s">
        <v>112</v>
      </c>
      <c r="S149" s="291" t="s">
        <v>112</v>
      </c>
      <c r="T149" s="292" t="s">
        <v>112</v>
      </c>
      <c r="U149" s="299" t="s">
        <v>112</v>
      </c>
      <c r="V149" s="290">
        <f t="shared" si="12"/>
        <v>0</v>
      </c>
      <c r="W149" s="290"/>
      <c r="X149" s="290" t="str">
        <f t="shared" si="13"/>
        <v/>
      </c>
      <c r="Y149" s="290"/>
      <c r="Z149" s="290"/>
    </row>
    <row r="150" spans="1:26">
      <c r="A150" s="285" t="s">
        <v>695</v>
      </c>
      <c r="B150" s="294" t="s">
        <v>80</v>
      </c>
      <c r="C150" s="294" t="s">
        <v>42</v>
      </c>
      <c r="D150" s="285" t="s">
        <v>456</v>
      </c>
      <c r="E150" s="294" t="s">
        <v>529</v>
      </c>
      <c r="F150" s="294" t="s">
        <v>112</v>
      </c>
      <c r="G150" s="285" t="s">
        <v>458</v>
      </c>
      <c r="H150" s="285" t="s">
        <v>459</v>
      </c>
      <c r="I150" s="285"/>
      <c r="J150" s="295" t="s">
        <v>112</v>
      </c>
      <c r="K150" s="296" t="s">
        <v>112</v>
      </c>
      <c r="L150" s="297" t="s">
        <v>112</v>
      </c>
      <c r="M150" s="285" t="s">
        <v>112</v>
      </c>
      <c r="N150" s="297">
        <v>26.87</v>
      </c>
      <c r="O150" s="297" t="s">
        <v>112</v>
      </c>
      <c r="P150" s="290">
        <v>26.87</v>
      </c>
      <c r="Q150" s="290"/>
      <c r="R150" s="290" t="s">
        <v>112</v>
      </c>
      <c r="S150" s="291" t="s">
        <v>112</v>
      </c>
      <c r="T150" s="292" t="s">
        <v>112</v>
      </c>
      <c r="U150" s="299" t="s">
        <v>112</v>
      </c>
      <c r="V150" s="290">
        <f t="shared" si="12"/>
        <v>0</v>
      </c>
      <c r="W150" s="290"/>
      <c r="X150" s="290" t="str">
        <f t="shared" si="13"/>
        <v/>
      </c>
      <c r="Y150" s="290"/>
      <c r="Z150" s="290"/>
    </row>
    <row r="151" spans="1:26">
      <c r="A151" s="285" t="s">
        <v>696</v>
      </c>
      <c r="B151" s="294" t="s">
        <v>83</v>
      </c>
      <c r="C151" s="294" t="s">
        <v>42</v>
      </c>
      <c r="D151" s="285" t="s">
        <v>42</v>
      </c>
      <c r="E151" s="294" t="s">
        <v>327</v>
      </c>
      <c r="F151" s="294" t="s">
        <v>112</v>
      </c>
      <c r="G151" s="285" t="s">
        <v>145</v>
      </c>
      <c r="H151" s="285" t="s">
        <v>330</v>
      </c>
      <c r="I151" s="285" t="s">
        <v>233</v>
      </c>
      <c r="J151" s="295">
        <v>20210001812</v>
      </c>
      <c r="K151" s="296" t="s">
        <v>697</v>
      </c>
      <c r="L151" s="297">
        <v>482760</v>
      </c>
      <c r="M151" s="285" t="s">
        <v>698</v>
      </c>
      <c r="N151" s="297">
        <v>120.69</v>
      </c>
      <c r="O151" s="297" t="s">
        <v>112</v>
      </c>
      <c r="P151" s="290">
        <v>120.69</v>
      </c>
      <c r="Q151" s="290"/>
      <c r="R151" s="290"/>
      <c r="S151" s="515" t="s">
        <v>333</v>
      </c>
      <c r="T151" s="292" t="s">
        <v>699</v>
      </c>
      <c r="U151" s="299">
        <v>442899.08</v>
      </c>
      <c r="V151" s="290">
        <f t="shared" ref="V151:V186" si="14">ROUND(U151*0.09,2)</f>
        <v>39860.92</v>
      </c>
      <c r="W151" s="290">
        <f t="shared" ref="W151:W186" si="15">SUM(U151)+SUM(V151)</f>
        <v>482760</v>
      </c>
      <c r="X151" s="290">
        <f t="shared" ref="X151:X186" si="16">U151</f>
        <v>442899.08</v>
      </c>
      <c r="Y151" s="290">
        <f t="shared" ref="Y151:Y186" si="17">IF(SUM(P151)=0,"",ROUND(SUM(X151)/SUM(P151),2))</f>
        <v>3669.72</v>
      </c>
      <c r="Z151" s="290"/>
    </row>
    <row r="152" spans="1:26">
      <c r="A152" s="285" t="s">
        <v>700</v>
      </c>
      <c r="B152" s="294" t="s">
        <v>83</v>
      </c>
      <c r="C152" s="294" t="s">
        <v>42</v>
      </c>
      <c r="D152" s="285" t="s">
        <v>42</v>
      </c>
      <c r="E152" s="294" t="s">
        <v>329</v>
      </c>
      <c r="F152" s="294" t="s">
        <v>112</v>
      </c>
      <c r="G152" s="285" t="s">
        <v>145</v>
      </c>
      <c r="H152" s="285" t="s">
        <v>330</v>
      </c>
      <c r="I152" s="285" t="s">
        <v>233</v>
      </c>
      <c r="J152" s="295">
        <v>20220002614</v>
      </c>
      <c r="K152" s="296" t="s">
        <v>701</v>
      </c>
      <c r="L152" s="297">
        <v>492660</v>
      </c>
      <c r="M152" s="285" t="s">
        <v>702</v>
      </c>
      <c r="N152" s="297">
        <v>109.48</v>
      </c>
      <c r="O152" s="297" t="s">
        <v>112</v>
      </c>
      <c r="P152" s="290">
        <v>109.48</v>
      </c>
      <c r="Q152" s="290"/>
      <c r="R152" s="290"/>
      <c r="S152" s="515" t="s">
        <v>333</v>
      </c>
      <c r="T152" s="292" t="s">
        <v>703</v>
      </c>
      <c r="U152" s="299">
        <v>451981.65</v>
      </c>
      <c r="V152" s="290">
        <f t="shared" si="14"/>
        <v>40678.35</v>
      </c>
      <c r="W152" s="290">
        <f t="shared" si="15"/>
        <v>492660</v>
      </c>
      <c r="X152" s="290">
        <f t="shared" si="16"/>
        <v>451981.65</v>
      </c>
      <c r="Y152" s="290">
        <f t="shared" si="17"/>
        <v>4128.44</v>
      </c>
      <c r="Z152" s="290"/>
    </row>
    <row r="153" spans="1:26">
      <c r="A153" s="285" t="s">
        <v>704</v>
      </c>
      <c r="B153" s="294" t="s">
        <v>83</v>
      </c>
      <c r="C153" s="294" t="s">
        <v>42</v>
      </c>
      <c r="D153" s="285" t="s">
        <v>80</v>
      </c>
      <c r="E153" s="294" t="s">
        <v>335</v>
      </c>
      <c r="F153" s="294" t="s">
        <v>112</v>
      </c>
      <c r="G153" s="285" t="s">
        <v>145</v>
      </c>
      <c r="H153" s="285" t="s">
        <v>330</v>
      </c>
      <c r="I153" s="285" t="s">
        <v>233</v>
      </c>
      <c r="J153" s="295">
        <v>20210001821</v>
      </c>
      <c r="K153" s="296" t="s">
        <v>697</v>
      </c>
      <c r="L153" s="297">
        <v>398277</v>
      </c>
      <c r="M153" s="285" t="s">
        <v>705</v>
      </c>
      <c r="N153" s="297">
        <v>120.69</v>
      </c>
      <c r="O153" s="297" t="s">
        <v>112</v>
      </c>
      <c r="P153" s="290">
        <v>120.69</v>
      </c>
      <c r="Q153" s="290"/>
      <c r="R153" s="290"/>
      <c r="S153" s="515" t="s">
        <v>706</v>
      </c>
      <c r="T153" s="292" t="s">
        <v>707</v>
      </c>
      <c r="U153" s="299">
        <v>365391.74</v>
      </c>
      <c r="V153" s="290">
        <f t="shared" si="14"/>
        <v>32885.26</v>
      </c>
      <c r="W153" s="290">
        <f t="shared" si="15"/>
        <v>398277</v>
      </c>
      <c r="X153" s="290">
        <f t="shared" si="16"/>
        <v>365391.74</v>
      </c>
      <c r="Y153" s="290">
        <f t="shared" si="17"/>
        <v>3027.52</v>
      </c>
      <c r="Z153" s="290"/>
    </row>
    <row r="154" ht="23.8" spans="1:26">
      <c r="A154" s="285" t="s">
        <v>708</v>
      </c>
      <c r="B154" s="294" t="s">
        <v>83</v>
      </c>
      <c r="C154" s="294" t="s">
        <v>42</v>
      </c>
      <c r="D154" s="285" t="s">
        <v>80</v>
      </c>
      <c r="E154" s="294" t="s">
        <v>339</v>
      </c>
      <c r="F154" s="294" t="s">
        <v>112</v>
      </c>
      <c r="G154" s="285" t="s">
        <v>145</v>
      </c>
      <c r="H154" s="285" t="s">
        <v>330</v>
      </c>
      <c r="I154" s="285" t="s">
        <v>233</v>
      </c>
      <c r="J154" s="295">
        <v>20200011434</v>
      </c>
      <c r="K154" s="296" t="s">
        <v>709</v>
      </c>
      <c r="L154" s="297">
        <v>361284</v>
      </c>
      <c r="M154" s="285" t="s">
        <v>710</v>
      </c>
      <c r="N154" s="297">
        <v>109.48</v>
      </c>
      <c r="O154" s="297" t="s">
        <v>112</v>
      </c>
      <c r="P154" s="290">
        <v>109.48</v>
      </c>
      <c r="Q154" s="290"/>
      <c r="R154" s="290"/>
      <c r="S154" s="515" t="s">
        <v>333</v>
      </c>
      <c r="T154" s="292" t="s">
        <v>711</v>
      </c>
      <c r="U154" s="299">
        <v>331453.21</v>
      </c>
      <c r="V154" s="290">
        <f t="shared" si="14"/>
        <v>29830.79</v>
      </c>
      <c r="W154" s="290">
        <f t="shared" si="15"/>
        <v>361284</v>
      </c>
      <c r="X154" s="290">
        <f t="shared" si="16"/>
        <v>331453.21</v>
      </c>
      <c r="Y154" s="290">
        <f t="shared" si="17"/>
        <v>3027.52</v>
      </c>
      <c r="Z154" s="290"/>
    </row>
    <row r="155" ht="23.8" spans="1:26">
      <c r="A155" s="285" t="s">
        <v>712</v>
      </c>
      <c r="B155" s="294" t="s">
        <v>83</v>
      </c>
      <c r="C155" s="294" t="s">
        <v>42</v>
      </c>
      <c r="D155" s="285" t="s">
        <v>83</v>
      </c>
      <c r="E155" s="294" t="s">
        <v>343</v>
      </c>
      <c r="F155" s="294" t="s">
        <v>112</v>
      </c>
      <c r="G155" s="285" t="s">
        <v>145</v>
      </c>
      <c r="H155" s="285" t="s">
        <v>330</v>
      </c>
      <c r="I155" s="285" t="s">
        <v>233</v>
      </c>
      <c r="J155" s="295">
        <v>20210007323</v>
      </c>
      <c r="K155" s="296" t="s">
        <v>713</v>
      </c>
      <c r="L155" s="297">
        <v>398277</v>
      </c>
      <c r="M155" s="285" t="s">
        <v>714</v>
      </c>
      <c r="N155" s="297">
        <v>120.69</v>
      </c>
      <c r="O155" s="297" t="s">
        <v>112</v>
      </c>
      <c r="P155" s="290">
        <v>120.69</v>
      </c>
      <c r="Q155" s="290"/>
      <c r="R155" s="290"/>
      <c r="S155" s="515" t="s">
        <v>706</v>
      </c>
      <c r="T155" s="292" t="s">
        <v>715</v>
      </c>
      <c r="U155" s="299">
        <v>365391.74</v>
      </c>
      <c r="V155" s="290">
        <f t="shared" si="14"/>
        <v>32885.26</v>
      </c>
      <c r="W155" s="290">
        <f t="shared" si="15"/>
        <v>398277</v>
      </c>
      <c r="X155" s="290">
        <f t="shared" si="16"/>
        <v>365391.74</v>
      </c>
      <c r="Y155" s="290">
        <f t="shared" si="17"/>
        <v>3027.52</v>
      </c>
      <c r="Z155" s="290"/>
    </row>
    <row r="156" spans="1:26">
      <c r="A156" s="285" t="s">
        <v>716</v>
      </c>
      <c r="B156" s="294" t="s">
        <v>83</v>
      </c>
      <c r="C156" s="294" t="s">
        <v>42</v>
      </c>
      <c r="D156" s="285" t="s">
        <v>83</v>
      </c>
      <c r="E156" s="294" t="s">
        <v>347</v>
      </c>
      <c r="F156" s="294" t="s">
        <v>112</v>
      </c>
      <c r="G156" s="285" t="s">
        <v>145</v>
      </c>
      <c r="H156" s="285" t="s">
        <v>330</v>
      </c>
      <c r="I156" s="285" t="s">
        <v>233</v>
      </c>
      <c r="J156" s="295">
        <v>20200001382</v>
      </c>
      <c r="K156" s="296" t="s">
        <v>388</v>
      </c>
      <c r="L156" s="297">
        <v>399602</v>
      </c>
      <c r="M156" s="285" t="s">
        <v>717</v>
      </c>
      <c r="N156" s="297">
        <v>109.48</v>
      </c>
      <c r="O156" s="297" t="s">
        <v>112</v>
      </c>
      <c r="P156" s="290">
        <v>109.48</v>
      </c>
      <c r="Q156" s="290"/>
      <c r="R156" s="290"/>
      <c r="S156" s="515" t="s">
        <v>333</v>
      </c>
      <c r="T156" s="292" t="s">
        <v>718</v>
      </c>
      <c r="U156" s="299">
        <v>366607.34</v>
      </c>
      <c r="V156" s="290">
        <f t="shared" si="14"/>
        <v>32994.66</v>
      </c>
      <c r="W156" s="290">
        <f t="shared" si="15"/>
        <v>399602</v>
      </c>
      <c r="X156" s="290">
        <f t="shared" si="16"/>
        <v>366607.34</v>
      </c>
      <c r="Y156" s="290">
        <f t="shared" si="17"/>
        <v>3348.62</v>
      </c>
      <c r="Z156" s="290"/>
    </row>
    <row r="157" spans="1:26">
      <c r="A157" s="285" t="s">
        <v>719</v>
      </c>
      <c r="B157" s="294" t="s">
        <v>83</v>
      </c>
      <c r="C157" s="294" t="s">
        <v>42</v>
      </c>
      <c r="D157" s="285" t="s">
        <v>213</v>
      </c>
      <c r="E157" s="294" t="s">
        <v>351</v>
      </c>
      <c r="F157" s="294" t="s">
        <v>112</v>
      </c>
      <c r="G157" s="285" t="s">
        <v>145</v>
      </c>
      <c r="H157" s="285" t="s">
        <v>330</v>
      </c>
      <c r="I157" s="285" t="s">
        <v>233</v>
      </c>
      <c r="J157" s="295">
        <v>20200010933</v>
      </c>
      <c r="K157" s="296" t="s">
        <v>720</v>
      </c>
      <c r="L157" s="297">
        <v>398277</v>
      </c>
      <c r="M157" s="285" t="s">
        <v>721</v>
      </c>
      <c r="N157" s="297">
        <v>120.69</v>
      </c>
      <c r="O157" s="297" t="s">
        <v>112</v>
      </c>
      <c r="P157" s="290">
        <v>120.69</v>
      </c>
      <c r="Q157" s="290"/>
      <c r="R157" s="290"/>
      <c r="S157" s="515" t="s">
        <v>333</v>
      </c>
      <c r="T157" s="292" t="s">
        <v>722</v>
      </c>
      <c r="U157" s="299">
        <v>365391.74</v>
      </c>
      <c r="V157" s="290">
        <f t="shared" si="14"/>
        <v>32885.26</v>
      </c>
      <c r="W157" s="290">
        <f t="shared" si="15"/>
        <v>398277</v>
      </c>
      <c r="X157" s="290">
        <f t="shared" si="16"/>
        <v>365391.74</v>
      </c>
      <c r="Y157" s="290">
        <f t="shared" si="17"/>
        <v>3027.52</v>
      </c>
      <c r="Z157" s="290"/>
    </row>
    <row r="158" spans="1:26">
      <c r="A158" s="285" t="s">
        <v>723</v>
      </c>
      <c r="B158" s="294" t="s">
        <v>83</v>
      </c>
      <c r="C158" s="294" t="s">
        <v>42</v>
      </c>
      <c r="D158" s="285" t="s">
        <v>213</v>
      </c>
      <c r="E158" s="294" t="s">
        <v>355</v>
      </c>
      <c r="F158" s="294" t="s">
        <v>112</v>
      </c>
      <c r="G158" s="285" t="s">
        <v>145</v>
      </c>
      <c r="H158" s="285" t="s">
        <v>330</v>
      </c>
      <c r="I158" s="285" t="s">
        <v>233</v>
      </c>
      <c r="J158" s="295">
        <v>20200006951</v>
      </c>
      <c r="K158" s="296" t="s">
        <v>724</v>
      </c>
      <c r="L158" s="297">
        <v>416024</v>
      </c>
      <c r="M158" s="285" t="s">
        <v>725</v>
      </c>
      <c r="N158" s="297">
        <v>109.48</v>
      </c>
      <c r="O158" s="297" t="s">
        <v>112</v>
      </c>
      <c r="P158" s="290">
        <v>109.48</v>
      </c>
      <c r="Q158" s="290"/>
      <c r="R158" s="290"/>
      <c r="S158" s="515" t="s">
        <v>333</v>
      </c>
      <c r="T158" s="292" t="s">
        <v>726</v>
      </c>
      <c r="U158" s="299">
        <v>381673.39</v>
      </c>
      <c r="V158" s="290">
        <f t="shared" si="14"/>
        <v>34350.61</v>
      </c>
      <c r="W158" s="290">
        <f t="shared" si="15"/>
        <v>416024</v>
      </c>
      <c r="X158" s="290">
        <f t="shared" si="16"/>
        <v>381673.39</v>
      </c>
      <c r="Y158" s="290">
        <f t="shared" si="17"/>
        <v>3486.24</v>
      </c>
      <c r="Z158" s="290"/>
    </row>
    <row r="159" spans="1:26">
      <c r="A159" s="285" t="s">
        <v>727</v>
      </c>
      <c r="B159" s="294" t="s">
        <v>83</v>
      </c>
      <c r="C159" s="294" t="s">
        <v>42</v>
      </c>
      <c r="D159" s="285" t="s">
        <v>244</v>
      </c>
      <c r="E159" s="294" t="s">
        <v>359</v>
      </c>
      <c r="F159" s="294" t="s">
        <v>112</v>
      </c>
      <c r="G159" s="285" t="s">
        <v>145</v>
      </c>
      <c r="H159" s="285" t="s">
        <v>330</v>
      </c>
      <c r="I159" s="285" t="s">
        <v>233</v>
      </c>
      <c r="J159" s="295">
        <v>20200008614</v>
      </c>
      <c r="K159" s="296" t="s">
        <v>728</v>
      </c>
      <c r="L159" s="297">
        <v>457669</v>
      </c>
      <c r="M159" s="285" t="s">
        <v>729</v>
      </c>
      <c r="N159" s="297">
        <v>120.69</v>
      </c>
      <c r="O159" s="297" t="s">
        <v>112</v>
      </c>
      <c r="P159" s="290">
        <v>120.69</v>
      </c>
      <c r="Q159" s="290"/>
      <c r="R159" s="290"/>
      <c r="S159" s="515" t="s">
        <v>333</v>
      </c>
      <c r="T159" s="292" t="s">
        <v>730</v>
      </c>
      <c r="U159" s="299">
        <v>419879.82</v>
      </c>
      <c r="V159" s="290">
        <f t="shared" si="14"/>
        <v>37789.18</v>
      </c>
      <c r="W159" s="290">
        <f t="shared" si="15"/>
        <v>457669</v>
      </c>
      <c r="X159" s="290">
        <f t="shared" si="16"/>
        <v>419879.82</v>
      </c>
      <c r="Y159" s="290">
        <f t="shared" si="17"/>
        <v>3478.99</v>
      </c>
      <c r="Z159" s="290"/>
    </row>
    <row r="160" spans="1:26">
      <c r="A160" s="285" t="s">
        <v>731</v>
      </c>
      <c r="B160" s="294" t="s">
        <v>83</v>
      </c>
      <c r="C160" s="294" t="s">
        <v>42</v>
      </c>
      <c r="D160" s="285" t="s">
        <v>244</v>
      </c>
      <c r="E160" s="294" t="s">
        <v>363</v>
      </c>
      <c r="F160" s="294" t="s">
        <v>112</v>
      </c>
      <c r="G160" s="285" t="s">
        <v>145</v>
      </c>
      <c r="H160" s="285" t="s">
        <v>330</v>
      </c>
      <c r="I160" s="285" t="s">
        <v>233</v>
      </c>
      <c r="J160" s="295">
        <v>20200010938</v>
      </c>
      <c r="K160" s="296" t="s">
        <v>720</v>
      </c>
      <c r="L160" s="297">
        <v>361284</v>
      </c>
      <c r="M160" s="285" t="s">
        <v>732</v>
      </c>
      <c r="N160" s="297">
        <v>109.48</v>
      </c>
      <c r="O160" s="297" t="s">
        <v>112</v>
      </c>
      <c r="P160" s="290">
        <v>109.48</v>
      </c>
      <c r="Q160" s="290"/>
      <c r="R160" s="290"/>
      <c r="S160" s="515" t="s">
        <v>333</v>
      </c>
      <c r="T160" s="292" t="s">
        <v>733</v>
      </c>
      <c r="U160" s="299">
        <v>331453.21</v>
      </c>
      <c r="V160" s="290">
        <f t="shared" si="14"/>
        <v>29830.79</v>
      </c>
      <c r="W160" s="290">
        <f t="shared" si="15"/>
        <v>361284</v>
      </c>
      <c r="X160" s="290">
        <f t="shared" si="16"/>
        <v>331453.21</v>
      </c>
      <c r="Y160" s="290">
        <f t="shared" si="17"/>
        <v>3027.52</v>
      </c>
      <c r="Z160" s="290"/>
    </row>
    <row r="161" spans="1:26">
      <c r="A161" s="285" t="s">
        <v>734</v>
      </c>
      <c r="B161" s="294" t="s">
        <v>83</v>
      </c>
      <c r="C161" s="294" t="s">
        <v>42</v>
      </c>
      <c r="D161" s="285" t="s">
        <v>215</v>
      </c>
      <c r="E161" s="294" t="s">
        <v>366</v>
      </c>
      <c r="F161" s="294" t="s">
        <v>112</v>
      </c>
      <c r="G161" s="285" t="s">
        <v>145</v>
      </c>
      <c r="H161" s="285" t="s">
        <v>330</v>
      </c>
      <c r="I161" s="285" t="s">
        <v>233</v>
      </c>
      <c r="J161" s="295">
        <v>20210000987</v>
      </c>
      <c r="K161" s="296" t="s">
        <v>531</v>
      </c>
      <c r="L161" s="297">
        <v>398277</v>
      </c>
      <c r="M161" s="285" t="s">
        <v>735</v>
      </c>
      <c r="N161" s="297">
        <v>120.69</v>
      </c>
      <c r="O161" s="297" t="s">
        <v>112</v>
      </c>
      <c r="P161" s="290">
        <v>120.69</v>
      </c>
      <c r="Q161" s="290"/>
      <c r="R161" s="290"/>
      <c r="S161" s="515" t="s">
        <v>333</v>
      </c>
      <c r="T161" s="292" t="s">
        <v>736</v>
      </c>
      <c r="U161" s="299">
        <v>365391.74</v>
      </c>
      <c r="V161" s="290">
        <f t="shared" si="14"/>
        <v>32885.26</v>
      </c>
      <c r="W161" s="290">
        <f t="shared" si="15"/>
        <v>398277</v>
      </c>
      <c r="X161" s="290">
        <f t="shared" si="16"/>
        <v>365391.74</v>
      </c>
      <c r="Y161" s="290">
        <f t="shared" si="17"/>
        <v>3027.52</v>
      </c>
      <c r="Z161" s="290"/>
    </row>
    <row r="162" ht="23.8" spans="1:26">
      <c r="A162" s="285" t="s">
        <v>737</v>
      </c>
      <c r="B162" s="294" t="s">
        <v>83</v>
      </c>
      <c r="C162" s="294" t="s">
        <v>42</v>
      </c>
      <c r="D162" s="285" t="s">
        <v>215</v>
      </c>
      <c r="E162" s="294" t="s">
        <v>370</v>
      </c>
      <c r="F162" s="294" t="s">
        <v>112</v>
      </c>
      <c r="G162" s="285" t="s">
        <v>145</v>
      </c>
      <c r="H162" s="285" t="s">
        <v>330</v>
      </c>
      <c r="I162" s="285" t="s">
        <v>233</v>
      </c>
      <c r="J162" s="295">
        <v>20200012027</v>
      </c>
      <c r="K162" s="296" t="s">
        <v>738</v>
      </c>
      <c r="L162" s="297">
        <v>361284</v>
      </c>
      <c r="M162" s="285" t="s">
        <v>739</v>
      </c>
      <c r="N162" s="297">
        <v>109.48</v>
      </c>
      <c r="O162" s="297" t="s">
        <v>112</v>
      </c>
      <c r="P162" s="290">
        <v>109.48</v>
      </c>
      <c r="Q162" s="290"/>
      <c r="R162" s="290"/>
      <c r="S162" s="515" t="s">
        <v>706</v>
      </c>
      <c r="T162" s="292" t="s">
        <v>740</v>
      </c>
      <c r="U162" s="299">
        <v>331453.21</v>
      </c>
      <c r="V162" s="290">
        <f t="shared" si="14"/>
        <v>29830.79</v>
      </c>
      <c r="W162" s="290">
        <f t="shared" si="15"/>
        <v>361284</v>
      </c>
      <c r="X162" s="290">
        <f t="shared" si="16"/>
        <v>331453.21</v>
      </c>
      <c r="Y162" s="290">
        <f t="shared" si="17"/>
        <v>3027.52</v>
      </c>
      <c r="Z162" s="290"/>
    </row>
    <row r="163" ht="23.8" spans="1:26">
      <c r="A163" s="285" t="s">
        <v>741</v>
      </c>
      <c r="B163" s="294" t="s">
        <v>83</v>
      </c>
      <c r="C163" s="294" t="s">
        <v>80</v>
      </c>
      <c r="D163" s="285" t="s">
        <v>42</v>
      </c>
      <c r="E163" s="294" t="s">
        <v>327</v>
      </c>
      <c r="F163" s="294" t="s">
        <v>112</v>
      </c>
      <c r="G163" s="285" t="s">
        <v>145</v>
      </c>
      <c r="H163" s="285" t="s">
        <v>330</v>
      </c>
      <c r="I163" s="285" t="s">
        <v>233</v>
      </c>
      <c r="J163" s="295">
        <v>20200010745</v>
      </c>
      <c r="K163" s="296" t="s">
        <v>742</v>
      </c>
      <c r="L163" s="297">
        <v>492660</v>
      </c>
      <c r="M163" s="285" t="s">
        <v>743</v>
      </c>
      <c r="N163" s="297">
        <v>109.48</v>
      </c>
      <c r="O163" s="297" t="s">
        <v>112</v>
      </c>
      <c r="P163" s="290">
        <v>109.48</v>
      </c>
      <c r="Q163" s="290"/>
      <c r="R163" s="290"/>
      <c r="S163" s="515" t="s">
        <v>333</v>
      </c>
      <c r="T163" s="292" t="s">
        <v>744</v>
      </c>
      <c r="U163" s="299">
        <v>451981.65</v>
      </c>
      <c r="V163" s="290">
        <f t="shared" si="14"/>
        <v>40678.35</v>
      </c>
      <c r="W163" s="290">
        <f t="shared" si="15"/>
        <v>492660</v>
      </c>
      <c r="X163" s="290">
        <f t="shared" si="16"/>
        <v>451981.65</v>
      </c>
      <c r="Y163" s="290">
        <f t="shared" si="17"/>
        <v>4128.44</v>
      </c>
      <c r="Z163" s="290"/>
    </row>
    <row r="164" spans="1:26">
      <c r="A164" s="285" t="s">
        <v>745</v>
      </c>
      <c r="B164" s="294" t="s">
        <v>83</v>
      </c>
      <c r="C164" s="294" t="s">
        <v>80</v>
      </c>
      <c r="D164" s="285" t="s">
        <v>42</v>
      </c>
      <c r="E164" s="294" t="s">
        <v>329</v>
      </c>
      <c r="F164" s="294" t="s">
        <v>112</v>
      </c>
      <c r="G164" s="285" t="s">
        <v>145</v>
      </c>
      <c r="H164" s="285" t="s">
        <v>330</v>
      </c>
      <c r="I164" s="285" t="s">
        <v>233</v>
      </c>
      <c r="J164" s="295">
        <v>20200004108</v>
      </c>
      <c r="K164" s="296" t="s">
        <v>746</v>
      </c>
      <c r="L164" s="297">
        <v>558348</v>
      </c>
      <c r="M164" s="285" t="s">
        <v>747</v>
      </c>
      <c r="N164" s="297">
        <v>109.48</v>
      </c>
      <c r="O164" s="297" t="s">
        <v>112</v>
      </c>
      <c r="P164" s="290">
        <v>109.48</v>
      </c>
      <c r="Q164" s="290"/>
      <c r="R164" s="290"/>
      <c r="S164" s="515" t="s">
        <v>333</v>
      </c>
      <c r="T164" s="292" t="s">
        <v>748</v>
      </c>
      <c r="U164" s="299">
        <v>512245.87</v>
      </c>
      <c r="V164" s="290">
        <f t="shared" si="14"/>
        <v>46102.13</v>
      </c>
      <c r="W164" s="290">
        <f t="shared" si="15"/>
        <v>558348</v>
      </c>
      <c r="X164" s="290">
        <f t="shared" si="16"/>
        <v>512245.87</v>
      </c>
      <c r="Y164" s="290">
        <f t="shared" si="17"/>
        <v>4678.9</v>
      </c>
      <c r="Z164" s="290"/>
    </row>
    <row r="165" ht="23.8" spans="1:26">
      <c r="A165" s="285" t="s">
        <v>749</v>
      </c>
      <c r="B165" s="294" t="s">
        <v>83</v>
      </c>
      <c r="C165" s="294" t="s">
        <v>80</v>
      </c>
      <c r="D165" s="285" t="s">
        <v>80</v>
      </c>
      <c r="E165" s="294" t="s">
        <v>335</v>
      </c>
      <c r="F165" s="294" t="s">
        <v>112</v>
      </c>
      <c r="G165" s="285" t="s">
        <v>145</v>
      </c>
      <c r="H165" s="285" t="s">
        <v>330</v>
      </c>
      <c r="I165" s="285" t="s">
        <v>233</v>
      </c>
      <c r="J165" s="295">
        <v>20200012065</v>
      </c>
      <c r="K165" s="296" t="s">
        <v>750</v>
      </c>
      <c r="L165" s="297">
        <v>361284</v>
      </c>
      <c r="M165" s="285" t="s">
        <v>751</v>
      </c>
      <c r="N165" s="297">
        <v>109.48</v>
      </c>
      <c r="O165" s="297" t="s">
        <v>112</v>
      </c>
      <c r="P165" s="290">
        <v>109.48</v>
      </c>
      <c r="Q165" s="290"/>
      <c r="R165" s="290"/>
      <c r="S165" s="515" t="s">
        <v>333</v>
      </c>
      <c r="T165" s="292" t="s">
        <v>752</v>
      </c>
      <c r="U165" s="299">
        <v>331453.21</v>
      </c>
      <c r="V165" s="290">
        <f t="shared" si="14"/>
        <v>29830.79</v>
      </c>
      <c r="W165" s="290">
        <f t="shared" si="15"/>
        <v>361284</v>
      </c>
      <c r="X165" s="290">
        <f t="shared" si="16"/>
        <v>331453.21</v>
      </c>
      <c r="Y165" s="290">
        <f t="shared" si="17"/>
        <v>3027.52</v>
      </c>
      <c r="Z165" s="290"/>
    </row>
    <row r="166" ht="23.8" spans="1:26">
      <c r="A166" s="285" t="s">
        <v>753</v>
      </c>
      <c r="B166" s="294" t="s">
        <v>83</v>
      </c>
      <c r="C166" s="294" t="s">
        <v>80</v>
      </c>
      <c r="D166" s="285" t="s">
        <v>80</v>
      </c>
      <c r="E166" s="294" t="s">
        <v>339</v>
      </c>
      <c r="F166" s="294" t="s">
        <v>112</v>
      </c>
      <c r="G166" s="285" t="s">
        <v>145</v>
      </c>
      <c r="H166" s="285" t="s">
        <v>330</v>
      </c>
      <c r="I166" s="285" t="s">
        <v>233</v>
      </c>
      <c r="J166" s="295">
        <v>20200012218</v>
      </c>
      <c r="K166" s="296" t="s">
        <v>754</v>
      </c>
      <c r="L166" s="297">
        <v>394128</v>
      </c>
      <c r="M166" s="285" t="s">
        <v>755</v>
      </c>
      <c r="N166" s="297">
        <v>109.48</v>
      </c>
      <c r="O166" s="297" t="s">
        <v>112</v>
      </c>
      <c r="P166" s="290">
        <v>109.48</v>
      </c>
      <c r="Q166" s="290"/>
      <c r="R166" s="290"/>
      <c r="S166" s="515" t="s">
        <v>706</v>
      </c>
      <c r="T166" s="292" t="s">
        <v>756</v>
      </c>
      <c r="U166" s="299">
        <v>361585.32</v>
      </c>
      <c r="V166" s="290">
        <f t="shared" si="14"/>
        <v>32542.68</v>
      </c>
      <c r="W166" s="290">
        <f t="shared" si="15"/>
        <v>394128</v>
      </c>
      <c r="X166" s="290">
        <f t="shared" si="16"/>
        <v>361585.32</v>
      </c>
      <c r="Y166" s="290">
        <f t="shared" si="17"/>
        <v>3302.75</v>
      </c>
      <c r="Z166" s="290"/>
    </row>
    <row r="167" spans="1:26">
      <c r="A167" s="285" t="s">
        <v>757</v>
      </c>
      <c r="B167" s="294" t="s">
        <v>83</v>
      </c>
      <c r="C167" s="294" t="s">
        <v>80</v>
      </c>
      <c r="D167" s="285" t="s">
        <v>83</v>
      </c>
      <c r="E167" s="294" t="s">
        <v>343</v>
      </c>
      <c r="F167" s="294" t="s">
        <v>112</v>
      </c>
      <c r="G167" s="285" t="s">
        <v>145</v>
      </c>
      <c r="H167" s="285" t="s">
        <v>330</v>
      </c>
      <c r="I167" s="285" t="s">
        <v>233</v>
      </c>
      <c r="J167" s="295">
        <v>20200004723</v>
      </c>
      <c r="K167" s="296" t="s">
        <v>550</v>
      </c>
      <c r="L167" s="297">
        <v>437920</v>
      </c>
      <c r="M167" s="285" t="s">
        <v>758</v>
      </c>
      <c r="N167" s="297">
        <v>109.48</v>
      </c>
      <c r="O167" s="297" t="s">
        <v>112</v>
      </c>
      <c r="P167" s="290">
        <v>109.48</v>
      </c>
      <c r="Q167" s="290"/>
      <c r="R167" s="290"/>
      <c r="S167" s="515" t="s">
        <v>333</v>
      </c>
      <c r="T167" s="292" t="s">
        <v>759</v>
      </c>
      <c r="U167" s="299">
        <v>401761.47</v>
      </c>
      <c r="V167" s="290">
        <f t="shared" si="14"/>
        <v>36158.53</v>
      </c>
      <c r="W167" s="290">
        <f t="shared" si="15"/>
        <v>437920</v>
      </c>
      <c r="X167" s="290">
        <f t="shared" si="16"/>
        <v>401761.47</v>
      </c>
      <c r="Y167" s="290">
        <f t="shared" si="17"/>
        <v>3669.72</v>
      </c>
      <c r="Z167" s="290"/>
    </row>
    <row r="168" spans="1:26">
      <c r="A168" s="285" t="s">
        <v>760</v>
      </c>
      <c r="B168" s="294" t="s">
        <v>83</v>
      </c>
      <c r="C168" s="294" t="s">
        <v>80</v>
      </c>
      <c r="D168" s="285" t="s">
        <v>83</v>
      </c>
      <c r="E168" s="294" t="s">
        <v>347</v>
      </c>
      <c r="F168" s="294" t="s">
        <v>112</v>
      </c>
      <c r="G168" s="285" t="s">
        <v>145</v>
      </c>
      <c r="H168" s="285" t="s">
        <v>330</v>
      </c>
      <c r="I168" s="285" t="s">
        <v>233</v>
      </c>
      <c r="J168" s="295">
        <v>20200001190</v>
      </c>
      <c r="K168" s="296" t="s">
        <v>761</v>
      </c>
      <c r="L168" s="297">
        <v>401397</v>
      </c>
      <c r="M168" s="285" t="s">
        <v>762</v>
      </c>
      <c r="N168" s="297">
        <v>109.48</v>
      </c>
      <c r="O168" s="297" t="s">
        <v>112</v>
      </c>
      <c r="P168" s="290">
        <v>109.48</v>
      </c>
      <c r="Q168" s="290"/>
      <c r="R168" s="290"/>
      <c r="S168" s="515" t="s">
        <v>333</v>
      </c>
      <c r="T168" s="292" t="s">
        <v>763</v>
      </c>
      <c r="U168" s="299">
        <v>368254.13</v>
      </c>
      <c r="V168" s="290">
        <f t="shared" si="14"/>
        <v>33142.87</v>
      </c>
      <c r="W168" s="290">
        <f t="shared" si="15"/>
        <v>401397</v>
      </c>
      <c r="X168" s="290">
        <f t="shared" si="16"/>
        <v>368254.13</v>
      </c>
      <c r="Y168" s="290">
        <f t="shared" si="17"/>
        <v>3363.67</v>
      </c>
      <c r="Z168" s="290"/>
    </row>
    <row r="169" spans="1:26">
      <c r="A169" s="285" t="s">
        <v>764</v>
      </c>
      <c r="B169" s="294" t="s">
        <v>83</v>
      </c>
      <c r="C169" s="294" t="s">
        <v>80</v>
      </c>
      <c r="D169" s="285" t="s">
        <v>213</v>
      </c>
      <c r="E169" s="294" t="s">
        <v>351</v>
      </c>
      <c r="F169" s="294" t="s">
        <v>112</v>
      </c>
      <c r="G169" s="285" t="s">
        <v>145</v>
      </c>
      <c r="H169" s="285" t="s">
        <v>330</v>
      </c>
      <c r="I169" s="285" t="s">
        <v>233</v>
      </c>
      <c r="J169" s="295">
        <v>20200006043</v>
      </c>
      <c r="K169" s="296" t="s">
        <v>765</v>
      </c>
      <c r="L169" s="297">
        <v>416024</v>
      </c>
      <c r="M169" s="285" t="s">
        <v>766</v>
      </c>
      <c r="N169" s="297">
        <v>109.48</v>
      </c>
      <c r="O169" s="297" t="s">
        <v>112</v>
      </c>
      <c r="P169" s="290">
        <v>109.48</v>
      </c>
      <c r="Q169" s="290"/>
      <c r="R169" s="290"/>
      <c r="S169" s="515" t="s">
        <v>333</v>
      </c>
      <c r="T169" s="292" t="s">
        <v>767</v>
      </c>
      <c r="U169" s="299">
        <v>381673.39</v>
      </c>
      <c r="V169" s="290">
        <f t="shared" si="14"/>
        <v>34350.61</v>
      </c>
      <c r="W169" s="290">
        <f t="shared" si="15"/>
        <v>416024</v>
      </c>
      <c r="X169" s="290">
        <f t="shared" si="16"/>
        <v>381673.39</v>
      </c>
      <c r="Y169" s="290">
        <f t="shared" si="17"/>
        <v>3486.24</v>
      </c>
      <c r="Z169" s="290"/>
    </row>
    <row r="170" spans="1:26">
      <c r="A170" s="285" t="s">
        <v>768</v>
      </c>
      <c r="B170" s="294" t="s">
        <v>83</v>
      </c>
      <c r="C170" s="294" t="s">
        <v>80</v>
      </c>
      <c r="D170" s="285" t="s">
        <v>213</v>
      </c>
      <c r="E170" s="294" t="s">
        <v>355</v>
      </c>
      <c r="F170" s="294" t="s">
        <v>112</v>
      </c>
      <c r="G170" s="285" t="s">
        <v>145</v>
      </c>
      <c r="H170" s="285" t="s">
        <v>330</v>
      </c>
      <c r="I170" s="285" t="s">
        <v>233</v>
      </c>
      <c r="J170" s="295">
        <v>20200011762</v>
      </c>
      <c r="K170" s="296" t="s">
        <v>769</v>
      </c>
      <c r="L170" s="297">
        <v>394128</v>
      </c>
      <c r="M170" s="285" t="s">
        <v>770</v>
      </c>
      <c r="N170" s="297">
        <v>109.48</v>
      </c>
      <c r="O170" s="297" t="s">
        <v>112</v>
      </c>
      <c r="P170" s="290">
        <v>109.48</v>
      </c>
      <c r="Q170" s="290"/>
      <c r="R170" s="290"/>
      <c r="S170" s="515" t="s">
        <v>706</v>
      </c>
      <c r="T170" s="292" t="s">
        <v>771</v>
      </c>
      <c r="U170" s="299">
        <v>361585.32</v>
      </c>
      <c r="V170" s="290">
        <f t="shared" si="14"/>
        <v>32542.68</v>
      </c>
      <c r="W170" s="290">
        <f t="shared" si="15"/>
        <v>394128</v>
      </c>
      <c r="X170" s="290">
        <f t="shared" si="16"/>
        <v>361585.32</v>
      </c>
      <c r="Y170" s="290">
        <f t="shared" si="17"/>
        <v>3302.75</v>
      </c>
      <c r="Z170" s="290"/>
    </row>
    <row r="171" spans="1:26">
      <c r="A171" s="285" t="s">
        <v>772</v>
      </c>
      <c r="B171" s="294" t="s">
        <v>83</v>
      </c>
      <c r="C171" s="294" t="s">
        <v>80</v>
      </c>
      <c r="D171" s="285" t="s">
        <v>244</v>
      </c>
      <c r="E171" s="294" t="s">
        <v>359</v>
      </c>
      <c r="F171" s="294" t="s">
        <v>112</v>
      </c>
      <c r="G171" s="285" t="s">
        <v>145</v>
      </c>
      <c r="H171" s="285" t="s">
        <v>330</v>
      </c>
      <c r="I171" s="285" t="s">
        <v>233</v>
      </c>
      <c r="J171" s="295">
        <v>20210008784</v>
      </c>
      <c r="K171" s="296" t="s">
        <v>773</v>
      </c>
      <c r="L171" s="297">
        <v>361284</v>
      </c>
      <c r="M171" s="285" t="s">
        <v>774</v>
      </c>
      <c r="N171" s="297">
        <v>109.48</v>
      </c>
      <c r="O171" s="297" t="s">
        <v>112</v>
      </c>
      <c r="P171" s="290">
        <v>109.48</v>
      </c>
      <c r="Q171" s="290"/>
      <c r="R171" s="290"/>
      <c r="S171" s="515" t="s">
        <v>706</v>
      </c>
      <c r="T171" s="292" t="s">
        <v>775</v>
      </c>
      <c r="U171" s="299">
        <v>331453.21</v>
      </c>
      <c r="V171" s="290">
        <f t="shared" si="14"/>
        <v>29830.79</v>
      </c>
      <c r="W171" s="290">
        <f t="shared" si="15"/>
        <v>361284</v>
      </c>
      <c r="X171" s="290">
        <f t="shared" si="16"/>
        <v>331453.21</v>
      </c>
      <c r="Y171" s="290">
        <f t="shared" si="17"/>
        <v>3027.52</v>
      </c>
      <c r="Z171" s="290"/>
    </row>
    <row r="172" spans="1:26">
      <c r="A172" s="285" t="s">
        <v>776</v>
      </c>
      <c r="B172" s="294" t="s">
        <v>83</v>
      </c>
      <c r="C172" s="294" t="s">
        <v>80</v>
      </c>
      <c r="D172" s="285" t="s">
        <v>244</v>
      </c>
      <c r="E172" s="294" t="s">
        <v>363</v>
      </c>
      <c r="F172" s="294" t="s">
        <v>112</v>
      </c>
      <c r="G172" s="285" t="s">
        <v>145</v>
      </c>
      <c r="H172" s="285" t="s">
        <v>330</v>
      </c>
      <c r="I172" s="285" t="s">
        <v>233</v>
      </c>
      <c r="J172" s="295">
        <v>20200009721</v>
      </c>
      <c r="K172" s="296" t="s">
        <v>558</v>
      </c>
      <c r="L172" s="297">
        <v>410550</v>
      </c>
      <c r="M172" s="285" t="s">
        <v>777</v>
      </c>
      <c r="N172" s="297">
        <v>109.48</v>
      </c>
      <c r="O172" s="297" t="s">
        <v>112</v>
      </c>
      <c r="P172" s="290">
        <v>109.48</v>
      </c>
      <c r="Q172" s="290"/>
      <c r="R172" s="290"/>
      <c r="S172" s="515" t="s">
        <v>333</v>
      </c>
      <c r="T172" s="292" t="s">
        <v>778</v>
      </c>
      <c r="U172" s="299">
        <v>376651.38</v>
      </c>
      <c r="V172" s="290">
        <f t="shared" si="14"/>
        <v>33898.62</v>
      </c>
      <c r="W172" s="290">
        <f t="shared" si="15"/>
        <v>410550</v>
      </c>
      <c r="X172" s="290">
        <f t="shared" si="16"/>
        <v>376651.38</v>
      </c>
      <c r="Y172" s="290">
        <f t="shared" si="17"/>
        <v>3440.37</v>
      </c>
      <c r="Z172" s="290"/>
    </row>
    <row r="173" ht="23.8" spans="1:26">
      <c r="A173" s="285" t="s">
        <v>779</v>
      </c>
      <c r="B173" s="294" t="s">
        <v>83</v>
      </c>
      <c r="C173" s="294" t="s">
        <v>80</v>
      </c>
      <c r="D173" s="285" t="s">
        <v>215</v>
      </c>
      <c r="E173" s="294" t="s">
        <v>366</v>
      </c>
      <c r="F173" s="294" t="s">
        <v>112</v>
      </c>
      <c r="G173" s="285" t="s">
        <v>145</v>
      </c>
      <c r="H173" s="285" t="s">
        <v>330</v>
      </c>
      <c r="I173" s="285" t="s">
        <v>233</v>
      </c>
      <c r="J173" s="295">
        <v>20210000091</v>
      </c>
      <c r="K173" s="296" t="s">
        <v>572</v>
      </c>
      <c r="L173" s="297">
        <v>361284</v>
      </c>
      <c r="M173" s="285" t="s">
        <v>780</v>
      </c>
      <c r="N173" s="297">
        <v>109.48</v>
      </c>
      <c r="O173" s="297" t="s">
        <v>112</v>
      </c>
      <c r="P173" s="290">
        <v>109.48</v>
      </c>
      <c r="Q173" s="290"/>
      <c r="R173" s="290"/>
      <c r="S173" s="515" t="s">
        <v>333</v>
      </c>
      <c r="T173" s="292" t="s">
        <v>781</v>
      </c>
      <c r="U173" s="299">
        <v>331453.21</v>
      </c>
      <c r="V173" s="290">
        <f t="shared" si="14"/>
        <v>29830.79</v>
      </c>
      <c r="W173" s="290">
        <f t="shared" si="15"/>
        <v>361284</v>
      </c>
      <c r="X173" s="290">
        <f t="shared" si="16"/>
        <v>331453.21</v>
      </c>
      <c r="Y173" s="290">
        <f t="shared" si="17"/>
        <v>3027.52</v>
      </c>
      <c r="Z173" s="290"/>
    </row>
    <row r="174" spans="1:26">
      <c r="A174" s="285" t="s">
        <v>782</v>
      </c>
      <c r="B174" s="294" t="s">
        <v>83</v>
      </c>
      <c r="C174" s="294" t="s">
        <v>80</v>
      </c>
      <c r="D174" s="285" t="s">
        <v>215</v>
      </c>
      <c r="E174" s="294" t="s">
        <v>370</v>
      </c>
      <c r="F174" s="294" t="s">
        <v>112</v>
      </c>
      <c r="G174" s="285" t="s">
        <v>145</v>
      </c>
      <c r="H174" s="285" t="s">
        <v>330</v>
      </c>
      <c r="I174" s="285" t="s">
        <v>233</v>
      </c>
      <c r="J174" s="295">
        <v>20220000377</v>
      </c>
      <c r="K174" s="296" t="s">
        <v>783</v>
      </c>
      <c r="L174" s="297">
        <v>361284</v>
      </c>
      <c r="M174" s="285" t="s">
        <v>784</v>
      </c>
      <c r="N174" s="297">
        <v>109.48</v>
      </c>
      <c r="O174" s="297" t="s">
        <v>112</v>
      </c>
      <c r="P174" s="290">
        <v>109.48</v>
      </c>
      <c r="Q174" s="290"/>
      <c r="R174" s="290"/>
      <c r="S174" s="515" t="s">
        <v>333</v>
      </c>
      <c r="T174" s="292" t="s">
        <v>785</v>
      </c>
      <c r="U174" s="299">
        <v>331453.21</v>
      </c>
      <c r="V174" s="290">
        <f t="shared" si="14"/>
        <v>29830.79</v>
      </c>
      <c r="W174" s="290">
        <f t="shared" si="15"/>
        <v>361284</v>
      </c>
      <c r="X174" s="290">
        <f t="shared" si="16"/>
        <v>331453.21</v>
      </c>
      <c r="Y174" s="290">
        <f t="shared" si="17"/>
        <v>3027.52</v>
      </c>
      <c r="Z174" s="290"/>
    </row>
    <row r="175" spans="1:26">
      <c r="A175" s="285" t="s">
        <v>786</v>
      </c>
      <c r="B175" s="294" t="s">
        <v>83</v>
      </c>
      <c r="C175" s="294" t="s">
        <v>83</v>
      </c>
      <c r="D175" s="285" t="s">
        <v>42</v>
      </c>
      <c r="E175" s="294" t="s">
        <v>327</v>
      </c>
      <c r="F175" s="294" t="s">
        <v>112</v>
      </c>
      <c r="G175" s="285" t="s">
        <v>145</v>
      </c>
      <c r="H175" s="285" t="s">
        <v>330</v>
      </c>
      <c r="I175" s="285" t="s">
        <v>233</v>
      </c>
      <c r="J175" s="295">
        <v>20200009819</v>
      </c>
      <c r="K175" s="296" t="s">
        <v>787</v>
      </c>
      <c r="L175" s="297">
        <v>525504</v>
      </c>
      <c r="M175" s="285" t="s">
        <v>788</v>
      </c>
      <c r="N175" s="297">
        <v>109.48</v>
      </c>
      <c r="O175" s="297" t="s">
        <v>112</v>
      </c>
      <c r="P175" s="290">
        <v>109.48</v>
      </c>
      <c r="Q175" s="290"/>
      <c r="R175" s="290"/>
      <c r="S175" s="515" t="s">
        <v>333</v>
      </c>
      <c r="T175" s="292" t="s">
        <v>789</v>
      </c>
      <c r="U175" s="299">
        <v>482113.76</v>
      </c>
      <c r="V175" s="290">
        <f t="shared" si="14"/>
        <v>43390.24</v>
      </c>
      <c r="W175" s="290">
        <f t="shared" si="15"/>
        <v>525504</v>
      </c>
      <c r="X175" s="290">
        <f t="shared" si="16"/>
        <v>482113.76</v>
      </c>
      <c r="Y175" s="290">
        <f t="shared" si="17"/>
        <v>4403.67</v>
      </c>
      <c r="Z175" s="290"/>
    </row>
    <row r="176" ht="23.8" spans="1:26">
      <c r="A176" s="285" t="s">
        <v>790</v>
      </c>
      <c r="B176" s="294" t="s">
        <v>83</v>
      </c>
      <c r="C176" s="294" t="s">
        <v>83</v>
      </c>
      <c r="D176" s="285" t="s">
        <v>42</v>
      </c>
      <c r="E176" s="294" t="s">
        <v>329</v>
      </c>
      <c r="F176" s="294" t="s">
        <v>112</v>
      </c>
      <c r="G176" s="285" t="s">
        <v>145</v>
      </c>
      <c r="H176" s="285" t="s">
        <v>330</v>
      </c>
      <c r="I176" s="285" t="s">
        <v>233</v>
      </c>
      <c r="J176" s="295">
        <v>20210000735</v>
      </c>
      <c r="K176" s="296" t="s">
        <v>791</v>
      </c>
      <c r="L176" s="297">
        <v>600071</v>
      </c>
      <c r="M176" s="285" t="s">
        <v>792</v>
      </c>
      <c r="N176" s="297">
        <v>120.69</v>
      </c>
      <c r="O176" s="297" t="s">
        <v>112</v>
      </c>
      <c r="P176" s="290">
        <v>120.69</v>
      </c>
      <c r="Q176" s="290"/>
      <c r="R176" s="290"/>
      <c r="S176" s="515" t="s">
        <v>333</v>
      </c>
      <c r="T176" s="292" t="s">
        <v>793</v>
      </c>
      <c r="U176" s="299">
        <v>550523.85</v>
      </c>
      <c r="V176" s="290">
        <f t="shared" si="14"/>
        <v>49547.15</v>
      </c>
      <c r="W176" s="290">
        <f t="shared" si="15"/>
        <v>600071</v>
      </c>
      <c r="X176" s="290">
        <f t="shared" si="16"/>
        <v>550523.85</v>
      </c>
      <c r="Y176" s="290">
        <f t="shared" si="17"/>
        <v>4561.47</v>
      </c>
      <c r="Z176" s="290"/>
    </row>
    <row r="177" spans="1:26">
      <c r="A177" s="285" t="s">
        <v>794</v>
      </c>
      <c r="B177" s="294" t="s">
        <v>83</v>
      </c>
      <c r="C177" s="294" t="s">
        <v>83</v>
      </c>
      <c r="D177" s="285" t="s">
        <v>80</v>
      </c>
      <c r="E177" s="294" t="s">
        <v>335</v>
      </c>
      <c r="F177" s="294" t="s">
        <v>112</v>
      </c>
      <c r="G177" s="285" t="s">
        <v>145</v>
      </c>
      <c r="H177" s="285" t="s">
        <v>330</v>
      </c>
      <c r="I177" s="285" t="s">
        <v>233</v>
      </c>
      <c r="J177" s="295">
        <v>20200001814</v>
      </c>
      <c r="K177" s="296" t="s">
        <v>795</v>
      </c>
      <c r="L177" s="297">
        <v>398000</v>
      </c>
      <c r="M177" s="285" t="s">
        <v>796</v>
      </c>
      <c r="N177" s="297">
        <v>109.48</v>
      </c>
      <c r="O177" s="297" t="s">
        <v>112</v>
      </c>
      <c r="P177" s="290">
        <v>109.48</v>
      </c>
      <c r="Q177" s="290"/>
      <c r="R177" s="290"/>
      <c r="S177" s="515" t="s">
        <v>706</v>
      </c>
      <c r="T177" s="292" t="s">
        <v>797</v>
      </c>
      <c r="U177" s="299">
        <v>365137.61</v>
      </c>
      <c r="V177" s="290">
        <f t="shared" si="14"/>
        <v>32862.38</v>
      </c>
      <c r="W177" s="290">
        <f t="shared" si="15"/>
        <v>397999.99</v>
      </c>
      <c r="X177" s="290">
        <f t="shared" si="16"/>
        <v>365137.61</v>
      </c>
      <c r="Y177" s="290">
        <f t="shared" si="17"/>
        <v>3335.2</v>
      </c>
      <c r="Z177" s="290"/>
    </row>
    <row r="178" ht="23.8" spans="1:26">
      <c r="A178" s="285" t="s">
        <v>798</v>
      </c>
      <c r="B178" s="294" t="s">
        <v>83</v>
      </c>
      <c r="C178" s="294" t="s">
        <v>83</v>
      </c>
      <c r="D178" s="285" t="s">
        <v>80</v>
      </c>
      <c r="E178" s="294" t="s">
        <v>339</v>
      </c>
      <c r="F178" s="294" t="s">
        <v>112</v>
      </c>
      <c r="G178" s="285" t="s">
        <v>145</v>
      </c>
      <c r="H178" s="285" t="s">
        <v>330</v>
      </c>
      <c r="I178" s="285" t="s">
        <v>233</v>
      </c>
      <c r="J178" s="295">
        <v>20200012327</v>
      </c>
      <c r="K178" s="296" t="s">
        <v>344</v>
      </c>
      <c r="L178" s="297">
        <v>422415</v>
      </c>
      <c r="M178" s="285" t="s">
        <v>799</v>
      </c>
      <c r="N178" s="297">
        <v>120.69</v>
      </c>
      <c r="O178" s="297" t="s">
        <v>112</v>
      </c>
      <c r="P178" s="290">
        <v>120.69</v>
      </c>
      <c r="Q178" s="290"/>
      <c r="R178" s="290"/>
      <c r="S178" s="515" t="s">
        <v>706</v>
      </c>
      <c r="T178" s="292" t="s">
        <v>800</v>
      </c>
      <c r="U178" s="299">
        <v>387536.7</v>
      </c>
      <c r="V178" s="290">
        <f t="shared" si="14"/>
        <v>34878.3</v>
      </c>
      <c r="W178" s="290">
        <f t="shared" si="15"/>
        <v>422415</v>
      </c>
      <c r="X178" s="290">
        <f t="shared" si="16"/>
        <v>387536.7</v>
      </c>
      <c r="Y178" s="290">
        <f t="shared" si="17"/>
        <v>3211.01</v>
      </c>
      <c r="Z178" s="290"/>
    </row>
    <row r="179" spans="1:26">
      <c r="A179" s="285" t="s">
        <v>801</v>
      </c>
      <c r="B179" s="294" t="s">
        <v>83</v>
      </c>
      <c r="C179" s="294" t="s">
        <v>83</v>
      </c>
      <c r="D179" s="285" t="s">
        <v>83</v>
      </c>
      <c r="E179" s="294" t="s">
        <v>343</v>
      </c>
      <c r="F179" s="294" t="s">
        <v>112</v>
      </c>
      <c r="G179" s="285" t="s">
        <v>145</v>
      </c>
      <c r="H179" s="285" t="s">
        <v>330</v>
      </c>
      <c r="I179" s="285" t="s">
        <v>233</v>
      </c>
      <c r="J179" s="295">
        <v>20210005270</v>
      </c>
      <c r="K179" s="296" t="s">
        <v>802</v>
      </c>
      <c r="L179" s="297">
        <v>400000</v>
      </c>
      <c r="M179" s="285" t="s">
        <v>803</v>
      </c>
      <c r="N179" s="297">
        <v>109.48</v>
      </c>
      <c r="O179" s="297" t="s">
        <v>112</v>
      </c>
      <c r="P179" s="290">
        <v>109.48</v>
      </c>
      <c r="Q179" s="290"/>
      <c r="R179" s="290"/>
      <c r="S179" s="515" t="s">
        <v>706</v>
      </c>
      <c r="T179" s="292" t="s">
        <v>804</v>
      </c>
      <c r="U179" s="299">
        <v>366972.48</v>
      </c>
      <c r="V179" s="290">
        <f t="shared" si="14"/>
        <v>33027.52</v>
      </c>
      <c r="W179" s="290">
        <f t="shared" si="15"/>
        <v>400000</v>
      </c>
      <c r="X179" s="290">
        <f t="shared" si="16"/>
        <v>366972.48</v>
      </c>
      <c r="Y179" s="290">
        <f t="shared" si="17"/>
        <v>3351.96</v>
      </c>
      <c r="Z179" s="290"/>
    </row>
    <row r="180" spans="1:26">
      <c r="A180" s="285" t="s">
        <v>805</v>
      </c>
      <c r="B180" s="294" t="s">
        <v>83</v>
      </c>
      <c r="C180" s="294" t="s">
        <v>83</v>
      </c>
      <c r="D180" s="285" t="s">
        <v>83</v>
      </c>
      <c r="E180" s="294" t="s">
        <v>347</v>
      </c>
      <c r="F180" s="294" t="s">
        <v>112</v>
      </c>
      <c r="G180" s="285" t="s">
        <v>145</v>
      </c>
      <c r="H180" s="285" t="s">
        <v>330</v>
      </c>
      <c r="I180" s="285" t="s">
        <v>233</v>
      </c>
      <c r="J180" s="295">
        <v>20200004977</v>
      </c>
      <c r="K180" s="296" t="s">
        <v>806</v>
      </c>
      <c r="L180" s="297">
        <v>446553</v>
      </c>
      <c r="M180" s="285" t="s">
        <v>807</v>
      </c>
      <c r="N180" s="297">
        <v>120.69</v>
      </c>
      <c r="O180" s="297" t="s">
        <v>112</v>
      </c>
      <c r="P180" s="290">
        <v>120.69</v>
      </c>
      <c r="Q180" s="290"/>
      <c r="R180" s="290"/>
      <c r="S180" s="515" t="s">
        <v>333</v>
      </c>
      <c r="T180" s="292" t="s">
        <v>808</v>
      </c>
      <c r="U180" s="299">
        <v>409681.65</v>
      </c>
      <c r="V180" s="290">
        <f t="shared" si="14"/>
        <v>36871.35</v>
      </c>
      <c r="W180" s="290">
        <f t="shared" si="15"/>
        <v>446553</v>
      </c>
      <c r="X180" s="290">
        <f t="shared" si="16"/>
        <v>409681.65</v>
      </c>
      <c r="Y180" s="290">
        <f t="shared" si="17"/>
        <v>3394.5</v>
      </c>
      <c r="Z180" s="290"/>
    </row>
    <row r="181" ht="23.8" spans="1:26">
      <c r="A181" s="285" t="s">
        <v>809</v>
      </c>
      <c r="B181" s="294" t="s">
        <v>83</v>
      </c>
      <c r="C181" s="294" t="s">
        <v>83</v>
      </c>
      <c r="D181" s="285" t="s">
        <v>213</v>
      </c>
      <c r="E181" s="294" t="s">
        <v>351</v>
      </c>
      <c r="F181" s="294" t="s">
        <v>112</v>
      </c>
      <c r="G181" s="285" t="s">
        <v>145</v>
      </c>
      <c r="H181" s="285" t="s">
        <v>330</v>
      </c>
      <c r="I181" s="285" t="s">
        <v>233</v>
      </c>
      <c r="J181" s="295">
        <v>20200009654</v>
      </c>
      <c r="K181" s="296" t="s">
        <v>810</v>
      </c>
      <c r="L181" s="297">
        <v>361284</v>
      </c>
      <c r="M181" s="285" t="s">
        <v>811</v>
      </c>
      <c r="N181" s="297">
        <v>109.48</v>
      </c>
      <c r="O181" s="297" t="s">
        <v>112</v>
      </c>
      <c r="P181" s="290">
        <v>109.48</v>
      </c>
      <c r="Q181" s="290"/>
      <c r="R181" s="290"/>
      <c r="S181" s="515" t="s">
        <v>333</v>
      </c>
      <c r="T181" s="292" t="s">
        <v>812</v>
      </c>
      <c r="U181" s="299">
        <v>331453.21</v>
      </c>
      <c r="V181" s="290">
        <f t="shared" si="14"/>
        <v>29830.79</v>
      </c>
      <c r="W181" s="290">
        <f t="shared" si="15"/>
        <v>361284</v>
      </c>
      <c r="X181" s="290">
        <f t="shared" si="16"/>
        <v>331453.21</v>
      </c>
      <c r="Y181" s="290">
        <f t="shared" si="17"/>
        <v>3027.52</v>
      </c>
      <c r="Z181" s="290"/>
    </row>
    <row r="182" spans="1:26">
      <c r="A182" s="285" t="s">
        <v>813</v>
      </c>
      <c r="B182" s="294" t="s">
        <v>83</v>
      </c>
      <c r="C182" s="294" t="s">
        <v>83</v>
      </c>
      <c r="D182" s="285" t="s">
        <v>213</v>
      </c>
      <c r="E182" s="294" t="s">
        <v>355</v>
      </c>
      <c r="F182" s="294" t="s">
        <v>112</v>
      </c>
      <c r="G182" s="285" t="s">
        <v>145</v>
      </c>
      <c r="H182" s="285" t="s">
        <v>330</v>
      </c>
      <c r="I182" s="285" t="s">
        <v>233</v>
      </c>
      <c r="J182" s="295">
        <v>20210000860</v>
      </c>
      <c r="K182" s="296" t="s">
        <v>814</v>
      </c>
      <c r="L182" s="297">
        <v>398277</v>
      </c>
      <c r="M182" s="285" t="s">
        <v>815</v>
      </c>
      <c r="N182" s="297">
        <v>120.69</v>
      </c>
      <c r="O182" s="297" t="s">
        <v>112</v>
      </c>
      <c r="P182" s="290">
        <v>120.69</v>
      </c>
      <c r="Q182" s="290"/>
      <c r="R182" s="290"/>
      <c r="S182" s="515" t="s">
        <v>333</v>
      </c>
      <c r="T182" s="292" t="s">
        <v>816</v>
      </c>
      <c r="U182" s="299">
        <v>365391.74</v>
      </c>
      <c r="V182" s="290">
        <f t="shared" si="14"/>
        <v>32885.26</v>
      </c>
      <c r="W182" s="290">
        <f t="shared" si="15"/>
        <v>398277</v>
      </c>
      <c r="X182" s="290">
        <f t="shared" si="16"/>
        <v>365391.74</v>
      </c>
      <c r="Y182" s="290">
        <f t="shared" si="17"/>
        <v>3027.52</v>
      </c>
      <c r="Z182" s="290"/>
    </row>
    <row r="183" spans="1:26">
      <c r="A183" s="285" t="s">
        <v>817</v>
      </c>
      <c r="B183" s="294" t="s">
        <v>83</v>
      </c>
      <c r="C183" s="294" t="s">
        <v>83</v>
      </c>
      <c r="D183" s="285" t="s">
        <v>244</v>
      </c>
      <c r="E183" s="294" t="s">
        <v>359</v>
      </c>
      <c r="F183" s="294" t="s">
        <v>112</v>
      </c>
      <c r="G183" s="285" t="s">
        <v>145</v>
      </c>
      <c r="H183" s="285" t="s">
        <v>330</v>
      </c>
      <c r="I183" s="285" t="s">
        <v>233</v>
      </c>
      <c r="J183" s="295">
        <v>202000010519</v>
      </c>
      <c r="K183" s="296" t="s">
        <v>818</v>
      </c>
      <c r="L183" s="297">
        <v>361284</v>
      </c>
      <c r="M183" s="285" t="s">
        <v>819</v>
      </c>
      <c r="N183" s="297">
        <v>109.48</v>
      </c>
      <c r="O183" s="297" t="s">
        <v>112</v>
      </c>
      <c r="P183" s="290">
        <v>109.48</v>
      </c>
      <c r="Q183" s="290"/>
      <c r="R183" s="290"/>
      <c r="S183" s="515" t="s">
        <v>333</v>
      </c>
      <c r="T183" s="292" t="s">
        <v>820</v>
      </c>
      <c r="U183" s="299">
        <v>331453.21</v>
      </c>
      <c r="V183" s="290">
        <f t="shared" si="14"/>
        <v>29830.79</v>
      </c>
      <c r="W183" s="290">
        <f t="shared" si="15"/>
        <v>361284</v>
      </c>
      <c r="X183" s="290">
        <f t="shared" si="16"/>
        <v>331453.21</v>
      </c>
      <c r="Y183" s="290">
        <f t="shared" si="17"/>
        <v>3027.52</v>
      </c>
      <c r="Z183" s="290"/>
    </row>
    <row r="184" spans="1:26">
      <c r="A184" s="285" t="s">
        <v>821</v>
      </c>
      <c r="B184" s="294" t="s">
        <v>83</v>
      </c>
      <c r="C184" s="294" t="s">
        <v>83</v>
      </c>
      <c r="D184" s="285" t="s">
        <v>244</v>
      </c>
      <c r="E184" s="294" t="s">
        <v>363</v>
      </c>
      <c r="F184" s="294" t="s">
        <v>112</v>
      </c>
      <c r="G184" s="285" t="s">
        <v>145</v>
      </c>
      <c r="H184" s="285" t="s">
        <v>330</v>
      </c>
      <c r="I184" s="285" t="s">
        <v>233</v>
      </c>
      <c r="J184" s="295">
        <v>20210001702</v>
      </c>
      <c r="K184" s="296" t="s">
        <v>822</v>
      </c>
      <c r="L184" s="297">
        <v>398277</v>
      </c>
      <c r="M184" s="285" t="s">
        <v>823</v>
      </c>
      <c r="N184" s="297">
        <v>120.69</v>
      </c>
      <c r="O184" s="297" t="s">
        <v>112</v>
      </c>
      <c r="P184" s="290">
        <v>120.69</v>
      </c>
      <c r="Q184" s="290"/>
      <c r="R184" s="290"/>
      <c r="S184" s="515" t="s">
        <v>706</v>
      </c>
      <c r="T184" s="292" t="s">
        <v>824</v>
      </c>
      <c r="U184" s="299">
        <v>365391.74</v>
      </c>
      <c r="V184" s="290">
        <f t="shared" si="14"/>
        <v>32885.26</v>
      </c>
      <c r="W184" s="290">
        <f t="shared" si="15"/>
        <v>398277</v>
      </c>
      <c r="X184" s="290">
        <f t="shared" si="16"/>
        <v>365391.74</v>
      </c>
      <c r="Y184" s="290">
        <f t="shared" si="17"/>
        <v>3027.52</v>
      </c>
      <c r="Z184" s="290"/>
    </row>
    <row r="185" spans="1:26">
      <c r="A185" s="285" t="s">
        <v>825</v>
      </c>
      <c r="B185" s="294" t="s">
        <v>83</v>
      </c>
      <c r="C185" s="294" t="s">
        <v>83</v>
      </c>
      <c r="D185" s="285" t="s">
        <v>215</v>
      </c>
      <c r="E185" s="294" t="s">
        <v>366</v>
      </c>
      <c r="F185" s="294" t="s">
        <v>112</v>
      </c>
      <c r="G185" s="285" t="s">
        <v>145</v>
      </c>
      <c r="H185" s="285" t="s">
        <v>330</v>
      </c>
      <c r="I185" s="285" t="s">
        <v>233</v>
      </c>
      <c r="J185" s="295">
        <v>20200003457</v>
      </c>
      <c r="K185" s="296" t="s">
        <v>826</v>
      </c>
      <c r="L185" s="297">
        <v>396958</v>
      </c>
      <c r="M185" s="285" t="s">
        <v>827</v>
      </c>
      <c r="N185" s="297">
        <v>109.48</v>
      </c>
      <c r="O185" s="297" t="s">
        <v>112</v>
      </c>
      <c r="P185" s="290">
        <v>109.48</v>
      </c>
      <c r="Q185" s="290"/>
      <c r="R185" s="290"/>
      <c r="S185" s="515" t="s">
        <v>333</v>
      </c>
      <c r="T185" s="292" t="s">
        <v>828</v>
      </c>
      <c r="U185" s="299">
        <v>364181.65</v>
      </c>
      <c r="V185" s="290">
        <f t="shared" si="14"/>
        <v>32776.35</v>
      </c>
      <c r="W185" s="290">
        <f t="shared" si="15"/>
        <v>396958</v>
      </c>
      <c r="X185" s="290">
        <f t="shared" si="16"/>
        <v>364181.65</v>
      </c>
      <c r="Y185" s="290">
        <f t="shared" si="17"/>
        <v>3326.47</v>
      </c>
      <c r="Z185" s="290"/>
    </row>
    <row r="186" ht="23.8" spans="1:26">
      <c r="A186" s="285" t="s">
        <v>829</v>
      </c>
      <c r="B186" s="294" t="s">
        <v>83</v>
      </c>
      <c r="C186" s="294" t="s">
        <v>83</v>
      </c>
      <c r="D186" s="285" t="s">
        <v>215</v>
      </c>
      <c r="E186" s="294" t="s">
        <v>370</v>
      </c>
      <c r="F186" s="294" t="s">
        <v>112</v>
      </c>
      <c r="G186" s="285" t="s">
        <v>145</v>
      </c>
      <c r="H186" s="285" t="s">
        <v>330</v>
      </c>
      <c r="I186" s="285" t="s">
        <v>233</v>
      </c>
      <c r="J186" s="295">
        <v>20210008457</v>
      </c>
      <c r="K186" s="296" t="s">
        <v>830</v>
      </c>
      <c r="L186" s="297">
        <v>398277</v>
      </c>
      <c r="M186" s="285" t="s">
        <v>831</v>
      </c>
      <c r="N186" s="297">
        <v>120.69</v>
      </c>
      <c r="O186" s="297" t="s">
        <v>112</v>
      </c>
      <c r="P186" s="290">
        <v>120.69</v>
      </c>
      <c r="Q186" s="290"/>
      <c r="R186" s="290"/>
      <c r="S186" s="515" t="s">
        <v>706</v>
      </c>
      <c r="T186" s="292" t="s">
        <v>832</v>
      </c>
      <c r="U186" s="299">
        <v>365391.74</v>
      </c>
      <c r="V186" s="290">
        <f t="shared" si="14"/>
        <v>32885.26</v>
      </c>
      <c r="W186" s="290">
        <f t="shared" si="15"/>
        <v>398277</v>
      </c>
      <c r="X186" s="290">
        <f t="shared" si="16"/>
        <v>365391.74</v>
      </c>
      <c r="Y186" s="290">
        <f t="shared" si="17"/>
        <v>3027.52</v>
      </c>
      <c r="Z186" s="290"/>
    </row>
    <row r="187" spans="1:26">
      <c r="A187" s="285" t="s">
        <v>833</v>
      </c>
      <c r="B187" s="294" t="s">
        <v>83</v>
      </c>
      <c r="C187" s="294" t="s">
        <v>42</v>
      </c>
      <c r="D187" s="285" t="s">
        <v>456</v>
      </c>
      <c r="E187" s="294" t="s">
        <v>457</v>
      </c>
      <c r="F187" s="294" t="s">
        <v>112</v>
      </c>
      <c r="G187" s="285" t="s">
        <v>458</v>
      </c>
      <c r="H187" s="285" t="s">
        <v>459</v>
      </c>
      <c r="I187" s="285"/>
      <c r="J187" s="295" t="s">
        <v>112</v>
      </c>
      <c r="K187" s="296" t="s">
        <v>112</v>
      </c>
      <c r="L187" s="297" t="s">
        <v>112</v>
      </c>
      <c r="M187" s="285" t="s">
        <v>112</v>
      </c>
      <c r="N187" s="297">
        <v>26.87</v>
      </c>
      <c r="O187" s="297" t="s">
        <v>112</v>
      </c>
      <c r="P187" s="290">
        <v>26.87</v>
      </c>
      <c r="Q187" s="290"/>
      <c r="R187" s="290" t="s">
        <v>112</v>
      </c>
      <c r="S187" s="291" t="s">
        <v>112</v>
      </c>
      <c r="T187" s="292" t="s">
        <v>112</v>
      </c>
      <c r="U187" s="299" t="s">
        <v>112</v>
      </c>
      <c r="V187" s="290">
        <f t="shared" ref="V187:V222" si="18">SUM(T187)+SUM(U187)</f>
        <v>0</v>
      </c>
      <c r="W187" s="290"/>
      <c r="X187" s="290" t="str">
        <f t="shared" ref="X187:X222" si="19">IF(SUM(O187)=0,"",ROUND(SUM(W187)/SUM(O187),2))</f>
        <v/>
      </c>
      <c r="Y187" s="290"/>
      <c r="Z187" s="290"/>
    </row>
    <row r="188" spans="1:26">
      <c r="A188" s="285" t="s">
        <v>834</v>
      </c>
      <c r="B188" s="294" t="s">
        <v>83</v>
      </c>
      <c r="C188" s="294" t="s">
        <v>42</v>
      </c>
      <c r="D188" s="285" t="s">
        <v>456</v>
      </c>
      <c r="E188" s="294" t="s">
        <v>461</v>
      </c>
      <c r="F188" s="294" t="s">
        <v>112</v>
      </c>
      <c r="G188" s="285" t="s">
        <v>458</v>
      </c>
      <c r="H188" s="285" t="s">
        <v>459</v>
      </c>
      <c r="I188" s="285"/>
      <c r="J188" s="295" t="s">
        <v>112</v>
      </c>
      <c r="K188" s="296" t="s">
        <v>112</v>
      </c>
      <c r="L188" s="297" t="s">
        <v>112</v>
      </c>
      <c r="M188" s="285" t="s">
        <v>112</v>
      </c>
      <c r="N188" s="297">
        <v>22.77</v>
      </c>
      <c r="O188" s="297" t="s">
        <v>112</v>
      </c>
      <c r="P188" s="290">
        <v>22.77</v>
      </c>
      <c r="Q188" s="290"/>
      <c r="R188" s="290" t="s">
        <v>112</v>
      </c>
      <c r="S188" s="291" t="s">
        <v>112</v>
      </c>
      <c r="T188" s="292" t="s">
        <v>112</v>
      </c>
      <c r="U188" s="299" t="s">
        <v>112</v>
      </c>
      <c r="V188" s="290">
        <f t="shared" si="18"/>
        <v>0</v>
      </c>
      <c r="W188" s="290"/>
      <c r="X188" s="290" t="str">
        <f t="shared" si="19"/>
        <v/>
      </c>
      <c r="Y188" s="290"/>
      <c r="Z188" s="290"/>
    </row>
    <row r="189" spans="1:26">
      <c r="A189" s="285" t="s">
        <v>835</v>
      </c>
      <c r="B189" s="294" t="s">
        <v>83</v>
      </c>
      <c r="C189" s="294" t="s">
        <v>42</v>
      </c>
      <c r="D189" s="285" t="s">
        <v>456</v>
      </c>
      <c r="E189" s="294" t="s">
        <v>463</v>
      </c>
      <c r="F189" s="294" t="s">
        <v>112</v>
      </c>
      <c r="G189" s="285" t="s">
        <v>458</v>
      </c>
      <c r="H189" s="285" t="s">
        <v>459</v>
      </c>
      <c r="I189" s="285"/>
      <c r="J189" s="295" t="s">
        <v>112</v>
      </c>
      <c r="K189" s="296" t="s">
        <v>112</v>
      </c>
      <c r="L189" s="297" t="s">
        <v>112</v>
      </c>
      <c r="M189" s="285" t="s">
        <v>112</v>
      </c>
      <c r="N189" s="297">
        <v>19.38</v>
      </c>
      <c r="O189" s="297" t="s">
        <v>112</v>
      </c>
      <c r="P189" s="290">
        <v>19.38</v>
      </c>
      <c r="Q189" s="290"/>
      <c r="R189" s="290" t="s">
        <v>112</v>
      </c>
      <c r="S189" s="291" t="s">
        <v>112</v>
      </c>
      <c r="T189" s="292" t="s">
        <v>112</v>
      </c>
      <c r="U189" s="299" t="s">
        <v>112</v>
      </c>
      <c r="V189" s="290">
        <f t="shared" si="18"/>
        <v>0</v>
      </c>
      <c r="W189" s="290"/>
      <c r="X189" s="290" t="str">
        <f t="shared" si="19"/>
        <v/>
      </c>
      <c r="Y189" s="290"/>
      <c r="Z189" s="290"/>
    </row>
    <row r="190" spans="1:26">
      <c r="A190" s="285" t="s">
        <v>836</v>
      </c>
      <c r="B190" s="294" t="s">
        <v>83</v>
      </c>
      <c r="C190" s="294" t="s">
        <v>42</v>
      </c>
      <c r="D190" s="285" t="s">
        <v>456</v>
      </c>
      <c r="E190" s="294" t="s">
        <v>465</v>
      </c>
      <c r="F190" s="294" t="s">
        <v>112</v>
      </c>
      <c r="G190" s="285" t="s">
        <v>458</v>
      </c>
      <c r="H190" s="285" t="s">
        <v>459</v>
      </c>
      <c r="I190" s="285"/>
      <c r="J190" s="295" t="s">
        <v>112</v>
      </c>
      <c r="K190" s="296" t="s">
        <v>112</v>
      </c>
      <c r="L190" s="297" t="s">
        <v>112</v>
      </c>
      <c r="M190" s="285" t="s">
        <v>112</v>
      </c>
      <c r="N190" s="297">
        <v>11.78</v>
      </c>
      <c r="O190" s="297" t="s">
        <v>112</v>
      </c>
      <c r="P190" s="290">
        <v>11.78</v>
      </c>
      <c r="Q190" s="290"/>
      <c r="R190" s="290" t="s">
        <v>112</v>
      </c>
      <c r="S190" s="291" t="s">
        <v>112</v>
      </c>
      <c r="T190" s="292" t="s">
        <v>112</v>
      </c>
      <c r="U190" s="299" t="s">
        <v>112</v>
      </c>
      <c r="V190" s="290">
        <f t="shared" si="18"/>
        <v>0</v>
      </c>
      <c r="W190" s="290"/>
      <c r="X190" s="290" t="str">
        <f t="shared" si="19"/>
        <v/>
      </c>
      <c r="Y190" s="290"/>
      <c r="Z190" s="290"/>
    </row>
    <row r="191" spans="1:26">
      <c r="A191" s="285" t="s">
        <v>837</v>
      </c>
      <c r="B191" s="294" t="s">
        <v>83</v>
      </c>
      <c r="C191" s="294" t="s">
        <v>42</v>
      </c>
      <c r="D191" s="285" t="s">
        <v>456</v>
      </c>
      <c r="E191" s="294" t="s">
        <v>467</v>
      </c>
      <c r="F191" s="294" t="s">
        <v>112</v>
      </c>
      <c r="G191" s="285" t="s">
        <v>458</v>
      </c>
      <c r="H191" s="285" t="s">
        <v>459</v>
      </c>
      <c r="I191" s="285"/>
      <c r="J191" s="295" t="s">
        <v>112</v>
      </c>
      <c r="K191" s="296" t="s">
        <v>112</v>
      </c>
      <c r="L191" s="297" t="s">
        <v>112</v>
      </c>
      <c r="M191" s="285" t="s">
        <v>112</v>
      </c>
      <c r="N191" s="297">
        <v>16.6</v>
      </c>
      <c r="O191" s="297" t="s">
        <v>112</v>
      </c>
      <c r="P191" s="290">
        <v>16.6</v>
      </c>
      <c r="Q191" s="290"/>
      <c r="R191" s="290" t="s">
        <v>112</v>
      </c>
      <c r="S191" s="291" t="s">
        <v>112</v>
      </c>
      <c r="T191" s="292" t="s">
        <v>112</v>
      </c>
      <c r="U191" s="299" t="s">
        <v>112</v>
      </c>
      <c r="V191" s="290">
        <f t="shared" si="18"/>
        <v>0</v>
      </c>
      <c r="W191" s="290"/>
      <c r="X191" s="290" t="str">
        <f t="shared" si="19"/>
        <v/>
      </c>
      <c r="Y191" s="290"/>
      <c r="Z191" s="290"/>
    </row>
    <row r="192" spans="1:26">
      <c r="A192" s="285" t="s">
        <v>838</v>
      </c>
      <c r="B192" s="294" t="s">
        <v>83</v>
      </c>
      <c r="C192" s="294" t="s">
        <v>42</v>
      </c>
      <c r="D192" s="285" t="s">
        <v>456</v>
      </c>
      <c r="E192" s="294" t="s">
        <v>469</v>
      </c>
      <c r="F192" s="294" t="s">
        <v>112</v>
      </c>
      <c r="G192" s="285" t="s">
        <v>458</v>
      </c>
      <c r="H192" s="285" t="s">
        <v>459</v>
      </c>
      <c r="I192" s="285"/>
      <c r="J192" s="295" t="s">
        <v>112</v>
      </c>
      <c r="K192" s="296" t="s">
        <v>112</v>
      </c>
      <c r="L192" s="297" t="s">
        <v>112</v>
      </c>
      <c r="M192" s="285" t="s">
        <v>112</v>
      </c>
      <c r="N192" s="297">
        <v>19.63</v>
      </c>
      <c r="O192" s="297" t="s">
        <v>112</v>
      </c>
      <c r="P192" s="290">
        <v>19.63</v>
      </c>
      <c r="Q192" s="290"/>
      <c r="R192" s="290" t="s">
        <v>112</v>
      </c>
      <c r="S192" s="291" t="s">
        <v>112</v>
      </c>
      <c r="T192" s="292" t="s">
        <v>112</v>
      </c>
      <c r="U192" s="299" t="s">
        <v>112</v>
      </c>
      <c r="V192" s="290">
        <f t="shared" si="18"/>
        <v>0</v>
      </c>
      <c r="W192" s="290"/>
      <c r="X192" s="290" t="str">
        <f t="shared" si="19"/>
        <v/>
      </c>
      <c r="Y192" s="290"/>
      <c r="Z192" s="290"/>
    </row>
    <row r="193" spans="1:26">
      <c r="A193" s="285" t="s">
        <v>839</v>
      </c>
      <c r="B193" s="294" t="s">
        <v>83</v>
      </c>
      <c r="C193" s="294" t="s">
        <v>42</v>
      </c>
      <c r="D193" s="285" t="s">
        <v>456</v>
      </c>
      <c r="E193" s="294" t="s">
        <v>471</v>
      </c>
      <c r="F193" s="294" t="s">
        <v>112</v>
      </c>
      <c r="G193" s="285" t="s">
        <v>458</v>
      </c>
      <c r="H193" s="285" t="s">
        <v>459</v>
      </c>
      <c r="I193" s="285"/>
      <c r="J193" s="295" t="s">
        <v>112</v>
      </c>
      <c r="K193" s="296" t="s">
        <v>112</v>
      </c>
      <c r="L193" s="297" t="s">
        <v>112</v>
      </c>
      <c r="M193" s="285" t="s">
        <v>112</v>
      </c>
      <c r="N193" s="297">
        <v>19.63</v>
      </c>
      <c r="O193" s="297" t="s">
        <v>112</v>
      </c>
      <c r="P193" s="290">
        <v>19.63</v>
      </c>
      <c r="Q193" s="290"/>
      <c r="R193" s="290" t="s">
        <v>112</v>
      </c>
      <c r="S193" s="291" t="s">
        <v>112</v>
      </c>
      <c r="T193" s="292" t="s">
        <v>112</v>
      </c>
      <c r="U193" s="299" t="s">
        <v>112</v>
      </c>
      <c r="V193" s="290">
        <f t="shared" si="18"/>
        <v>0</v>
      </c>
      <c r="W193" s="290"/>
      <c r="X193" s="290" t="str">
        <f t="shared" si="19"/>
        <v/>
      </c>
      <c r="Y193" s="290"/>
      <c r="Z193" s="290"/>
    </row>
    <row r="194" spans="1:26">
      <c r="A194" s="285" t="s">
        <v>840</v>
      </c>
      <c r="B194" s="294" t="s">
        <v>83</v>
      </c>
      <c r="C194" s="294" t="s">
        <v>42</v>
      </c>
      <c r="D194" s="285" t="s">
        <v>456</v>
      </c>
      <c r="E194" s="294" t="s">
        <v>473</v>
      </c>
      <c r="F194" s="294" t="s">
        <v>112</v>
      </c>
      <c r="G194" s="285" t="s">
        <v>458</v>
      </c>
      <c r="H194" s="285" t="s">
        <v>459</v>
      </c>
      <c r="I194" s="285"/>
      <c r="J194" s="295" t="s">
        <v>112</v>
      </c>
      <c r="K194" s="296" t="s">
        <v>112</v>
      </c>
      <c r="L194" s="297" t="s">
        <v>112</v>
      </c>
      <c r="M194" s="285" t="s">
        <v>112</v>
      </c>
      <c r="N194" s="297">
        <v>19.63</v>
      </c>
      <c r="O194" s="297" t="s">
        <v>112</v>
      </c>
      <c r="P194" s="290">
        <v>19.63</v>
      </c>
      <c r="Q194" s="290"/>
      <c r="R194" s="290" t="s">
        <v>112</v>
      </c>
      <c r="S194" s="291" t="s">
        <v>112</v>
      </c>
      <c r="T194" s="292" t="s">
        <v>112</v>
      </c>
      <c r="U194" s="299" t="s">
        <v>112</v>
      </c>
      <c r="V194" s="290">
        <f t="shared" si="18"/>
        <v>0</v>
      </c>
      <c r="W194" s="290"/>
      <c r="X194" s="290" t="str">
        <f t="shared" si="19"/>
        <v/>
      </c>
      <c r="Y194" s="290"/>
      <c r="Z194" s="290"/>
    </row>
    <row r="195" spans="1:26">
      <c r="A195" s="285" t="s">
        <v>841</v>
      </c>
      <c r="B195" s="294" t="s">
        <v>83</v>
      </c>
      <c r="C195" s="294" t="s">
        <v>42</v>
      </c>
      <c r="D195" s="285" t="s">
        <v>456</v>
      </c>
      <c r="E195" s="294" t="s">
        <v>475</v>
      </c>
      <c r="F195" s="294" t="s">
        <v>112</v>
      </c>
      <c r="G195" s="285" t="s">
        <v>458</v>
      </c>
      <c r="H195" s="285" t="s">
        <v>459</v>
      </c>
      <c r="I195" s="285"/>
      <c r="J195" s="295" t="s">
        <v>112</v>
      </c>
      <c r="K195" s="296" t="s">
        <v>112</v>
      </c>
      <c r="L195" s="297" t="s">
        <v>112</v>
      </c>
      <c r="M195" s="285" t="s">
        <v>112</v>
      </c>
      <c r="N195" s="297">
        <v>16.89</v>
      </c>
      <c r="O195" s="297" t="s">
        <v>112</v>
      </c>
      <c r="P195" s="290">
        <v>16.89</v>
      </c>
      <c r="Q195" s="290"/>
      <c r="R195" s="290" t="s">
        <v>112</v>
      </c>
      <c r="S195" s="291" t="s">
        <v>112</v>
      </c>
      <c r="T195" s="292" t="s">
        <v>112</v>
      </c>
      <c r="U195" s="299" t="s">
        <v>112</v>
      </c>
      <c r="V195" s="290">
        <f t="shared" si="18"/>
        <v>0</v>
      </c>
      <c r="W195" s="290"/>
      <c r="X195" s="290" t="str">
        <f t="shared" si="19"/>
        <v/>
      </c>
      <c r="Y195" s="290"/>
      <c r="Z195" s="290"/>
    </row>
    <row r="196" spans="1:26">
      <c r="A196" s="285" t="s">
        <v>842</v>
      </c>
      <c r="B196" s="294" t="s">
        <v>83</v>
      </c>
      <c r="C196" s="294" t="s">
        <v>42</v>
      </c>
      <c r="D196" s="285" t="s">
        <v>456</v>
      </c>
      <c r="E196" s="294" t="s">
        <v>477</v>
      </c>
      <c r="F196" s="294" t="s">
        <v>112</v>
      </c>
      <c r="G196" s="285" t="s">
        <v>458</v>
      </c>
      <c r="H196" s="285" t="s">
        <v>459</v>
      </c>
      <c r="I196" s="285"/>
      <c r="J196" s="295" t="s">
        <v>112</v>
      </c>
      <c r="K196" s="296" t="s">
        <v>112</v>
      </c>
      <c r="L196" s="297" t="s">
        <v>112</v>
      </c>
      <c r="M196" s="285" t="s">
        <v>112</v>
      </c>
      <c r="N196" s="297">
        <v>22.38</v>
      </c>
      <c r="O196" s="297" t="s">
        <v>112</v>
      </c>
      <c r="P196" s="290">
        <v>22.38</v>
      </c>
      <c r="Q196" s="290"/>
      <c r="R196" s="290" t="s">
        <v>112</v>
      </c>
      <c r="S196" s="291" t="s">
        <v>112</v>
      </c>
      <c r="T196" s="292" t="s">
        <v>112</v>
      </c>
      <c r="U196" s="299" t="s">
        <v>112</v>
      </c>
      <c r="V196" s="290">
        <f t="shared" si="18"/>
        <v>0</v>
      </c>
      <c r="W196" s="290"/>
      <c r="X196" s="290" t="str">
        <f t="shared" si="19"/>
        <v/>
      </c>
      <c r="Y196" s="290"/>
      <c r="Z196" s="290"/>
    </row>
    <row r="197" spans="1:26">
      <c r="A197" s="285" t="s">
        <v>843</v>
      </c>
      <c r="B197" s="294" t="s">
        <v>83</v>
      </c>
      <c r="C197" s="294" t="s">
        <v>42</v>
      </c>
      <c r="D197" s="285" t="s">
        <v>456</v>
      </c>
      <c r="E197" s="294" t="s">
        <v>479</v>
      </c>
      <c r="F197" s="294" t="s">
        <v>112</v>
      </c>
      <c r="G197" s="285" t="s">
        <v>458</v>
      </c>
      <c r="H197" s="285" t="s">
        <v>459</v>
      </c>
      <c r="I197" s="285"/>
      <c r="J197" s="295" t="s">
        <v>112</v>
      </c>
      <c r="K197" s="296" t="s">
        <v>112</v>
      </c>
      <c r="L197" s="297" t="s">
        <v>112</v>
      </c>
      <c r="M197" s="285" t="s">
        <v>112</v>
      </c>
      <c r="N197" s="297">
        <v>12.47</v>
      </c>
      <c r="O197" s="297" t="s">
        <v>112</v>
      </c>
      <c r="P197" s="290">
        <v>12.47</v>
      </c>
      <c r="Q197" s="290"/>
      <c r="R197" s="290" t="s">
        <v>112</v>
      </c>
      <c r="S197" s="291" t="s">
        <v>112</v>
      </c>
      <c r="T197" s="292" t="s">
        <v>112</v>
      </c>
      <c r="U197" s="299" t="s">
        <v>112</v>
      </c>
      <c r="V197" s="290">
        <f t="shared" si="18"/>
        <v>0</v>
      </c>
      <c r="W197" s="290"/>
      <c r="X197" s="290" t="str">
        <f t="shared" si="19"/>
        <v/>
      </c>
      <c r="Y197" s="290"/>
      <c r="Z197" s="290"/>
    </row>
    <row r="198" spans="1:26">
      <c r="A198" s="285" t="s">
        <v>844</v>
      </c>
      <c r="B198" s="294" t="s">
        <v>83</v>
      </c>
      <c r="C198" s="294" t="s">
        <v>42</v>
      </c>
      <c r="D198" s="285" t="s">
        <v>456</v>
      </c>
      <c r="E198" s="294" t="s">
        <v>481</v>
      </c>
      <c r="F198" s="294" t="s">
        <v>112</v>
      </c>
      <c r="G198" s="285" t="s">
        <v>458</v>
      </c>
      <c r="H198" s="285" t="s">
        <v>459</v>
      </c>
      <c r="I198" s="285"/>
      <c r="J198" s="295" t="s">
        <v>112</v>
      </c>
      <c r="K198" s="296" t="s">
        <v>112</v>
      </c>
      <c r="L198" s="297" t="s">
        <v>112</v>
      </c>
      <c r="M198" s="285" t="s">
        <v>112</v>
      </c>
      <c r="N198" s="297">
        <v>12.47</v>
      </c>
      <c r="O198" s="297" t="s">
        <v>112</v>
      </c>
      <c r="P198" s="290">
        <v>12.47</v>
      </c>
      <c r="Q198" s="290"/>
      <c r="R198" s="290" t="s">
        <v>112</v>
      </c>
      <c r="S198" s="291" t="s">
        <v>112</v>
      </c>
      <c r="T198" s="292" t="s">
        <v>112</v>
      </c>
      <c r="U198" s="299" t="s">
        <v>112</v>
      </c>
      <c r="V198" s="290">
        <f t="shared" si="18"/>
        <v>0</v>
      </c>
      <c r="W198" s="290"/>
      <c r="X198" s="290" t="str">
        <f t="shared" si="19"/>
        <v/>
      </c>
      <c r="Y198" s="290"/>
      <c r="Z198" s="290"/>
    </row>
    <row r="199" spans="1:26">
      <c r="A199" s="285" t="s">
        <v>845</v>
      </c>
      <c r="B199" s="294" t="s">
        <v>83</v>
      </c>
      <c r="C199" s="294" t="s">
        <v>42</v>
      </c>
      <c r="D199" s="285" t="s">
        <v>456</v>
      </c>
      <c r="E199" s="294" t="s">
        <v>483</v>
      </c>
      <c r="F199" s="294" t="s">
        <v>112</v>
      </c>
      <c r="G199" s="285" t="s">
        <v>458</v>
      </c>
      <c r="H199" s="285" t="s">
        <v>459</v>
      </c>
      <c r="I199" s="285"/>
      <c r="J199" s="295" t="s">
        <v>112</v>
      </c>
      <c r="K199" s="296" t="s">
        <v>112</v>
      </c>
      <c r="L199" s="297" t="s">
        <v>112</v>
      </c>
      <c r="M199" s="285" t="s">
        <v>112</v>
      </c>
      <c r="N199" s="297">
        <v>12.47</v>
      </c>
      <c r="O199" s="297" t="s">
        <v>112</v>
      </c>
      <c r="P199" s="290">
        <v>12.47</v>
      </c>
      <c r="Q199" s="290"/>
      <c r="R199" s="290" t="s">
        <v>112</v>
      </c>
      <c r="S199" s="291" t="s">
        <v>112</v>
      </c>
      <c r="T199" s="292" t="s">
        <v>112</v>
      </c>
      <c r="U199" s="299" t="s">
        <v>112</v>
      </c>
      <c r="V199" s="290">
        <f t="shared" si="18"/>
        <v>0</v>
      </c>
      <c r="W199" s="290"/>
      <c r="X199" s="290" t="str">
        <f t="shared" si="19"/>
        <v/>
      </c>
      <c r="Y199" s="290"/>
      <c r="Z199" s="290"/>
    </row>
    <row r="200" spans="1:26">
      <c r="A200" s="285" t="s">
        <v>846</v>
      </c>
      <c r="B200" s="294" t="s">
        <v>83</v>
      </c>
      <c r="C200" s="294" t="s">
        <v>42</v>
      </c>
      <c r="D200" s="285" t="s">
        <v>456</v>
      </c>
      <c r="E200" s="294" t="s">
        <v>485</v>
      </c>
      <c r="F200" s="294" t="s">
        <v>112</v>
      </c>
      <c r="G200" s="285" t="s">
        <v>458</v>
      </c>
      <c r="H200" s="285" t="s">
        <v>459</v>
      </c>
      <c r="I200" s="285"/>
      <c r="J200" s="295" t="s">
        <v>112</v>
      </c>
      <c r="K200" s="296" t="s">
        <v>112</v>
      </c>
      <c r="L200" s="297" t="s">
        <v>112</v>
      </c>
      <c r="M200" s="285" t="s">
        <v>112</v>
      </c>
      <c r="N200" s="297">
        <v>12.47</v>
      </c>
      <c r="O200" s="297" t="s">
        <v>112</v>
      </c>
      <c r="P200" s="290">
        <v>12.47</v>
      </c>
      <c r="Q200" s="290"/>
      <c r="R200" s="290" t="s">
        <v>112</v>
      </c>
      <c r="S200" s="291" t="s">
        <v>112</v>
      </c>
      <c r="T200" s="292" t="s">
        <v>112</v>
      </c>
      <c r="U200" s="299" t="s">
        <v>112</v>
      </c>
      <c r="V200" s="290">
        <f t="shared" si="18"/>
        <v>0</v>
      </c>
      <c r="W200" s="290"/>
      <c r="X200" s="290" t="str">
        <f t="shared" si="19"/>
        <v/>
      </c>
      <c r="Y200" s="290"/>
      <c r="Z200" s="290"/>
    </row>
    <row r="201" spans="1:26">
      <c r="A201" s="285" t="s">
        <v>847</v>
      </c>
      <c r="B201" s="294" t="s">
        <v>83</v>
      </c>
      <c r="C201" s="294" t="s">
        <v>42</v>
      </c>
      <c r="D201" s="285" t="s">
        <v>456</v>
      </c>
      <c r="E201" s="294" t="s">
        <v>487</v>
      </c>
      <c r="F201" s="294" t="s">
        <v>112</v>
      </c>
      <c r="G201" s="285" t="s">
        <v>458</v>
      </c>
      <c r="H201" s="285" t="s">
        <v>459</v>
      </c>
      <c r="I201" s="285"/>
      <c r="J201" s="295" t="s">
        <v>112</v>
      </c>
      <c r="K201" s="296" t="s">
        <v>112</v>
      </c>
      <c r="L201" s="297" t="s">
        <v>112</v>
      </c>
      <c r="M201" s="285" t="s">
        <v>112</v>
      </c>
      <c r="N201" s="297">
        <v>22.38</v>
      </c>
      <c r="O201" s="297" t="s">
        <v>112</v>
      </c>
      <c r="P201" s="290">
        <v>22.38</v>
      </c>
      <c r="Q201" s="290"/>
      <c r="R201" s="290" t="s">
        <v>112</v>
      </c>
      <c r="S201" s="291" t="s">
        <v>112</v>
      </c>
      <c r="T201" s="292" t="s">
        <v>112</v>
      </c>
      <c r="U201" s="299" t="s">
        <v>112</v>
      </c>
      <c r="V201" s="290">
        <f t="shared" si="18"/>
        <v>0</v>
      </c>
      <c r="W201" s="290"/>
      <c r="X201" s="290" t="str">
        <f t="shared" si="19"/>
        <v/>
      </c>
      <c r="Y201" s="290"/>
      <c r="Z201" s="290"/>
    </row>
    <row r="202" spans="1:26">
      <c r="A202" s="285" t="s">
        <v>848</v>
      </c>
      <c r="B202" s="294" t="s">
        <v>83</v>
      </c>
      <c r="C202" s="294" t="s">
        <v>42</v>
      </c>
      <c r="D202" s="285" t="s">
        <v>456</v>
      </c>
      <c r="E202" s="294" t="s">
        <v>489</v>
      </c>
      <c r="F202" s="294" t="s">
        <v>112</v>
      </c>
      <c r="G202" s="285" t="s">
        <v>458</v>
      </c>
      <c r="H202" s="285" t="s">
        <v>459</v>
      </c>
      <c r="I202" s="285"/>
      <c r="J202" s="295" t="s">
        <v>112</v>
      </c>
      <c r="K202" s="296" t="s">
        <v>112</v>
      </c>
      <c r="L202" s="297" t="s">
        <v>112</v>
      </c>
      <c r="M202" s="285" t="s">
        <v>112</v>
      </c>
      <c r="N202" s="297">
        <v>16.89</v>
      </c>
      <c r="O202" s="297" t="s">
        <v>112</v>
      </c>
      <c r="P202" s="290">
        <v>16.89</v>
      </c>
      <c r="Q202" s="290"/>
      <c r="R202" s="290" t="s">
        <v>112</v>
      </c>
      <c r="S202" s="291" t="s">
        <v>112</v>
      </c>
      <c r="T202" s="292" t="s">
        <v>112</v>
      </c>
      <c r="U202" s="299" t="s">
        <v>112</v>
      </c>
      <c r="V202" s="290">
        <f t="shared" si="18"/>
        <v>0</v>
      </c>
      <c r="W202" s="290"/>
      <c r="X202" s="290" t="str">
        <f t="shared" si="19"/>
        <v/>
      </c>
      <c r="Y202" s="290"/>
      <c r="Z202" s="290"/>
    </row>
    <row r="203" spans="1:26">
      <c r="A203" s="285" t="s">
        <v>849</v>
      </c>
      <c r="B203" s="294" t="s">
        <v>83</v>
      </c>
      <c r="C203" s="294" t="s">
        <v>42</v>
      </c>
      <c r="D203" s="285" t="s">
        <v>456</v>
      </c>
      <c r="E203" s="294" t="s">
        <v>491</v>
      </c>
      <c r="F203" s="294" t="s">
        <v>112</v>
      </c>
      <c r="G203" s="285" t="s">
        <v>458</v>
      </c>
      <c r="H203" s="285" t="s">
        <v>459</v>
      </c>
      <c r="I203" s="285"/>
      <c r="J203" s="295" t="s">
        <v>112</v>
      </c>
      <c r="K203" s="296" t="s">
        <v>112</v>
      </c>
      <c r="L203" s="297" t="s">
        <v>112</v>
      </c>
      <c r="M203" s="285" t="s">
        <v>112</v>
      </c>
      <c r="N203" s="297">
        <v>19.63</v>
      </c>
      <c r="O203" s="297" t="s">
        <v>112</v>
      </c>
      <c r="P203" s="290">
        <v>19.63</v>
      </c>
      <c r="Q203" s="290"/>
      <c r="R203" s="290" t="s">
        <v>112</v>
      </c>
      <c r="S203" s="291" t="s">
        <v>112</v>
      </c>
      <c r="T203" s="292" t="s">
        <v>112</v>
      </c>
      <c r="U203" s="299" t="s">
        <v>112</v>
      </c>
      <c r="V203" s="290">
        <f t="shared" si="18"/>
        <v>0</v>
      </c>
      <c r="W203" s="290"/>
      <c r="X203" s="290" t="str">
        <f t="shared" si="19"/>
        <v/>
      </c>
      <c r="Y203" s="290"/>
      <c r="Z203" s="290"/>
    </row>
    <row r="204" spans="1:26">
      <c r="A204" s="285" t="s">
        <v>850</v>
      </c>
      <c r="B204" s="294" t="s">
        <v>83</v>
      </c>
      <c r="C204" s="294" t="s">
        <v>42</v>
      </c>
      <c r="D204" s="285" t="s">
        <v>456</v>
      </c>
      <c r="E204" s="294" t="s">
        <v>493</v>
      </c>
      <c r="F204" s="294" t="s">
        <v>112</v>
      </c>
      <c r="G204" s="285" t="s">
        <v>458</v>
      </c>
      <c r="H204" s="285" t="s">
        <v>459</v>
      </c>
      <c r="I204" s="285"/>
      <c r="J204" s="295" t="s">
        <v>112</v>
      </c>
      <c r="K204" s="296" t="s">
        <v>112</v>
      </c>
      <c r="L204" s="297" t="s">
        <v>112</v>
      </c>
      <c r="M204" s="285" t="s">
        <v>112</v>
      </c>
      <c r="N204" s="297">
        <v>19.63</v>
      </c>
      <c r="O204" s="297" t="s">
        <v>112</v>
      </c>
      <c r="P204" s="290">
        <v>19.63</v>
      </c>
      <c r="Q204" s="290"/>
      <c r="R204" s="290" t="s">
        <v>112</v>
      </c>
      <c r="S204" s="291" t="s">
        <v>112</v>
      </c>
      <c r="T204" s="292" t="s">
        <v>112</v>
      </c>
      <c r="U204" s="299" t="s">
        <v>112</v>
      </c>
      <c r="V204" s="290">
        <f t="shared" si="18"/>
        <v>0</v>
      </c>
      <c r="W204" s="290"/>
      <c r="X204" s="290" t="str">
        <f t="shared" si="19"/>
        <v/>
      </c>
      <c r="Y204" s="290"/>
      <c r="Z204" s="290"/>
    </row>
    <row r="205" spans="1:26">
      <c r="A205" s="285" t="s">
        <v>851</v>
      </c>
      <c r="B205" s="294" t="s">
        <v>83</v>
      </c>
      <c r="C205" s="294" t="s">
        <v>42</v>
      </c>
      <c r="D205" s="285" t="s">
        <v>456</v>
      </c>
      <c r="E205" s="294" t="s">
        <v>495</v>
      </c>
      <c r="F205" s="294" t="s">
        <v>112</v>
      </c>
      <c r="G205" s="285" t="s">
        <v>458</v>
      </c>
      <c r="H205" s="285" t="s">
        <v>459</v>
      </c>
      <c r="I205" s="285"/>
      <c r="J205" s="295" t="s">
        <v>112</v>
      </c>
      <c r="K205" s="296" t="s">
        <v>112</v>
      </c>
      <c r="L205" s="297" t="s">
        <v>112</v>
      </c>
      <c r="M205" s="285" t="s">
        <v>112</v>
      </c>
      <c r="N205" s="297">
        <v>19.63</v>
      </c>
      <c r="O205" s="297" t="s">
        <v>112</v>
      </c>
      <c r="P205" s="290">
        <v>19.63</v>
      </c>
      <c r="Q205" s="290" t="s">
        <v>112</v>
      </c>
      <c r="R205" s="290" t="s">
        <v>112</v>
      </c>
      <c r="S205" s="291" t="s">
        <v>112</v>
      </c>
      <c r="T205" s="292" t="s">
        <v>112</v>
      </c>
      <c r="U205" s="299" t="s">
        <v>112</v>
      </c>
      <c r="V205" s="290">
        <f t="shared" si="18"/>
        <v>0</v>
      </c>
      <c r="W205" s="290"/>
      <c r="X205" s="290" t="str">
        <f t="shared" si="19"/>
        <v/>
      </c>
      <c r="Y205" s="290"/>
      <c r="Z205" s="290"/>
    </row>
    <row r="206" spans="1:26">
      <c r="A206" s="285" t="s">
        <v>852</v>
      </c>
      <c r="B206" s="294" t="s">
        <v>83</v>
      </c>
      <c r="C206" s="294" t="s">
        <v>42</v>
      </c>
      <c r="D206" s="285" t="s">
        <v>456</v>
      </c>
      <c r="E206" s="294" t="s">
        <v>497</v>
      </c>
      <c r="F206" s="294" t="s">
        <v>112</v>
      </c>
      <c r="G206" s="285" t="s">
        <v>458</v>
      </c>
      <c r="H206" s="285" t="s">
        <v>459</v>
      </c>
      <c r="I206" s="285"/>
      <c r="J206" s="295" t="s">
        <v>112</v>
      </c>
      <c r="K206" s="296" t="s">
        <v>112</v>
      </c>
      <c r="L206" s="297" t="s">
        <v>112</v>
      </c>
      <c r="M206" s="285" t="s">
        <v>112</v>
      </c>
      <c r="N206" s="297">
        <v>15.81</v>
      </c>
      <c r="O206" s="297" t="s">
        <v>112</v>
      </c>
      <c r="P206" s="290">
        <v>15.81</v>
      </c>
      <c r="Q206" s="290" t="s">
        <v>112</v>
      </c>
      <c r="R206" s="290" t="s">
        <v>112</v>
      </c>
      <c r="S206" s="291" t="s">
        <v>112</v>
      </c>
      <c r="T206" s="292" t="s">
        <v>112</v>
      </c>
      <c r="U206" s="299" t="s">
        <v>112</v>
      </c>
      <c r="V206" s="290">
        <f t="shared" si="18"/>
        <v>0</v>
      </c>
      <c r="W206" s="290"/>
      <c r="X206" s="290" t="str">
        <f t="shared" si="19"/>
        <v/>
      </c>
      <c r="Y206" s="290"/>
      <c r="Z206" s="290"/>
    </row>
    <row r="207" spans="1:26">
      <c r="A207" s="285" t="s">
        <v>335</v>
      </c>
      <c r="B207" s="294" t="s">
        <v>83</v>
      </c>
      <c r="C207" s="294" t="s">
        <v>42</v>
      </c>
      <c r="D207" s="285" t="s">
        <v>456</v>
      </c>
      <c r="E207" s="294" t="s">
        <v>499</v>
      </c>
      <c r="F207" s="294" t="s">
        <v>112</v>
      </c>
      <c r="G207" s="285" t="s">
        <v>458</v>
      </c>
      <c r="H207" s="285" t="s">
        <v>459</v>
      </c>
      <c r="I207" s="285"/>
      <c r="J207" s="295" t="s">
        <v>112</v>
      </c>
      <c r="K207" s="296" t="s">
        <v>112</v>
      </c>
      <c r="L207" s="297" t="s">
        <v>112</v>
      </c>
      <c r="M207" s="285" t="s">
        <v>112</v>
      </c>
      <c r="N207" s="297">
        <v>16.89</v>
      </c>
      <c r="O207" s="297" t="s">
        <v>112</v>
      </c>
      <c r="P207" s="290">
        <v>16.89</v>
      </c>
      <c r="Q207" s="290" t="s">
        <v>112</v>
      </c>
      <c r="R207" s="290" t="s">
        <v>112</v>
      </c>
      <c r="S207" s="291" t="s">
        <v>112</v>
      </c>
      <c r="T207" s="292" t="s">
        <v>112</v>
      </c>
      <c r="U207" s="299" t="s">
        <v>112</v>
      </c>
      <c r="V207" s="290">
        <f t="shared" si="18"/>
        <v>0</v>
      </c>
      <c r="W207" s="290"/>
      <c r="X207" s="290" t="str">
        <f t="shared" si="19"/>
        <v/>
      </c>
      <c r="Y207" s="290"/>
      <c r="Z207" s="290"/>
    </row>
    <row r="208" spans="1:26">
      <c r="A208" s="285" t="s">
        <v>339</v>
      </c>
      <c r="B208" s="294" t="s">
        <v>83</v>
      </c>
      <c r="C208" s="294" t="s">
        <v>42</v>
      </c>
      <c r="D208" s="285" t="s">
        <v>456</v>
      </c>
      <c r="E208" s="294" t="s">
        <v>501</v>
      </c>
      <c r="F208" s="294" t="s">
        <v>112</v>
      </c>
      <c r="G208" s="285" t="s">
        <v>458</v>
      </c>
      <c r="H208" s="285" t="s">
        <v>459</v>
      </c>
      <c r="I208" s="285"/>
      <c r="J208" s="295" t="s">
        <v>112</v>
      </c>
      <c r="K208" s="296" t="s">
        <v>112</v>
      </c>
      <c r="L208" s="297" t="s">
        <v>112</v>
      </c>
      <c r="M208" s="285" t="s">
        <v>112</v>
      </c>
      <c r="N208" s="297">
        <v>9.38</v>
      </c>
      <c r="O208" s="297" t="s">
        <v>112</v>
      </c>
      <c r="P208" s="290">
        <v>9.38</v>
      </c>
      <c r="Q208" s="290" t="s">
        <v>112</v>
      </c>
      <c r="R208" s="290" t="s">
        <v>112</v>
      </c>
      <c r="S208" s="291" t="s">
        <v>112</v>
      </c>
      <c r="T208" s="292" t="s">
        <v>112</v>
      </c>
      <c r="U208" s="299" t="s">
        <v>112</v>
      </c>
      <c r="V208" s="290">
        <f t="shared" si="18"/>
        <v>0</v>
      </c>
      <c r="W208" s="290"/>
      <c r="X208" s="290" t="str">
        <f t="shared" si="19"/>
        <v/>
      </c>
      <c r="Y208" s="290"/>
      <c r="Z208" s="290"/>
    </row>
    <row r="209" spans="1:26">
      <c r="A209" s="285" t="s">
        <v>853</v>
      </c>
      <c r="B209" s="294" t="s">
        <v>83</v>
      </c>
      <c r="C209" s="294" t="s">
        <v>42</v>
      </c>
      <c r="D209" s="285" t="s">
        <v>456</v>
      </c>
      <c r="E209" s="294" t="s">
        <v>503</v>
      </c>
      <c r="F209" s="294" t="s">
        <v>112</v>
      </c>
      <c r="G209" s="285" t="s">
        <v>458</v>
      </c>
      <c r="H209" s="285" t="s">
        <v>459</v>
      </c>
      <c r="I209" s="285"/>
      <c r="J209" s="295" t="s">
        <v>112</v>
      </c>
      <c r="K209" s="296" t="s">
        <v>112</v>
      </c>
      <c r="L209" s="297" t="s">
        <v>112</v>
      </c>
      <c r="M209" s="285" t="s">
        <v>112</v>
      </c>
      <c r="N209" s="297">
        <v>21.96</v>
      </c>
      <c r="O209" s="297" t="s">
        <v>112</v>
      </c>
      <c r="P209" s="290">
        <v>21.96</v>
      </c>
      <c r="Q209" s="290" t="s">
        <v>112</v>
      </c>
      <c r="R209" s="290" t="s">
        <v>112</v>
      </c>
      <c r="S209" s="291" t="s">
        <v>112</v>
      </c>
      <c r="T209" s="292" t="s">
        <v>112</v>
      </c>
      <c r="U209" s="299" t="s">
        <v>112</v>
      </c>
      <c r="V209" s="290">
        <f t="shared" si="18"/>
        <v>0</v>
      </c>
      <c r="W209" s="290"/>
      <c r="X209" s="290" t="str">
        <f t="shared" si="19"/>
        <v/>
      </c>
      <c r="Y209" s="290"/>
      <c r="Z209" s="290"/>
    </row>
    <row r="210" spans="1:26">
      <c r="A210" s="285" t="s">
        <v>854</v>
      </c>
      <c r="B210" s="294" t="s">
        <v>83</v>
      </c>
      <c r="C210" s="294" t="s">
        <v>42</v>
      </c>
      <c r="D210" s="285" t="s">
        <v>456</v>
      </c>
      <c r="E210" s="294" t="s">
        <v>505</v>
      </c>
      <c r="F210" s="294" t="s">
        <v>112</v>
      </c>
      <c r="G210" s="285" t="s">
        <v>458</v>
      </c>
      <c r="H210" s="285" t="s">
        <v>459</v>
      </c>
      <c r="I210" s="285"/>
      <c r="J210" s="295" t="s">
        <v>112</v>
      </c>
      <c r="K210" s="296" t="s">
        <v>112</v>
      </c>
      <c r="L210" s="297" t="s">
        <v>112</v>
      </c>
      <c r="M210" s="285" t="s">
        <v>112</v>
      </c>
      <c r="N210" s="297">
        <v>12.47</v>
      </c>
      <c r="O210" s="297" t="s">
        <v>112</v>
      </c>
      <c r="P210" s="290">
        <v>12.47</v>
      </c>
      <c r="Q210" s="290" t="s">
        <v>112</v>
      </c>
      <c r="R210" s="290" t="s">
        <v>112</v>
      </c>
      <c r="S210" s="291" t="s">
        <v>112</v>
      </c>
      <c r="T210" s="292" t="s">
        <v>112</v>
      </c>
      <c r="U210" s="299" t="s">
        <v>112</v>
      </c>
      <c r="V210" s="290">
        <f t="shared" si="18"/>
        <v>0</v>
      </c>
      <c r="W210" s="290"/>
      <c r="X210" s="290" t="str">
        <f t="shared" si="19"/>
        <v/>
      </c>
      <c r="Y210" s="290"/>
      <c r="Z210" s="290"/>
    </row>
    <row r="211" spans="1:26">
      <c r="A211" s="285" t="s">
        <v>855</v>
      </c>
      <c r="B211" s="294" t="s">
        <v>83</v>
      </c>
      <c r="C211" s="294" t="s">
        <v>42</v>
      </c>
      <c r="D211" s="285" t="s">
        <v>456</v>
      </c>
      <c r="E211" s="294" t="s">
        <v>507</v>
      </c>
      <c r="F211" s="294" t="s">
        <v>112</v>
      </c>
      <c r="G211" s="285" t="s">
        <v>458</v>
      </c>
      <c r="H211" s="285" t="s">
        <v>459</v>
      </c>
      <c r="I211" s="285"/>
      <c r="J211" s="295" t="s">
        <v>112</v>
      </c>
      <c r="K211" s="296" t="s">
        <v>112</v>
      </c>
      <c r="L211" s="297" t="s">
        <v>112</v>
      </c>
      <c r="M211" s="285" t="s">
        <v>112</v>
      </c>
      <c r="N211" s="297">
        <v>24.95</v>
      </c>
      <c r="O211" s="297" t="s">
        <v>112</v>
      </c>
      <c r="P211" s="290">
        <v>24.95</v>
      </c>
      <c r="Q211" s="290" t="s">
        <v>112</v>
      </c>
      <c r="R211" s="290" t="s">
        <v>112</v>
      </c>
      <c r="S211" s="291" t="s">
        <v>112</v>
      </c>
      <c r="T211" s="292" t="s">
        <v>112</v>
      </c>
      <c r="U211" s="299" t="s">
        <v>112</v>
      </c>
      <c r="V211" s="290">
        <f t="shared" si="18"/>
        <v>0</v>
      </c>
      <c r="W211" s="290"/>
      <c r="X211" s="290" t="str">
        <f t="shared" si="19"/>
        <v/>
      </c>
      <c r="Y211" s="290"/>
      <c r="Z211" s="290"/>
    </row>
    <row r="212" spans="1:26">
      <c r="A212" s="285" t="s">
        <v>856</v>
      </c>
      <c r="B212" s="294" t="s">
        <v>83</v>
      </c>
      <c r="C212" s="294" t="s">
        <v>42</v>
      </c>
      <c r="D212" s="285" t="s">
        <v>456</v>
      </c>
      <c r="E212" s="294" t="s">
        <v>509</v>
      </c>
      <c r="F212" s="294" t="s">
        <v>112</v>
      </c>
      <c r="G212" s="285" t="s">
        <v>458</v>
      </c>
      <c r="H212" s="285" t="s">
        <v>459</v>
      </c>
      <c r="I212" s="285"/>
      <c r="J212" s="295" t="s">
        <v>112</v>
      </c>
      <c r="K212" s="296" t="s">
        <v>112</v>
      </c>
      <c r="L212" s="297" t="s">
        <v>112</v>
      </c>
      <c r="M212" s="285" t="s">
        <v>112</v>
      </c>
      <c r="N212" s="297">
        <v>21.96</v>
      </c>
      <c r="O212" s="297" t="s">
        <v>112</v>
      </c>
      <c r="P212" s="290">
        <v>21.96</v>
      </c>
      <c r="Q212" s="290" t="s">
        <v>112</v>
      </c>
      <c r="R212" s="290" t="s">
        <v>112</v>
      </c>
      <c r="S212" s="291" t="s">
        <v>112</v>
      </c>
      <c r="T212" s="292" t="s">
        <v>112</v>
      </c>
      <c r="U212" s="299" t="s">
        <v>112</v>
      </c>
      <c r="V212" s="290">
        <f t="shared" si="18"/>
        <v>0</v>
      </c>
      <c r="W212" s="290"/>
      <c r="X212" s="290" t="str">
        <f t="shared" si="19"/>
        <v/>
      </c>
      <c r="Y212" s="290"/>
      <c r="Z212" s="290"/>
    </row>
    <row r="213" spans="1:26">
      <c r="A213" s="285" t="s">
        <v>857</v>
      </c>
      <c r="B213" s="294" t="s">
        <v>83</v>
      </c>
      <c r="C213" s="294" t="s">
        <v>42</v>
      </c>
      <c r="D213" s="285" t="s">
        <v>456</v>
      </c>
      <c r="E213" s="294" t="s">
        <v>511</v>
      </c>
      <c r="F213" s="294" t="s">
        <v>112</v>
      </c>
      <c r="G213" s="285" t="s">
        <v>458</v>
      </c>
      <c r="H213" s="285" t="s">
        <v>459</v>
      </c>
      <c r="I213" s="285"/>
      <c r="J213" s="295" t="s">
        <v>112</v>
      </c>
      <c r="K213" s="296" t="s">
        <v>112</v>
      </c>
      <c r="L213" s="297" t="s">
        <v>112</v>
      </c>
      <c r="M213" s="285" t="s">
        <v>112</v>
      </c>
      <c r="N213" s="297">
        <v>9.38</v>
      </c>
      <c r="O213" s="297" t="s">
        <v>112</v>
      </c>
      <c r="P213" s="290">
        <v>9.38</v>
      </c>
      <c r="Q213" s="290" t="s">
        <v>112</v>
      </c>
      <c r="R213" s="290" t="s">
        <v>112</v>
      </c>
      <c r="S213" s="291" t="s">
        <v>112</v>
      </c>
      <c r="T213" s="292" t="s">
        <v>112</v>
      </c>
      <c r="U213" s="299" t="s">
        <v>112</v>
      </c>
      <c r="V213" s="290">
        <f t="shared" si="18"/>
        <v>0</v>
      </c>
      <c r="W213" s="290"/>
      <c r="X213" s="290" t="str">
        <f t="shared" si="19"/>
        <v/>
      </c>
      <c r="Y213" s="290"/>
      <c r="Z213" s="290"/>
    </row>
    <row r="214" spans="1:26">
      <c r="A214" s="285" t="s">
        <v>858</v>
      </c>
      <c r="B214" s="294" t="s">
        <v>83</v>
      </c>
      <c r="C214" s="294" t="s">
        <v>42</v>
      </c>
      <c r="D214" s="285" t="s">
        <v>456</v>
      </c>
      <c r="E214" s="294" t="s">
        <v>513</v>
      </c>
      <c r="F214" s="294" t="s">
        <v>112</v>
      </c>
      <c r="G214" s="285" t="s">
        <v>458</v>
      </c>
      <c r="H214" s="285" t="s">
        <v>459</v>
      </c>
      <c r="I214" s="285"/>
      <c r="J214" s="295" t="s">
        <v>112</v>
      </c>
      <c r="K214" s="296" t="s">
        <v>112</v>
      </c>
      <c r="L214" s="297" t="s">
        <v>112</v>
      </c>
      <c r="M214" s="285" t="s">
        <v>112</v>
      </c>
      <c r="N214" s="297">
        <v>16.89</v>
      </c>
      <c r="O214" s="297" t="s">
        <v>112</v>
      </c>
      <c r="P214" s="290">
        <v>16.89</v>
      </c>
      <c r="Q214" s="290" t="s">
        <v>112</v>
      </c>
      <c r="R214" s="290" t="s">
        <v>112</v>
      </c>
      <c r="S214" s="291" t="s">
        <v>112</v>
      </c>
      <c r="T214" s="292" t="s">
        <v>112</v>
      </c>
      <c r="U214" s="299" t="s">
        <v>112</v>
      </c>
      <c r="V214" s="290">
        <f t="shared" si="18"/>
        <v>0</v>
      </c>
      <c r="W214" s="290"/>
      <c r="X214" s="290" t="str">
        <f t="shared" si="19"/>
        <v/>
      </c>
      <c r="Y214" s="290"/>
      <c r="Z214" s="290"/>
    </row>
    <row r="215" spans="1:26">
      <c r="A215" s="285" t="s">
        <v>859</v>
      </c>
      <c r="B215" s="294" t="s">
        <v>83</v>
      </c>
      <c r="C215" s="294" t="s">
        <v>42</v>
      </c>
      <c r="D215" s="285" t="s">
        <v>456</v>
      </c>
      <c r="E215" s="294" t="s">
        <v>515</v>
      </c>
      <c r="F215" s="294" t="s">
        <v>112</v>
      </c>
      <c r="G215" s="285" t="s">
        <v>458</v>
      </c>
      <c r="H215" s="285" t="s">
        <v>459</v>
      </c>
      <c r="I215" s="285"/>
      <c r="J215" s="295" t="s">
        <v>112</v>
      </c>
      <c r="K215" s="296" t="s">
        <v>112</v>
      </c>
      <c r="L215" s="297" t="s">
        <v>112</v>
      </c>
      <c r="M215" s="285" t="s">
        <v>112</v>
      </c>
      <c r="N215" s="297">
        <v>19.63</v>
      </c>
      <c r="O215" s="297" t="s">
        <v>112</v>
      </c>
      <c r="P215" s="290">
        <v>19.63</v>
      </c>
      <c r="Q215" s="290" t="s">
        <v>112</v>
      </c>
      <c r="R215" s="290" t="s">
        <v>112</v>
      </c>
      <c r="S215" s="291" t="s">
        <v>112</v>
      </c>
      <c r="T215" s="292" t="s">
        <v>112</v>
      </c>
      <c r="U215" s="299" t="s">
        <v>112</v>
      </c>
      <c r="V215" s="290">
        <f t="shared" si="18"/>
        <v>0</v>
      </c>
      <c r="W215" s="290"/>
      <c r="X215" s="290" t="str">
        <f t="shared" si="19"/>
        <v/>
      </c>
      <c r="Y215" s="290"/>
      <c r="Z215" s="290"/>
    </row>
    <row r="216" spans="1:26">
      <c r="A216" s="285" t="s">
        <v>860</v>
      </c>
      <c r="B216" s="294" t="s">
        <v>83</v>
      </c>
      <c r="C216" s="294" t="s">
        <v>42</v>
      </c>
      <c r="D216" s="285" t="s">
        <v>456</v>
      </c>
      <c r="E216" s="294" t="s">
        <v>517</v>
      </c>
      <c r="F216" s="294" t="s">
        <v>112</v>
      </c>
      <c r="G216" s="285" t="s">
        <v>458</v>
      </c>
      <c r="H216" s="285" t="s">
        <v>459</v>
      </c>
      <c r="I216" s="285"/>
      <c r="J216" s="295" t="s">
        <v>112</v>
      </c>
      <c r="K216" s="296" t="s">
        <v>112</v>
      </c>
      <c r="L216" s="297" t="s">
        <v>112</v>
      </c>
      <c r="M216" s="285" t="s">
        <v>112</v>
      </c>
      <c r="N216" s="297">
        <v>19.63</v>
      </c>
      <c r="O216" s="297" t="s">
        <v>112</v>
      </c>
      <c r="P216" s="290">
        <v>19.63</v>
      </c>
      <c r="Q216" s="290" t="s">
        <v>112</v>
      </c>
      <c r="R216" s="290" t="s">
        <v>112</v>
      </c>
      <c r="S216" s="291" t="s">
        <v>112</v>
      </c>
      <c r="T216" s="292" t="s">
        <v>112</v>
      </c>
      <c r="U216" s="299" t="s">
        <v>112</v>
      </c>
      <c r="V216" s="290">
        <f t="shared" si="18"/>
        <v>0</v>
      </c>
      <c r="W216" s="290"/>
      <c r="X216" s="290" t="str">
        <f t="shared" si="19"/>
        <v/>
      </c>
      <c r="Y216" s="290"/>
      <c r="Z216" s="290"/>
    </row>
    <row r="217" spans="1:26">
      <c r="A217" s="285" t="s">
        <v>861</v>
      </c>
      <c r="B217" s="294" t="s">
        <v>83</v>
      </c>
      <c r="C217" s="294" t="s">
        <v>42</v>
      </c>
      <c r="D217" s="285" t="s">
        <v>456</v>
      </c>
      <c r="E217" s="294" t="s">
        <v>519</v>
      </c>
      <c r="F217" s="294" t="s">
        <v>112</v>
      </c>
      <c r="G217" s="285" t="s">
        <v>458</v>
      </c>
      <c r="H217" s="285" t="s">
        <v>459</v>
      </c>
      <c r="I217" s="285"/>
      <c r="J217" s="295" t="s">
        <v>112</v>
      </c>
      <c r="K217" s="296" t="s">
        <v>112</v>
      </c>
      <c r="L217" s="297" t="s">
        <v>112</v>
      </c>
      <c r="M217" s="285" t="s">
        <v>112</v>
      </c>
      <c r="N217" s="297">
        <v>19.63</v>
      </c>
      <c r="O217" s="297" t="s">
        <v>112</v>
      </c>
      <c r="P217" s="290">
        <v>19.63</v>
      </c>
      <c r="Q217" s="290" t="s">
        <v>112</v>
      </c>
      <c r="R217" s="290" t="s">
        <v>112</v>
      </c>
      <c r="S217" s="291" t="s">
        <v>112</v>
      </c>
      <c r="T217" s="292" t="s">
        <v>112</v>
      </c>
      <c r="U217" s="299" t="s">
        <v>112</v>
      </c>
      <c r="V217" s="290">
        <f t="shared" si="18"/>
        <v>0</v>
      </c>
      <c r="W217" s="290"/>
      <c r="X217" s="290" t="str">
        <f t="shared" si="19"/>
        <v/>
      </c>
      <c r="Y217" s="290"/>
      <c r="Z217" s="290"/>
    </row>
    <row r="218" spans="1:26">
      <c r="A218" s="285" t="s">
        <v>862</v>
      </c>
      <c r="B218" s="294" t="s">
        <v>83</v>
      </c>
      <c r="C218" s="294" t="s">
        <v>42</v>
      </c>
      <c r="D218" s="285" t="s">
        <v>456</v>
      </c>
      <c r="E218" s="294" t="s">
        <v>521</v>
      </c>
      <c r="F218" s="294" t="s">
        <v>112</v>
      </c>
      <c r="G218" s="285" t="s">
        <v>458</v>
      </c>
      <c r="H218" s="285" t="s">
        <v>459</v>
      </c>
      <c r="I218" s="285"/>
      <c r="J218" s="295" t="s">
        <v>112</v>
      </c>
      <c r="K218" s="296" t="s">
        <v>112</v>
      </c>
      <c r="L218" s="297" t="s">
        <v>112</v>
      </c>
      <c r="M218" s="285" t="s">
        <v>112</v>
      </c>
      <c r="N218" s="297">
        <v>16.6</v>
      </c>
      <c r="O218" s="297" t="s">
        <v>112</v>
      </c>
      <c r="P218" s="290">
        <v>16.6</v>
      </c>
      <c r="Q218" s="290" t="s">
        <v>112</v>
      </c>
      <c r="R218" s="290" t="s">
        <v>112</v>
      </c>
      <c r="S218" s="291" t="s">
        <v>112</v>
      </c>
      <c r="T218" s="292" t="s">
        <v>112</v>
      </c>
      <c r="U218" s="299" t="s">
        <v>112</v>
      </c>
      <c r="V218" s="290">
        <f t="shared" si="18"/>
        <v>0</v>
      </c>
      <c r="W218" s="290"/>
      <c r="X218" s="290" t="str">
        <f t="shared" si="19"/>
        <v/>
      </c>
      <c r="Y218" s="290"/>
      <c r="Z218" s="290"/>
    </row>
    <row r="219" spans="1:26">
      <c r="A219" s="285" t="s">
        <v>863</v>
      </c>
      <c r="B219" s="294" t="s">
        <v>83</v>
      </c>
      <c r="C219" s="294" t="s">
        <v>42</v>
      </c>
      <c r="D219" s="285" t="s">
        <v>456</v>
      </c>
      <c r="E219" s="294" t="s">
        <v>523</v>
      </c>
      <c r="F219" s="294" t="s">
        <v>112</v>
      </c>
      <c r="G219" s="285" t="s">
        <v>458</v>
      </c>
      <c r="H219" s="285" t="s">
        <v>459</v>
      </c>
      <c r="I219" s="285"/>
      <c r="J219" s="295" t="s">
        <v>112</v>
      </c>
      <c r="K219" s="296" t="s">
        <v>112</v>
      </c>
      <c r="L219" s="297" t="s">
        <v>112</v>
      </c>
      <c r="M219" s="285" t="s">
        <v>112</v>
      </c>
      <c r="N219" s="297">
        <v>11.78</v>
      </c>
      <c r="O219" s="297" t="s">
        <v>112</v>
      </c>
      <c r="P219" s="290">
        <v>11.78</v>
      </c>
      <c r="Q219" s="290" t="s">
        <v>112</v>
      </c>
      <c r="R219" s="290" t="s">
        <v>112</v>
      </c>
      <c r="S219" s="291" t="s">
        <v>112</v>
      </c>
      <c r="T219" s="292" t="s">
        <v>112</v>
      </c>
      <c r="U219" s="299" t="s">
        <v>112</v>
      </c>
      <c r="V219" s="290">
        <f t="shared" si="18"/>
        <v>0</v>
      </c>
      <c r="W219" s="290"/>
      <c r="X219" s="290" t="str">
        <f t="shared" si="19"/>
        <v/>
      </c>
      <c r="Y219" s="290"/>
      <c r="Z219" s="290"/>
    </row>
    <row r="220" spans="1:26">
      <c r="A220" s="285" t="s">
        <v>864</v>
      </c>
      <c r="B220" s="294" t="s">
        <v>83</v>
      </c>
      <c r="C220" s="294" t="s">
        <v>42</v>
      </c>
      <c r="D220" s="285" t="s">
        <v>456</v>
      </c>
      <c r="E220" s="294" t="s">
        <v>525</v>
      </c>
      <c r="F220" s="294" t="s">
        <v>112</v>
      </c>
      <c r="G220" s="285" t="s">
        <v>458</v>
      </c>
      <c r="H220" s="285" t="s">
        <v>459</v>
      </c>
      <c r="I220" s="285"/>
      <c r="J220" s="295" t="s">
        <v>112</v>
      </c>
      <c r="K220" s="296" t="s">
        <v>112</v>
      </c>
      <c r="L220" s="297" t="s">
        <v>112</v>
      </c>
      <c r="M220" s="285" t="s">
        <v>112</v>
      </c>
      <c r="N220" s="297">
        <v>19.38</v>
      </c>
      <c r="O220" s="297" t="s">
        <v>112</v>
      </c>
      <c r="P220" s="290">
        <v>19.38</v>
      </c>
      <c r="Q220" s="290" t="s">
        <v>112</v>
      </c>
      <c r="R220" s="290" t="s">
        <v>112</v>
      </c>
      <c r="S220" s="291" t="s">
        <v>112</v>
      </c>
      <c r="T220" s="292" t="s">
        <v>112</v>
      </c>
      <c r="U220" s="299" t="s">
        <v>112</v>
      </c>
      <c r="V220" s="290">
        <f t="shared" si="18"/>
        <v>0</v>
      </c>
      <c r="W220" s="290"/>
      <c r="X220" s="290" t="str">
        <f t="shared" si="19"/>
        <v/>
      </c>
      <c r="Y220" s="290"/>
      <c r="Z220" s="290"/>
    </row>
    <row r="221" spans="1:26">
      <c r="A221" s="285" t="s">
        <v>865</v>
      </c>
      <c r="B221" s="294" t="s">
        <v>83</v>
      </c>
      <c r="C221" s="294" t="s">
        <v>42</v>
      </c>
      <c r="D221" s="285" t="s">
        <v>456</v>
      </c>
      <c r="E221" s="294" t="s">
        <v>527</v>
      </c>
      <c r="F221" s="294" t="s">
        <v>112</v>
      </c>
      <c r="G221" s="285" t="s">
        <v>458</v>
      </c>
      <c r="H221" s="285" t="s">
        <v>459</v>
      </c>
      <c r="I221" s="285"/>
      <c r="J221" s="295" t="s">
        <v>112</v>
      </c>
      <c r="K221" s="296" t="s">
        <v>112</v>
      </c>
      <c r="L221" s="297" t="s">
        <v>112</v>
      </c>
      <c r="M221" s="285" t="s">
        <v>112</v>
      </c>
      <c r="N221" s="297">
        <v>22.77</v>
      </c>
      <c r="O221" s="297" t="s">
        <v>112</v>
      </c>
      <c r="P221" s="290">
        <v>22.77</v>
      </c>
      <c r="Q221" s="290" t="s">
        <v>112</v>
      </c>
      <c r="R221" s="290" t="s">
        <v>112</v>
      </c>
      <c r="S221" s="291" t="s">
        <v>112</v>
      </c>
      <c r="T221" s="292" t="s">
        <v>112</v>
      </c>
      <c r="U221" s="299" t="s">
        <v>112</v>
      </c>
      <c r="V221" s="290">
        <f t="shared" si="18"/>
        <v>0</v>
      </c>
      <c r="W221" s="290"/>
      <c r="X221" s="290" t="str">
        <f t="shared" si="19"/>
        <v/>
      </c>
      <c r="Y221" s="290"/>
      <c r="Z221" s="290"/>
    </row>
    <row r="222" spans="1:26">
      <c r="A222" s="285" t="s">
        <v>866</v>
      </c>
      <c r="B222" s="294" t="s">
        <v>83</v>
      </c>
      <c r="C222" s="294" t="s">
        <v>42</v>
      </c>
      <c r="D222" s="285" t="s">
        <v>456</v>
      </c>
      <c r="E222" s="294" t="s">
        <v>529</v>
      </c>
      <c r="F222" s="294" t="s">
        <v>112</v>
      </c>
      <c r="G222" s="285" t="s">
        <v>458</v>
      </c>
      <c r="H222" s="285" t="s">
        <v>459</v>
      </c>
      <c r="I222" s="285"/>
      <c r="J222" s="295" t="s">
        <v>112</v>
      </c>
      <c r="K222" s="296" t="s">
        <v>112</v>
      </c>
      <c r="L222" s="297" t="s">
        <v>112</v>
      </c>
      <c r="M222" s="285" t="s">
        <v>112</v>
      </c>
      <c r="N222" s="297">
        <v>26.87</v>
      </c>
      <c r="O222" s="297" t="s">
        <v>112</v>
      </c>
      <c r="P222" s="290">
        <v>26.87</v>
      </c>
      <c r="Q222" s="290" t="s">
        <v>112</v>
      </c>
      <c r="R222" s="290" t="s">
        <v>112</v>
      </c>
      <c r="S222" s="291" t="s">
        <v>112</v>
      </c>
      <c r="T222" s="292" t="s">
        <v>112</v>
      </c>
      <c r="U222" s="299" t="s">
        <v>112</v>
      </c>
      <c r="V222" s="290">
        <f t="shared" si="18"/>
        <v>0</v>
      </c>
      <c r="W222" s="290"/>
      <c r="X222" s="290" t="str">
        <f t="shared" si="19"/>
        <v/>
      </c>
      <c r="Y222" s="290"/>
      <c r="Z222" s="290"/>
    </row>
  </sheetData>
  <sortState ref="B7:Z222">
    <sortCondition ref="B7:B222"/>
    <sortCondition ref="C7:C222"/>
    <sortCondition ref="E7:E222"/>
  </sortState>
  <mergeCells count="2">
    <mergeCell ref="A1:Z1"/>
    <mergeCell ref="A2:Z2"/>
  </mergeCells>
  <dataValidations count="5">
    <dataValidation allowBlank="1" showInputMessage="1" showErrorMessage="1" sqref="G3:I3"/>
    <dataValidation type="list" allowBlank="1" showInputMessage="1" showErrorMessage="1" sqref="G7:G1048576">
      <formula1>OFFSET(数据对照表!$A$2,,,COUNTA(数据对照表!A:A)-1,1)</formula1>
    </dataValidation>
    <dataValidation type="list" allowBlank="1" showInputMessage="1" showErrorMessage="1" sqref="H7:H1048576">
      <formula1>"已售,未售,自用,出租,不可售"</formula1>
    </dataValidation>
    <dataValidation type="list" allowBlank="1" showInputMessage="1" showErrorMessage="1" sqref="I7:I1048576">
      <formula1>"货币收入,实物及其他收入,视同销售收入"</formula1>
    </dataValidation>
    <dataValidation type="list" allowBlank="1" showInputMessage="1" showErrorMessage="1" sqref="R43:R75">
      <formula1>"东,南,西,北,东南,西南,东北,西北"</formula1>
    </dataValidation>
  </dataValidations>
  <printOptions horizontalCentered="1"/>
  <pageMargins left="0.747916666666667" right="0.354166666666667" top="0.984027777777778" bottom="0.984027777777778" header="0.511805555555556" footer="0.511805555555556"/>
  <pageSetup paperSize="9" scale="63" fitToHeight="0" orientation="landscape"/>
  <headerFoot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H125"/>
  <sheetViews>
    <sheetView zoomScale="130" zoomScaleNormal="130" workbookViewId="0">
      <pane xSplit="8" ySplit="5" topLeftCell="V115" activePane="bottomRight" state="frozen"/>
      <selection/>
      <selection pane="topRight"/>
      <selection pane="bottomLeft"/>
      <selection pane="bottomRight" activeCell="W118" sqref="W118:W122"/>
    </sheetView>
  </sheetViews>
  <sheetFormatPr defaultColWidth="4.88405797101449" defaultRowHeight="15.65"/>
  <cols>
    <col min="1" max="1" width="4.88405797101449" style="110"/>
    <col min="2" max="2" width="9.6304347826087" style="20" customWidth="1"/>
    <col min="3" max="3" width="8.81159420289855" style="20" customWidth="1"/>
    <col min="4" max="4" width="10" style="20" customWidth="1"/>
    <col min="5" max="5" width="4.88405797101449" style="20"/>
    <col min="6" max="6" width="22.1014492753623" style="20" customWidth="1"/>
    <col min="7" max="7" width="12.4202898550725" style="20" customWidth="1"/>
    <col min="8" max="8" width="10.804347826087" style="20" customWidth="1"/>
    <col min="9" max="9" width="8" style="20" customWidth="1"/>
    <col min="10" max="10" width="13.6159420289855" style="20" customWidth="1"/>
    <col min="11" max="11" width="13.8405797101449" style="20" customWidth="1"/>
    <col min="12" max="12" width="9.1231884057971" style="20" customWidth="1"/>
    <col min="13" max="13" width="8.6231884057971" style="20" customWidth="1"/>
    <col min="14" max="15" width="14.6304347826087" style="111" customWidth="1"/>
    <col min="16" max="16" width="14.6304347826087" style="112" customWidth="1"/>
    <col min="17" max="18" width="14.6304347826087" style="111" customWidth="1"/>
    <col min="19" max="19" width="12.6014492753623" style="113" customWidth="1"/>
    <col min="20" max="20" width="14.3405797101449" style="114" customWidth="1"/>
    <col min="21" max="22" width="12.6014492753623" style="20" customWidth="1"/>
    <col min="23" max="23" width="14.9202898550725" style="111" customWidth="1"/>
    <col min="24" max="25" width="12.6014492753623" style="111" customWidth="1"/>
    <col min="26" max="26" width="7.88405797101449" style="20" customWidth="1"/>
    <col min="27" max="30" width="4.88405797101449" style="20"/>
    <col min="31" max="31" width="11.8260869565217" style="20" customWidth="1"/>
    <col min="32" max="32" width="9.5" style="20" customWidth="1"/>
    <col min="33" max="33" width="7.70289855072464" style="20"/>
    <col min="34" max="34" width="8.29710144927536" style="20"/>
    <col min="35" max="16384" width="4.88405797101449" style="20"/>
  </cols>
  <sheetData>
    <row r="1" ht="23.8" spans="1:33">
      <c r="A1" s="115" t="s">
        <v>867</v>
      </c>
      <c r="B1" s="115"/>
      <c r="C1" s="115"/>
      <c r="D1" s="115"/>
      <c r="E1" s="115"/>
      <c r="F1" s="115"/>
      <c r="G1" s="115"/>
      <c r="H1" s="115"/>
      <c r="I1" s="115"/>
      <c r="J1" s="115"/>
      <c r="K1" s="115"/>
      <c r="L1" s="115"/>
      <c r="M1" s="115"/>
      <c r="N1" s="116"/>
      <c r="O1" s="116"/>
      <c r="P1" s="117"/>
      <c r="Q1" s="116"/>
      <c r="R1" s="116"/>
      <c r="S1" s="115"/>
      <c r="T1" s="115"/>
      <c r="U1" s="115"/>
      <c r="V1" s="115"/>
      <c r="W1" s="115"/>
      <c r="X1" s="115"/>
      <c r="Y1" s="115"/>
      <c r="Z1" s="115"/>
      <c r="AA1" s="115"/>
      <c r="AB1" s="115"/>
    </row>
    <row r="2" s="102" customFormat="1" ht="15" spans="1:33">
      <c r="A2" s="118" t="str">
        <f>土地增值税税源明细表!F5&amp;"："&amp;土地增值税税源明细表!H5&amp;"          "&amp;土地增值税税源明细表!A5&amp;"："&amp;土地增值税税源明细表!B5&amp;"          "&amp;"金额单位:人民币元(列至角分)"</f>
        <v>项目编码：Z65280120200013          项目名称：春和景苑          金额单位:人民币元(列至角分)</v>
      </c>
      <c r="B2" s="118"/>
      <c r="C2" s="118"/>
      <c r="D2" s="118"/>
      <c r="E2" s="118"/>
      <c r="F2" s="118"/>
      <c r="G2" s="118"/>
      <c r="H2" s="118"/>
      <c r="I2" s="118"/>
      <c r="J2" s="118"/>
      <c r="K2" s="118"/>
      <c r="L2" s="118"/>
      <c r="M2" s="118"/>
      <c r="N2" s="119"/>
      <c r="O2" s="119"/>
      <c r="P2" s="120"/>
      <c r="Q2" s="119"/>
      <c r="R2" s="119"/>
      <c r="S2" s="118"/>
      <c r="T2" s="118"/>
      <c r="U2" s="118"/>
      <c r="V2" s="118"/>
      <c r="W2" s="118"/>
      <c r="X2" s="118"/>
      <c r="Y2" s="118"/>
      <c r="Z2" s="118"/>
      <c r="AA2" s="118"/>
      <c r="AB2" s="118"/>
    </row>
    <row r="3" s="103" customFormat="1" ht="28" customHeight="1" spans="1:33">
      <c r="A3" s="121" t="s">
        <v>37</v>
      </c>
      <c r="B3" s="122" t="s">
        <v>868</v>
      </c>
      <c r="C3" s="122" t="s">
        <v>869</v>
      </c>
      <c r="D3" s="123" t="s">
        <v>870</v>
      </c>
      <c r="E3" s="124" t="s">
        <v>871</v>
      </c>
      <c r="F3" s="122" t="s">
        <v>872</v>
      </c>
      <c r="G3" s="122" t="s">
        <v>873</v>
      </c>
      <c r="H3" s="122" t="s">
        <v>874</v>
      </c>
      <c r="I3" s="122" t="s">
        <v>875</v>
      </c>
      <c r="J3" s="122" t="s">
        <v>876</v>
      </c>
      <c r="K3" s="125" t="s">
        <v>877</v>
      </c>
      <c r="L3" s="122" t="s">
        <v>878</v>
      </c>
      <c r="M3" s="122" t="s">
        <v>879</v>
      </c>
      <c r="N3" s="126" t="s">
        <v>880</v>
      </c>
      <c r="O3" s="126" t="s">
        <v>881</v>
      </c>
      <c r="P3" s="127" t="s">
        <v>882</v>
      </c>
      <c r="Q3" s="126" t="s">
        <v>883</v>
      </c>
      <c r="R3" s="126" t="s">
        <v>884</v>
      </c>
      <c r="S3" s="128" t="s">
        <v>885</v>
      </c>
      <c r="T3" s="129" t="s">
        <v>886</v>
      </c>
      <c r="U3" s="122" t="s">
        <v>315</v>
      </c>
      <c r="V3" s="122" t="s">
        <v>887</v>
      </c>
      <c r="W3" s="122" t="s">
        <v>888</v>
      </c>
      <c r="X3" s="122" t="s">
        <v>889</v>
      </c>
      <c r="Y3" s="122" t="s">
        <v>890</v>
      </c>
      <c r="Z3" s="122" t="s">
        <v>891</v>
      </c>
      <c r="AA3" s="122" t="s">
        <v>892</v>
      </c>
      <c r="AB3" s="122" t="s">
        <v>893</v>
      </c>
    </row>
    <row r="4" s="103" customFormat="1" spans="1:33">
      <c r="A4" s="130" t="s">
        <v>316</v>
      </c>
      <c r="B4" s="131" t="s">
        <v>317</v>
      </c>
      <c r="C4" s="131" t="s">
        <v>317</v>
      </c>
      <c r="D4" s="132" t="s">
        <v>317</v>
      </c>
      <c r="E4" s="132" t="s">
        <v>317</v>
      </c>
      <c r="F4" s="131" t="s">
        <v>317</v>
      </c>
      <c r="G4" s="131" t="s">
        <v>317</v>
      </c>
      <c r="H4" s="131" t="s">
        <v>317</v>
      </c>
      <c r="I4" s="131" t="s">
        <v>317</v>
      </c>
      <c r="J4" s="131" t="s">
        <v>317</v>
      </c>
      <c r="K4" s="131" t="s">
        <v>317</v>
      </c>
      <c r="L4" s="131" t="s">
        <v>317</v>
      </c>
      <c r="M4" s="131" t="s">
        <v>317</v>
      </c>
      <c r="N4" s="133">
        <f>SUM(N$7:N$1048482)</f>
        <v>34534694.65</v>
      </c>
      <c r="O4" s="133">
        <f>SUM(O$7:O$1048482)</f>
        <v>43854521.5552394</v>
      </c>
      <c r="P4" s="134">
        <f>SUM(P$7:P$1048482)</f>
        <v>39234106.2386239</v>
      </c>
      <c r="Q4" s="133">
        <f>SUM(Q$7:Q$1048482)</f>
        <v>-7204194.50377359</v>
      </c>
      <c r="R4" s="133">
        <f>SUM(R$7:R$1048482)</f>
        <v>31621471.3648503</v>
      </c>
      <c r="S4" s="135">
        <f>IF(R5=0,"",ROUND(T5/R5,6))</f>
        <v>0.980098</v>
      </c>
      <c r="T4" s="136">
        <f>SUM(T$7:T$1048482)</f>
        <v>30992133.45</v>
      </c>
      <c r="U4" s="131" t="s">
        <v>317</v>
      </c>
      <c r="V4" s="131" t="s">
        <v>317</v>
      </c>
      <c r="W4" s="136">
        <f>SUM(W$7:W$1048482)</f>
        <v>30992133.45</v>
      </c>
      <c r="X4" s="136">
        <f>SUM(X$7:X$1048482)</f>
        <v>0</v>
      </c>
      <c r="Y4" s="136">
        <f>SUM(Y$7:Y$1048482)</f>
        <v>0</v>
      </c>
      <c r="Z4" s="131" t="s">
        <v>317</v>
      </c>
      <c r="AA4" s="131" t="s">
        <v>317</v>
      </c>
      <c r="AB4" s="131" t="s">
        <v>317</v>
      </c>
    </row>
    <row r="5" s="104" customFormat="1" ht="23.8" spans="1:33">
      <c r="A5" s="130" t="s">
        <v>318</v>
      </c>
      <c r="B5" s="131" t="s">
        <v>317</v>
      </c>
      <c r="C5" s="131" t="s">
        <v>317</v>
      </c>
      <c r="D5" s="132" t="s">
        <v>317</v>
      </c>
      <c r="E5" s="132" t="s">
        <v>317</v>
      </c>
      <c r="F5" s="131" t="s">
        <v>317</v>
      </c>
      <c r="G5" s="131" t="s">
        <v>317</v>
      </c>
      <c r="H5" s="131" t="s">
        <v>317</v>
      </c>
      <c r="I5" s="131" t="s">
        <v>317</v>
      </c>
      <c r="J5" s="131" t="s">
        <v>317</v>
      </c>
      <c r="K5" s="131" t="s">
        <v>317</v>
      </c>
      <c r="L5" s="131" t="s">
        <v>317</v>
      </c>
      <c r="M5" s="131" t="s">
        <v>317</v>
      </c>
      <c r="N5" s="133">
        <f>SUBTOTAL(9,N$7:N$1048482)</f>
        <v>34534694.65</v>
      </c>
      <c r="O5" s="133">
        <f>SUBTOTAL(9,O$7:O$1048482)</f>
        <v>43854521.5552394</v>
      </c>
      <c r="P5" s="134">
        <f>SUBTOTAL(9,P$7:P$1048482)</f>
        <v>39234106.2386239</v>
      </c>
      <c r="Q5" s="133">
        <f>SUBTOTAL(9,Q$7:Q$1048482)</f>
        <v>-7204194.50377359</v>
      </c>
      <c r="R5" s="133">
        <f>SUBTOTAL(9,R$7:R$1048482)</f>
        <v>31621471.3648503</v>
      </c>
      <c r="S5" s="135" t="str">
        <f>IF(SUM(R6)=0,"",ROUND(SUM(T6)/SUM(R6),6))</f>
        <v/>
      </c>
      <c r="T5" s="136">
        <f>SUBTOTAL(9,T$7:T$1048482)</f>
        <v>30992133.45</v>
      </c>
      <c r="U5" s="131" t="s">
        <v>317</v>
      </c>
      <c r="V5" s="131" t="s">
        <v>317</v>
      </c>
      <c r="W5" s="136">
        <f>SUBTOTAL(9,W$7:W$1048482)</f>
        <v>30992133.45</v>
      </c>
      <c r="X5" s="136">
        <f>SUBTOTAL(9,X$7:X$1048482)</f>
        <v>0</v>
      </c>
      <c r="Y5" s="136">
        <f>SUBTOTAL(9,Y$7:Y$1048482)</f>
        <v>0</v>
      </c>
      <c r="Z5" s="131" t="s">
        <v>317</v>
      </c>
      <c r="AA5" s="131" t="s">
        <v>317</v>
      </c>
      <c r="AB5" s="131" t="s">
        <v>317</v>
      </c>
    </row>
    <row r="6" spans="1:33">
      <c r="A6" s="137" t="s">
        <v>319</v>
      </c>
      <c r="B6" s="518" t="s">
        <v>42</v>
      </c>
      <c r="C6" s="518" t="s">
        <v>80</v>
      </c>
      <c r="D6" s="519" t="s">
        <v>83</v>
      </c>
      <c r="E6" s="519" t="s">
        <v>213</v>
      </c>
      <c r="F6" s="518" t="s">
        <v>244</v>
      </c>
      <c r="G6" s="518" t="s">
        <v>215</v>
      </c>
      <c r="H6" s="518" t="s">
        <v>216</v>
      </c>
      <c r="I6" s="518" t="s">
        <v>217</v>
      </c>
      <c r="J6" s="518" t="s">
        <v>224</v>
      </c>
      <c r="K6" s="518" t="s">
        <v>225</v>
      </c>
      <c r="L6" s="518" t="s">
        <v>253</v>
      </c>
      <c r="M6" s="518" t="s">
        <v>227</v>
      </c>
      <c r="N6" s="520" t="s">
        <v>228</v>
      </c>
      <c r="O6" s="520" t="s">
        <v>229</v>
      </c>
      <c r="P6" s="127">
        <v>15</v>
      </c>
      <c r="Q6" s="520" t="s">
        <v>257</v>
      </c>
      <c r="R6" s="520" t="s">
        <v>894</v>
      </c>
      <c r="S6" s="521" t="s">
        <v>259</v>
      </c>
      <c r="T6" s="502" t="s">
        <v>895</v>
      </c>
      <c r="U6" s="518" t="s">
        <v>263</v>
      </c>
      <c r="V6" s="518" t="s">
        <v>322</v>
      </c>
      <c r="W6" s="502" t="s">
        <v>265</v>
      </c>
      <c r="X6" s="502" t="s">
        <v>896</v>
      </c>
      <c r="Y6" s="502" t="s">
        <v>406</v>
      </c>
      <c r="Z6" s="518" t="s">
        <v>326</v>
      </c>
      <c r="AA6" s="518" t="s">
        <v>413</v>
      </c>
      <c r="AB6" s="518" t="s">
        <v>417</v>
      </c>
    </row>
    <row r="7" s="105" customFormat="1" ht="13" customHeight="1" spans="1:33">
      <c r="A7" s="139">
        <v>1</v>
      </c>
      <c r="B7" s="140">
        <v>43341</v>
      </c>
      <c r="C7" s="141" t="s">
        <v>897</v>
      </c>
      <c r="D7" s="142" t="s">
        <v>898</v>
      </c>
      <c r="E7" s="143" t="s">
        <v>899</v>
      </c>
      <c r="F7" s="144" t="s">
        <v>900</v>
      </c>
      <c r="G7" s="99" t="s">
        <v>901</v>
      </c>
      <c r="H7" s="145" t="str">
        <f>IF(G7="","",VLOOKUP(G7,'附表8-合同明细采集底稿'!B:I,2,0))</f>
        <v>建设工程设计合同（民用建设工程设计合同）</v>
      </c>
      <c r="I7" s="146" t="str">
        <f>IF(G7="","",VLOOKUP(G7,'附表8-合同明细采集底稿'!B:I,3,0))</f>
        <v>技术合同</v>
      </c>
      <c r="J7" s="145" t="str">
        <f>IF(G7="","",VLOOKUP(G7,'附表8-合同明细采集底稿'!B:I,4,0))</f>
        <v>库尔勒开拓规划设计研究院</v>
      </c>
      <c r="K7" s="147" t="s">
        <v>902</v>
      </c>
      <c r="L7" s="148" t="s">
        <v>903</v>
      </c>
      <c r="M7" s="149" t="s">
        <v>904</v>
      </c>
      <c r="N7" s="150">
        <v>26792.45</v>
      </c>
      <c r="O7" s="151">
        <v>28400</v>
      </c>
      <c r="P7" s="152">
        <v>26792.45</v>
      </c>
      <c r="Q7" s="151"/>
      <c r="R7" s="151">
        <f t="shared" ref="R7:R70" si="0">P7+Q7</f>
        <v>26792.45</v>
      </c>
      <c r="S7" s="153">
        <f>IFERROR(VLOOKUP(G7,'附表8-合同明细采集底稿'!B:M,12,0),100%)</f>
        <v>1</v>
      </c>
      <c r="T7" s="154">
        <f t="shared" ref="T7:T70" si="1">ROUND(SUM(R7)*SUM(S7),2)</f>
        <v>26792.45</v>
      </c>
      <c r="U7" s="145"/>
      <c r="V7" s="155" t="s">
        <v>276</v>
      </c>
      <c r="W7" s="156">
        <f>IF('附表1-面积统计表'!$D$29=0,"",IF(AND(V7="共同成本费用",Z7="总建筑面积法"),ROUND(T7/'附表1-面积统计表'!$D$29*'附表1-面积统计表'!$D$5,2),IF(AND(V7="共同成本费用",Z7="可售建筑面积法"),ROUND(T7/'附表1-面积统计表'!$F$29*'附表1-面积统计表'!$F$5,2),"请手工填写")))</f>
        <v>26792.45</v>
      </c>
      <c r="X7" s="156" t="str">
        <f>IF(SUM('附表1-面积统计表'!$D$6)=0,"",SUM(T7)-SUM(W7)-SUM(Y7))</f>
        <v/>
      </c>
      <c r="Y7" s="156">
        <f>IF(SUM('附表1-面积统计表'!$D$6)=0,SUM(T7)-SUM(W7),IF('附表1-面积统计表'!$D$29=0,"",IF(AND(V7="共同成本费用",Z7="总建筑面积法"),ROUND(T7/'附表1-面积统计表'!$D$29*'附表1-面积统计表'!$D$7,2),IF(AND(V7="共同成本费用",Z7="可售建筑面积法"),ROUND(T7/'附表1-面积统计表'!$F$29*'附表1-面积统计表'!$F$7,2),"请手工填写"))))</f>
        <v>0</v>
      </c>
      <c r="Z7" s="157" t="s">
        <v>251</v>
      </c>
      <c r="AA7" s="145"/>
      <c r="AB7" s="158" t="s">
        <v>905</v>
      </c>
      <c r="AE7" s="159" t="s">
        <v>906</v>
      </c>
      <c r="AF7" s="159">
        <v>21422.17</v>
      </c>
      <c r="AG7" s="105">
        <f>T7-AF7</f>
        <v>5370.28</v>
      </c>
    </row>
    <row r="8" s="105" customFormat="1" ht="13" customHeight="1" spans="1:33">
      <c r="A8" s="139">
        <v>2</v>
      </c>
      <c r="B8" s="140">
        <v>43353</v>
      </c>
      <c r="C8" s="141" t="s">
        <v>907</v>
      </c>
      <c r="D8" s="142" t="s">
        <v>898</v>
      </c>
      <c r="E8" s="143" t="s">
        <v>899</v>
      </c>
      <c r="F8" s="160" t="s">
        <v>908</v>
      </c>
      <c r="G8" s="99"/>
      <c r="H8" s="145" t="str">
        <f>IF(G8="","",VLOOKUP(G8,'附表8-合同明细采集底稿'!B:I,2,0))</f>
        <v/>
      </c>
      <c r="I8" s="146" t="str">
        <f>IF(G8="","",VLOOKUP(G8,'附表8-合同明细采集底稿'!B:I,3,0))</f>
        <v/>
      </c>
      <c r="J8" s="161" t="s">
        <v>909</v>
      </c>
      <c r="K8" s="147" t="s">
        <v>902</v>
      </c>
      <c r="L8" s="149" t="s">
        <v>903</v>
      </c>
      <c r="M8" s="149" t="s">
        <v>910</v>
      </c>
      <c r="N8" s="151">
        <v>2600</v>
      </c>
      <c r="O8" s="151">
        <v>2756</v>
      </c>
      <c r="P8" s="162">
        <v>2600</v>
      </c>
      <c r="Q8" s="151"/>
      <c r="R8" s="151">
        <f t="shared" si="0"/>
        <v>2600</v>
      </c>
      <c r="S8" s="153">
        <f>'附表8-合同明细采集底稿'!$M$7</f>
        <v>0.725945981401044</v>
      </c>
      <c r="T8" s="154">
        <f t="shared" si="1"/>
        <v>1887.46</v>
      </c>
      <c r="U8" s="145"/>
      <c r="V8" s="155" t="s">
        <v>276</v>
      </c>
      <c r="W8" s="156">
        <f>IF('附表1-面积统计表'!$D$29=0,"",IF(AND(V8="共同成本费用",Z8="总建筑面积法"),ROUND(T8/'附表1-面积统计表'!$D$29*'附表1-面积统计表'!$D$5,2),IF(AND(V8="共同成本费用",Z8="可售建筑面积法"),ROUND(T8/'附表1-面积统计表'!$F$29*'附表1-面积统计表'!$F$5,2),"请手工填写")))</f>
        <v>1887.46</v>
      </c>
      <c r="X8" s="156" t="str">
        <f>IF(SUM('附表1-面积统计表'!$D$6)=0,"",SUM(T8)-SUM(W8)-SUM(Y8))</f>
        <v/>
      </c>
      <c r="Y8" s="156">
        <f>IF(SUM('附表1-面积统计表'!$D$6)=0,SUM(T8)-SUM(W8),IF('附表1-面积统计表'!$D$29=0,"",IF(AND(V8="共同成本费用",Z8="总建筑面积法"),ROUND(T8/'附表1-面积统计表'!$D$29*'附表1-面积统计表'!$D$7,2),IF(AND(V8="共同成本费用",Z8="可售建筑面积法"),ROUND(T8/'附表1-面积统计表'!$F$29*'附表1-面积统计表'!$F$7,2),"请手工填写"))))</f>
        <v>0</v>
      </c>
      <c r="Z8" s="157" t="s">
        <v>251</v>
      </c>
      <c r="AA8" s="145"/>
      <c r="AB8" s="158" t="s">
        <v>905</v>
      </c>
      <c r="AC8" s="105" t="s">
        <v>911</v>
      </c>
      <c r="AE8" s="159"/>
      <c r="AF8" s="159">
        <v>2600</v>
      </c>
      <c r="AG8" s="105">
        <f t="shared" ref="AG8:AG39" si="2">T8-AF8</f>
        <v>-712.54</v>
      </c>
    </row>
    <row r="9" s="106" customFormat="1" ht="13" customHeight="1" spans="1:33">
      <c r="A9" s="139">
        <v>3</v>
      </c>
      <c r="B9" s="140">
        <v>43353</v>
      </c>
      <c r="C9" s="141" t="s">
        <v>912</v>
      </c>
      <c r="D9" s="142" t="s">
        <v>898</v>
      </c>
      <c r="E9" s="143" t="s">
        <v>913</v>
      </c>
      <c r="F9" s="160" t="s">
        <v>914</v>
      </c>
      <c r="G9" s="99"/>
      <c r="H9" s="147" t="str">
        <f>IF(G9="","",VLOOKUP(G9,'附表8-合同明细采集底稿'!B:I,2,0))</f>
        <v/>
      </c>
      <c r="I9" s="100" t="str">
        <f>IF(G9="","",VLOOKUP(G9,'附表8-合同明细采集底稿'!B:I,3,0))</f>
        <v/>
      </c>
      <c r="J9" s="149" t="s">
        <v>915</v>
      </c>
      <c r="K9" s="147" t="s">
        <v>902</v>
      </c>
      <c r="L9" s="149" t="s">
        <v>916</v>
      </c>
      <c r="M9" s="149" t="s">
        <v>917</v>
      </c>
      <c r="N9" s="151">
        <v>943.4</v>
      </c>
      <c r="O9" s="151">
        <v>1000</v>
      </c>
      <c r="P9" s="162">
        <v>1000</v>
      </c>
      <c r="Q9" s="151">
        <f>P9/1.06-P9</f>
        <v>-56.6037735849058</v>
      </c>
      <c r="R9" s="151">
        <f t="shared" si="0"/>
        <v>943.396226415094</v>
      </c>
      <c r="S9" s="153">
        <f>'附表8-合同明细采集底稿'!$M$7</f>
        <v>0.725945981401044</v>
      </c>
      <c r="T9" s="154">
        <f t="shared" si="1"/>
        <v>684.85</v>
      </c>
      <c r="U9" s="147"/>
      <c r="V9" s="163" t="s">
        <v>276</v>
      </c>
      <c r="W9" s="156">
        <f>IF('附表1-面积统计表'!$D$29=0,"",IF(AND(V9="共同成本费用",Z9="总建筑面积法"),ROUND(T9/'附表1-面积统计表'!$D$29*'附表1-面积统计表'!$D$5,2),IF(AND(V9="共同成本费用",Z9="可售建筑面积法"),ROUND(T9/'附表1-面积统计表'!$F$29*'附表1-面积统计表'!$F$5,2),"请手工填写")))</f>
        <v>684.85</v>
      </c>
      <c r="X9" s="156" t="str">
        <f>IF(SUM('附表1-面积统计表'!$D$6)=0,"",SUM(T9)-SUM(W9)-SUM(Y9))</f>
        <v/>
      </c>
      <c r="Y9" s="156">
        <f>IF(SUM('附表1-面积统计表'!$D$6)=0,SUM(T9)-SUM(W9),IF('附表1-面积统计表'!$D$29=0,"",IF(AND(V9="共同成本费用",Z9="总建筑面积法"),ROUND(T9/'附表1-面积统计表'!$D$29*'附表1-面积统计表'!$D$7,2),IF(AND(V9="共同成本费用",Z9="可售建筑面积法"),ROUND(T9/'附表1-面积统计表'!$F$29*'附表1-面积统计表'!$F$7,2),"请手工填写"))))</f>
        <v>0</v>
      </c>
      <c r="Z9" s="164" t="s">
        <v>251</v>
      </c>
      <c r="AA9" s="147"/>
      <c r="AB9" s="165" t="s">
        <v>905</v>
      </c>
      <c r="AC9" s="106" t="s">
        <v>911</v>
      </c>
      <c r="AD9" s="106" t="s">
        <v>918</v>
      </c>
      <c r="AE9" s="166" t="s">
        <v>919</v>
      </c>
      <c r="AF9" s="166">
        <v>1000</v>
      </c>
      <c r="AG9" s="106">
        <f t="shared" si="2"/>
        <v>-315.15</v>
      </c>
    </row>
    <row r="10" s="105" customFormat="1" ht="13" customHeight="1" spans="1:33">
      <c r="A10" s="139">
        <v>4</v>
      </c>
      <c r="B10" s="140">
        <v>43361</v>
      </c>
      <c r="C10" s="141" t="s">
        <v>920</v>
      </c>
      <c r="D10" s="142" t="s">
        <v>898</v>
      </c>
      <c r="E10" s="143" t="s">
        <v>899</v>
      </c>
      <c r="F10" s="160" t="s">
        <v>921</v>
      </c>
      <c r="G10" s="99" t="s">
        <v>901</v>
      </c>
      <c r="H10" s="145" t="str">
        <f>IF(G10="","",VLOOKUP(G10,'附表8-合同明细采集底稿'!B:I,2,0))</f>
        <v>建设工程设计合同（民用建设工程设计合同）</v>
      </c>
      <c r="I10" s="146" t="str">
        <f>IF(G10="","",VLOOKUP(G10,'附表8-合同明细采集底稿'!B:I,3,0))</f>
        <v>技术合同</v>
      </c>
      <c r="J10" s="145" t="str">
        <f>IF(G10="","",VLOOKUP(G10,'附表8-合同明细采集底稿'!B:I,4,0))</f>
        <v>库尔勒开拓规划设计研究院</v>
      </c>
      <c r="K10" s="147" t="s">
        <v>902</v>
      </c>
      <c r="L10" s="149" t="s">
        <v>903</v>
      </c>
      <c r="M10" s="149" t="s">
        <v>922</v>
      </c>
      <c r="N10" s="151">
        <v>30566.04</v>
      </c>
      <c r="O10" s="151">
        <v>32400</v>
      </c>
      <c r="P10" s="162">
        <v>30566.04</v>
      </c>
      <c r="Q10" s="151"/>
      <c r="R10" s="151">
        <f t="shared" si="0"/>
        <v>30566.04</v>
      </c>
      <c r="S10" s="153">
        <f>IFERROR(VLOOKUP(G10,'附表8-合同明细采集底稿'!B:M,12,0),100%)</f>
        <v>1</v>
      </c>
      <c r="T10" s="154">
        <f t="shared" si="1"/>
        <v>30566.04</v>
      </c>
      <c r="U10" s="145"/>
      <c r="V10" s="155" t="s">
        <v>276</v>
      </c>
      <c r="W10" s="156">
        <f>IF('附表1-面积统计表'!$D$29=0,"",IF(AND(V10="共同成本费用",Z10="总建筑面积法"),ROUND(T10/'附表1-面积统计表'!$D$29*'附表1-面积统计表'!$D$5,2),IF(AND(V10="共同成本费用",Z10="可售建筑面积法"),ROUND(T10/'附表1-面积统计表'!$F$29*'附表1-面积统计表'!$F$5,2),"请手工填写")))</f>
        <v>30566.04</v>
      </c>
      <c r="X10" s="156" t="str">
        <f>IF(SUM('附表1-面积统计表'!$D$6)=0,"",SUM(T10)-SUM(W10)-SUM(Y10))</f>
        <v/>
      </c>
      <c r="Y10" s="156">
        <f>IF(SUM('附表1-面积统计表'!$D$6)=0,SUM(T10)-SUM(W10),IF('附表1-面积统计表'!$D$29=0,"",IF(AND(V10="共同成本费用",Z10="总建筑面积法"),ROUND(T10/'附表1-面积统计表'!$D$29*'附表1-面积统计表'!$D$7,2),IF(AND(V10="共同成本费用",Z10="可售建筑面积法"),ROUND(T10/'附表1-面积统计表'!$F$29*'附表1-面积统计表'!$F$7,2),"请手工填写"))))</f>
        <v>0</v>
      </c>
      <c r="Z10" s="157" t="s">
        <v>251</v>
      </c>
      <c r="AA10" s="145"/>
      <c r="AB10" s="158" t="s">
        <v>905</v>
      </c>
      <c r="AE10" s="159"/>
      <c r="AF10" s="159">
        <v>30566.04</v>
      </c>
      <c r="AG10" s="105">
        <f t="shared" si="2"/>
        <v>0</v>
      </c>
    </row>
    <row r="11" s="105" customFormat="1" ht="13" customHeight="1" spans="1:33">
      <c r="A11" s="139">
        <v>5</v>
      </c>
      <c r="B11" s="140">
        <v>43373</v>
      </c>
      <c r="C11" s="141" t="s">
        <v>923</v>
      </c>
      <c r="D11" s="142" t="s">
        <v>898</v>
      </c>
      <c r="E11" s="143" t="s">
        <v>913</v>
      </c>
      <c r="F11" s="160" t="s">
        <v>924</v>
      </c>
      <c r="G11" s="167" t="s">
        <v>925</v>
      </c>
      <c r="H11" s="145" t="str">
        <f>IF(G11="","",VLOOKUP(G11,'附表8-合同明细采集底稿'!B:I,2,0))</f>
        <v>巴州建筑工程施工图设计文件审查中心</v>
      </c>
      <c r="I11" s="146" t="str">
        <f>IF(G11="","",VLOOKUP(G11,'附表8-合同明细采集底稿'!B:I,3,0))</f>
        <v>建设工程合同</v>
      </c>
      <c r="J11" s="145" t="str">
        <f>IF(G11="","",VLOOKUP(G11,'附表8-合同明细采集底稿'!B:I,4,0))</f>
        <v>巴州建筑工程施工图设计文件审查中心</v>
      </c>
      <c r="K11" s="147" t="s">
        <v>902</v>
      </c>
      <c r="L11" s="149" t="s">
        <v>903</v>
      </c>
      <c r="M11" s="149" t="s">
        <v>926</v>
      </c>
      <c r="N11" s="151">
        <v>13310.38</v>
      </c>
      <c r="O11" s="151">
        <v>14109</v>
      </c>
      <c r="P11" s="168">
        <v>13310.38</v>
      </c>
      <c r="Q11" s="151"/>
      <c r="R11" s="151">
        <f t="shared" si="0"/>
        <v>13310.38</v>
      </c>
      <c r="S11" s="153">
        <f>IFERROR(VLOOKUP(G11,'附表8-合同明细采集底稿'!B:M,12,0),100%)</f>
        <v>1</v>
      </c>
      <c r="T11" s="154">
        <f t="shared" si="1"/>
        <v>13310.38</v>
      </c>
      <c r="U11" s="145"/>
      <c r="V11" s="155" t="s">
        <v>276</v>
      </c>
      <c r="W11" s="156">
        <f>IF('附表1-面积统计表'!$D$29=0,"",IF(AND(V11="共同成本费用",Z11="总建筑面积法"),ROUND(T11/'附表1-面积统计表'!$D$29*'附表1-面积统计表'!$D$5,2),IF(AND(V11="共同成本费用",Z11="可售建筑面积法"),ROUND(T11/'附表1-面积统计表'!$F$29*'附表1-面积统计表'!$F$5,2),"请手工填写")))</f>
        <v>13310.38</v>
      </c>
      <c r="X11" s="156" t="str">
        <f>IF(SUM('附表1-面积统计表'!$D$6)=0,"",SUM(T11)-SUM(W11)-SUM(Y11))</f>
        <v/>
      </c>
      <c r="Y11" s="156">
        <f>IF(SUM('附表1-面积统计表'!$D$6)=0,SUM(T11)-SUM(W11),IF('附表1-面积统计表'!$D$29=0,"",IF(AND(V11="共同成本费用",Z11="总建筑面积法"),ROUND(T11/'附表1-面积统计表'!$D$29*'附表1-面积统计表'!$D$7,2),IF(AND(V11="共同成本费用",Z11="可售建筑面积法"),ROUND(T11/'附表1-面积统计表'!$F$29*'附表1-面积统计表'!$F$7,2),"请手工填写"))))</f>
        <v>0</v>
      </c>
      <c r="Z11" s="157" t="s">
        <v>251</v>
      </c>
      <c r="AA11" s="145"/>
      <c r="AB11" s="158" t="s">
        <v>905</v>
      </c>
      <c r="AE11" s="159"/>
      <c r="AF11" s="159">
        <v>13310.38</v>
      </c>
      <c r="AG11" s="105">
        <f t="shared" si="2"/>
        <v>0</v>
      </c>
    </row>
    <row r="12" s="105" customFormat="1" ht="13" customHeight="1" spans="1:33">
      <c r="A12" s="139">
        <v>6</v>
      </c>
      <c r="B12" s="140">
        <v>43381</v>
      </c>
      <c r="C12" s="141" t="s">
        <v>927</v>
      </c>
      <c r="D12" s="142" t="s">
        <v>898</v>
      </c>
      <c r="E12" s="143" t="s">
        <v>913</v>
      </c>
      <c r="F12" s="160" t="s">
        <v>928</v>
      </c>
      <c r="G12" s="99"/>
      <c r="H12" s="145" t="str">
        <f>IF(G12="","",VLOOKUP(G12,'附表8-合同明细采集底稿'!B:I,2,0))</f>
        <v/>
      </c>
      <c r="I12" s="146" t="str">
        <f>IF(G12="","",VLOOKUP(G12,'附表8-合同明细采集底稿'!B:I,3,0))</f>
        <v/>
      </c>
      <c r="J12" s="161" t="s">
        <v>929</v>
      </c>
      <c r="K12" s="145" t="s">
        <v>930</v>
      </c>
      <c r="L12" s="161" t="s">
        <v>931</v>
      </c>
      <c r="M12" s="149" t="s">
        <v>932</v>
      </c>
      <c r="N12" s="151">
        <v>615</v>
      </c>
      <c r="O12" s="151">
        <v>615</v>
      </c>
      <c r="P12" s="162">
        <v>615</v>
      </c>
      <c r="Q12" s="151"/>
      <c r="R12" s="151">
        <f t="shared" si="0"/>
        <v>615</v>
      </c>
      <c r="S12" s="153">
        <f>'附表8-合同明细采集底稿'!$M$7</f>
        <v>0.725945981401044</v>
      </c>
      <c r="T12" s="154">
        <f t="shared" si="1"/>
        <v>446.46</v>
      </c>
      <c r="U12" s="145"/>
      <c r="V12" s="155" t="s">
        <v>276</v>
      </c>
      <c r="W12" s="156">
        <f>IF('附表1-面积统计表'!$D$29=0,"",IF(AND(V12="共同成本费用",Z12="总建筑面积法"),ROUND(T12/'附表1-面积统计表'!$D$29*'附表1-面积统计表'!$D$5,2),IF(AND(V12="共同成本费用",Z12="可售建筑面积法"),ROUND(T12/'附表1-面积统计表'!$F$29*'附表1-面积统计表'!$F$5,2),"请手工填写")))</f>
        <v>446.46</v>
      </c>
      <c r="X12" s="156" t="str">
        <f>IF(SUM('附表1-面积统计表'!$D$6)=0,"",SUM(T12)-SUM(W12)-SUM(Y12))</f>
        <v/>
      </c>
      <c r="Y12" s="156">
        <f>IF(SUM('附表1-面积统计表'!$D$6)=0,SUM(T12)-SUM(W12),IF('附表1-面积统计表'!$D$29=0,"",IF(AND(V12="共同成本费用",Z12="总建筑面积法"),ROUND(T12/'附表1-面积统计表'!$D$29*'附表1-面积统计表'!$D$7,2),IF(AND(V12="共同成本费用",Z12="可售建筑面积法"),ROUND(T12/'附表1-面积统计表'!$F$29*'附表1-面积统计表'!$F$7,2),"请手工填写"))))</f>
        <v>0</v>
      </c>
      <c r="Z12" s="157" t="s">
        <v>251</v>
      </c>
      <c r="AA12" s="145"/>
      <c r="AB12" s="158" t="s">
        <v>905</v>
      </c>
      <c r="AC12" s="105" t="s">
        <v>911</v>
      </c>
      <c r="AE12" s="159"/>
      <c r="AF12" s="159">
        <v>615</v>
      </c>
      <c r="AG12" s="105">
        <f t="shared" si="2"/>
        <v>-168.54</v>
      </c>
    </row>
    <row r="13" s="105" customFormat="1" ht="13" customHeight="1" spans="1:33">
      <c r="A13" s="139">
        <v>7</v>
      </c>
      <c r="B13" s="140">
        <v>43439</v>
      </c>
      <c r="C13" s="141" t="s">
        <v>933</v>
      </c>
      <c r="D13" s="142" t="s">
        <v>898</v>
      </c>
      <c r="E13" s="143" t="s">
        <v>899</v>
      </c>
      <c r="F13" s="160" t="s">
        <v>934</v>
      </c>
      <c r="G13" s="99" t="s">
        <v>901</v>
      </c>
      <c r="H13" s="145" t="str">
        <f>IF(G13="","",VLOOKUP(G13,'附表8-合同明细采集底稿'!B:I,2,0))</f>
        <v>建设工程设计合同（民用建设工程设计合同）</v>
      </c>
      <c r="I13" s="146" t="str">
        <f>IF(G13="","",VLOOKUP(G13,'附表8-合同明细采集底稿'!B:I,3,0))</f>
        <v>技术合同</v>
      </c>
      <c r="J13" s="145" t="str">
        <f>IF(G13="","",VLOOKUP(G13,'附表8-合同明细采集底稿'!B:I,4,0))</f>
        <v>库尔勒开拓规划设计研究院</v>
      </c>
      <c r="K13" s="145" t="s">
        <v>902</v>
      </c>
      <c r="L13" s="161" t="s">
        <v>916</v>
      </c>
      <c r="M13" s="149" t="s">
        <v>935</v>
      </c>
      <c r="N13" s="151">
        <v>19251.89</v>
      </c>
      <c r="O13" s="151">
        <v>20407</v>
      </c>
      <c r="P13" s="162">
        <v>20407</v>
      </c>
      <c r="Q13" s="151">
        <f>-P13</f>
        <v>-20407</v>
      </c>
      <c r="R13" s="151">
        <f t="shared" si="0"/>
        <v>0</v>
      </c>
      <c r="S13" s="153">
        <f>IFERROR(VLOOKUP(G13,'附表8-合同明细采集底稿'!B:M,12,0),100%)</f>
        <v>1</v>
      </c>
      <c r="T13" s="154">
        <f t="shared" si="1"/>
        <v>0</v>
      </c>
      <c r="U13" s="105" t="s">
        <v>936</v>
      </c>
      <c r="V13" s="155" t="s">
        <v>276</v>
      </c>
      <c r="W13" s="156">
        <f>IF('附表1-面积统计表'!$D$29=0,"",IF(AND(V13="共同成本费用",Z13="总建筑面积法"),ROUND(T13/'附表1-面积统计表'!$D$29*'附表1-面积统计表'!$D$5,2),IF(AND(V13="共同成本费用",Z13="可售建筑面积法"),ROUND(T13/'附表1-面积统计表'!$F$29*'附表1-面积统计表'!$F$5,2),"请手工填写")))</f>
        <v>0</v>
      </c>
      <c r="X13" s="156" t="str">
        <f>IF(SUM('附表1-面积统计表'!$D$6)=0,"",SUM(T13)-SUM(W13)-SUM(Y13))</f>
        <v/>
      </c>
      <c r="Y13" s="156">
        <f>IF(SUM('附表1-面积统计表'!$D$6)=0,SUM(T13)-SUM(W13),IF('附表1-面积统计表'!$D$29=0,"",IF(AND(V13="共同成本费用",Z13="总建筑面积法"),ROUND(T13/'附表1-面积统计表'!$D$29*'附表1-面积统计表'!$D$7,2),IF(AND(V13="共同成本费用",Z13="可售建筑面积法"),ROUND(T13/'附表1-面积统计表'!$F$29*'附表1-面积统计表'!$F$7,2),"请手工填写"))))</f>
        <v>0</v>
      </c>
      <c r="Z13" s="157" t="s">
        <v>251</v>
      </c>
      <c r="AA13" s="145"/>
      <c r="AB13" s="158" t="s">
        <v>905</v>
      </c>
      <c r="AC13" s="105" t="s">
        <v>937</v>
      </c>
      <c r="AE13" s="159"/>
      <c r="AF13" s="159">
        <v>0</v>
      </c>
      <c r="AG13" s="105">
        <f t="shared" si="2"/>
        <v>0</v>
      </c>
    </row>
    <row r="14" s="105" customFormat="1" ht="13" customHeight="1" spans="1:33">
      <c r="A14" s="139">
        <v>8</v>
      </c>
      <c r="B14" s="140">
        <v>43593</v>
      </c>
      <c r="C14" s="141" t="s">
        <v>938</v>
      </c>
      <c r="D14" s="142" t="s">
        <v>898</v>
      </c>
      <c r="E14" s="143" t="s">
        <v>913</v>
      </c>
      <c r="F14" s="141" t="s">
        <v>939</v>
      </c>
      <c r="G14" s="99" t="s">
        <v>940</v>
      </c>
      <c r="H14" s="145" t="str">
        <f>IF(G14="","",VLOOKUP(G14,'附表8-合同明细采集底稿'!B:I,2,0))</f>
        <v>建设工程造价咨询合同</v>
      </c>
      <c r="I14" s="146" t="str">
        <f>IF(G14="","",VLOOKUP(G14,'附表8-合同明细采集底稿'!B:I,3,0))</f>
        <v>技术合同</v>
      </c>
      <c r="J14" s="145" t="str">
        <f>IF(G14="","",VLOOKUP(G14,'附表8-合同明细采集底稿'!B:I,4,0))</f>
        <v>新疆华域建设工程项目管理咨询有限公司</v>
      </c>
      <c r="K14" s="145" t="s">
        <v>902</v>
      </c>
      <c r="L14" s="161" t="s">
        <v>941</v>
      </c>
      <c r="M14" s="522" t="s">
        <v>942</v>
      </c>
      <c r="N14" s="151">
        <v>11650.49</v>
      </c>
      <c r="O14" s="151">
        <v>12000</v>
      </c>
      <c r="P14" s="162">
        <v>11650.49</v>
      </c>
      <c r="Q14" s="151">
        <f>-P14</f>
        <v>-11650.49</v>
      </c>
      <c r="R14" s="151">
        <f t="shared" si="0"/>
        <v>0</v>
      </c>
      <c r="S14" s="153">
        <f>IFERROR(VLOOKUP(G14,'附表8-合同明细采集底稿'!B:M,12,0),100%)</f>
        <v>1</v>
      </c>
      <c r="T14" s="154">
        <f t="shared" si="1"/>
        <v>0</v>
      </c>
      <c r="U14" s="145"/>
      <c r="V14" s="155" t="s">
        <v>276</v>
      </c>
      <c r="W14" s="156">
        <f>IF('附表1-面积统计表'!$D$29=0,"",IF(AND(V14="共同成本费用",Z14="总建筑面积法"),ROUND(T14/'附表1-面积统计表'!$D$29*'附表1-面积统计表'!$D$5,2),IF(AND(V14="共同成本费用",Z14="可售建筑面积法"),ROUND(T14/'附表1-面积统计表'!$F$29*'附表1-面积统计表'!$F$5,2),"请手工填写")))</f>
        <v>0</v>
      </c>
      <c r="X14" s="156" t="str">
        <f>IF(SUM('附表1-面积统计表'!$D$6)=0,"",SUM(T14)-SUM(W14)-SUM(Y14))</f>
        <v/>
      </c>
      <c r="Y14" s="156">
        <f>IF(SUM('附表1-面积统计表'!$D$6)=0,SUM(T14)-SUM(W14),IF('附表1-面积统计表'!$D$29=0,"",IF(AND(V14="共同成本费用",Z14="总建筑面积法"),ROUND(T14/'附表1-面积统计表'!$D$29*'附表1-面积统计表'!$D$7,2),IF(AND(V14="共同成本费用",Z14="可售建筑面积法"),ROUND(T14/'附表1-面积统计表'!$F$29*'附表1-面积统计表'!$F$7,2),"请手工填写"))))</f>
        <v>0</v>
      </c>
      <c r="Z14" s="157" t="s">
        <v>251</v>
      </c>
      <c r="AA14" s="145"/>
      <c r="AB14" s="158" t="s">
        <v>905</v>
      </c>
      <c r="AC14" s="105" t="s">
        <v>943</v>
      </c>
      <c r="AE14" s="159" t="s">
        <v>944</v>
      </c>
      <c r="AF14" s="159">
        <v>0</v>
      </c>
      <c r="AG14" s="105">
        <f t="shared" si="2"/>
        <v>0</v>
      </c>
    </row>
    <row r="15" s="105" customFormat="1" ht="13" customHeight="1" spans="1:33">
      <c r="A15" s="139">
        <v>9</v>
      </c>
      <c r="B15" s="140">
        <v>43627</v>
      </c>
      <c r="C15" s="141" t="s">
        <v>927</v>
      </c>
      <c r="D15" s="142" t="s">
        <v>945</v>
      </c>
      <c r="E15" s="143" t="s">
        <v>946</v>
      </c>
      <c r="F15" s="141" t="s">
        <v>947</v>
      </c>
      <c r="G15" s="99" t="s">
        <v>948</v>
      </c>
      <c r="H15" s="145" t="str">
        <f>IF(G15="","",VLOOKUP(G15,'附表8-合同明细采集底稿'!B:I,2,0))</f>
        <v>供水管道安装</v>
      </c>
      <c r="I15" s="146" t="str">
        <f>IF(G15="","",VLOOKUP(G15,'附表8-合同明细采集底稿'!B:I,3,0))</f>
        <v>建设工程合同</v>
      </c>
      <c r="J15" s="145" t="str">
        <f>IF(G15="","",VLOOKUP(G15,'附表8-合同明细采集底稿'!B:I,4,0))</f>
        <v>新疆昌源水务集团库尔勒银泉供水有限公司工程分公司</v>
      </c>
      <c r="K15" s="145" t="s">
        <v>902</v>
      </c>
      <c r="L15" s="161" t="s">
        <v>949</v>
      </c>
      <c r="M15" s="522" t="s">
        <v>950</v>
      </c>
      <c r="N15" s="151">
        <v>33666.21</v>
      </c>
      <c r="O15" s="151">
        <v>36696.17</v>
      </c>
      <c r="P15" s="162">
        <v>33666.21</v>
      </c>
      <c r="Q15" s="151"/>
      <c r="R15" s="151">
        <f t="shared" si="0"/>
        <v>33666.21</v>
      </c>
      <c r="S15" s="153">
        <f>IFERROR(VLOOKUP(G15,'附表8-合同明细采集底稿'!B:M,12,0),100%)</f>
        <v>1</v>
      </c>
      <c r="T15" s="154">
        <f t="shared" si="1"/>
        <v>33666.21</v>
      </c>
      <c r="U15" s="145"/>
      <c r="V15" s="155" t="s">
        <v>276</v>
      </c>
      <c r="W15" s="156">
        <f>IF('附表1-面积统计表'!$D$29=0,"",IF(AND(V15="共同成本费用",Z15="总建筑面积法"),ROUND(T15/'附表1-面积统计表'!$D$29*'附表1-面积统计表'!$D$5,2),IF(AND(V15="共同成本费用",Z15="可售建筑面积法"),ROUND(T15/'附表1-面积统计表'!$F$29*'附表1-面积统计表'!$F$5,2),"请手工填写")))</f>
        <v>33666.21</v>
      </c>
      <c r="X15" s="156" t="str">
        <f>IF(SUM('附表1-面积统计表'!$D$6)=0,"",SUM(T15)-SUM(W15)-SUM(Y15))</f>
        <v/>
      </c>
      <c r="Y15" s="156">
        <f>IF(SUM('附表1-面积统计表'!$D$6)=0,SUM(T15)-SUM(W15),IF('附表1-面积统计表'!$D$29=0,"",IF(AND(V15="共同成本费用",Z15="总建筑面积法"),ROUND(T15/'附表1-面积统计表'!$D$29*'附表1-面积统计表'!$D$7,2),IF(AND(V15="共同成本费用",Z15="可售建筑面积法"),ROUND(T15/'附表1-面积统计表'!$F$29*'附表1-面积统计表'!$F$7,2),"请手工填写"))))</f>
        <v>0</v>
      </c>
      <c r="Z15" s="157" t="s">
        <v>251</v>
      </c>
      <c r="AA15" s="145"/>
      <c r="AB15" s="158" t="s">
        <v>905</v>
      </c>
      <c r="AC15" s="105" t="s">
        <v>911</v>
      </c>
      <c r="AE15" s="169" t="s">
        <v>951</v>
      </c>
      <c r="AF15" s="169">
        <v>0</v>
      </c>
      <c r="AG15" s="105">
        <f t="shared" si="2"/>
        <v>33666.21</v>
      </c>
    </row>
    <row r="16" s="105" customFormat="1" ht="13" customHeight="1" spans="1:33">
      <c r="A16" s="139">
        <v>10</v>
      </c>
      <c r="B16" s="140">
        <v>43642</v>
      </c>
      <c r="C16" s="141" t="s">
        <v>952</v>
      </c>
      <c r="D16" s="142" t="s">
        <v>898</v>
      </c>
      <c r="E16" s="143" t="s">
        <v>913</v>
      </c>
      <c r="F16" s="141" t="s">
        <v>953</v>
      </c>
      <c r="G16" s="99"/>
      <c r="H16" s="145" t="str">
        <f>IF(G16="","",VLOOKUP(G16,'附表8-合同明细采集底稿'!B:I,2,0))</f>
        <v/>
      </c>
      <c r="I16" s="146" t="str">
        <f>IF(G16="","",VLOOKUP(G16,'附表8-合同明细采集底稿'!B:I,3,0))</f>
        <v/>
      </c>
      <c r="J16" s="161" t="s">
        <v>909</v>
      </c>
      <c r="K16" s="145" t="s">
        <v>902</v>
      </c>
      <c r="L16" s="161" t="s">
        <v>949</v>
      </c>
      <c r="M16" s="522" t="s">
        <v>954</v>
      </c>
      <c r="N16" s="151">
        <v>6132.08</v>
      </c>
      <c r="O16" s="151">
        <v>6500</v>
      </c>
      <c r="P16" s="162">
        <v>6132.08</v>
      </c>
      <c r="Q16" s="151"/>
      <c r="R16" s="151">
        <f t="shared" si="0"/>
        <v>6132.08</v>
      </c>
      <c r="S16" s="153">
        <f>'附表8-合同明细采集底稿'!$M$7</f>
        <v>0.725945981401044</v>
      </c>
      <c r="T16" s="154">
        <f t="shared" si="1"/>
        <v>4451.56</v>
      </c>
      <c r="U16" s="145"/>
      <c r="V16" s="155" t="s">
        <v>276</v>
      </c>
      <c r="W16" s="156">
        <f>IF('附表1-面积统计表'!$D$29=0,"",IF(AND(V16="共同成本费用",Z16="总建筑面积法"),ROUND(T16/'附表1-面积统计表'!$D$29*'附表1-面积统计表'!$D$5,2),IF(AND(V16="共同成本费用",Z16="可售建筑面积法"),ROUND(T16/'附表1-面积统计表'!$F$29*'附表1-面积统计表'!$F$5,2),"请手工填写")))</f>
        <v>4451.56</v>
      </c>
      <c r="X16" s="156" t="str">
        <f>IF(SUM('附表1-面积统计表'!$D$6)=0,"",SUM(T16)-SUM(W16)-SUM(Y16))</f>
        <v/>
      </c>
      <c r="Y16" s="156">
        <f>IF(SUM('附表1-面积统计表'!$D$6)=0,SUM(T16)-SUM(W16),IF('附表1-面积统计表'!$D$29=0,"",IF(AND(V16="共同成本费用",Z16="总建筑面积法"),ROUND(T16/'附表1-面积统计表'!$D$29*'附表1-面积统计表'!$D$7,2),IF(AND(V16="共同成本费用",Z16="可售建筑面积法"),ROUND(T16/'附表1-面积统计表'!$F$29*'附表1-面积统计表'!$F$7,2),"请手工填写"))))</f>
        <v>0</v>
      </c>
      <c r="Z16" s="157" t="s">
        <v>251</v>
      </c>
      <c r="AA16" s="145"/>
      <c r="AB16" s="158" t="s">
        <v>905</v>
      </c>
      <c r="AC16" s="105" t="s">
        <v>911</v>
      </c>
      <c r="AE16" s="159"/>
      <c r="AF16" s="159">
        <v>6132.08</v>
      </c>
      <c r="AG16" s="105">
        <f t="shared" si="2"/>
        <v>-1680.52</v>
      </c>
    </row>
    <row r="17" s="105" customFormat="1" ht="13" customHeight="1" spans="1:33">
      <c r="A17" s="139">
        <v>11</v>
      </c>
      <c r="B17" s="140">
        <v>43684</v>
      </c>
      <c r="C17" s="141" t="s">
        <v>955</v>
      </c>
      <c r="D17" s="142" t="s">
        <v>898</v>
      </c>
      <c r="E17" s="143" t="s">
        <v>913</v>
      </c>
      <c r="F17" s="141" t="s">
        <v>956</v>
      </c>
      <c r="G17" s="99"/>
      <c r="H17" s="145" t="str">
        <f>IF(G17="","",VLOOKUP(G17,'附表8-合同明细采集底稿'!B:I,2,0))</f>
        <v/>
      </c>
      <c r="I17" s="146" t="str">
        <f>IF(G17="","",VLOOKUP(G17,'附表8-合同明细采集底稿'!B:I,3,0))</f>
        <v/>
      </c>
      <c r="J17" s="161" t="s">
        <v>957</v>
      </c>
      <c r="K17" s="145" t="s">
        <v>958</v>
      </c>
      <c r="L17" s="161"/>
      <c r="M17" s="149">
        <v>6013920832</v>
      </c>
      <c r="N17" s="151">
        <v>184046.85</v>
      </c>
      <c r="O17" s="151">
        <v>184046.85</v>
      </c>
      <c r="P17" s="162">
        <v>184046.85</v>
      </c>
      <c r="Q17" s="151"/>
      <c r="R17" s="151">
        <f t="shared" si="0"/>
        <v>184046.85</v>
      </c>
      <c r="S17" s="153">
        <f>IFERROR(VLOOKUP(G17,'附表8-合同明细采集底稿'!B:M,12,0),100%)</f>
        <v>1</v>
      </c>
      <c r="T17" s="154">
        <f t="shared" si="1"/>
        <v>184046.85</v>
      </c>
      <c r="U17" s="145"/>
      <c r="V17" s="155" t="s">
        <v>276</v>
      </c>
      <c r="W17" s="156">
        <f>IF('附表1-面积统计表'!$D$29=0,"",IF(AND(V17="共同成本费用",Z17="总建筑面积法"),ROUND(T17/'附表1-面积统计表'!$D$29*'附表1-面积统计表'!$D$5,2),IF(AND(V17="共同成本费用",Z17="可售建筑面积法"),ROUND(T17/'附表1-面积统计表'!$F$29*'附表1-面积统计表'!$F$5,2),"请手工填写")))</f>
        <v>184046.85</v>
      </c>
      <c r="X17" s="156" t="str">
        <f>IF(SUM('附表1-面积统计表'!$D$6)=0,"",SUM(T17)-SUM(W17)-SUM(Y17))</f>
        <v/>
      </c>
      <c r="Y17" s="156">
        <f>IF(SUM('附表1-面积统计表'!$D$6)=0,SUM(T17)-SUM(W17),IF('附表1-面积统计表'!$D$29=0,"",IF(AND(V17="共同成本费用",Z17="总建筑面积法"),ROUND(T17/'附表1-面积统计表'!$D$29*'附表1-面积统计表'!$D$7,2),IF(AND(V17="共同成本费用",Z17="可售建筑面积法"),ROUND(T17/'附表1-面积统计表'!$F$29*'附表1-面积统计表'!$F$7,2),"请手工填写"))))</f>
        <v>0</v>
      </c>
      <c r="Z17" s="157" t="s">
        <v>251</v>
      </c>
      <c r="AA17" s="145"/>
      <c r="AB17" s="158" t="s">
        <v>905</v>
      </c>
      <c r="AE17" s="159"/>
      <c r="AF17" s="159">
        <v>184046.85</v>
      </c>
      <c r="AG17" s="105">
        <f t="shared" si="2"/>
        <v>0</v>
      </c>
    </row>
    <row r="18" s="105" customFormat="1" ht="13" customHeight="1" spans="1:33">
      <c r="A18" s="139">
        <v>12</v>
      </c>
      <c r="B18" s="140">
        <v>43704</v>
      </c>
      <c r="C18" s="141" t="s">
        <v>959</v>
      </c>
      <c r="D18" s="142" t="s">
        <v>898</v>
      </c>
      <c r="E18" s="143" t="s">
        <v>960</v>
      </c>
      <c r="F18" s="141" t="s">
        <v>961</v>
      </c>
      <c r="G18" s="99"/>
      <c r="H18" s="145" t="str">
        <f>IF(G18="","",VLOOKUP(G18,'附表8-合同明细采集底稿'!B:I,2,0))</f>
        <v/>
      </c>
      <c r="I18" s="146" t="str">
        <f>IF(G18="","",VLOOKUP(G18,'附表8-合同明细采集底稿'!B:I,3,0))</f>
        <v/>
      </c>
      <c r="J18" s="161" t="s">
        <v>962</v>
      </c>
      <c r="K18" s="147" t="s">
        <v>902</v>
      </c>
      <c r="L18" s="149" t="s">
        <v>963</v>
      </c>
      <c r="M18" s="522" t="s">
        <v>964</v>
      </c>
      <c r="N18" s="151">
        <v>9433.96</v>
      </c>
      <c r="O18" s="151">
        <v>10000</v>
      </c>
      <c r="P18" s="162">
        <v>9433.96</v>
      </c>
      <c r="Q18" s="151"/>
      <c r="R18" s="151">
        <f t="shared" si="0"/>
        <v>9433.96</v>
      </c>
      <c r="S18" s="153">
        <f>'附表8-合同明细采集底稿'!$M$7</f>
        <v>0.725945981401044</v>
      </c>
      <c r="T18" s="154">
        <f t="shared" si="1"/>
        <v>6848.55</v>
      </c>
      <c r="U18" s="145"/>
      <c r="V18" s="155" t="s">
        <v>276</v>
      </c>
      <c r="W18" s="156">
        <f>IF('附表1-面积统计表'!$D$29=0,"",IF(AND(V18="共同成本费用",Z18="总建筑面积法"),ROUND(T18/'附表1-面积统计表'!$D$29*'附表1-面积统计表'!$D$5,2),IF(AND(V18="共同成本费用",Z18="可售建筑面积法"),ROUND(T18/'附表1-面积统计表'!$F$29*'附表1-面积统计表'!$F$5,2),"请手工填写")))</f>
        <v>6848.55</v>
      </c>
      <c r="X18" s="156" t="str">
        <f>IF(SUM('附表1-面积统计表'!$D$6)=0,"",SUM(T18)-SUM(W18)-SUM(Y18))</f>
        <v/>
      </c>
      <c r="Y18" s="156">
        <f>IF(SUM('附表1-面积统计表'!$D$6)=0,SUM(T18)-SUM(W18),IF('附表1-面积统计表'!$D$29=0,"",IF(AND(V18="共同成本费用",Z18="总建筑面积法"),ROUND(T18/'附表1-面积统计表'!$D$29*'附表1-面积统计表'!$D$7,2),IF(AND(V18="共同成本费用",Z18="可售建筑面积法"),ROUND(T18/'附表1-面积统计表'!$F$29*'附表1-面积统计表'!$F$7,2),"请手工填写"))))</f>
        <v>0</v>
      </c>
      <c r="Z18" s="157" t="s">
        <v>251</v>
      </c>
      <c r="AA18" s="145"/>
      <c r="AB18" s="158" t="s">
        <v>905</v>
      </c>
      <c r="AC18" s="105" t="s">
        <v>911</v>
      </c>
      <c r="AE18" s="159"/>
      <c r="AF18" s="159">
        <v>9433.96</v>
      </c>
      <c r="AG18" s="105">
        <f t="shared" si="2"/>
        <v>-2585.41</v>
      </c>
    </row>
    <row r="19" s="105" customFormat="1" ht="13" customHeight="1" spans="1:33">
      <c r="A19" s="139">
        <v>13</v>
      </c>
      <c r="B19" s="140">
        <v>43718</v>
      </c>
      <c r="C19" s="141" t="s">
        <v>965</v>
      </c>
      <c r="D19" s="142" t="s">
        <v>966</v>
      </c>
      <c r="E19" s="143" t="s">
        <v>967</v>
      </c>
      <c r="F19" s="141" t="s">
        <v>968</v>
      </c>
      <c r="G19" s="99" t="s">
        <v>969</v>
      </c>
      <c r="H19" s="145" t="str">
        <f>IF(G19="","",VLOOKUP(G19,'附表8-合同明细采集底稿'!B:I,2,0))</f>
        <v>监理合同补充协议</v>
      </c>
      <c r="I19" s="146" t="str">
        <f>IF(G19="","",VLOOKUP(G19,'附表8-合同明细采集底稿'!B:I,3,0))</f>
        <v>技术合同</v>
      </c>
      <c r="J19" s="161" t="s">
        <v>909</v>
      </c>
      <c r="K19" s="147" t="s">
        <v>902</v>
      </c>
      <c r="L19" s="149" t="s">
        <v>970</v>
      </c>
      <c r="M19" s="522" t="s">
        <v>971</v>
      </c>
      <c r="N19" s="151">
        <v>19059.22</v>
      </c>
      <c r="O19" s="151">
        <v>19631</v>
      </c>
      <c r="P19" s="162">
        <v>19059.22</v>
      </c>
      <c r="Q19" s="151"/>
      <c r="R19" s="151">
        <f t="shared" si="0"/>
        <v>19059.22</v>
      </c>
      <c r="S19" s="153">
        <f>IFERROR(VLOOKUP(G19,'附表8-合同明细采集底稿'!B:M,12,0),100%)</f>
        <v>1</v>
      </c>
      <c r="T19" s="154">
        <f t="shared" si="1"/>
        <v>19059.22</v>
      </c>
      <c r="U19" s="145"/>
      <c r="V19" s="155" t="s">
        <v>276</v>
      </c>
      <c r="W19" s="156">
        <f>IF('附表1-面积统计表'!$D$29=0,"",IF(AND(V19="共同成本费用",Z19="总建筑面积法"),ROUND(T19/'附表1-面积统计表'!$D$29*'附表1-面积统计表'!$D$5,2),IF(AND(V19="共同成本费用",Z19="可售建筑面积法"),ROUND(T19/'附表1-面积统计表'!$F$29*'附表1-面积统计表'!$F$5,2),"请手工填写")))</f>
        <v>19059.22</v>
      </c>
      <c r="X19" s="156" t="str">
        <f>IF(SUM('附表1-面积统计表'!$D$6)=0,"",SUM(T19)-SUM(W19)-SUM(Y19))</f>
        <v/>
      </c>
      <c r="Y19" s="156">
        <f>IF(SUM('附表1-面积统计表'!$D$6)=0,SUM(T19)-SUM(W19),IF('附表1-面积统计表'!$D$29=0,"",IF(AND(V19="共同成本费用",Z19="总建筑面积法"),ROUND(T19/'附表1-面积统计表'!$D$29*'附表1-面积统计表'!$D$7,2),IF(AND(V19="共同成本费用",Z19="可售建筑面积法"),ROUND(T19/'附表1-面积统计表'!$F$29*'附表1-面积统计表'!$F$7,2),"请手工填写"))))</f>
        <v>0</v>
      </c>
      <c r="Z19" s="157" t="s">
        <v>251</v>
      </c>
      <c r="AA19" s="145"/>
      <c r="AB19" s="158" t="s">
        <v>905</v>
      </c>
      <c r="AE19" s="159" t="s">
        <v>972</v>
      </c>
      <c r="AF19" s="169">
        <v>19059.22</v>
      </c>
      <c r="AG19" s="105">
        <f t="shared" si="2"/>
        <v>0</v>
      </c>
    </row>
    <row r="20" s="105" customFormat="1" ht="13" customHeight="1" spans="1:33">
      <c r="A20" s="139">
        <v>14</v>
      </c>
      <c r="B20" s="140">
        <v>43727</v>
      </c>
      <c r="C20" s="141" t="s">
        <v>973</v>
      </c>
      <c r="D20" s="142" t="s">
        <v>898</v>
      </c>
      <c r="E20" s="143" t="s">
        <v>899</v>
      </c>
      <c r="F20" s="141" t="s">
        <v>921</v>
      </c>
      <c r="G20" s="99" t="s">
        <v>901</v>
      </c>
      <c r="H20" s="145" t="str">
        <f>IF(G20="","",VLOOKUP(G20,'附表8-合同明细采集底稿'!B:I,2,0))</f>
        <v>建设工程设计合同（民用建设工程设计合同）</v>
      </c>
      <c r="I20" s="146" t="str">
        <f>IF(G20="","",VLOOKUP(G20,'附表8-合同明细采集底稿'!B:I,3,0))</f>
        <v>技术合同</v>
      </c>
      <c r="J20" s="145" t="str">
        <f>IF(G20="","",VLOOKUP(G20,'附表8-合同明细采集底稿'!B:I,4,0))</f>
        <v>库尔勒开拓规划设计研究院</v>
      </c>
      <c r="K20" s="147" t="s">
        <v>902</v>
      </c>
      <c r="L20" s="149" t="s">
        <v>903</v>
      </c>
      <c r="M20" s="149" t="s">
        <v>922</v>
      </c>
      <c r="N20" s="151">
        <v>67219.34</v>
      </c>
      <c r="O20" s="151">
        <v>71252.5</v>
      </c>
      <c r="P20" s="162">
        <v>67219.34</v>
      </c>
      <c r="Q20" s="151">
        <v>-5370.28</v>
      </c>
      <c r="R20" s="151">
        <f t="shared" si="0"/>
        <v>61849.06</v>
      </c>
      <c r="S20" s="153">
        <f>IFERROR(VLOOKUP(G20,'附表8-合同明细采集底稿'!B:M,12,0),100%)</f>
        <v>1</v>
      </c>
      <c r="T20" s="154">
        <f t="shared" si="1"/>
        <v>61849.06</v>
      </c>
      <c r="U20" s="145"/>
      <c r="V20" s="155" t="s">
        <v>276</v>
      </c>
      <c r="W20" s="156">
        <f>IF('附表1-面积统计表'!$D$29=0,"",IF(AND(V20="共同成本费用",Z20="总建筑面积法"),ROUND(T20/'附表1-面积统计表'!$D$29*'附表1-面积统计表'!$D$5,2),IF(AND(V20="共同成本费用",Z20="可售建筑面积法"),ROUND(T20/'附表1-面积统计表'!$F$29*'附表1-面积统计表'!$F$5,2),"请手工填写")))</f>
        <v>61849.06</v>
      </c>
      <c r="X20" s="156" t="str">
        <f>IF(SUM('附表1-面积统计表'!$D$6)=0,"",SUM(T20)-SUM(W20)-SUM(Y20))</f>
        <v/>
      </c>
      <c r="Y20" s="156">
        <f>IF(SUM('附表1-面积统计表'!$D$6)=0,SUM(T20)-SUM(W20),IF('附表1-面积统计表'!$D$29=0,"",IF(AND(V20="共同成本费用",Z20="总建筑面积法"),ROUND(T20/'附表1-面积统计表'!$D$29*'附表1-面积统计表'!$D$7,2),IF(AND(V20="共同成本费用",Z20="可售建筑面积法"),ROUND(T20/'附表1-面积统计表'!$F$29*'附表1-面积统计表'!$F$7,2),"请手工填写"))))</f>
        <v>0</v>
      </c>
      <c r="Z20" s="157" t="s">
        <v>251</v>
      </c>
      <c r="AA20" s="145"/>
      <c r="AB20" s="158" t="s">
        <v>905</v>
      </c>
      <c r="AE20" s="159"/>
      <c r="AF20" s="159">
        <v>67219.34</v>
      </c>
      <c r="AG20" s="105">
        <f t="shared" si="2"/>
        <v>-5370.28</v>
      </c>
    </row>
    <row r="21" s="105" customFormat="1" ht="13" customHeight="1" spans="1:33">
      <c r="A21" s="139">
        <v>15</v>
      </c>
      <c r="B21" s="140">
        <v>43757</v>
      </c>
      <c r="C21" s="141" t="s">
        <v>974</v>
      </c>
      <c r="D21" s="142" t="s">
        <v>898</v>
      </c>
      <c r="E21" s="143" t="s">
        <v>975</v>
      </c>
      <c r="F21" s="141" t="s">
        <v>976</v>
      </c>
      <c r="G21" s="100" t="s">
        <v>977</v>
      </c>
      <c r="H21" s="145" t="str">
        <f>IF(G21="","",VLOOKUP(G21,'附表8-合同明细采集底稿'!B:I,2,0))</f>
        <v>建设工程勘察合同（春和1#-3#）</v>
      </c>
      <c r="I21" s="146" t="str">
        <f>IF(G21="","",VLOOKUP(G21,'附表8-合同明细采集底稿'!B:I,3,0))</f>
        <v>技术合同</v>
      </c>
      <c r="J21" s="145" t="str">
        <f>IF(G21="","",VLOOKUP(G21,'附表8-合同明细采集底稿'!B:I,4,0))</f>
        <v>巴州基安岩土工程勘察设计有限责任公司</v>
      </c>
      <c r="K21" s="147" t="s">
        <v>930</v>
      </c>
      <c r="L21" s="149" t="s">
        <v>949</v>
      </c>
      <c r="M21" s="522" t="s">
        <v>978</v>
      </c>
      <c r="N21" s="151">
        <v>18867.92</v>
      </c>
      <c r="O21" s="151">
        <v>50000</v>
      </c>
      <c r="P21" s="162">
        <v>18867.92</v>
      </c>
      <c r="Q21" s="151"/>
      <c r="R21" s="151">
        <f t="shared" si="0"/>
        <v>18867.92</v>
      </c>
      <c r="S21" s="153">
        <f>IFERROR(VLOOKUP(G21,'附表8-合同明细采集底稿'!B:M,12,0),100%)</f>
        <v>0.725945981401044</v>
      </c>
      <c r="T21" s="154">
        <f t="shared" si="1"/>
        <v>13697.09</v>
      </c>
      <c r="U21" s="145"/>
      <c r="V21" s="155" t="s">
        <v>276</v>
      </c>
      <c r="W21" s="156">
        <f>IF('附表1-面积统计表'!$D$29=0,"",IF(AND(V21="共同成本费用",Z21="总建筑面积法"),ROUND(T21/'附表1-面积统计表'!$D$29*'附表1-面积统计表'!$D$5,2),IF(AND(V21="共同成本费用",Z21="可售建筑面积法"),ROUND(T21/'附表1-面积统计表'!$F$29*'附表1-面积统计表'!$F$5,2),"请手工填写")))</f>
        <v>13697.09</v>
      </c>
      <c r="X21" s="156" t="str">
        <f>IF(SUM('附表1-面积统计表'!$D$6)=0,"",SUM(T21)-SUM(W21)-SUM(Y21))</f>
        <v/>
      </c>
      <c r="Y21" s="156">
        <f>IF(SUM('附表1-面积统计表'!$D$6)=0,SUM(T21)-SUM(W21),IF('附表1-面积统计表'!$D$29=0,"",IF(AND(V21="共同成本费用",Z21="总建筑面积法"),ROUND(T21/'附表1-面积统计表'!$D$29*'附表1-面积统计表'!$D$7,2),IF(AND(V21="共同成本费用",Z21="可售建筑面积法"),ROUND(T21/'附表1-面积统计表'!$F$29*'附表1-面积统计表'!$F$7,2),"请手工填写"))))</f>
        <v>0</v>
      </c>
      <c r="Z21" s="157" t="s">
        <v>251</v>
      </c>
      <c r="AA21" s="145"/>
      <c r="AB21" s="158" t="s">
        <v>905</v>
      </c>
      <c r="AC21" s="105" t="s">
        <v>911</v>
      </c>
      <c r="AE21" s="159" t="s">
        <v>979</v>
      </c>
      <c r="AF21" s="159">
        <v>18867.92</v>
      </c>
      <c r="AG21" s="105">
        <f t="shared" si="2"/>
        <v>-5170.83</v>
      </c>
    </row>
    <row r="22" s="105" customFormat="1" ht="13" customHeight="1" spans="1:33">
      <c r="A22" s="139">
        <v>16</v>
      </c>
      <c r="B22" s="140">
        <v>43778</v>
      </c>
      <c r="C22" s="141" t="s">
        <v>897</v>
      </c>
      <c r="D22" s="142" t="s">
        <v>966</v>
      </c>
      <c r="E22" s="143" t="s">
        <v>980</v>
      </c>
      <c r="F22" s="141" t="s">
        <v>981</v>
      </c>
      <c r="G22" s="99" t="s">
        <v>982</v>
      </c>
      <c r="H22" s="145" t="str">
        <f>IF(G22="","",VLOOKUP(G22,'附表8-合同明细采集底稿'!B:I,2,0))</f>
        <v>春和景苑1、2、3#住宅楼施工协议</v>
      </c>
      <c r="I22" s="146" t="str">
        <f>IF(G22="","",VLOOKUP(G22,'附表8-合同明细采集底稿'!B:I,3,0))</f>
        <v>建设工程合同</v>
      </c>
      <c r="J22" s="145" t="str">
        <f>IF(G22="","",VLOOKUP(G22,'附表8-合同明细采集底稿'!B:I,4,0))</f>
        <v>新疆正杰建筑集团有限公司（许兴德）</v>
      </c>
      <c r="K22" s="147" t="s">
        <v>902</v>
      </c>
      <c r="L22" s="149" t="s">
        <v>949</v>
      </c>
      <c r="M22" s="522" t="s">
        <v>983</v>
      </c>
      <c r="N22" s="151">
        <v>1834862.38</v>
      </c>
      <c r="O22" s="151">
        <f>ROUND(N22*1.09,2)+0.01</f>
        <v>2000000</v>
      </c>
      <c r="P22" s="162">
        <v>1834862.38</v>
      </c>
      <c r="Q22" s="151"/>
      <c r="R22" s="151">
        <f t="shared" si="0"/>
        <v>1834862.38</v>
      </c>
      <c r="S22" s="153">
        <f>IFERROR(VLOOKUP(G22,'附表8-合同明细采集底稿'!B:M,12,0),100%)</f>
        <v>1</v>
      </c>
      <c r="T22" s="154">
        <f t="shared" si="1"/>
        <v>1834862.38</v>
      </c>
      <c r="U22" s="145"/>
      <c r="V22" s="155" t="s">
        <v>276</v>
      </c>
      <c r="W22" s="156">
        <f>IF('附表1-面积统计表'!$D$29=0,"",IF(AND(V22="共同成本费用",Z22="总建筑面积法"),ROUND(T22/'附表1-面积统计表'!$D$29*'附表1-面积统计表'!$D$5,2),IF(AND(V22="共同成本费用",Z22="可售建筑面积法"),ROUND(T22/'附表1-面积统计表'!$F$29*'附表1-面积统计表'!$F$5,2),"请手工填写")))</f>
        <v>1834862.38</v>
      </c>
      <c r="X22" s="156" t="str">
        <f>IF(SUM('附表1-面积统计表'!$D$6)=0,"",SUM(T22)-SUM(W22)-SUM(Y22))</f>
        <v/>
      </c>
      <c r="Y22" s="156">
        <f>IF(SUM('附表1-面积统计表'!$D$6)=0,SUM(T22)-SUM(W22),IF('附表1-面积统计表'!$D$29=0,"",IF(AND(V22="共同成本费用",Z22="总建筑面积法"),ROUND(T22/'附表1-面积统计表'!$D$29*'附表1-面积统计表'!$D$7,2),IF(AND(V22="共同成本费用",Z22="可售建筑面积法"),ROUND(T22/'附表1-面积统计表'!$F$29*'附表1-面积统计表'!$F$7,2),"请手工填写"))))</f>
        <v>0</v>
      </c>
      <c r="Z22" s="157" t="s">
        <v>251</v>
      </c>
      <c r="AA22" s="145"/>
      <c r="AB22" s="158" t="s">
        <v>905</v>
      </c>
      <c r="AE22" s="169" t="s">
        <v>984</v>
      </c>
      <c r="AF22" s="169">
        <v>1834862.38</v>
      </c>
      <c r="AG22" s="105">
        <f t="shared" si="2"/>
        <v>0</v>
      </c>
    </row>
    <row r="23" s="105" customFormat="1" ht="13" customHeight="1" spans="1:33">
      <c r="A23" s="139">
        <v>17</v>
      </c>
      <c r="B23" s="140">
        <v>43804</v>
      </c>
      <c r="C23" s="141" t="s">
        <v>985</v>
      </c>
      <c r="D23" s="142" t="s">
        <v>966</v>
      </c>
      <c r="E23" s="143" t="s">
        <v>980</v>
      </c>
      <c r="F23" s="141" t="s">
        <v>981</v>
      </c>
      <c r="G23" s="99" t="s">
        <v>982</v>
      </c>
      <c r="H23" s="145" t="str">
        <f>IF(G23="","",VLOOKUP(G23,'附表8-合同明细采集底稿'!B:I,2,0))</f>
        <v>春和景苑1、2、3#住宅楼施工协议</v>
      </c>
      <c r="I23" s="146" t="str">
        <f>IF(G23="","",VLOOKUP(G23,'附表8-合同明细采集底稿'!B:I,3,0))</f>
        <v>建设工程合同</v>
      </c>
      <c r="J23" s="145" t="str">
        <f>IF(G23="","",VLOOKUP(G23,'附表8-合同明细采集底稿'!B:I,4,0))</f>
        <v>新疆正杰建筑集团有限公司（许兴德）</v>
      </c>
      <c r="K23" s="145" t="s">
        <v>986</v>
      </c>
      <c r="L23" s="161" t="s">
        <v>949</v>
      </c>
      <c r="M23" s="522" t="s">
        <v>983</v>
      </c>
      <c r="N23" s="151">
        <v>3394495.4</v>
      </c>
      <c r="O23" s="151">
        <f>ROUND(N23*1.09,2)+0.01</f>
        <v>3700000</v>
      </c>
      <c r="P23" s="162">
        <v>3394495.4</v>
      </c>
      <c r="Q23" s="151"/>
      <c r="R23" s="151">
        <f t="shared" si="0"/>
        <v>3394495.4</v>
      </c>
      <c r="S23" s="153">
        <f>IFERROR(VLOOKUP(G23,'附表8-合同明细采集底稿'!B:M,12,0),100%)</f>
        <v>1</v>
      </c>
      <c r="T23" s="154">
        <f t="shared" si="1"/>
        <v>3394495.4</v>
      </c>
      <c r="U23" s="145"/>
      <c r="V23" s="155" t="s">
        <v>276</v>
      </c>
      <c r="W23" s="156">
        <f>IF('附表1-面积统计表'!$D$29=0,"",IF(AND(V23="共同成本费用",Z23="总建筑面积法"),ROUND(T23/'附表1-面积统计表'!$D$29*'附表1-面积统计表'!$D$5,2),IF(AND(V23="共同成本费用",Z23="可售建筑面积法"),ROUND(T23/'附表1-面积统计表'!$F$29*'附表1-面积统计表'!$F$5,2),"请手工填写")))</f>
        <v>3394495.4</v>
      </c>
      <c r="X23" s="156" t="str">
        <f>IF(SUM('附表1-面积统计表'!$D$6)=0,"",SUM(T23)-SUM(W23)-SUM(Y23))</f>
        <v/>
      </c>
      <c r="Y23" s="156">
        <f>IF(SUM('附表1-面积统计表'!$D$6)=0,SUM(T23)-SUM(W23),IF('附表1-面积统计表'!$D$29=0,"",IF(AND(V23="共同成本费用",Z23="总建筑面积法"),ROUND(T23/'附表1-面积统计表'!$D$29*'附表1-面积统计表'!$D$7,2),IF(AND(V23="共同成本费用",Z23="可售建筑面积法"),ROUND(T23/'附表1-面积统计表'!$F$29*'附表1-面积统计表'!$F$7,2),"请手工填写"))))</f>
        <v>0</v>
      </c>
      <c r="Z23" s="157" t="s">
        <v>251</v>
      </c>
      <c r="AA23" s="145"/>
      <c r="AB23" s="158" t="s">
        <v>905</v>
      </c>
      <c r="AE23" s="169"/>
      <c r="AF23" s="169">
        <v>1426762.38</v>
      </c>
      <c r="AG23" s="105">
        <f t="shared" si="2"/>
        <v>1967733.02</v>
      </c>
    </row>
    <row r="24" s="105" customFormat="1" ht="13" customHeight="1" spans="1:33">
      <c r="A24" s="139">
        <v>18</v>
      </c>
      <c r="B24" s="160" t="s">
        <v>987</v>
      </c>
      <c r="C24" s="170" t="s">
        <v>988</v>
      </c>
      <c r="D24" s="142" t="s">
        <v>966</v>
      </c>
      <c r="E24" s="143" t="s">
        <v>967</v>
      </c>
      <c r="F24" s="170" t="s">
        <v>989</v>
      </c>
      <c r="G24" s="99" t="s">
        <v>969</v>
      </c>
      <c r="H24" s="145" t="str">
        <f>IF(G24="","",VLOOKUP(G24,'附表8-合同明细采集底稿'!B:I,2,0))</f>
        <v>监理合同补充协议</v>
      </c>
      <c r="I24" s="146" t="str">
        <f>IF(G24="","",VLOOKUP(G24,'附表8-合同明细采集底稿'!B:I,3,0))</f>
        <v>技术合同</v>
      </c>
      <c r="J24" s="161" t="s">
        <v>962</v>
      </c>
      <c r="K24" s="147" t="s">
        <v>902</v>
      </c>
      <c r="L24" s="171" t="s">
        <v>990</v>
      </c>
      <c r="M24" s="522" t="s">
        <v>991</v>
      </c>
      <c r="N24" s="151">
        <v>29155.45</v>
      </c>
      <c r="O24" s="151">
        <v>29447</v>
      </c>
      <c r="P24" s="172">
        <v>29155.45</v>
      </c>
      <c r="Q24" s="151"/>
      <c r="R24" s="151">
        <f t="shared" si="0"/>
        <v>29155.45</v>
      </c>
      <c r="S24" s="153">
        <f>IFERROR(VLOOKUP(G24,'附表8-合同明细采集底稿'!B:M,12,0),100%)</f>
        <v>1</v>
      </c>
      <c r="T24" s="154">
        <f t="shared" si="1"/>
        <v>29155.45</v>
      </c>
      <c r="U24" s="145"/>
      <c r="V24" s="155" t="s">
        <v>276</v>
      </c>
      <c r="W24" s="156">
        <f>IF('附表1-面积统计表'!$D$29=0,"",IF(AND(V24="共同成本费用",Z24="总建筑面积法"),ROUND(T24/'附表1-面积统计表'!$D$29*'附表1-面积统计表'!$D$5,2),IF(AND(V24="共同成本费用",Z24="可售建筑面积法"),ROUND(T24/'附表1-面积统计表'!$F$29*'附表1-面积统计表'!$F$5,2),"请手工填写")))</f>
        <v>29155.45</v>
      </c>
      <c r="X24" s="156" t="str">
        <f>IF(SUM('附表1-面积统计表'!$D$6)=0,"",SUM(T24)-SUM(W24)-SUM(Y24))</f>
        <v/>
      </c>
      <c r="Y24" s="156">
        <f>IF(SUM('附表1-面积统计表'!$D$6)=0,SUM(T24)-SUM(W24),IF('附表1-面积统计表'!$D$29=0,"",IF(AND(V24="共同成本费用",Z24="总建筑面积法"),ROUND(T24/'附表1-面积统计表'!$D$29*'附表1-面积统计表'!$D$7,2),IF(AND(V24="共同成本费用",Z24="可售建筑面积法"),ROUND(T24/'附表1-面积统计表'!$F$29*'附表1-面积统计表'!$F$7,2),"请手工填写"))))</f>
        <v>0</v>
      </c>
      <c r="Z24" s="157" t="s">
        <v>251</v>
      </c>
      <c r="AA24" s="145"/>
      <c r="AB24" s="158" t="s">
        <v>905</v>
      </c>
      <c r="AE24" s="159" t="s">
        <v>992</v>
      </c>
      <c r="AF24" s="169">
        <v>29155.45</v>
      </c>
      <c r="AG24" s="105">
        <f t="shared" si="2"/>
        <v>0</v>
      </c>
    </row>
    <row r="25" s="105" customFormat="1" ht="13" customHeight="1" spans="1:33">
      <c r="A25" s="139">
        <v>19</v>
      </c>
      <c r="B25" s="160" t="s">
        <v>565</v>
      </c>
      <c r="C25" s="170" t="s">
        <v>993</v>
      </c>
      <c r="D25" s="142" t="s">
        <v>966</v>
      </c>
      <c r="E25" s="143" t="s">
        <v>980</v>
      </c>
      <c r="F25" s="170" t="s">
        <v>994</v>
      </c>
      <c r="G25" s="99" t="s">
        <v>982</v>
      </c>
      <c r="H25" s="145" t="str">
        <f>IF(G25="","",VLOOKUP(G25,'附表8-合同明细采集底稿'!B:I,2,0))</f>
        <v>春和景苑1、2、3#住宅楼施工协议</v>
      </c>
      <c r="I25" s="146" t="str">
        <f>IF(G25="","",VLOOKUP(G25,'附表8-合同明细采集底稿'!B:I,3,0))</f>
        <v>建设工程合同</v>
      </c>
      <c r="J25" s="145" t="str">
        <f>IF(G25="","",VLOOKUP(G25,'附表8-合同明细采集底稿'!B:I,4,0))</f>
        <v>新疆正杰建筑集团有限公司（许兴德）</v>
      </c>
      <c r="K25" s="147" t="s">
        <v>902</v>
      </c>
      <c r="L25" s="149" t="s">
        <v>995</v>
      </c>
      <c r="M25" s="522" t="s">
        <v>996</v>
      </c>
      <c r="N25" s="151">
        <v>671376.15</v>
      </c>
      <c r="O25" s="151">
        <v>568800</v>
      </c>
      <c r="P25" s="172">
        <v>671376.15</v>
      </c>
      <c r="Q25" s="151"/>
      <c r="R25" s="151">
        <f t="shared" si="0"/>
        <v>671376.15</v>
      </c>
      <c r="S25" s="153">
        <f>IFERROR(VLOOKUP(G25,'附表8-合同明细采集底稿'!B:M,12,0),100%)</f>
        <v>1</v>
      </c>
      <c r="T25" s="154">
        <f t="shared" si="1"/>
        <v>671376.15</v>
      </c>
      <c r="U25" s="145"/>
      <c r="V25" s="155" t="s">
        <v>276</v>
      </c>
      <c r="W25" s="156">
        <f>IF('附表1-面积统计表'!$D$29=0,"",IF(AND(V25="共同成本费用",Z25="总建筑面积法"),ROUND(T25/'附表1-面积统计表'!$D$29*'附表1-面积统计表'!$D$5,2),IF(AND(V25="共同成本费用",Z25="可售建筑面积法"),ROUND(T25/'附表1-面积统计表'!$F$29*'附表1-面积统计表'!$F$5,2),"请手工填写")))</f>
        <v>671376.15</v>
      </c>
      <c r="X25" s="156" t="str">
        <f>IF(SUM('附表1-面积统计表'!$D$6)=0,"",SUM(T25)-SUM(W25)-SUM(Y25))</f>
        <v/>
      </c>
      <c r="Y25" s="156">
        <f>IF(SUM('附表1-面积统计表'!$D$6)=0,SUM(T25)-SUM(W25),IF('附表1-面积统计表'!$D$29=0,"",IF(AND(V25="共同成本费用",Z25="总建筑面积法"),ROUND(T25/'附表1-面积统计表'!$D$29*'附表1-面积统计表'!$D$7,2),IF(AND(V25="共同成本费用",Z25="可售建筑面积法"),ROUND(T25/'附表1-面积统计表'!$F$29*'附表1-面积统计表'!$F$7,2),"请手工填写"))))</f>
        <v>0</v>
      </c>
      <c r="Z25" s="157" t="s">
        <v>251</v>
      </c>
      <c r="AA25" s="145"/>
      <c r="AB25" s="158" t="s">
        <v>905</v>
      </c>
      <c r="AE25" s="169"/>
      <c r="AF25" s="169">
        <v>671376.15</v>
      </c>
      <c r="AG25" s="105">
        <f t="shared" si="2"/>
        <v>0</v>
      </c>
    </row>
    <row r="26" s="105" customFormat="1" ht="13" customHeight="1" spans="1:33">
      <c r="A26" s="139">
        <v>20</v>
      </c>
      <c r="B26" s="160" t="s">
        <v>997</v>
      </c>
      <c r="C26" s="170" t="s">
        <v>998</v>
      </c>
      <c r="D26" s="142" t="s">
        <v>966</v>
      </c>
      <c r="E26" s="143" t="s">
        <v>980</v>
      </c>
      <c r="F26" s="170" t="s">
        <v>999</v>
      </c>
      <c r="G26" s="99" t="s">
        <v>1000</v>
      </c>
      <c r="H26" s="145" t="str">
        <f>IF(G26="","",VLOOKUP(G26,'附表8-合同明细采集底稿'!B:I,2,0))</f>
        <v>春和电梯销售安装合同</v>
      </c>
      <c r="I26" s="146" t="str">
        <f>IF(G26="","",VLOOKUP(G26,'附表8-合同明细采集底稿'!B:I,3,0))</f>
        <v>建设工程合同</v>
      </c>
      <c r="J26" s="145" t="str">
        <f>IF(G26="","",VLOOKUP(G26,'附表8-合同明细采集底稿'!B:I,4,0))</f>
        <v>新疆华汇建安机械设备有限公司（许林）</v>
      </c>
      <c r="K26" s="147" t="s">
        <v>902</v>
      </c>
      <c r="L26" s="149" t="s">
        <v>995</v>
      </c>
      <c r="M26" s="522" t="s">
        <v>1001</v>
      </c>
      <c r="N26" s="151">
        <v>661061.95</v>
      </c>
      <c r="O26" s="151">
        <v>731800</v>
      </c>
      <c r="P26" s="172">
        <v>661061.95</v>
      </c>
      <c r="Q26" s="151"/>
      <c r="R26" s="151">
        <f t="shared" si="0"/>
        <v>661061.95</v>
      </c>
      <c r="S26" s="153">
        <f>IFERROR(VLOOKUP(G26,'附表8-合同明细采集底稿'!B:M,12,0),100%)</f>
        <v>1</v>
      </c>
      <c r="T26" s="154">
        <f t="shared" si="1"/>
        <v>661061.95</v>
      </c>
      <c r="U26" s="145"/>
      <c r="V26" s="155" t="s">
        <v>276</v>
      </c>
      <c r="W26" s="156">
        <f>IF('附表1-面积统计表'!$D$29=0,"",IF(AND(V26="共同成本费用",Z26="总建筑面积法"),ROUND(T26/'附表1-面积统计表'!$D$29*'附表1-面积统计表'!$D$5,2),IF(AND(V26="共同成本费用",Z26="可售建筑面积法"),ROUND(T26/'附表1-面积统计表'!$F$29*'附表1-面积统计表'!$F$5,2),"请手工填写")))</f>
        <v>661061.95</v>
      </c>
      <c r="X26" s="156" t="str">
        <f>IF(SUM('附表1-面积统计表'!$D$6)=0,"",SUM(T26)-SUM(W26)-SUM(Y26))</f>
        <v/>
      </c>
      <c r="Y26" s="156">
        <f>IF(SUM('附表1-面积统计表'!$D$6)=0,SUM(T26)-SUM(W26),IF('附表1-面积统计表'!$D$29=0,"",IF(AND(V26="共同成本费用",Z26="总建筑面积法"),ROUND(T26/'附表1-面积统计表'!$D$29*'附表1-面积统计表'!$D$7,2),IF(AND(V26="共同成本费用",Z26="可售建筑面积法"),ROUND(T26/'附表1-面积统计表'!$F$29*'附表1-面积统计表'!$F$7,2),"请手工填写"))))</f>
        <v>0</v>
      </c>
      <c r="Z26" s="157" t="s">
        <v>251</v>
      </c>
      <c r="AA26" s="145"/>
      <c r="AB26" s="158" t="s">
        <v>905</v>
      </c>
      <c r="AE26" s="169" t="s">
        <v>1002</v>
      </c>
      <c r="AF26" s="169">
        <v>661061.95</v>
      </c>
      <c r="AG26" s="105">
        <f t="shared" si="2"/>
        <v>0</v>
      </c>
    </row>
    <row r="27" s="105" customFormat="1" ht="13" customHeight="1" spans="1:33">
      <c r="A27" s="139">
        <v>21</v>
      </c>
      <c r="B27" s="160" t="s">
        <v>1003</v>
      </c>
      <c r="C27" s="170" t="s">
        <v>1004</v>
      </c>
      <c r="D27" s="142" t="s">
        <v>966</v>
      </c>
      <c r="E27" s="143" t="s">
        <v>980</v>
      </c>
      <c r="F27" s="170" t="s">
        <v>1005</v>
      </c>
      <c r="G27" s="99" t="s">
        <v>982</v>
      </c>
      <c r="H27" s="145" t="str">
        <f>IF(G27="","",VLOOKUP(G27,'附表8-合同明细采集底稿'!B:I,2,0))</f>
        <v>春和景苑1、2、3#住宅楼施工协议</v>
      </c>
      <c r="I27" s="146" t="str">
        <f>IF(G27="","",VLOOKUP(G27,'附表8-合同明细采集底稿'!B:I,3,0))</f>
        <v>建设工程合同</v>
      </c>
      <c r="J27" s="145" t="str">
        <f>IF(G27="","",VLOOKUP(G27,'附表8-合同明细采集底稿'!B:I,4,0))</f>
        <v>新疆正杰建筑集团有限公司（许兴德）</v>
      </c>
      <c r="K27" s="147" t="s">
        <v>902</v>
      </c>
      <c r="L27" s="149" t="s">
        <v>995</v>
      </c>
      <c r="M27" s="522" t="s">
        <v>1006</v>
      </c>
      <c r="N27" s="151">
        <v>933761.47</v>
      </c>
      <c r="O27" s="151">
        <f>ROUND(N27*1.09,2)</f>
        <v>1017800</v>
      </c>
      <c r="P27" s="172">
        <v>933761.47</v>
      </c>
      <c r="Q27" s="151"/>
      <c r="R27" s="151">
        <f t="shared" si="0"/>
        <v>933761.47</v>
      </c>
      <c r="S27" s="153">
        <f>IFERROR(VLOOKUP(G27,'附表8-合同明细采集底稿'!B:M,12,0),100%)</f>
        <v>1</v>
      </c>
      <c r="T27" s="154">
        <f t="shared" si="1"/>
        <v>933761.47</v>
      </c>
      <c r="U27" s="145"/>
      <c r="V27" s="155" t="s">
        <v>276</v>
      </c>
      <c r="W27" s="156">
        <f>IF('附表1-面积统计表'!$D$29=0,"",IF(AND(V27="共同成本费用",Z27="总建筑面积法"),ROUND(T27/'附表1-面积统计表'!$D$29*'附表1-面积统计表'!$D$5,2),IF(AND(V27="共同成本费用",Z27="可售建筑面积法"),ROUND(T27/'附表1-面积统计表'!$F$29*'附表1-面积统计表'!$F$5,2),"请手工填写")))</f>
        <v>933761.47</v>
      </c>
      <c r="X27" s="156" t="str">
        <f>IF(SUM('附表1-面积统计表'!$D$6)=0,"",SUM(T27)-SUM(W27)-SUM(Y27))</f>
        <v/>
      </c>
      <c r="Y27" s="156">
        <f>IF(SUM('附表1-面积统计表'!$D$6)=0,SUM(T27)-SUM(W27),IF('附表1-面积统计表'!$D$29=0,"",IF(AND(V27="共同成本费用",Z27="总建筑面积法"),ROUND(T27/'附表1-面积统计表'!$D$29*'附表1-面积统计表'!$D$7,2),IF(AND(V27="共同成本费用",Z27="可售建筑面积法"),ROUND(T27/'附表1-面积统计表'!$F$29*'附表1-面积统计表'!$F$7,2),"请手工填写"))))</f>
        <v>0</v>
      </c>
      <c r="Z27" s="157" t="s">
        <v>251</v>
      </c>
      <c r="AA27" s="145"/>
      <c r="AB27" s="158" t="s">
        <v>905</v>
      </c>
      <c r="AE27" s="169"/>
      <c r="AF27" s="169">
        <v>933761.47</v>
      </c>
      <c r="AG27" s="105">
        <f t="shared" si="2"/>
        <v>0</v>
      </c>
    </row>
    <row r="28" s="105" customFormat="1" ht="13" customHeight="1" spans="1:33">
      <c r="A28" s="139">
        <v>22</v>
      </c>
      <c r="B28" s="160" t="s">
        <v>1007</v>
      </c>
      <c r="C28" s="170" t="s">
        <v>1008</v>
      </c>
      <c r="D28" s="142" t="s">
        <v>966</v>
      </c>
      <c r="E28" s="143" t="s">
        <v>980</v>
      </c>
      <c r="F28" s="170" t="s">
        <v>1009</v>
      </c>
      <c r="G28" s="99" t="s">
        <v>1000</v>
      </c>
      <c r="H28" s="145" t="str">
        <f>IF(G28="","",VLOOKUP(G28,'附表8-合同明细采集底稿'!B:I,2,0))</f>
        <v>春和电梯销售安装合同</v>
      </c>
      <c r="I28" s="146" t="str">
        <f>IF(G28="","",VLOOKUP(G28,'附表8-合同明细采集底稿'!B:I,3,0))</f>
        <v>建设工程合同</v>
      </c>
      <c r="J28" s="145" t="str">
        <f>IF(G28="","",VLOOKUP(G28,'附表8-合同明细采集底稿'!B:I,4,0))</f>
        <v>新疆华汇建安机械设备有限公司（许林）</v>
      </c>
      <c r="K28" s="147" t="s">
        <v>902</v>
      </c>
      <c r="L28" s="149" t="s">
        <v>995</v>
      </c>
      <c r="M28" s="522" t="s">
        <v>1010</v>
      </c>
      <c r="N28" s="151">
        <v>419417.48</v>
      </c>
      <c r="O28" s="151">
        <v>432000</v>
      </c>
      <c r="P28" s="172">
        <v>419417.48</v>
      </c>
      <c r="Q28" s="151"/>
      <c r="R28" s="151">
        <f t="shared" si="0"/>
        <v>419417.48</v>
      </c>
      <c r="S28" s="153">
        <f>IFERROR(VLOOKUP(G28,'附表8-合同明细采集底稿'!B:M,12,0),100%)</f>
        <v>1</v>
      </c>
      <c r="T28" s="154">
        <f t="shared" si="1"/>
        <v>419417.48</v>
      </c>
      <c r="U28" s="145"/>
      <c r="V28" s="155" t="s">
        <v>276</v>
      </c>
      <c r="W28" s="156">
        <f>IF('附表1-面积统计表'!$D$29=0,"",IF(AND(V28="共同成本费用",Z28="总建筑面积法"),ROUND(T28/'附表1-面积统计表'!$D$29*'附表1-面积统计表'!$D$5,2),IF(AND(V28="共同成本费用",Z28="可售建筑面积法"),ROUND(T28/'附表1-面积统计表'!$F$29*'附表1-面积统计表'!$F$5,2),"请手工填写")))</f>
        <v>419417.48</v>
      </c>
      <c r="X28" s="156" t="str">
        <f>IF(SUM('附表1-面积统计表'!$D$6)=0,"",SUM(T28)-SUM(W28)-SUM(Y28))</f>
        <v/>
      </c>
      <c r="Y28" s="156">
        <f>IF(SUM('附表1-面积统计表'!$D$6)=0,SUM(T28)-SUM(W28),IF('附表1-面积统计表'!$D$29=0,"",IF(AND(V28="共同成本费用",Z28="总建筑面积法"),ROUND(T28/'附表1-面积统计表'!$D$29*'附表1-面积统计表'!$D$7,2),IF(AND(V28="共同成本费用",Z28="可售建筑面积法"),ROUND(T28/'附表1-面积统计表'!$F$29*'附表1-面积统计表'!$F$7,2),"请手工填写"))))</f>
        <v>0</v>
      </c>
      <c r="Z28" s="157" t="s">
        <v>251</v>
      </c>
      <c r="AA28" s="145"/>
      <c r="AB28" s="158" t="s">
        <v>905</v>
      </c>
      <c r="AE28" s="169"/>
      <c r="AF28" s="169">
        <v>419417.48</v>
      </c>
      <c r="AG28" s="105">
        <f t="shared" si="2"/>
        <v>0</v>
      </c>
    </row>
    <row r="29" s="105" customFormat="1" ht="13" customHeight="1" spans="1:33">
      <c r="A29" s="139">
        <v>23</v>
      </c>
      <c r="B29" s="160" t="s">
        <v>1011</v>
      </c>
      <c r="C29" s="170" t="s">
        <v>1012</v>
      </c>
      <c r="D29" s="142" t="s">
        <v>898</v>
      </c>
      <c r="E29" s="143" t="s">
        <v>960</v>
      </c>
      <c r="F29" s="170" t="s">
        <v>1013</v>
      </c>
      <c r="G29" s="99"/>
      <c r="H29" s="145" t="str">
        <f>IF(G29="","",VLOOKUP(G29,'附表8-合同明细采集底稿'!B:I,2,0))</f>
        <v/>
      </c>
      <c r="I29" s="146" t="str">
        <f>IF(G29="","",VLOOKUP(G29,'附表8-合同明细采集底稿'!B:I,3,0))</f>
        <v/>
      </c>
      <c r="J29" s="161" t="s">
        <v>1014</v>
      </c>
      <c r="K29" s="147" t="s">
        <v>930</v>
      </c>
      <c r="L29" s="149" t="s">
        <v>995</v>
      </c>
      <c r="M29" s="522" t="s">
        <v>1015</v>
      </c>
      <c r="N29" s="151">
        <v>1300</v>
      </c>
      <c r="O29" s="151">
        <v>1300</v>
      </c>
      <c r="P29" s="172">
        <v>1300</v>
      </c>
      <c r="Q29" s="151"/>
      <c r="R29" s="151">
        <f t="shared" si="0"/>
        <v>1300</v>
      </c>
      <c r="S29" s="153">
        <f>'附表8-合同明细采集底稿'!$M$7</f>
        <v>0.725945981401044</v>
      </c>
      <c r="T29" s="154">
        <f t="shared" si="1"/>
        <v>943.73</v>
      </c>
      <c r="U29" s="145"/>
      <c r="V29" s="155" t="s">
        <v>276</v>
      </c>
      <c r="W29" s="156">
        <f>IF('附表1-面积统计表'!$D$29=0,"",IF(AND(V29="共同成本费用",Z29="总建筑面积法"),ROUND(T29/'附表1-面积统计表'!$D$29*'附表1-面积统计表'!$D$5,2),IF(AND(V29="共同成本费用",Z29="可售建筑面积法"),ROUND(T29/'附表1-面积统计表'!$F$29*'附表1-面积统计表'!$F$5,2),"请手工填写")))</f>
        <v>943.73</v>
      </c>
      <c r="X29" s="156" t="str">
        <f>IF(SUM('附表1-面积统计表'!$D$6)=0,"",SUM(T29)-SUM(W29)-SUM(Y29))</f>
        <v/>
      </c>
      <c r="Y29" s="156">
        <f>IF(SUM('附表1-面积统计表'!$D$6)=0,SUM(T29)-SUM(W29),IF('附表1-面积统计表'!$D$29=0,"",IF(AND(V29="共同成本费用",Z29="总建筑面积法"),ROUND(T29/'附表1-面积统计表'!$D$29*'附表1-面积统计表'!$D$7,2),IF(AND(V29="共同成本费用",Z29="可售建筑面积法"),ROUND(T29/'附表1-面积统计表'!$F$29*'附表1-面积统计表'!$F$7,2),"请手工填写"))))</f>
        <v>0</v>
      </c>
      <c r="Z29" s="157" t="s">
        <v>251</v>
      </c>
      <c r="AA29" s="145"/>
      <c r="AB29" s="158" t="s">
        <v>905</v>
      </c>
      <c r="AC29" s="105" t="s">
        <v>911</v>
      </c>
      <c r="AE29" s="159" t="s">
        <v>1016</v>
      </c>
      <c r="AF29" s="159">
        <v>0</v>
      </c>
      <c r="AG29" s="105">
        <f t="shared" si="2"/>
        <v>943.73</v>
      </c>
    </row>
    <row r="30" s="107" customFormat="1" ht="13" customHeight="1" spans="1:33">
      <c r="A30" s="173">
        <v>24</v>
      </c>
      <c r="B30" s="174" t="s">
        <v>1017</v>
      </c>
      <c r="C30" s="175" t="s">
        <v>1018</v>
      </c>
      <c r="D30" s="176" t="s">
        <v>945</v>
      </c>
      <c r="E30" s="177" t="s">
        <v>1019</v>
      </c>
      <c r="F30" s="175" t="s">
        <v>1020</v>
      </c>
      <c r="G30" s="178"/>
      <c r="H30" s="179" t="str">
        <f>IF(G30="","",VLOOKUP(G30,'附表8-合同明细采集底稿'!B:I,2,0))</f>
        <v/>
      </c>
      <c r="I30" s="180" t="str">
        <f>IF(G30="","",VLOOKUP(G30,'附表8-合同明细采集底稿'!B:I,3,0))</f>
        <v/>
      </c>
      <c r="J30" s="181" t="s">
        <v>112</v>
      </c>
      <c r="K30" s="179" t="s">
        <v>902</v>
      </c>
      <c r="L30" s="181" t="s">
        <v>995</v>
      </c>
      <c r="M30" s="523" t="s">
        <v>1021</v>
      </c>
      <c r="N30" s="182">
        <v>10824.75</v>
      </c>
      <c r="O30" s="182">
        <v>29779</v>
      </c>
      <c r="P30" s="183">
        <v>10824.75</v>
      </c>
      <c r="Q30" s="182">
        <f>-P30</f>
        <v>-10824.75</v>
      </c>
      <c r="R30" s="182">
        <f t="shared" si="0"/>
        <v>0</v>
      </c>
      <c r="S30" s="184">
        <f>IFERROR(VLOOKUP(G30,'附表8-合同明细采集底稿'!B:M,12,0),100%)</f>
        <v>1</v>
      </c>
      <c r="T30" s="185">
        <f t="shared" si="1"/>
        <v>0</v>
      </c>
      <c r="U30" s="179"/>
      <c r="V30" s="186" t="s">
        <v>276</v>
      </c>
      <c r="W30" s="187">
        <f>IF('附表1-面积统计表'!$D$29=0,"",IF(AND(V30="共同成本费用",Z30="总建筑面积法"),ROUND(T30/'附表1-面积统计表'!$D$29*'附表1-面积统计表'!$D$5,2),IF(AND(V30="共同成本费用",Z30="可售建筑面积法"),ROUND(T30/'附表1-面积统计表'!$F$29*'附表1-面积统计表'!$F$5,2),"请手工填写")))</f>
        <v>0</v>
      </c>
      <c r="X30" s="187" t="str">
        <f>IF(SUM('附表1-面积统计表'!$D$6)=0,"",SUM(T30)-SUM(W30)-SUM(Y30))</f>
        <v/>
      </c>
      <c r="Y30" s="187">
        <f>IF(SUM('附表1-面积统计表'!$D$6)=0,SUM(T30)-SUM(W30),IF('附表1-面积统计表'!$D$29=0,"",IF(AND(V30="共同成本费用",Z30="总建筑面积法"),ROUND(T30/'附表1-面积统计表'!$D$29*'附表1-面积统计表'!$D$7,2),IF(AND(V30="共同成本费用",Z30="可售建筑面积法"),ROUND(T30/'附表1-面积统计表'!$F$29*'附表1-面积统计表'!$F$7,2),"请手工填写"))))</f>
        <v>0</v>
      </c>
      <c r="Z30" s="188" t="s">
        <v>251</v>
      </c>
      <c r="AA30" s="179"/>
      <c r="AB30" s="189" t="s">
        <v>905</v>
      </c>
      <c r="AE30" s="190" t="s">
        <v>944</v>
      </c>
      <c r="AF30" s="190">
        <v>0</v>
      </c>
      <c r="AG30" s="107">
        <f t="shared" si="2"/>
        <v>0</v>
      </c>
    </row>
    <row r="31" s="105" customFormat="1" ht="13" customHeight="1" spans="1:33">
      <c r="A31" s="139">
        <v>25</v>
      </c>
      <c r="B31" s="160" t="s">
        <v>1017</v>
      </c>
      <c r="C31" s="170" t="s">
        <v>1022</v>
      </c>
      <c r="D31" s="142" t="s">
        <v>966</v>
      </c>
      <c r="E31" s="143" t="s">
        <v>980</v>
      </c>
      <c r="F31" s="170" t="s">
        <v>1023</v>
      </c>
      <c r="G31" s="99" t="s">
        <v>1000</v>
      </c>
      <c r="H31" s="145" t="str">
        <f>IF(G31="","",VLOOKUP(G31,'附表8-合同明细采集底稿'!B:I,2,0))</f>
        <v>春和电梯销售安装合同</v>
      </c>
      <c r="I31" s="146" t="str">
        <f>IF(G31="","",VLOOKUP(G31,'附表8-合同明细采集底稿'!B:I,3,0))</f>
        <v>建设工程合同</v>
      </c>
      <c r="J31" s="145" t="str">
        <f>IF(G31="","",VLOOKUP(G31,'附表8-合同明细采集底稿'!B:I,4,0))</f>
        <v>新疆华汇建安机械设备有限公司（许林）</v>
      </c>
      <c r="K31" s="147" t="s">
        <v>902</v>
      </c>
      <c r="L31" s="149" t="s">
        <v>995</v>
      </c>
      <c r="M31" s="522" t="s">
        <v>1024</v>
      </c>
      <c r="N31" s="151">
        <v>444582.52</v>
      </c>
      <c r="O31" s="151">
        <v>457920</v>
      </c>
      <c r="P31" s="172">
        <v>444582.52</v>
      </c>
      <c r="Q31" s="151"/>
      <c r="R31" s="151">
        <f t="shared" si="0"/>
        <v>444582.52</v>
      </c>
      <c r="S31" s="153">
        <f>IFERROR(VLOOKUP(G31,'附表8-合同明细采集底稿'!B:M,12,0),100%)</f>
        <v>1</v>
      </c>
      <c r="T31" s="154">
        <f t="shared" si="1"/>
        <v>444582.52</v>
      </c>
      <c r="U31" s="145"/>
      <c r="V31" s="155" t="s">
        <v>276</v>
      </c>
      <c r="W31" s="156">
        <f>IF('附表1-面积统计表'!$D$29=0,"",IF(AND(V31="共同成本费用",Z31="总建筑面积法"),ROUND(T31/'附表1-面积统计表'!$D$29*'附表1-面积统计表'!$D$5,2),IF(AND(V31="共同成本费用",Z31="可售建筑面积法"),ROUND(T31/'附表1-面积统计表'!$F$29*'附表1-面积统计表'!$F$5,2),"请手工填写")))</f>
        <v>444582.52</v>
      </c>
      <c r="X31" s="156" t="str">
        <f>IF(SUM('附表1-面积统计表'!$D$6)=0,"",SUM(T31)-SUM(W31)-SUM(Y31))</f>
        <v/>
      </c>
      <c r="Y31" s="156">
        <f>IF(SUM('附表1-面积统计表'!$D$6)=0,SUM(T31)-SUM(W31),IF('附表1-面积统计表'!$D$29=0,"",IF(AND(V31="共同成本费用",Z31="总建筑面积法"),ROUND(T31/'附表1-面积统计表'!$D$29*'附表1-面积统计表'!$D$7,2),IF(AND(V31="共同成本费用",Z31="可售建筑面积法"),ROUND(T31/'附表1-面积统计表'!$F$29*'附表1-面积统计表'!$F$7,2),"请手工填写"))))</f>
        <v>0</v>
      </c>
      <c r="Z31" s="157" t="s">
        <v>251</v>
      </c>
      <c r="AA31" s="145"/>
      <c r="AB31" s="158" t="s">
        <v>905</v>
      </c>
      <c r="AE31" s="169"/>
      <c r="AF31" s="169">
        <v>444582.52</v>
      </c>
      <c r="AG31" s="105">
        <f t="shared" si="2"/>
        <v>0</v>
      </c>
    </row>
    <row r="32" s="105" customFormat="1" ht="13" customHeight="1" spans="1:33">
      <c r="A32" s="139">
        <v>26</v>
      </c>
      <c r="B32" s="160" t="s">
        <v>1025</v>
      </c>
      <c r="C32" s="170" t="s">
        <v>1026</v>
      </c>
      <c r="D32" s="142" t="s">
        <v>966</v>
      </c>
      <c r="E32" s="143" t="s">
        <v>980</v>
      </c>
      <c r="F32" s="170" t="s">
        <v>1027</v>
      </c>
      <c r="G32" s="99" t="s">
        <v>982</v>
      </c>
      <c r="H32" s="145" t="str">
        <f>IF(G32="","",VLOOKUP(G32,'附表8-合同明细采集底稿'!B:I,2,0))</f>
        <v>春和景苑1、2、3#住宅楼施工协议</v>
      </c>
      <c r="I32" s="146" t="str">
        <f>IF(G32="","",VLOOKUP(G32,'附表8-合同明细采集底稿'!B:I,3,0))</f>
        <v>建设工程合同</v>
      </c>
      <c r="J32" s="145" t="str">
        <f>IF(G32="","",VLOOKUP(G32,'附表8-合同明细采集底稿'!B:I,4,0))</f>
        <v>新疆正杰建筑集团有限公司（许兴德）</v>
      </c>
      <c r="K32" s="147" t="s">
        <v>902</v>
      </c>
      <c r="L32" s="149" t="s">
        <v>995</v>
      </c>
      <c r="M32" s="522" t="s">
        <v>1028</v>
      </c>
      <c r="N32" s="151">
        <v>701834.86</v>
      </c>
      <c r="O32" s="151">
        <f t="shared" ref="O32:O35" si="3">ROUND(N32*1.09,2)</f>
        <v>765000</v>
      </c>
      <c r="P32" s="172">
        <v>701834.86</v>
      </c>
      <c r="Q32" s="151"/>
      <c r="R32" s="151">
        <f t="shared" si="0"/>
        <v>701834.86</v>
      </c>
      <c r="S32" s="153">
        <f>IFERROR(VLOOKUP(G32,'附表8-合同明细采集底稿'!B:M,12,0),100%)</f>
        <v>1</v>
      </c>
      <c r="T32" s="154">
        <f t="shared" si="1"/>
        <v>701834.86</v>
      </c>
      <c r="U32" s="145"/>
      <c r="V32" s="155" t="s">
        <v>276</v>
      </c>
      <c r="W32" s="156">
        <f>IF('附表1-面积统计表'!$D$29=0,"",IF(AND(V32="共同成本费用",Z32="总建筑面积法"),ROUND(T32/'附表1-面积统计表'!$D$29*'附表1-面积统计表'!$D$5,2),IF(AND(V32="共同成本费用",Z32="可售建筑面积法"),ROUND(T32/'附表1-面积统计表'!$F$29*'附表1-面积统计表'!$F$5,2),"请手工填写")))</f>
        <v>701834.86</v>
      </c>
      <c r="X32" s="156" t="str">
        <f>IF(SUM('附表1-面积统计表'!$D$6)=0,"",SUM(T32)-SUM(W32)-SUM(Y32))</f>
        <v/>
      </c>
      <c r="Y32" s="156">
        <f>IF(SUM('附表1-面积统计表'!$D$6)=0,SUM(T32)-SUM(W32),IF('附表1-面积统计表'!$D$29=0,"",IF(AND(V32="共同成本费用",Z32="总建筑面积法"),ROUND(T32/'附表1-面积统计表'!$D$29*'附表1-面积统计表'!$D$7,2),IF(AND(V32="共同成本费用",Z32="可售建筑面积法"),ROUND(T32/'附表1-面积统计表'!$F$29*'附表1-面积统计表'!$F$7,2),"请手工填写"))))</f>
        <v>0</v>
      </c>
      <c r="Z32" s="157" t="s">
        <v>251</v>
      </c>
      <c r="AA32" s="145"/>
      <c r="AB32" s="158" t="s">
        <v>905</v>
      </c>
      <c r="AE32" s="159"/>
      <c r="AF32" s="159">
        <v>701834.86</v>
      </c>
      <c r="AG32" s="105">
        <f t="shared" si="2"/>
        <v>0</v>
      </c>
    </row>
    <row r="33" s="105" customFormat="1" ht="13" customHeight="1" spans="1:33">
      <c r="A33" s="139">
        <v>27</v>
      </c>
      <c r="B33" s="160" t="s">
        <v>1029</v>
      </c>
      <c r="C33" s="170" t="s">
        <v>1030</v>
      </c>
      <c r="D33" s="142" t="s">
        <v>966</v>
      </c>
      <c r="E33" s="143" t="s">
        <v>980</v>
      </c>
      <c r="F33" s="170" t="s">
        <v>1031</v>
      </c>
      <c r="G33" s="99" t="s">
        <v>982</v>
      </c>
      <c r="H33" s="145" t="str">
        <f>IF(G33="","",VLOOKUP(G33,'附表8-合同明细采集底稿'!B:I,2,0))</f>
        <v>春和景苑1、2、3#住宅楼施工协议</v>
      </c>
      <c r="I33" s="146" t="str">
        <f>IF(G33="","",VLOOKUP(G33,'附表8-合同明细采集底稿'!B:I,3,0))</f>
        <v>建设工程合同</v>
      </c>
      <c r="J33" s="145" t="str">
        <f>IF(G33="","",VLOOKUP(G33,'附表8-合同明细采集底稿'!B:I,4,0))</f>
        <v>新疆正杰建筑集团有限公司（许兴德）</v>
      </c>
      <c r="K33" s="147" t="s">
        <v>902</v>
      </c>
      <c r="L33" s="149" t="s">
        <v>995</v>
      </c>
      <c r="M33" s="149" t="s">
        <v>1032</v>
      </c>
      <c r="N33" s="151">
        <v>1146788.99</v>
      </c>
      <c r="O33" s="151">
        <f t="shared" si="3"/>
        <v>1250000</v>
      </c>
      <c r="P33" s="172">
        <v>1146788.99</v>
      </c>
      <c r="Q33" s="151"/>
      <c r="R33" s="151">
        <f t="shared" si="0"/>
        <v>1146788.99</v>
      </c>
      <c r="S33" s="153">
        <f>IFERROR(VLOOKUP(G33,'附表8-合同明细采集底稿'!B:M,12,0),100%)</f>
        <v>1</v>
      </c>
      <c r="T33" s="154">
        <f t="shared" si="1"/>
        <v>1146788.99</v>
      </c>
      <c r="U33" s="145"/>
      <c r="V33" s="155" t="s">
        <v>276</v>
      </c>
      <c r="W33" s="156">
        <f>IF('附表1-面积统计表'!$D$29=0,"",IF(AND(V33="共同成本费用",Z33="总建筑面积法"),ROUND(T33/'附表1-面积统计表'!$D$29*'附表1-面积统计表'!$D$5,2),IF(AND(V33="共同成本费用",Z33="可售建筑面积法"),ROUND(T33/'附表1-面积统计表'!$F$29*'附表1-面积统计表'!$F$5,2),"请手工填写")))</f>
        <v>1146788.99</v>
      </c>
      <c r="X33" s="156" t="str">
        <f>IF(SUM('附表1-面积统计表'!$D$6)=0,"",SUM(T33)-SUM(W33)-SUM(Y33))</f>
        <v/>
      </c>
      <c r="Y33" s="156">
        <f>IF(SUM('附表1-面积统计表'!$D$6)=0,SUM(T33)-SUM(W33),IF('附表1-面积统计表'!$D$29=0,"",IF(AND(V33="共同成本费用",Z33="总建筑面积法"),ROUND(T33/'附表1-面积统计表'!$D$29*'附表1-面积统计表'!$D$7,2),IF(AND(V33="共同成本费用",Z33="可售建筑面积法"),ROUND(T33/'附表1-面积统计表'!$F$29*'附表1-面积统计表'!$F$7,2),"请手工填写"))))</f>
        <v>0</v>
      </c>
      <c r="Z33" s="157" t="s">
        <v>251</v>
      </c>
      <c r="AA33" s="145"/>
      <c r="AB33" s="158" t="s">
        <v>905</v>
      </c>
      <c r="AE33" s="159"/>
      <c r="AF33" s="159">
        <v>1146788.99</v>
      </c>
      <c r="AG33" s="105">
        <f t="shared" si="2"/>
        <v>0</v>
      </c>
    </row>
    <row r="34" s="105" customFormat="1" ht="13" customHeight="1" spans="1:33">
      <c r="A34" s="139">
        <v>28</v>
      </c>
      <c r="B34" s="160" t="s">
        <v>1033</v>
      </c>
      <c r="C34" s="170" t="s">
        <v>1034</v>
      </c>
      <c r="D34" s="142" t="s">
        <v>966</v>
      </c>
      <c r="E34" s="143" t="s">
        <v>980</v>
      </c>
      <c r="F34" s="170" t="s">
        <v>1035</v>
      </c>
      <c r="G34" s="99" t="s">
        <v>982</v>
      </c>
      <c r="H34" s="145" t="str">
        <f>IF(G34="","",VLOOKUP(G34,'附表8-合同明细采集底稿'!B:I,2,0))</f>
        <v>春和景苑1、2、3#住宅楼施工协议</v>
      </c>
      <c r="I34" s="146" t="str">
        <f>IF(G34="","",VLOOKUP(G34,'附表8-合同明细采集底稿'!B:I,3,0))</f>
        <v>建设工程合同</v>
      </c>
      <c r="J34" s="145" t="str">
        <f>IF(G34="","",VLOOKUP(G34,'附表8-合同明细采集底稿'!B:I,4,0))</f>
        <v>新疆正杰建筑集团有限公司（许兴德）</v>
      </c>
      <c r="K34" s="147" t="s">
        <v>902</v>
      </c>
      <c r="L34" s="149" t="s">
        <v>995</v>
      </c>
      <c r="M34" s="522" t="s">
        <v>1036</v>
      </c>
      <c r="N34" s="151">
        <v>298307.34</v>
      </c>
      <c r="O34" s="151">
        <f t="shared" si="3"/>
        <v>325155</v>
      </c>
      <c r="P34" s="172">
        <v>298307.34</v>
      </c>
      <c r="Q34" s="151"/>
      <c r="R34" s="151">
        <f t="shared" si="0"/>
        <v>298307.34</v>
      </c>
      <c r="S34" s="153">
        <f>IFERROR(VLOOKUP(G34,'附表8-合同明细采集底稿'!B:M,12,0),100%)</f>
        <v>1</v>
      </c>
      <c r="T34" s="154">
        <f t="shared" si="1"/>
        <v>298307.34</v>
      </c>
      <c r="U34" s="145"/>
      <c r="V34" s="155" t="s">
        <v>276</v>
      </c>
      <c r="W34" s="156">
        <f>IF('附表1-面积统计表'!$D$29=0,"",IF(AND(V34="共同成本费用",Z34="总建筑面积法"),ROUND(T34/'附表1-面积统计表'!$D$29*'附表1-面积统计表'!$D$5,2),IF(AND(V34="共同成本费用",Z34="可售建筑面积法"),ROUND(T34/'附表1-面积统计表'!$F$29*'附表1-面积统计表'!$F$5,2),"请手工填写")))</f>
        <v>298307.34</v>
      </c>
      <c r="X34" s="156" t="str">
        <f>IF(SUM('附表1-面积统计表'!$D$6)=0,"",SUM(T34)-SUM(W34)-SUM(Y34))</f>
        <v/>
      </c>
      <c r="Y34" s="156">
        <f>IF(SUM('附表1-面积统计表'!$D$6)=0,SUM(T34)-SUM(W34),IF('附表1-面积统计表'!$D$29=0,"",IF(AND(V34="共同成本费用",Z34="总建筑面积法"),ROUND(T34/'附表1-面积统计表'!$D$29*'附表1-面积统计表'!$D$7,2),IF(AND(V34="共同成本费用",Z34="可售建筑面积法"),ROUND(T34/'附表1-面积统计表'!$F$29*'附表1-面积统计表'!$F$7,2),"请手工填写"))))</f>
        <v>0</v>
      </c>
      <c r="Z34" s="157" t="s">
        <v>251</v>
      </c>
      <c r="AA34" s="145"/>
      <c r="AB34" s="158" t="s">
        <v>905</v>
      </c>
      <c r="AE34" s="159"/>
      <c r="AF34" s="159">
        <v>298307.34</v>
      </c>
      <c r="AG34" s="105">
        <f t="shared" si="2"/>
        <v>0</v>
      </c>
    </row>
    <row r="35" s="105" customFormat="1" ht="13" customHeight="1" spans="1:33">
      <c r="A35" s="139">
        <v>29</v>
      </c>
      <c r="B35" s="160" t="s">
        <v>1037</v>
      </c>
      <c r="C35" s="170" t="s">
        <v>1038</v>
      </c>
      <c r="D35" s="142" t="s">
        <v>966</v>
      </c>
      <c r="E35" s="143" t="s">
        <v>980</v>
      </c>
      <c r="F35" s="170" t="s">
        <v>1039</v>
      </c>
      <c r="G35" s="99" t="s">
        <v>982</v>
      </c>
      <c r="H35" s="145" t="str">
        <f>IF(G35="","",VLOOKUP(G35,'附表8-合同明细采集底稿'!B:I,2,0))</f>
        <v>春和景苑1、2、3#住宅楼施工协议</v>
      </c>
      <c r="I35" s="146" t="str">
        <f>IF(G35="","",VLOOKUP(G35,'附表8-合同明细采集底稿'!B:I,3,0))</f>
        <v>建设工程合同</v>
      </c>
      <c r="J35" s="145" t="str">
        <f>IF(G35="","",VLOOKUP(G35,'附表8-合同明细采集底稿'!B:I,4,0))</f>
        <v>新疆正杰建筑集团有限公司（许兴德）</v>
      </c>
      <c r="K35" s="147" t="s">
        <v>902</v>
      </c>
      <c r="L35" s="149" t="s">
        <v>995</v>
      </c>
      <c r="M35" s="522" t="s">
        <v>1040</v>
      </c>
      <c r="N35" s="151">
        <v>328852.29</v>
      </c>
      <c r="O35" s="151">
        <f t="shared" si="3"/>
        <v>358449</v>
      </c>
      <c r="P35" s="172">
        <v>328852.29</v>
      </c>
      <c r="Q35" s="151"/>
      <c r="R35" s="151">
        <f t="shared" si="0"/>
        <v>328852.29</v>
      </c>
      <c r="S35" s="153">
        <f>IFERROR(VLOOKUP(G35,'附表8-合同明细采集底稿'!B:M,12,0),100%)</f>
        <v>1</v>
      </c>
      <c r="T35" s="154">
        <f t="shared" si="1"/>
        <v>328852.29</v>
      </c>
      <c r="U35" s="145"/>
      <c r="V35" s="155" t="s">
        <v>276</v>
      </c>
      <c r="W35" s="156">
        <f>IF('附表1-面积统计表'!$D$29=0,"",IF(AND(V35="共同成本费用",Z35="总建筑面积法"),ROUND(T35/'附表1-面积统计表'!$D$29*'附表1-面积统计表'!$D$5,2),IF(AND(V35="共同成本费用",Z35="可售建筑面积法"),ROUND(T35/'附表1-面积统计表'!$F$29*'附表1-面积统计表'!$F$5,2),"请手工填写")))</f>
        <v>328852.29</v>
      </c>
      <c r="X35" s="156" t="str">
        <f>IF(SUM('附表1-面积统计表'!$D$6)=0,"",SUM(T35)-SUM(W35)-SUM(Y35))</f>
        <v/>
      </c>
      <c r="Y35" s="156">
        <f>IF(SUM('附表1-面积统计表'!$D$6)=0,SUM(T35)-SUM(W35),IF('附表1-面积统计表'!$D$29=0,"",IF(AND(V35="共同成本费用",Z35="总建筑面积法"),ROUND(T35/'附表1-面积统计表'!$D$29*'附表1-面积统计表'!$D$7,2),IF(AND(V35="共同成本费用",Z35="可售建筑面积法"),ROUND(T35/'附表1-面积统计表'!$F$29*'附表1-面积统计表'!$F$7,2),"请手工填写"))))</f>
        <v>0</v>
      </c>
      <c r="Z35" s="157" t="s">
        <v>251</v>
      </c>
      <c r="AA35" s="145"/>
      <c r="AB35" s="158" t="s">
        <v>905</v>
      </c>
      <c r="AE35" s="159"/>
      <c r="AF35" s="159">
        <v>328852.29</v>
      </c>
      <c r="AG35" s="105">
        <f t="shared" si="2"/>
        <v>0</v>
      </c>
    </row>
    <row r="36" s="105" customFormat="1" ht="13" customHeight="1" spans="1:33">
      <c r="A36" s="139">
        <v>30</v>
      </c>
      <c r="B36" s="160" t="s">
        <v>1041</v>
      </c>
      <c r="C36" s="170" t="s">
        <v>1042</v>
      </c>
      <c r="D36" s="142" t="s">
        <v>945</v>
      </c>
      <c r="E36" s="143" t="s">
        <v>946</v>
      </c>
      <c r="F36" s="170" t="s">
        <v>1043</v>
      </c>
      <c r="G36" s="99" t="s">
        <v>948</v>
      </c>
      <c r="H36" s="145" t="str">
        <f>IF(G36="","",VLOOKUP(G36,'附表8-合同明细采集底稿'!B:I,2,0))</f>
        <v>供水管道安装</v>
      </c>
      <c r="I36" s="146" t="str">
        <f>IF(G36="","",VLOOKUP(G36,'附表8-合同明细采集底稿'!B:I,3,0))</f>
        <v>建设工程合同</v>
      </c>
      <c r="J36" s="145" t="str">
        <f>IF(G36="","",VLOOKUP(G36,'附表8-合同明细采集底稿'!B:I,4,0))</f>
        <v>新疆昌源水务集团库尔勒银泉供水有限公司工程分公司</v>
      </c>
      <c r="K36" s="147" t="s">
        <v>902</v>
      </c>
      <c r="L36" s="148" t="s">
        <v>995</v>
      </c>
      <c r="M36" s="149" t="s">
        <v>1044</v>
      </c>
      <c r="N36" s="151">
        <v>32386.1</v>
      </c>
      <c r="O36" s="151">
        <v>35300.85</v>
      </c>
      <c r="P36" s="172">
        <v>32386.1</v>
      </c>
      <c r="Q36" s="151"/>
      <c r="R36" s="151">
        <f t="shared" si="0"/>
        <v>32386.1</v>
      </c>
      <c r="S36" s="153">
        <f>IFERROR(VLOOKUP(G36,'附表8-合同明细采集底稿'!B:M,12,0),100%)</f>
        <v>1</v>
      </c>
      <c r="T36" s="154">
        <f t="shared" si="1"/>
        <v>32386.1</v>
      </c>
      <c r="U36" s="145"/>
      <c r="V36" s="155" t="s">
        <v>276</v>
      </c>
      <c r="W36" s="156">
        <f>IF('附表1-面积统计表'!$D$29=0,"",IF(AND(V36="共同成本费用",Z36="总建筑面积法"),ROUND(T36/'附表1-面积统计表'!$D$29*'附表1-面积统计表'!$D$5,2),IF(AND(V36="共同成本费用",Z36="可售建筑面积法"),ROUND(T36/'附表1-面积统计表'!$F$29*'附表1-面积统计表'!$F$5,2),"请手工填写")))</f>
        <v>32386.1</v>
      </c>
      <c r="X36" s="156" t="str">
        <f>IF(SUM('附表1-面积统计表'!$D$6)=0,"",SUM(T36)-SUM(W36)-SUM(Y36))</f>
        <v/>
      </c>
      <c r="Y36" s="156">
        <f>IF(SUM('附表1-面积统计表'!$D$6)=0,SUM(T36)-SUM(W36),IF('附表1-面积统计表'!$D$29=0,"",IF(AND(V36="共同成本费用",Z36="总建筑面积法"),ROUND(T36/'附表1-面积统计表'!$D$29*'附表1-面积统计表'!$D$7,2),IF(AND(V36="共同成本费用",Z36="可售建筑面积法"),ROUND(T36/'附表1-面积统计表'!$F$29*'附表1-面积统计表'!$F$7,2),"请手工填写"))))</f>
        <v>0</v>
      </c>
      <c r="Z36" s="157" t="s">
        <v>251</v>
      </c>
      <c r="AA36" s="145"/>
      <c r="AB36" s="158" t="s">
        <v>905</v>
      </c>
      <c r="AC36" s="105" t="s">
        <v>911</v>
      </c>
      <c r="AE36" s="169" t="s">
        <v>1045</v>
      </c>
      <c r="AF36" s="169">
        <v>32386.1</v>
      </c>
      <c r="AG36" s="105">
        <f t="shared" si="2"/>
        <v>0</v>
      </c>
    </row>
    <row r="37" s="105" customFormat="1" ht="13" customHeight="1" spans="1:33">
      <c r="A37" s="139">
        <v>31</v>
      </c>
      <c r="B37" s="160" t="s">
        <v>1046</v>
      </c>
      <c r="C37" s="170" t="s">
        <v>1047</v>
      </c>
      <c r="D37" s="142" t="s">
        <v>966</v>
      </c>
      <c r="E37" s="143" t="s">
        <v>980</v>
      </c>
      <c r="F37" s="170" t="s">
        <v>1048</v>
      </c>
      <c r="G37" s="99" t="s">
        <v>982</v>
      </c>
      <c r="H37" s="145" t="str">
        <f>IF(G37="","",VLOOKUP(G37,'附表8-合同明细采集底稿'!B:I,2,0))</f>
        <v>春和景苑1、2、3#住宅楼施工协议</v>
      </c>
      <c r="I37" s="146" t="str">
        <f>IF(G37="","",VLOOKUP(G37,'附表8-合同明细采集底稿'!B:I,3,0))</f>
        <v>建设工程合同</v>
      </c>
      <c r="J37" s="145" t="str">
        <f>IF(G37="","",VLOOKUP(G37,'附表8-合同明细采集底稿'!B:I,4,0))</f>
        <v>新疆正杰建筑集团有限公司（许兴德）</v>
      </c>
      <c r="K37" s="147" t="s">
        <v>902</v>
      </c>
      <c r="L37" s="191" t="s">
        <v>995</v>
      </c>
      <c r="M37" s="522" t="s">
        <v>1049</v>
      </c>
      <c r="N37" s="151">
        <v>77968.81</v>
      </c>
      <c r="O37" s="151">
        <f>ROUND(N37*1.09,2)</f>
        <v>84986</v>
      </c>
      <c r="P37" s="172">
        <v>77968.81</v>
      </c>
      <c r="Q37" s="151"/>
      <c r="R37" s="151">
        <f t="shared" si="0"/>
        <v>77968.81</v>
      </c>
      <c r="S37" s="153">
        <f>IFERROR(VLOOKUP(G37,'附表8-合同明细采集底稿'!B:M,12,0),100%)</f>
        <v>1</v>
      </c>
      <c r="T37" s="154">
        <f t="shared" si="1"/>
        <v>77968.81</v>
      </c>
      <c r="U37" s="145"/>
      <c r="V37" s="155" t="s">
        <v>276</v>
      </c>
      <c r="W37" s="156">
        <f>IF('附表1-面积统计表'!$D$29=0,"",IF(AND(V37="共同成本费用",Z37="总建筑面积法"),ROUND(T37/'附表1-面积统计表'!$D$29*'附表1-面积统计表'!$D$5,2),IF(AND(V37="共同成本费用",Z37="可售建筑面积法"),ROUND(T37/'附表1-面积统计表'!$F$29*'附表1-面积统计表'!$F$5,2),"请手工填写")))</f>
        <v>77968.81</v>
      </c>
      <c r="X37" s="156" t="str">
        <f>IF(SUM('附表1-面积统计表'!$D$6)=0,"",SUM(T37)-SUM(W37)-SUM(Y37))</f>
        <v/>
      </c>
      <c r="Y37" s="156">
        <f>IF(SUM('附表1-面积统计表'!$D$6)=0,SUM(T37)-SUM(W37),IF('附表1-面积统计表'!$D$29=0,"",IF(AND(V37="共同成本费用",Z37="总建筑面积法"),ROUND(T37/'附表1-面积统计表'!$D$29*'附表1-面积统计表'!$D$7,2),IF(AND(V37="共同成本费用",Z37="可售建筑面积法"),ROUND(T37/'附表1-面积统计表'!$F$29*'附表1-面积统计表'!$F$7,2),"请手工填写"))))</f>
        <v>0</v>
      </c>
      <c r="Z37" s="157" t="s">
        <v>251</v>
      </c>
      <c r="AA37" s="145"/>
      <c r="AB37" s="158" t="s">
        <v>905</v>
      </c>
      <c r="AE37" s="159"/>
      <c r="AF37" s="159">
        <v>77968.81</v>
      </c>
      <c r="AG37" s="105">
        <f t="shared" si="2"/>
        <v>0</v>
      </c>
    </row>
    <row r="38" s="105" customFormat="1" ht="13" customHeight="1" spans="1:33">
      <c r="A38" s="139">
        <v>32</v>
      </c>
      <c r="B38" s="160" t="s">
        <v>1050</v>
      </c>
      <c r="C38" s="170" t="s">
        <v>1051</v>
      </c>
      <c r="D38" s="142" t="s">
        <v>945</v>
      </c>
      <c r="E38" s="143" t="s">
        <v>1052</v>
      </c>
      <c r="F38" s="170" t="s">
        <v>1053</v>
      </c>
      <c r="G38" s="99" t="s">
        <v>1054</v>
      </c>
      <c r="H38" s="145" t="str">
        <f>IF(G38="","",VLOOKUP(G38,'附表8-合同明细采集底稿'!B:I,2,0))</f>
        <v>电气外网供货安装合同春和</v>
      </c>
      <c r="I38" s="146" t="str">
        <f>IF(G38="","",VLOOKUP(G38,'附表8-合同明细采集底稿'!B:I,3,0))</f>
        <v>建设工程合同</v>
      </c>
      <c r="J38" s="145" t="str">
        <f>IF(G38="","",VLOOKUP(G38,'附表8-合同明细采集底稿'!B:I,4,0))</f>
        <v>巴州鑫磊机电设备开关有限责任公司</v>
      </c>
      <c r="K38" s="147" t="s">
        <v>902</v>
      </c>
      <c r="L38" s="191" t="s">
        <v>1055</v>
      </c>
      <c r="M38" s="149" t="s">
        <v>1056</v>
      </c>
      <c r="N38" s="151">
        <v>149738.94</v>
      </c>
      <c r="O38" s="151">
        <v>169205</v>
      </c>
      <c r="P38" s="172">
        <v>149738.94</v>
      </c>
      <c r="Q38" s="151"/>
      <c r="R38" s="151">
        <f t="shared" si="0"/>
        <v>149738.94</v>
      </c>
      <c r="S38" s="153">
        <f>IFERROR(VLOOKUP(G38,'附表8-合同明细采集底稿'!B:M,12,0),100%)</f>
        <v>1</v>
      </c>
      <c r="T38" s="154">
        <f t="shared" si="1"/>
        <v>149738.94</v>
      </c>
      <c r="U38" s="145"/>
      <c r="V38" s="155" t="s">
        <v>276</v>
      </c>
      <c r="W38" s="156">
        <f>IF('附表1-面积统计表'!$D$29=0,"",IF(AND(V38="共同成本费用",Z38="总建筑面积法"),ROUND(T38/'附表1-面积统计表'!$D$29*'附表1-面积统计表'!$D$5,2),IF(AND(V38="共同成本费用",Z38="可售建筑面积法"),ROUND(T38/'附表1-面积统计表'!$F$29*'附表1-面积统计表'!$F$5,2),"请手工填写")))</f>
        <v>149738.94</v>
      </c>
      <c r="X38" s="156" t="str">
        <f>IF(SUM('附表1-面积统计表'!$D$6)=0,"",SUM(T38)-SUM(W38)-SUM(Y38))</f>
        <v/>
      </c>
      <c r="Y38" s="156">
        <f>IF(SUM('附表1-面积统计表'!$D$6)=0,SUM(T38)-SUM(W38),IF('附表1-面积统计表'!$D$29=0,"",IF(AND(V38="共同成本费用",Z38="总建筑面积法"),ROUND(T38/'附表1-面积统计表'!$D$29*'附表1-面积统计表'!$D$7,2),IF(AND(V38="共同成本费用",Z38="可售建筑面积法"),ROUND(T38/'附表1-面积统计表'!$F$29*'附表1-面积统计表'!$F$7,2),"请手工填写"))))</f>
        <v>0</v>
      </c>
      <c r="Z38" s="157" t="s">
        <v>251</v>
      </c>
      <c r="AA38" s="145"/>
      <c r="AB38" s="158" t="s">
        <v>905</v>
      </c>
      <c r="AC38" s="105" t="s">
        <v>911</v>
      </c>
      <c r="AE38" s="159" t="s">
        <v>1057</v>
      </c>
      <c r="AF38" s="159">
        <v>89743.36</v>
      </c>
      <c r="AG38" s="105">
        <f t="shared" si="2"/>
        <v>59995.58</v>
      </c>
    </row>
    <row r="39" s="105" customFormat="1" ht="13" customHeight="1" spans="1:33">
      <c r="A39" s="139">
        <v>33</v>
      </c>
      <c r="B39" s="160" t="s">
        <v>1058</v>
      </c>
      <c r="C39" s="170" t="s">
        <v>1059</v>
      </c>
      <c r="D39" s="142" t="s">
        <v>945</v>
      </c>
      <c r="E39" s="143" t="s">
        <v>1052</v>
      </c>
      <c r="F39" s="170" t="s">
        <v>1060</v>
      </c>
      <c r="G39" s="99" t="s">
        <v>1061</v>
      </c>
      <c r="H39" s="145" t="str">
        <f>IF(G39="","",VLOOKUP(G39,'附表8-合同明细采集底稿'!B:I,2,0))</f>
        <v>电气外网供货安装合同</v>
      </c>
      <c r="I39" s="146" t="str">
        <f>IF(G39="","",VLOOKUP(G39,'附表8-合同明细采集底稿'!B:I,3,0))</f>
        <v>建设工程合同</v>
      </c>
      <c r="J39" s="145" t="str">
        <f>IF(G39="","",VLOOKUP(G39,'附表8-合同明细采集底稿'!B:I,4,0))</f>
        <v>新疆拓宇电力建设工程有限公司何永权</v>
      </c>
      <c r="K39" s="147" t="s">
        <v>902</v>
      </c>
      <c r="L39" s="149" t="s">
        <v>995</v>
      </c>
      <c r="M39" s="522" t="s">
        <v>1062</v>
      </c>
      <c r="N39" s="151">
        <v>77730.28</v>
      </c>
      <c r="O39" s="151">
        <v>84726</v>
      </c>
      <c r="P39" s="172">
        <v>77730.28</v>
      </c>
      <c r="Q39" s="151"/>
      <c r="R39" s="151">
        <f t="shared" si="0"/>
        <v>77730.28</v>
      </c>
      <c r="S39" s="153">
        <f>IFERROR(VLOOKUP(G39,'附表8-合同明细采集底稿'!B:M,12,0),100%)</f>
        <v>1</v>
      </c>
      <c r="T39" s="154">
        <f t="shared" si="1"/>
        <v>77730.28</v>
      </c>
      <c r="U39" s="145"/>
      <c r="V39" s="155" t="s">
        <v>276</v>
      </c>
      <c r="W39" s="156">
        <f>IF('附表1-面积统计表'!$D$29=0,"",IF(AND(V39="共同成本费用",Z39="总建筑面积法"),ROUND(T39/'附表1-面积统计表'!$D$29*'附表1-面积统计表'!$D$5,2),IF(AND(V39="共同成本费用",Z39="可售建筑面积法"),ROUND(T39/'附表1-面积统计表'!$F$29*'附表1-面积统计表'!$F$5,2),"请手工填写")))</f>
        <v>77730.28</v>
      </c>
      <c r="X39" s="156" t="str">
        <f>IF(SUM('附表1-面积统计表'!$D$6)=0,"",SUM(T39)-SUM(W39)-SUM(Y39))</f>
        <v/>
      </c>
      <c r="Y39" s="156">
        <f>IF(SUM('附表1-面积统计表'!$D$6)=0,SUM(T39)-SUM(W39),IF('附表1-面积统计表'!$D$29=0,"",IF(AND(V39="共同成本费用",Z39="总建筑面积法"),ROUND(T39/'附表1-面积统计表'!$D$29*'附表1-面积统计表'!$D$7,2),IF(AND(V39="共同成本费用",Z39="可售建筑面积法"),ROUND(T39/'附表1-面积统计表'!$F$29*'附表1-面积统计表'!$F$7,2),"请手工填写"))))</f>
        <v>0</v>
      </c>
      <c r="Z39" s="157" t="s">
        <v>251</v>
      </c>
      <c r="AA39" s="145"/>
      <c r="AB39" s="158" t="s">
        <v>905</v>
      </c>
      <c r="AC39" s="105" t="s">
        <v>911</v>
      </c>
      <c r="AE39" s="159" t="s">
        <v>1063</v>
      </c>
      <c r="AF39" s="159">
        <v>-18953.03</v>
      </c>
      <c r="AG39" s="105">
        <f t="shared" si="2"/>
        <v>96683.31</v>
      </c>
    </row>
    <row r="40" s="105" customFormat="1" ht="13" customHeight="1" spans="1:33">
      <c r="A40" s="139">
        <v>34</v>
      </c>
      <c r="B40" s="160" t="s">
        <v>1064</v>
      </c>
      <c r="C40" s="170" t="s">
        <v>1065</v>
      </c>
      <c r="D40" s="142" t="s">
        <v>945</v>
      </c>
      <c r="E40" s="143" t="s">
        <v>1066</v>
      </c>
      <c r="F40" s="170" t="s">
        <v>1067</v>
      </c>
      <c r="G40" s="99"/>
      <c r="H40" s="145" t="str">
        <f>IF(G40="","",VLOOKUP(G40,'附表8-合同明细采集底稿'!B:I,2,0))</f>
        <v/>
      </c>
      <c r="I40" s="146" t="str">
        <f>IF(G40="","",VLOOKUP(G40,'附表8-合同明细采集底稿'!B:I,3,0))</f>
        <v/>
      </c>
      <c r="J40" s="161" t="s">
        <v>1068</v>
      </c>
      <c r="K40" s="147" t="s">
        <v>902</v>
      </c>
      <c r="L40" s="149" t="s">
        <v>990</v>
      </c>
      <c r="M40" s="522" t="s">
        <v>1069</v>
      </c>
      <c r="N40" s="151">
        <v>2574.26</v>
      </c>
      <c r="O40" s="151">
        <v>2600</v>
      </c>
      <c r="P40" s="172">
        <v>2574.26</v>
      </c>
      <c r="Q40" s="151">
        <f>-P40</f>
        <v>-2574.26</v>
      </c>
      <c r="R40" s="151">
        <f t="shared" si="0"/>
        <v>0</v>
      </c>
      <c r="S40" s="153">
        <f>IFERROR(VLOOKUP(G40,'附表8-合同明细采集底稿'!B:M,12,0),100%)</f>
        <v>1</v>
      </c>
      <c r="T40" s="154">
        <f t="shared" si="1"/>
        <v>0</v>
      </c>
      <c r="U40" s="145"/>
      <c r="V40" s="155" t="s">
        <v>276</v>
      </c>
      <c r="W40" s="156">
        <f>IF('附表1-面积统计表'!$D$29=0,"",IF(AND(V40="共同成本费用",Z40="总建筑面积法"),ROUND(T40/'附表1-面积统计表'!$D$29*'附表1-面积统计表'!$D$5,2),IF(AND(V40="共同成本费用",Z40="可售建筑面积法"),ROUND(T40/'附表1-面积统计表'!$F$29*'附表1-面积统计表'!$F$5,2),"请手工填写")))</f>
        <v>0</v>
      </c>
      <c r="X40" s="156" t="str">
        <f>IF(SUM('附表1-面积统计表'!$D$6)=0,"",SUM(T40)-SUM(W40)-SUM(Y40))</f>
        <v/>
      </c>
      <c r="Y40" s="156">
        <f>IF(SUM('附表1-面积统计表'!$D$6)=0,SUM(T40)-SUM(W40),IF('附表1-面积统计表'!$D$29=0,"",IF(AND(V40="共同成本费用",Z40="总建筑面积法"),ROUND(T40/'附表1-面积统计表'!$D$29*'附表1-面积统计表'!$D$7,2),IF(AND(V40="共同成本费用",Z40="可售建筑面积法"),ROUND(T40/'附表1-面积统计表'!$F$29*'附表1-面积统计表'!$F$7,2),"请手工填写"))))</f>
        <v>0</v>
      </c>
      <c r="Z40" s="157" t="s">
        <v>251</v>
      </c>
      <c r="AA40" s="145"/>
      <c r="AB40" s="158" t="s">
        <v>905</v>
      </c>
      <c r="AE40" s="159" t="s">
        <v>944</v>
      </c>
      <c r="AF40" s="159">
        <v>0</v>
      </c>
      <c r="AG40" s="105">
        <f t="shared" ref="AG40:AG71" si="4">T40-AF40</f>
        <v>0</v>
      </c>
    </row>
    <row r="41" s="105" customFormat="1" ht="13" customHeight="1" spans="1:33">
      <c r="A41" s="139">
        <v>35</v>
      </c>
      <c r="B41" s="160" t="s">
        <v>1070</v>
      </c>
      <c r="C41" s="170" t="s">
        <v>1071</v>
      </c>
      <c r="D41" s="142" t="s">
        <v>945</v>
      </c>
      <c r="E41" s="143" t="s">
        <v>1066</v>
      </c>
      <c r="F41" s="170" t="s">
        <v>1072</v>
      </c>
      <c r="G41" s="99" t="s">
        <v>1073</v>
      </c>
      <c r="H41" s="145" t="str">
        <f>IF(G41="","",VLOOKUP(G41,'附表8-合同明细采集底稿'!B:I,2,0))</f>
        <v>春和1#2#3#楼给排水</v>
      </c>
      <c r="I41" s="146" t="str">
        <f>IF(G41="","",VLOOKUP(G41,'附表8-合同明细采集底稿'!B:I,3,0))</f>
        <v>建设工程合同</v>
      </c>
      <c r="J41" s="145" t="str">
        <f>IF(G41="","",VLOOKUP(G41,'附表8-合同明细采集底稿'!B:I,4,0))</f>
        <v>江苏中义消防工程有限公司巴州分公司（巩红卫）</v>
      </c>
      <c r="K41" s="147" t="s">
        <v>902</v>
      </c>
      <c r="L41" s="149" t="s">
        <v>995</v>
      </c>
      <c r="M41" s="522" t="s">
        <v>1074</v>
      </c>
      <c r="N41" s="151">
        <v>89449.54</v>
      </c>
      <c r="O41" s="151">
        <v>97500</v>
      </c>
      <c r="P41" s="172">
        <v>89449.54</v>
      </c>
      <c r="Q41" s="151"/>
      <c r="R41" s="151">
        <f t="shared" si="0"/>
        <v>89449.54</v>
      </c>
      <c r="S41" s="153">
        <f>IFERROR(VLOOKUP(G41,'附表8-合同明细采集底稿'!B:M,12,0),100%)</f>
        <v>1</v>
      </c>
      <c r="T41" s="154">
        <f t="shared" si="1"/>
        <v>89449.54</v>
      </c>
      <c r="U41" s="145"/>
      <c r="V41" s="155" t="s">
        <v>276</v>
      </c>
      <c r="W41" s="156">
        <f>IF('附表1-面积统计表'!$D$29=0,"",IF(AND(V41="共同成本费用",Z41="总建筑面积法"),ROUND(T41/'附表1-面积统计表'!$D$29*'附表1-面积统计表'!$D$5,2),IF(AND(V41="共同成本费用",Z41="可售建筑面积法"),ROUND(T41/'附表1-面积统计表'!$F$29*'附表1-面积统计表'!$F$5,2),"请手工填写")))</f>
        <v>89449.54</v>
      </c>
      <c r="X41" s="156" t="str">
        <f>IF(SUM('附表1-面积统计表'!$D$6)=0,"",SUM(T41)-SUM(W41)-SUM(Y41))</f>
        <v/>
      </c>
      <c r="Y41" s="156">
        <f>IF(SUM('附表1-面积统计表'!$D$6)=0,SUM(T41)-SUM(W41),IF('附表1-面积统计表'!$D$29=0,"",IF(AND(V41="共同成本费用",Z41="总建筑面积法"),ROUND(T41/'附表1-面积统计表'!$D$29*'附表1-面积统计表'!$D$7,2),IF(AND(V41="共同成本费用",Z41="可售建筑面积法"),ROUND(T41/'附表1-面积统计表'!$F$29*'附表1-面积统计表'!$F$7,2),"请手工填写"))))</f>
        <v>0</v>
      </c>
      <c r="Z41" s="157" t="s">
        <v>251</v>
      </c>
      <c r="AA41" s="145"/>
      <c r="AB41" s="158" t="s">
        <v>905</v>
      </c>
      <c r="AE41" s="169" t="s">
        <v>1075</v>
      </c>
      <c r="AF41" s="169">
        <v>41284.4</v>
      </c>
      <c r="AG41" s="105">
        <f t="shared" si="4"/>
        <v>48165.14</v>
      </c>
    </row>
    <row r="42" s="107" customFormat="1" ht="13" customHeight="1" spans="1:33">
      <c r="A42" s="173">
        <v>36</v>
      </c>
      <c r="B42" s="174" t="s">
        <v>539</v>
      </c>
      <c r="C42" s="175" t="s">
        <v>1076</v>
      </c>
      <c r="D42" s="176" t="s">
        <v>945</v>
      </c>
      <c r="E42" s="177" t="s">
        <v>1052</v>
      </c>
      <c r="F42" s="175" t="s">
        <v>1077</v>
      </c>
      <c r="G42" s="178" t="s">
        <v>1078</v>
      </c>
      <c r="H42" s="179" t="str">
        <f>IF(G42="","",VLOOKUP(G42,'附表8-合同明细采集底稿'!B:I,2,0))</f>
        <v>电缆采购合同</v>
      </c>
      <c r="I42" s="180" t="str">
        <f>IF(G42="","",VLOOKUP(G42,'附表8-合同明细采集底稿'!B:I,3,0))</f>
        <v>买卖合同</v>
      </c>
      <c r="J42" s="179" t="str">
        <f>IF(G42="","",VLOOKUP(G42,'附表8-合同明细采集底稿'!B:I,4,0))</f>
        <v>泰丰线缆有限公司</v>
      </c>
      <c r="K42" s="179" t="s">
        <v>902</v>
      </c>
      <c r="L42" s="181" t="s">
        <v>1079</v>
      </c>
      <c r="M42" s="523" t="s">
        <v>1080</v>
      </c>
      <c r="N42" s="182">
        <v>193787.61</v>
      </c>
      <c r="O42" s="182">
        <f>43796+175184</f>
        <v>218980</v>
      </c>
      <c r="P42" s="183">
        <v>193787.61</v>
      </c>
      <c r="Q42" s="182"/>
      <c r="R42" s="182">
        <f t="shared" si="0"/>
        <v>193787.61</v>
      </c>
      <c r="S42" s="184">
        <f>IFERROR(VLOOKUP(G42,'附表8-合同明细采集底稿'!B:M,12,0),100%)</f>
        <v>1</v>
      </c>
      <c r="T42" s="185">
        <f t="shared" si="1"/>
        <v>193787.61</v>
      </c>
      <c r="U42" s="179" t="s">
        <v>1081</v>
      </c>
      <c r="V42" s="186" t="s">
        <v>276</v>
      </c>
      <c r="W42" s="187">
        <f>IF('附表1-面积统计表'!$D$29=0,"",IF(AND(V42="共同成本费用",Z42="总建筑面积法"),ROUND(T42/'附表1-面积统计表'!$D$29*'附表1-面积统计表'!$D$5,2),IF(AND(V42="共同成本费用",Z42="可售建筑面积法"),ROUND(T42/'附表1-面积统计表'!$F$29*'附表1-面积统计表'!$F$5,2),"请手工填写")))</f>
        <v>193787.61</v>
      </c>
      <c r="X42" s="187" t="str">
        <f>IF(SUM('附表1-面积统计表'!$D$6)=0,"",SUM(T42)-SUM(W42)-SUM(Y42))</f>
        <v/>
      </c>
      <c r="Y42" s="187">
        <f>IF(SUM('附表1-面积统计表'!$D$6)=0,SUM(T42)-SUM(W42),IF('附表1-面积统计表'!$D$29=0,"",IF(AND(V42="共同成本费用",Z42="总建筑面积法"),ROUND(T42/'附表1-面积统计表'!$D$29*'附表1-面积统计表'!$D$7,2),IF(AND(V42="共同成本费用",Z42="可售建筑面积法"),ROUND(T42/'附表1-面积统计表'!$F$29*'附表1-面积统计表'!$F$7,2),"请手工填写"))))</f>
        <v>0</v>
      </c>
      <c r="Z42" s="188" t="s">
        <v>251</v>
      </c>
      <c r="AA42" s="179"/>
      <c r="AB42" s="189" t="s">
        <v>905</v>
      </c>
      <c r="AE42" s="190" t="s">
        <v>1082</v>
      </c>
      <c r="AF42" s="190">
        <v>193787.61</v>
      </c>
      <c r="AG42" s="107">
        <f t="shared" si="4"/>
        <v>0</v>
      </c>
    </row>
    <row r="43" s="105" customFormat="1" ht="13" customHeight="1" spans="1:33">
      <c r="A43" s="139">
        <v>37</v>
      </c>
      <c r="B43" s="160" t="s">
        <v>539</v>
      </c>
      <c r="C43" s="170" t="s">
        <v>1083</v>
      </c>
      <c r="D43" s="142" t="s">
        <v>945</v>
      </c>
      <c r="E43" s="143" t="s">
        <v>1066</v>
      </c>
      <c r="F43" s="170" t="s">
        <v>1084</v>
      </c>
      <c r="G43" s="99"/>
      <c r="H43" s="145" t="str">
        <f>IF(G43="","",VLOOKUP(G43,'附表8-合同明细采集底稿'!B:I,2,0))</f>
        <v/>
      </c>
      <c r="I43" s="146" t="str">
        <f>IF(G43="","",VLOOKUP(G43,'附表8-合同明细采集底稿'!B:I,3,0))</f>
        <v/>
      </c>
      <c r="J43" s="161" t="s">
        <v>957</v>
      </c>
      <c r="K43" s="147" t="s">
        <v>902</v>
      </c>
      <c r="L43" s="149">
        <v>0</v>
      </c>
      <c r="M43" s="149">
        <v>5909131911</v>
      </c>
      <c r="N43" s="151">
        <v>54495</v>
      </c>
      <c r="O43" s="151">
        <v>54495</v>
      </c>
      <c r="P43" s="172">
        <v>54495</v>
      </c>
      <c r="Q43" s="151">
        <f>-P43</f>
        <v>-54495</v>
      </c>
      <c r="R43" s="151">
        <f t="shared" si="0"/>
        <v>0</v>
      </c>
      <c r="S43" s="153">
        <f>IFERROR(VLOOKUP(G43,'附表8-合同明细采集底稿'!B:M,12,0),100%)</f>
        <v>1</v>
      </c>
      <c r="T43" s="154">
        <f t="shared" si="1"/>
        <v>0</v>
      </c>
      <c r="U43" s="145"/>
      <c r="V43" s="155" t="s">
        <v>276</v>
      </c>
      <c r="W43" s="156">
        <f>IF('附表1-面积统计表'!$D$29=0,"",IF(AND(V43="共同成本费用",Z43="总建筑面积法"),ROUND(T43/'附表1-面积统计表'!$D$29*'附表1-面积统计表'!$D$5,2),IF(AND(V43="共同成本费用",Z43="可售建筑面积法"),ROUND(T43/'附表1-面积统计表'!$F$29*'附表1-面积统计表'!$F$5,2),"请手工填写")))</f>
        <v>0</v>
      </c>
      <c r="X43" s="156" t="str">
        <f>IF(SUM('附表1-面积统计表'!$D$6)=0,"",SUM(T43)-SUM(W43)-SUM(Y43))</f>
        <v/>
      </c>
      <c r="Y43" s="156">
        <f>IF(SUM('附表1-面积统计表'!$D$6)=0,SUM(T43)-SUM(W43),IF('附表1-面积统计表'!$D$29=0,"",IF(AND(V43="共同成本费用",Z43="总建筑面积法"),ROUND(T43/'附表1-面积统计表'!$D$29*'附表1-面积统计表'!$D$7,2),IF(AND(V43="共同成本费用",Z43="可售建筑面积法"),ROUND(T43/'附表1-面积统计表'!$F$29*'附表1-面积统计表'!$F$7,2),"请手工填写"))))</f>
        <v>0</v>
      </c>
      <c r="Z43" s="157" t="s">
        <v>251</v>
      </c>
      <c r="AA43" s="145"/>
      <c r="AB43" s="158" t="s">
        <v>905</v>
      </c>
      <c r="AE43" s="159" t="s">
        <v>1085</v>
      </c>
      <c r="AF43" s="159">
        <v>0</v>
      </c>
      <c r="AG43" s="105">
        <f t="shared" si="4"/>
        <v>0</v>
      </c>
    </row>
    <row r="44" s="107" customFormat="1" ht="13" customHeight="1" spans="1:33">
      <c r="A44" s="173">
        <v>38</v>
      </c>
      <c r="B44" s="174" t="s">
        <v>539</v>
      </c>
      <c r="C44" s="175" t="s">
        <v>1086</v>
      </c>
      <c r="D44" s="176" t="s">
        <v>945</v>
      </c>
      <c r="E44" s="177" t="s">
        <v>946</v>
      </c>
      <c r="F44" s="175" t="s">
        <v>1087</v>
      </c>
      <c r="G44" s="178"/>
      <c r="H44" s="179" t="str">
        <f>IF(G44="","",VLOOKUP(G44,'附表8-合同明细采集底稿'!B:I,2,0))</f>
        <v/>
      </c>
      <c r="I44" s="180" t="str">
        <f>IF(G44="","",VLOOKUP(G44,'附表8-合同明细采集底稿'!B:I,3,0))</f>
        <v/>
      </c>
      <c r="J44" s="181" t="s">
        <v>1088</v>
      </c>
      <c r="K44" s="179" t="s">
        <v>902</v>
      </c>
      <c r="L44" s="181" t="s">
        <v>995</v>
      </c>
      <c r="M44" s="523" t="s">
        <v>1089</v>
      </c>
      <c r="N44" s="182">
        <v>153.1</v>
      </c>
      <c r="O44" s="182">
        <v>173</v>
      </c>
      <c r="P44" s="183">
        <v>153.1</v>
      </c>
      <c r="Q44" s="182">
        <f>-P44</f>
        <v>-153.1</v>
      </c>
      <c r="R44" s="182">
        <f t="shared" si="0"/>
        <v>0</v>
      </c>
      <c r="S44" s="184">
        <f>'附表8-合同明细采集底稿'!$M$7</f>
        <v>0.725945981401044</v>
      </c>
      <c r="T44" s="185">
        <f t="shared" si="1"/>
        <v>0</v>
      </c>
      <c r="U44" s="179"/>
      <c r="V44" s="186" t="s">
        <v>276</v>
      </c>
      <c r="W44" s="187">
        <f>IF('附表1-面积统计表'!$D$29=0,"",IF(AND(V44="共同成本费用",Z44="总建筑面积法"),ROUND(T44/'附表1-面积统计表'!$D$29*'附表1-面积统计表'!$D$5,2),IF(AND(V44="共同成本费用",Z44="可售建筑面积法"),ROUND(T44/'附表1-面积统计表'!$F$29*'附表1-面积统计表'!$F$5,2),"请手工填写")))</f>
        <v>0</v>
      </c>
      <c r="X44" s="187" t="str">
        <f>IF(SUM('附表1-面积统计表'!$D$6)=0,"",SUM(T44)-SUM(W44)-SUM(Y44))</f>
        <v/>
      </c>
      <c r="Y44" s="187">
        <f>IF(SUM('附表1-面积统计表'!$D$6)=0,SUM(T44)-SUM(W44),IF('附表1-面积统计表'!$D$29=0,"",IF(AND(V44="共同成本费用",Z44="总建筑面积法"),ROUND(T44/'附表1-面积统计表'!$D$29*'附表1-面积统计表'!$D$7,2),IF(AND(V44="共同成本费用",Z44="可售建筑面积法"),ROUND(T44/'附表1-面积统计表'!$F$29*'附表1-面积统计表'!$F$7,2),"请手工填写"))))</f>
        <v>0</v>
      </c>
      <c r="Z44" s="188" t="s">
        <v>251</v>
      </c>
      <c r="AA44" s="179"/>
      <c r="AB44" s="189" t="s">
        <v>905</v>
      </c>
      <c r="AC44" s="107" t="s">
        <v>911</v>
      </c>
      <c r="AE44" s="192" t="s">
        <v>1090</v>
      </c>
      <c r="AF44" s="192">
        <v>0</v>
      </c>
      <c r="AG44" s="107">
        <f t="shared" si="4"/>
        <v>0</v>
      </c>
    </row>
    <row r="45" s="105" customFormat="1" ht="13" customHeight="1" spans="1:33">
      <c r="A45" s="139">
        <v>39</v>
      </c>
      <c r="B45" s="160" t="s">
        <v>1091</v>
      </c>
      <c r="C45" s="170" t="s">
        <v>1092</v>
      </c>
      <c r="D45" s="142" t="s">
        <v>945</v>
      </c>
      <c r="E45" s="143" t="s">
        <v>1093</v>
      </c>
      <c r="F45" s="170" t="s">
        <v>1094</v>
      </c>
      <c r="G45" s="100" t="s">
        <v>1095</v>
      </c>
      <c r="H45" s="145" t="str">
        <f>IF(G45="","",VLOOKUP(G45,'附表8-合同明细采集底稿'!B:I,2,0))</f>
        <v>春和景苑配套工程</v>
      </c>
      <c r="I45" s="146" t="str">
        <f>IF(G45="","",VLOOKUP(G45,'附表8-合同明细采集底稿'!B:I,3,0))</f>
        <v>建设工程合同</v>
      </c>
      <c r="J45" s="145" t="str">
        <f>IF(G45="","",VLOOKUP(G45,'附表8-合同明细采集底稿'!B:I,4,0))</f>
        <v>巴州绿叶园林工程有限责任公司（谢辞）</v>
      </c>
      <c r="K45" s="147" t="s">
        <v>902</v>
      </c>
      <c r="L45" s="148" t="s">
        <v>1096</v>
      </c>
      <c r="M45" s="149" t="s">
        <v>1097</v>
      </c>
      <c r="N45" s="151">
        <v>256880.74</v>
      </c>
      <c r="O45" s="151">
        <v>280000</v>
      </c>
      <c r="P45" s="193">
        <v>256880.74</v>
      </c>
      <c r="Q45" s="151"/>
      <c r="R45" s="151">
        <f t="shared" si="0"/>
        <v>256880.74</v>
      </c>
      <c r="S45" s="153">
        <f>IFERROR(VLOOKUP(G45,'附表8-合同明细采集底稿'!B:M,12,0),100%)</f>
        <v>0.725945981401044</v>
      </c>
      <c r="T45" s="154">
        <f t="shared" si="1"/>
        <v>186481.54</v>
      </c>
      <c r="U45" s="145"/>
      <c r="V45" s="155" t="s">
        <v>276</v>
      </c>
      <c r="W45" s="156">
        <f>IF('附表1-面积统计表'!$D$29=0,"",IF(AND(V45="共同成本费用",Z45="总建筑面积法"),ROUND(T45/'附表1-面积统计表'!$D$29*'附表1-面积统计表'!$D$5,2),IF(AND(V45="共同成本费用",Z45="可售建筑面积法"),ROUND(T45/'附表1-面积统计表'!$F$29*'附表1-面积统计表'!$F$5,2),"请手工填写")))</f>
        <v>186481.54</v>
      </c>
      <c r="X45" s="156" t="str">
        <f>IF(SUM('附表1-面积统计表'!$D$6)=0,"",SUM(T45)-SUM(W45)-SUM(Y45))</f>
        <v/>
      </c>
      <c r="Y45" s="156">
        <f>IF(SUM('附表1-面积统计表'!$D$6)=0,SUM(T45)-SUM(W45),IF('附表1-面积统计表'!$D$29=0,"",IF(AND(V45="共同成本费用",Z45="总建筑面积法"),ROUND(T45/'附表1-面积统计表'!$D$29*'附表1-面积统计表'!$D$7,2),IF(AND(V45="共同成本费用",Z45="可售建筑面积法"),ROUND(T45/'附表1-面积统计表'!$F$29*'附表1-面积统计表'!$F$7,2),"请手工填写"))))</f>
        <v>0</v>
      </c>
      <c r="Z45" s="157" t="s">
        <v>251</v>
      </c>
      <c r="AA45" s="145"/>
      <c r="AB45" s="158" t="s">
        <v>905</v>
      </c>
      <c r="AC45" s="105" t="s">
        <v>911</v>
      </c>
      <c r="AD45" s="105" t="s">
        <v>1098</v>
      </c>
      <c r="AE45" s="159" t="s">
        <v>1099</v>
      </c>
      <c r="AF45" s="159">
        <v>100131.35</v>
      </c>
      <c r="AG45" s="105">
        <f t="shared" si="4"/>
        <v>86350.19</v>
      </c>
    </row>
    <row r="46" s="105" customFormat="1" ht="13" customHeight="1" spans="1:33">
      <c r="A46" s="139">
        <v>40</v>
      </c>
      <c r="B46" s="160" t="s">
        <v>1091</v>
      </c>
      <c r="C46" s="170" t="s">
        <v>1092</v>
      </c>
      <c r="D46" s="142" t="s">
        <v>945</v>
      </c>
      <c r="E46" s="143" t="s">
        <v>1093</v>
      </c>
      <c r="F46" s="170" t="s">
        <v>1094</v>
      </c>
      <c r="G46" s="100" t="s">
        <v>1095</v>
      </c>
      <c r="H46" s="145" t="str">
        <f>IF(G46="","",VLOOKUP(G46,'附表8-合同明细采集底稿'!B:I,2,0))</f>
        <v>春和景苑配套工程</v>
      </c>
      <c r="I46" s="146" t="str">
        <f>IF(G46="","",VLOOKUP(G46,'附表8-合同明细采集底稿'!B:I,3,0))</f>
        <v>建设工程合同</v>
      </c>
      <c r="J46" s="145" t="str">
        <f>IF(G46="","",VLOOKUP(G46,'附表8-合同明细采集底稿'!B:I,4,0))</f>
        <v>巴州绿叶园林工程有限责任公司（谢辞）</v>
      </c>
      <c r="K46" s="147" t="s">
        <v>902</v>
      </c>
      <c r="L46" s="171" t="s">
        <v>1096</v>
      </c>
      <c r="M46" s="149" t="s">
        <v>1097</v>
      </c>
      <c r="N46" s="151">
        <v>256880.74</v>
      </c>
      <c r="O46" s="151">
        <v>280000</v>
      </c>
      <c r="P46" s="193">
        <v>256880.74</v>
      </c>
      <c r="Q46" s="151"/>
      <c r="R46" s="151">
        <f t="shared" si="0"/>
        <v>256880.74</v>
      </c>
      <c r="S46" s="153">
        <f>IFERROR(VLOOKUP(G46,'附表8-合同明细采集底稿'!B:M,12,0),100%)</f>
        <v>0.725945981401044</v>
      </c>
      <c r="T46" s="154">
        <f t="shared" si="1"/>
        <v>186481.54</v>
      </c>
      <c r="U46" s="145"/>
      <c r="V46" s="155" t="s">
        <v>276</v>
      </c>
      <c r="W46" s="156">
        <f>IF('附表1-面积统计表'!$D$29=0,"",IF(AND(V46="共同成本费用",Z46="总建筑面积法"),ROUND(T46/'附表1-面积统计表'!$D$29*'附表1-面积统计表'!$D$5,2),IF(AND(V46="共同成本费用",Z46="可售建筑面积法"),ROUND(T46/'附表1-面积统计表'!$F$29*'附表1-面积统计表'!$F$5,2),"请手工填写")))</f>
        <v>186481.54</v>
      </c>
      <c r="X46" s="156" t="str">
        <f>IF(SUM('附表1-面积统计表'!$D$6)=0,"",SUM(T46)-SUM(W46)-SUM(Y46))</f>
        <v/>
      </c>
      <c r="Y46" s="156">
        <f>IF(SUM('附表1-面积统计表'!$D$6)=0,SUM(T46)-SUM(W46),IF('附表1-面积统计表'!$D$29=0,"",IF(AND(V46="共同成本费用",Z46="总建筑面积法"),ROUND(T46/'附表1-面积统计表'!$D$29*'附表1-面积统计表'!$D$7,2),IF(AND(V46="共同成本费用",Z46="可售建筑面积法"),ROUND(T46/'附表1-面积统计表'!$F$29*'附表1-面积统计表'!$F$7,2),"请手工填写"))))</f>
        <v>0</v>
      </c>
      <c r="Z46" s="157" t="s">
        <v>251</v>
      </c>
      <c r="AA46" s="145"/>
      <c r="AB46" s="158" t="s">
        <v>905</v>
      </c>
      <c r="AC46" s="105" t="s">
        <v>911</v>
      </c>
      <c r="AD46" s="105" t="s">
        <v>1098</v>
      </c>
      <c r="AE46" s="159" t="s">
        <v>1099</v>
      </c>
      <c r="AF46" s="159">
        <v>256880.74</v>
      </c>
      <c r="AG46" s="105">
        <f t="shared" si="4"/>
        <v>-70399.2</v>
      </c>
    </row>
    <row r="47" s="108" customFormat="1" ht="13" customHeight="1" spans="1:33">
      <c r="A47" s="194">
        <v>41</v>
      </c>
      <c r="B47" s="195" t="s">
        <v>437</v>
      </c>
      <c r="C47" s="196" t="s">
        <v>1100</v>
      </c>
      <c r="D47" s="197" t="s">
        <v>898</v>
      </c>
      <c r="E47" s="198" t="s">
        <v>1101</v>
      </c>
      <c r="F47" s="196" t="s">
        <v>1102</v>
      </c>
      <c r="G47" s="199" t="s">
        <v>1103</v>
      </c>
      <c r="H47" s="200" t="str">
        <f>IF(G47="","",VLOOKUP(G47,'附表8-合同明细采集底稿'!B:I,2,0))</f>
        <v>春和景苑土方挖运</v>
      </c>
      <c r="I47" s="201" t="str">
        <f>IF(G47="","",VLOOKUP(G47,'附表8-合同明细采集底稿'!B:I,3,0))</f>
        <v>建设工程合同</v>
      </c>
      <c r="J47" s="200" t="str">
        <f>IF(G47="","",VLOOKUP(G47,'附表8-合同明细采集底稿'!B:I,4,0))</f>
        <v>李建新</v>
      </c>
      <c r="K47" s="200" t="s">
        <v>902</v>
      </c>
      <c r="L47" s="202" t="s">
        <v>990</v>
      </c>
      <c r="M47" s="524" t="s">
        <v>1104</v>
      </c>
      <c r="N47" s="203">
        <v>198019.8</v>
      </c>
      <c r="O47" s="203">
        <v>200000</v>
      </c>
      <c r="P47" s="204">
        <v>198019.8</v>
      </c>
      <c r="Q47" s="203">
        <f>-P47</f>
        <v>-198019.8</v>
      </c>
      <c r="R47" s="203">
        <f t="shared" si="0"/>
        <v>0</v>
      </c>
      <c r="S47" s="205">
        <f>IFERROR(VLOOKUP(G47,'附表8-合同明细采集底稿'!B:M,12,0),100%)</f>
        <v>1</v>
      </c>
      <c r="T47" s="206">
        <f t="shared" si="1"/>
        <v>0</v>
      </c>
      <c r="U47" s="200"/>
      <c r="V47" s="207" t="s">
        <v>276</v>
      </c>
      <c r="W47" s="208">
        <f>IF('附表1-面积统计表'!$D$29=0,"",IF(AND(V47="共同成本费用",Z47="总建筑面积法"),ROUND(T47/'附表1-面积统计表'!$D$29*'附表1-面积统计表'!$D$5,2),IF(AND(V47="共同成本费用",Z47="可售建筑面积法"),ROUND(T47/'附表1-面积统计表'!$F$29*'附表1-面积统计表'!$F$5,2),"请手工填写")))</f>
        <v>0</v>
      </c>
      <c r="X47" s="208" t="str">
        <f>IF(SUM('附表1-面积统计表'!$D$6)=0,"",SUM(T47)-SUM(W47)-SUM(Y47))</f>
        <v/>
      </c>
      <c r="Y47" s="208">
        <f>IF(SUM('附表1-面积统计表'!$D$6)=0,SUM(T47)-SUM(W47),IF('附表1-面积统计表'!$D$29=0,"",IF(AND(V47="共同成本费用",Z47="总建筑面积法"),ROUND(T47/'附表1-面积统计表'!$D$29*'附表1-面积统计表'!$D$7,2),IF(AND(V47="共同成本费用",Z47="可售建筑面积法"),ROUND(T47/'附表1-面积统计表'!$F$29*'附表1-面积统计表'!$F$7,2),"请手工填写"))))</f>
        <v>0</v>
      </c>
      <c r="Z47" s="209" t="s">
        <v>251</v>
      </c>
      <c r="AA47" s="200"/>
      <c r="AB47" s="210" t="s">
        <v>905</v>
      </c>
      <c r="AE47" s="211" t="s">
        <v>1105</v>
      </c>
      <c r="AF47" s="211">
        <v>0</v>
      </c>
      <c r="AG47" s="108">
        <f t="shared" si="4"/>
        <v>0</v>
      </c>
    </row>
    <row r="48" s="105" customFormat="1" ht="13" customHeight="1" spans="1:33">
      <c r="A48" s="139">
        <v>42</v>
      </c>
      <c r="B48" s="160" t="s">
        <v>1106</v>
      </c>
      <c r="C48" s="170" t="s">
        <v>1107</v>
      </c>
      <c r="D48" s="142" t="s">
        <v>945</v>
      </c>
      <c r="E48" s="143" t="s">
        <v>1052</v>
      </c>
      <c r="F48" s="170" t="s">
        <v>1108</v>
      </c>
      <c r="G48" s="99"/>
      <c r="H48" s="145" t="str">
        <f>IF(G48="","",VLOOKUP(G48,'附表8-合同明细采集底稿'!B:I,2,0))</f>
        <v/>
      </c>
      <c r="I48" s="146" t="str">
        <f>IF(G48="","",VLOOKUP(G48,'附表8-合同明细采集底稿'!B:I,3,0))</f>
        <v/>
      </c>
      <c r="J48" s="161" t="s">
        <v>1109</v>
      </c>
      <c r="K48" s="145" t="s">
        <v>902</v>
      </c>
      <c r="L48" s="148" t="s">
        <v>1110</v>
      </c>
      <c r="M48" s="149" t="s">
        <v>1111</v>
      </c>
      <c r="N48" s="151">
        <v>5440</v>
      </c>
      <c r="O48" s="151">
        <v>5440</v>
      </c>
      <c r="P48" s="172">
        <v>5440</v>
      </c>
      <c r="Q48" s="151">
        <f>-P48</f>
        <v>-5440</v>
      </c>
      <c r="R48" s="151">
        <f t="shared" si="0"/>
        <v>0</v>
      </c>
      <c r="S48" s="153">
        <f>IFERROR(VLOOKUP(G48,'附表8-合同明细采集底稿'!B:M,12,0),100%)</f>
        <v>1</v>
      </c>
      <c r="T48" s="154">
        <f t="shared" si="1"/>
        <v>0</v>
      </c>
      <c r="U48" s="145"/>
      <c r="V48" s="155" t="s">
        <v>276</v>
      </c>
      <c r="W48" s="156">
        <f>IF('附表1-面积统计表'!$D$29=0,"",IF(AND(V48="共同成本费用",Z48="总建筑面积法"),ROUND(T48/'附表1-面积统计表'!$D$29*'附表1-面积统计表'!$D$5,2),IF(AND(V48="共同成本费用",Z48="可售建筑面积法"),ROUND(T48/'附表1-面积统计表'!$F$29*'附表1-面积统计表'!$F$5,2),"请手工填写")))</f>
        <v>0</v>
      </c>
      <c r="X48" s="156" t="str">
        <f>IF(SUM('附表1-面积统计表'!$D$6)=0,"",SUM(T48)-SUM(W48)-SUM(Y48))</f>
        <v/>
      </c>
      <c r="Y48" s="156">
        <f>IF(SUM('附表1-面积统计表'!$D$6)=0,SUM(T48)-SUM(W48),IF('附表1-面积统计表'!$D$29=0,"",IF(AND(V48="共同成本费用",Z48="总建筑面积法"),ROUND(T48/'附表1-面积统计表'!$D$29*'附表1-面积统计表'!$D$7,2),IF(AND(V48="共同成本费用",Z48="可售建筑面积法"),ROUND(T48/'附表1-面积统计表'!$F$29*'附表1-面积统计表'!$F$7,2),"请手工填写"))))</f>
        <v>0</v>
      </c>
      <c r="Z48" s="157" t="s">
        <v>251</v>
      </c>
      <c r="AA48" s="145"/>
      <c r="AB48" s="158" t="s">
        <v>905</v>
      </c>
      <c r="AD48" s="159" t="s">
        <v>1112</v>
      </c>
      <c r="AE48" s="159" t="s">
        <v>1112</v>
      </c>
      <c r="AF48" s="159">
        <v>0</v>
      </c>
      <c r="AG48" s="105">
        <f t="shared" si="4"/>
        <v>0</v>
      </c>
    </row>
    <row r="49" s="105" customFormat="1" ht="13" customHeight="1" spans="1:33">
      <c r="A49" s="139">
        <v>43</v>
      </c>
      <c r="B49" s="160" t="s">
        <v>1113</v>
      </c>
      <c r="C49" s="170" t="s">
        <v>1114</v>
      </c>
      <c r="D49" s="142" t="s">
        <v>945</v>
      </c>
      <c r="E49" s="143" t="s">
        <v>1115</v>
      </c>
      <c r="F49" s="170" t="s">
        <v>1116</v>
      </c>
      <c r="G49" s="99" t="s">
        <v>1117</v>
      </c>
      <c r="H49" s="145" t="str">
        <f>IF(G49="","",VLOOKUP(G49,'附表8-合同明细采集底稿'!B:I,2,0))</f>
        <v>春和景苑玻璃钢化粪池</v>
      </c>
      <c r="I49" s="146" t="str">
        <f>IF(G49="","",VLOOKUP(G49,'附表8-合同明细采集底稿'!B:I,3,0))</f>
        <v>买卖合同</v>
      </c>
      <c r="J49" s="145" t="str">
        <f>IF(G49="","",VLOOKUP(G49,'附表8-合同明细采集底稿'!B:I,4,0))</f>
        <v>乌鲁木齐三源众联复合材料有限公司</v>
      </c>
      <c r="K49" s="147" t="s">
        <v>902</v>
      </c>
      <c r="L49" s="148" t="s">
        <v>1096</v>
      </c>
      <c r="M49" s="522" t="s">
        <v>1118</v>
      </c>
      <c r="N49" s="151">
        <v>39823.01</v>
      </c>
      <c r="O49" s="151">
        <f>13500+31500</f>
        <v>45000</v>
      </c>
      <c r="P49" s="172">
        <v>39823.01</v>
      </c>
      <c r="Q49" s="151"/>
      <c r="R49" s="151">
        <f t="shared" si="0"/>
        <v>39823.01</v>
      </c>
      <c r="S49" s="153">
        <f>IFERROR(VLOOKUP(G49,'附表8-合同明细采集底稿'!B:M,12,0),100%)</f>
        <v>1</v>
      </c>
      <c r="T49" s="154">
        <f t="shared" si="1"/>
        <v>39823.01</v>
      </c>
      <c r="U49" s="145"/>
      <c r="V49" s="155" t="s">
        <v>276</v>
      </c>
      <c r="W49" s="156">
        <f>IF('附表1-面积统计表'!$D$29=0,"",IF(AND(V49="共同成本费用",Z49="总建筑面积法"),ROUND(T49/'附表1-面积统计表'!$D$29*'附表1-面积统计表'!$D$5,2),IF(AND(V49="共同成本费用",Z49="可售建筑面积法"),ROUND(T49/'附表1-面积统计表'!$F$29*'附表1-面积统计表'!$F$5,2),"请手工填写")))</f>
        <v>39823.01</v>
      </c>
      <c r="X49" s="156" t="str">
        <f>IF(SUM('附表1-面积统计表'!$D$6)=0,"",SUM(T49)-SUM(W49)-SUM(Y49))</f>
        <v/>
      </c>
      <c r="Y49" s="156">
        <f>IF(SUM('附表1-面积统计表'!$D$6)=0,SUM(T49)-SUM(W49),IF('附表1-面积统计表'!$D$29=0,"",IF(AND(V49="共同成本费用",Z49="总建筑面积法"),ROUND(T49/'附表1-面积统计表'!$D$29*'附表1-面积统计表'!$D$7,2),IF(AND(V49="共同成本费用",Z49="可售建筑面积法"),ROUND(T49/'附表1-面积统计表'!$F$29*'附表1-面积统计表'!$F$7,2),"请手工填写"))))</f>
        <v>0</v>
      </c>
      <c r="Z49" s="157" t="s">
        <v>251</v>
      </c>
      <c r="AA49" s="145"/>
      <c r="AB49" s="158" t="s">
        <v>905</v>
      </c>
      <c r="AD49" s="159" t="s">
        <v>1119</v>
      </c>
      <c r="AE49" s="159" t="s">
        <v>1120</v>
      </c>
      <c r="AF49" s="159">
        <v>39823.01</v>
      </c>
      <c r="AG49" s="105">
        <f t="shared" si="4"/>
        <v>0</v>
      </c>
    </row>
    <row r="50" s="105" customFormat="1" ht="13" customHeight="1" spans="1:33">
      <c r="A50" s="139">
        <v>44</v>
      </c>
      <c r="B50" s="160" t="s">
        <v>441</v>
      </c>
      <c r="C50" s="170" t="s">
        <v>1121</v>
      </c>
      <c r="D50" s="142" t="s">
        <v>945</v>
      </c>
      <c r="E50" s="143" t="s">
        <v>1115</v>
      </c>
      <c r="F50" s="170" t="s">
        <v>1122</v>
      </c>
      <c r="G50" s="99" t="s">
        <v>1123</v>
      </c>
      <c r="H50" s="145" t="str">
        <f>IF(G50="","",VLOOKUP(G50,'附表8-合同明细采集底稿'!B:I,2,0))</f>
        <v>春和排水管道安装工程</v>
      </c>
      <c r="I50" s="146" t="str">
        <f>IF(G50="","",VLOOKUP(G50,'附表8-合同明细采集底稿'!B:I,3,0))</f>
        <v>建设工程合同</v>
      </c>
      <c r="J50" s="145" t="str">
        <f>IF(G50="","",VLOOKUP(G50,'附表8-合同明细采集底稿'!B:I,4,0))</f>
        <v>巴州国鑫管道工程建筑有限责任公司</v>
      </c>
      <c r="K50" s="147" t="s">
        <v>902</v>
      </c>
      <c r="L50" s="171" t="s">
        <v>990</v>
      </c>
      <c r="M50" s="522" t="s">
        <v>1124</v>
      </c>
      <c r="N50" s="151">
        <v>26336.63</v>
      </c>
      <c r="O50" s="151">
        <v>26600</v>
      </c>
      <c r="P50" s="172">
        <v>26336.63</v>
      </c>
      <c r="Q50" s="151"/>
      <c r="R50" s="151">
        <f t="shared" si="0"/>
        <v>26336.63</v>
      </c>
      <c r="S50" s="153">
        <f>IFERROR(VLOOKUP(G50,'附表8-合同明细采集底稿'!B:M,12,0),100%)</f>
        <v>1</v>
      </c>
      <c r="T50" s="154">
        <f t="shared" si="1"/>
        <v>26336.63</v>
      </c>
      <c r="U50" s="145"/>
      <c r="V50" s="155" t="s">
        <v>276</v>
      </c>
      <c r="W50" s="156">
        <f>IF('附表1-面积统计表'!$D$29=0,"",IF(AND(V50="共同成本费用",Z50="总建筑面积法"),ROUND(T50/'附表1-面积统计表'!$D$29*'附表1-面积统计表'!$D$5,2),IF(AND(V50="共同成本费用",Z50="可售建筑面积法"),ROUND(T50/'附表1-面积统计表'!$F$29*'附表1-面积统计表'!$F$5,2),"请手工填写")))</f>
        <v>26336.63</v>
      </c>
      <c r="X50" s="156" t="str">
        <f>IF(SUM('附表1-面积统计表'!$D$6)=0,"",SUM(T50)-SUM(W50)-SUM(Y50))</f>
        <v/>
      </c>
      <c r="Y50" s="156">
        <f>IF(SUM('附表1-面积统计表'!$D$6)=0,SUM(T50)-SUM(W50),IF('附表1-面积统计表'!$D$29=0,"",IF(AND(V50="共同成本费用",Z50="总建筑面积法"),ROUND(T50/'附表1-面积统计表'!$D$29*'附表1-面积统计表'!$D$7,2),IF(AND(V50="共同成本费用",Z50="可售建筑面积法"),ROUND(T50/'附表1-面积统计表'!$F$29*'附表1-面积统计表'!$F$7,2),"请手工填写"))))</f>
        <v>0</v>
      </c>
      <c r="Z50" s="157" t="s">
        <v>251</v>
      </c>
      <c r="AA50" s="145"/>
      <c r="AB50" s="158" t="s">
        <v>905</v>
      </c>
      <c r="AE50" s="159" t="s">
        <v>1120</v>
      </c>
      <c r="AF50" s="159">
        <v>26336.63</v>
      </c>
      <c r="AG50" s="105">
        <f t="shared" si="4"/>
        <v>0</v>
      </c>
    </row>
    <row r="51" s="105" customFormat="1" ht="13" customHeight="1" spans="1:33">
      <c r="A51" s="139">
        <v>45</v>
      </c>
      <c r="B51" s="160" t="s">
        <v>1125</v>
      </c>
      <c r="C51" s="170" t="s">
        <v>1126</v>
      </c>
      <c r="D51" s="142" t="s">
        <v>898</v>
      </c>
      <c r="E51" s="143" t="s">
        <v>899</v>
      </c>
      <c r="F51" s="170" t="s">
        <v>1127</v>
      </c>
      <c r="G51" s="99"/>
      <c r="H51" s="145" t="str">
        <f>IF(G51="","",VLOOKUP(G51,'附表8-合同明细采集底稿'!B:I,2,0))</f>
        <v/>
      </c>
      <c r="I51" s="146" t="str">
        <f>IF(G51="","",VLOOKUP(G51,'附表8-合同明细采集底稿'!B:I,3,0))</f>
        <v/>
      </c>
      <c r="J51" s="161" t="s">
        <v>112</v>
      </c>
      <c r="K51" s="147" t="s">
        <v>958</v>
      </c>
      <c r="L51" s="149"/>
      <c r="M51" s="99"/>
      <c r="N51" s="151">
        <v>-4716.98</v>
      </c>
      <c r="O51" s="151">
        <v>0</v>
      </c>
      <c r="P51" s="172">
        <v>-4716.98</v>
      </c>
      <c r="Q51" s="151"/>
      <c r="R51" s="151">
        <f t="shared" si="0"/>
        <v>-4716.98</v>
      </c>
      <c r="S51" s="153">
        <f>IFERROR(VLOOKUP(G51,'附表8-合同明细采集底稿'!B:M,12,0),100%)</f>
        <v>1</v>
      </c>
      <c r="T51" s="154">
        <f t="shared" si="1"/>
        <v>-4716.98</v>
      </c>
      <c r="U51" s="145"/>
      <c r="V51" s="155" t="s">
        <v>276</v>
      </c>
      <c r="W51" s="156">
        <f>IF('附表1-面积统计表'!$D$29=0,"",IF(AND(V51="共同成本费用",Z51="总建筑面积法"),ROUND(T51/'附表1-面积统计表'!$D$29*'附表1-面积统计表'!$D$5,2),IF(AND(V51="共同成本费用",Z51="可售建筑面积法"),ROUND(T51/'附表1-面积统计表'!$F$29*'附表1-面积统计表'!$F$5,2),"请手工填写")))</f>
        <v>-4716.98</v>
      </c>
      <c r="X51" s="156" t="str">
        <f>IF(SUM('附表1-面积统计表'!$D$6)=0,"",SUM(T51)-SUM(W51)-SUM(Y51))</f>
        <v/>
      </c>
      <c r="Y51" s="156">
        <f>IF(SUM('附表1-面积统计表'!$D$6)=0,SUM(T51)-SUM(W51),IF('附表1-面积统计表'!$D$29=0,"",IF(AND(V51="共同成本费用",Z51="总建筑面积法"),ROUND(T51/'附表1-面积统计表'!$D$29*'附表1-面积统计表'!$D$7,2),IF(AND(V51="共同成本费用",Z51="可售建筑面积法"),ROUND(T51/'附表1-面积统计表'!$F$29*'附表1-面积统计表'!$F$7,2),"请手工填写"))))</f>
        <v>0</v>
      </c>
      <c r="Z51" s="157" t="s">
        <v>251</v>
      </c>
      <c r="AA51" s="145"/>
      <c r="AB51" s="158" t="s">
        <v>905</v>
      </c>
      <c r="AE51" s="159"/>
      <c r="AF51" s="159">
        <v>-4716.98</v>
      </c>
      <c r="AG51" s="105">
        <f t="shared" si="4"/>
        <v>0</v>
      </c>
    </row>
    <row r="52" s="105" customFormat="1" ht="13" customHeight="1" spans="1:33">
      <c r="A52" s="139">
        <v>46</v>
      </c>
      <c r="B52" s="160" t="s">
        <v>1128</v>
      </c>
      <c r="C52" s="170" t="s">
        <v>1129</v>
      </c>
      <c r="D52" s="142" t="s">
        <v>945</v>
      </c>
      <c r="E52" s="143" t="s">
        <v>1115</v>
      </c>
      <c r="F52" s="170" t="s">
        <v>1130</v>
      </c>
      <c r="G52" s="99" t="s">
        <v>1131</v>
      </c>
      <c r="H52" s="145" t="str">
        <f>IF(G52="","",VLOOKUP(G52,'附表8-合同明细采集底稿'!B:I,2,0))</f>
        <v>春和监控及弱电工程</v>
      </c>
      <c r="I52" s="146" t="str">
        <f>IF(G52="","",VLOOKUP(G52,'附表8-合同明细采集底稿'!B:I,3,0))</f>
        <v>建设工程合同</v>
      </c>
      <c r="J52" s="145" t="str">
        <f>IF(G52="","",VLOOKUP(G52,'附表8-合同明细采集底稿'!B:I,4,0))</f>
        <v>巴州青橄榄电子科技有限公司（党曌）</v>
      </c>
      <c r="K52" s="147" t="s">
        <v>902</v>
      </c>
      <c r="L52" s="171" t="s">
        <v>1096</v>
      </c>
      <c r="M52" s="522" t="s">
        <v>1132</v>
      </c>
      <c r="N52" s="151">
        <v>92079.21</v>
      </c>
      <c r="O52" s="151">
        <v>27900</v>
      </c>
      <c r="P52" s="172">
        <v>92079.21</v>
      </c>
      <c r="Q52" s="151"/>
      <c r="R52" s="151">
        <f t="shared" si="0"/>
        <v>92079.21</v>
      </c>
      <c r="S52" s="153">
        <f>IFERROR(VLOOKUP(G52,'附表8-合同明细采集底稿'!B:M,12,0),100%)</f>
        <v>1</v>
      </c>
      <c r="T52" s="154">
        <f t="shared" si="1"/>
        <v>92079.21</v>
      </c>
      <c r="U52" s="145"/>
      <c r="V52" s="155" t="s">
        <v>276</v>
      </c>
      <c r="W52" s="156">
        <f>IF('附表1-面积统计表'!$D$29=0,"",IF(AND(V52="共同成本费用",Z52="总建筑面积法"),ROUND(T52/'附表1-面积统计表'!$D$29*'附表1-面积统计表'!$D$5,2),IF(AND(V52="共同成本费用",Z52="可售建筑面积法"),ROUND(T52/'附表1-面积统计表'!$F$29*'附表1-面积统计表'!$F$5,2),"请手工填写")))</f>
        <v>92079.21</v>
      </c>
      <c r="X52" s="156" t="str">
        <f>IF(SUM('附表1-面积统计表'!$D$6)=0,"",SUM(T52)-SUM(W52)-SUM(Y52))</f>
        <v/>
      </c>
      <c r="Y52" s="156">
        <f>IF(SUM('附表1-面积统计表'!$D$6)=0,SUM(T52)-SUM(W52),IF('附表1-面积统计表'!$D$29=0,"",IF(AND(V52="共同成本费用",Z52="总建筑面积法"),ROUND(T52/'附表1-面积统计表'!$D$29*'附表1-面积统计表'!$D$7,2),IF(AND(V52="共同成本费用",Z52="可售建筑面积法"),ROUND(T52/'附表1-面积统计表'!$F$29*'附表1-面积统计表'!$F$7,2),"请手工填写"))))</f>
        <v>0</v>
      </c>
      <c r="Z52" s="157" t="s">
        <v>251</v>
      </c>
      <c r="AA52" s="145"/>
      <c r="AB52" s="158" t="s">
        <v>905</v>
      </c>
      <c r="AC52" s="105" t="s">
        <v>911</v>
      </c>
      <c r="AE52" s="159" t="s">
        <v>1133</v>
      </c>
      <c r="AF52" s="159">
        <v>92079.21</v>
      </c>
      <c r="AG52" s="105">
        <f t="shared" si="4"/>
        <v>0</v>
      </c>
    </row>
    <row r="53" s="107" customFormat="1" ht="13" customHeight="1" spans="1:33">
      <c r="A53" s="173">
        <v>47</v>
      </c>
      <c r="B53" s="174" t="s">
        <v>1134</v>
      </c>
      <c r="C53" s="175" t="s">
        <v>1135</v>
      </c>
      <c r="D53" s="176" t="s">
        <v>945</v>
      </c>
      <c r="E53" s="177" t="s">
        <v>1052</v>
      </c>
      <c r="F53" s="175" t="s">
        <v>1136</v>
      </c>
      <c r="G53" s="212" t="s">
        <v>1137</v>
      </c>
      <c r="H53" s="179" t="str">
        <f>IF(G53="","",VLOOKUP(G53,'附表8-合同明细采集底稿'!B:I,2,0))</f>
        <v>监控购买合同</v>
      </c>
      <c r="I53" s="180" t="str">
        <f>IF(G53="","",VLOOKUP(G53,'附表8-合同明细采集底稿'!B:I,3,0))</f>
        <v>买卖合同</v>
      </c>
      <c r="J53" s="179" t="str">
        <f>IF(G53="","",VLOOKUP(G53,'附表8-合同明细采集底稿'!B:I,4,0))</f>
        <v>库尔勒箴言五金店</v>
      </c>
      <c r="K53" s="179" t="s">
        <v>902</v>
      </c>
      <c r="L53" s="213" t="s">
        <v>1138</v>
      </c>
      <c r="M53" s="181" t="s">
        <v>1139</v>
      </c>
      <c r="N53" s="182">
        <v>150000</v>
      </c>
      <c r="O53" s="182">
        <v>150000</v>
      </c>
      <c r="P53" s="183">
        <v>150000</v>
      </c>
      <c r="Q53" s="182">
        <f t="shared" ref="Q53:Q57" si="5">-P53</f>
        <v>-150000</v>
      </c>
      <c r="R53" s="182">
        <f t="shared" si="0"/>
        <v>0</v>
      </c>
      <c r="S53" s="184">
        <f>IFERROR(VLOOKUP(G53,'附表8-合同明细采集底稿'!B:M,12,0),100%)</f>
        <v>1</v>
      </c>
      <c r="T53" s="185">
        <f t="shared" si="1"/>
        <v>0</v>
      </c>
      <c r="U53" s="179" t="s">
        <v>1081</v>
      </c>
      <c r="V53" s="186" t="s">
        <v>276</v>
      </c>
      <c r="W53" s="187">
        <f>IF('附表1-面积统计表'!$D$29=0,"",IF(AND(V53="共同成本费用",Z53="总建筑面积法"),ROUND(T53/'附表1-面积统计表'!$D$29*'附表1-面积统计表'!$D$5,2),IF(AND(V53="共同成本费用",Z53="可售建筑面积法"),ROUND(T53/'附表1-面积统计表'!$F$29*'附表1-面积统计表'!$F$5,2),"请手工填写")))</f>
        <v>0</v>
      </c>
      <c r="X53" s="187" t="str">
        <f>IF(SUM('附表1-面积统计表'!$D$6)=0,"",SUM(T53)-SUM(W53)-SUM(Y53))</f>
        <v/>
      </c>
      <c r="Y53" s="187">
        <f>IF(SUM('附表1-面积统计表'!$D$6)=0,SUM(T53)-SUM(W53),IF('附表1-面积统计表'!$D$29=0,"",IF(AND(V53="共同成本费用",Z53="总建筑面积法"),ROUND(T53/'附表1-面积统计表'!$D$29*'附表1-面积统计表'!$D$7,2),IF(AND(V53="共同成本费用",Z53="可售建筑面积法"),ROUND(T53/'附表1-面积统计表'!$F$29*'附表1-面积统计表'!$F$7,2),"请手工填写"))))</f>
        <v>0</v>
      </c>
      <c r="Z53" s="188" t="s">
        <v>251</v>
      </c>
      <c r="AA53" s="179"/>
      <c r="AB53" s="189" t="s">
        <v>905</v>
      </c>
      <c r="AE53" s="192" t="s">
        <v>1140</v>
      </c>
      <c r="AF53" s="192">
        <v>150000</v>
      </c>
      <c r="AG53" s="107">
        <f t="shared" si="4"/>
        <v>-150000</v>
      </c>
    </row>
    <row r="54" s="105" customFormat="1" ht="13" customHeight="1" spans="1:33">
      <c r="A54" s="139">
        <v>48</v>
      </c>
      <c r="B54" s="160" t="s">
        <v>1134</v>
      </c>
      <c r="C54" s="170" t="s">
        <v>1141</v>
      </c>
      <c r="D54" s="142" t="s">
        <v>966</v>
      </c>
      <c r="E54" s="143" t="s">
        <v>967</v>
      </c>
      <c r="F54" s="170" t="s">
        <v>1142</v>
      </c>
      <c r="G54" s="100" t="s">
        <v>969</v>
      </c>
      <c r="H54" s="145" t="str">
        <f>IF(G54="","",VLOOKUP(G54,'附表8-合同明细采集底稿'!B:I,2,0))</f>
        <v>监理合同补充协议</v>
      </c>
      <c r="I54" s="146" t="str">
        <f>IF(G54="","",VLOOKUP(G54,'附表8-合同明细采集底稿'!B:I,3,0))</f>
        <v>技术合同</v>
      </c>
      <c r="J54" s="145" t="str">
        <f>IF(G54="","",VLOOKUP(G54,'附表8-合同明细采集底稿'!B:I,4,0))</f>
        <v>巴州智诚工程项目管理服务有限公司</v>
      </c>
      <c r="K54" s="147" t="s">
        <v>902</v>
      </c>
      <c r="L54" s="171" t="s">
        <v>941</v>
      </c>
      <c r="M54" s="522" t="s">
        <v>1143</v>
      </c>
      <c r="N54" s="151">
        <v>38874.26</v>
      </c>
      <c r="O54" s="151">
        <v>39263</v>
      </c>
      <c r="P54" s="172">
        <v>38874.26</v>
      </c>
      <c r="Q54" s="151"/>
      <c r="R54" s="151">
        <f t="shared" si="0"/>
        <v>38874.26</v>
      </c>
      <c r="S54" s="153">
        <f>IFERROR(VLOOKUP(G54,'附表8-合同明细采集底稿'!B:M,12,0),100%)</f>
        <v>1</v>
      </c>
      <c r="T54" s="154">
        <f t="shared" si="1"/>
        <v>38874.26</v>
      </c>
      <c r="U54" s="145"/>
      <c r="V54" s="155" t="s">
        <v>276</v>
      </c>
      <c r="W54" s="156">
        <f>IF('附表1-面积统计表'!$D$29=0,"",IF(AND(V54="共同成本费用",Z54="总建筑面积法"),ROUND(T54/'附表1-面积统计表'!$D$29*'附表1-面积统计表'!$D$5,2),IF(AND(V54="共同成本费用",Z54="可售建筑面积法"),ROUND(T54/'附表1-面积统计表'!$F$29*'附表1-面积统计表'!$F$5,2),"请手工填写")))</f>
        <v>38874.26</v>
      </c>
      <c r="X54" s="156" t="str">
        <f>IF(SUM('附表1-面积统计表'!$D$6)=0,"",SUM(T54)-SUM(W54)-SUM(Y54))</f>
        <v/>
      </c>
      <c r="Y54" s="156">
        <f>IF(SUM('附表1-面积统计表'!$D$6)=0,SUM(T54)-SUM(W54),IF('附表1-面积统计表'!$D$29=0,"",IF(AND(V54="共同成本费用",Z54="总建筑面积法"),ROUND(T54/'附表1-面积统计表'!$D$29*'附表1-面积统计表'!$D$7,2),IF(AND(V54="共同成本费用",Z54="可售建筑面积法"),ROUND(T54/'附表1-面积统计表'!$F$29*'附表1-面积统计表'!$F$7,2),"请手工填写"))))</f>
        <v>0</v>
      </c>
      <c r="Z54" s="157" t="s">
        <v>251</v>
      </c>
      <c r="AA54" s="145"/>
      <c r="AB54" s="158" t="s">
        <v>905</v>
      </c>
      <c r="AE54" s="159"/>
      <c r="AF54" s="159">
        <v>38874.26</v>
      </c>
      <c r="AG54" s="105">
        <f t="shared" si="4"/>
        <v>0</v>
      </c>
    </row>
    <row r="55" s="107" customFormat="1" ht="13" customHeight="1" spans="1:33">
      <c r="A55" s="173">
        <v>49</v>
      </c>
      <c r="B55" s="174" t="s">
        <v>1144</v>
      </c>
      <c r="C55" s="175" t="s">
        <v>1051</v>
      </c>
      <c r="D55" s="176" t="s">
        <v>945</v>
      </c>
      <c r="E55" s="177" t="s">
        <v>1052</v>
      </c>
      <c r="F55" s="175" t="s">
        <v>1145</v>
      </c>
      <c r="G55" s="212" t="s">
        <v>1146</v>
      </c>
      <c r="H55" s="179" t="str">
        <f>IF(G55="","",VLOOKUP(G55,'附表8-合同明细采集底稿'!B:I,2,0))</f>
        <v>监控购买合同</v>
      </c>
      <c r="I55" s="180" t="str">
        <f>IF(G55="","",VLOOKUP(G55,'附表8-合同明细采集底稿'!B:I,3,0))</f>
        <v>买卖合同</v>
      </c>
      <c r="J55" s="179" t="str">
        <f>IF(G55="","",VLOOKUP(G55,'附表8-合同明细采集底稿'!B:I,4,0))</f>
        <v>库尔勒诗篇五金店</v>
      </c>
      <c r="K55" s="179" t="s">
        <v>902</v>
      </c>
      <c r="L55" s="181" t="s">
        <v>1110</v>
      </c>
      <c r="M55" s="181" t="s">
        <v>1147</v>
      </c>
      <c r="N55" s="182">
        <v>150000</v>
      </c>
      <c r="O55" s="182">
        <v>150000</v>
      </c>
      <c r="P55" s="183">
        <v>150000</v>
      </c>
      <c r="Q55" s="182">
        <f t="shared" si="5"/>
        <v>-150000</v>
      </c>
      <c r="R55" s="182">
        <f t="shared" si="0"/>
        <v>0</v>
      </c>
      <c r="S55" s="184">
        <f>IFERROR(VLOOKUP(G55,'附表8-合同明细采集底稿'!B:M,12,0),100%)</f>
        <v>1</v>
      </c>
      <c r="T55" s="185">
        <f t="shared" si="1"/>
        <v>0</v>
      </c>
      <c r="U55" s="179" t="s">
        <v>1081</v>
      </c>
      <c r="V55" s="186" t="s">
        <v>276</v>
      </c>
      <c r="W55" s="187">
        <f>IF('附表1-面积统计表'!$D$29=0,"",IF(AND(V55="共同成本费用",Z55="总建筑面积法"),ROUND(T55/'附表1-面积统计表'!$D$29*'附表1-面积统计表'!$D$5,2),IF(AND(V55="共同成本费用",Z55="可售建筑面积法"),ROUND(T55/'附表1-面积统计表'!$F$29*'附表1-面积统计表'!$F$5,2),"请手工填写")))</f>
        <v>0</v>
      </c>
      <c r="X55" s="187" t="str">
        <f>IF(SUM('附表1-面积统计表'!$D$6)=0,"",SUM(T55)-SUM(W55)-SUM(Y55))</f>
        <v/>
      </c>
      <c r="Y55" s="187">
        <f>IF(SUM('附表1-面积统计表'!$D$6)=0,SUM(T55)-SUM(W55),IF('附表1-面积统计表'!$D$29=0,"",IF(AND(V55="共同成本费用",Z55="总建筑面积法"),ROUND(T55/'附表1-面积统计表'!$D$29*'附表1-面积统计表'!$D$7,2),IF(AND(V55="共同成本费用",Z55="可售建筑面积法"),ROUND(T55/'附表1-面积统计表'!$F$29*'附表1-面积统计表'!$F$7,2),"请手工填写"))))</f>
        <v>0</v>
      </c>
      <c r="Z55" s="188" t="s">
        <v>251</v>
      </c>
      <c r="AA55" s="179"/>
      <c r="AB55" s="189" t="s">
        <v>905</v>
      </c>
      <c r="AE55" s="192" t="s">
        <v>1148</v>
      </c>
      <c r="AF55" s="192">
        <v>150000</v>
      </c>
      <c r="AG55" s="107">
        <f t="shared" si="4"/>
        <v>-150000</v>
      </c>
    </row>
    <row r="56" s="105" customFormat="1" ht="13" customHeight="1" spans="1:33">
      <c r="A56" s="139">
        <v>50</v>
      </c>
      <c r="B56" s="160" t="s">
        <v>1149</v>
      </c>
      <c r="C56" s="170" t="s">
        <v>1150</v>
      </c>
      <c r="D56" s="142" t="s">
        <v>945</v>
      </c>
      <c r="E56" s="143" t="s">
        <v>1052</v>
      </c>
      <c r="F56" s="170" t="s">
        <v>1151</v>
      </c>
      <c r="G56" s="99" t="s">
        <v>1152</v>
      </c>
      <c r="H56" s="145" t="str">
        <f>IF(G56="","",VLOOKUP(G56,'附表8-合同明细采集底稿'!B:I,2,0))</f>
        <v>电线电缆</v>
      </c>
      <c r="I56" s="146" t="str">
        <f>IF(G56="","",VLOOKUP(G56,'附表8-合同明细采集底稿'!B:I,3,0))</f>
        <v>建设工程合同</v>
      </c>
      <c r="J56" s="145" t="str">
        <f>IF(G56="","",VLOOKUP(G56,'附表8-合同明细采集底稿'!B:I,4,0))</f>
        <v>正工电缆有限公司</v>
      </c>
      <c r="K56" s="147" t="s">
        <v>902</v>
      </c>
      <c r="L56" s="171" t="s">
        <v>1153</v>
      </c>
      <c r="M56" s="522" t="s">
        <v>1154</v>
      </c>
      <c r="N56" s="151">
        <v>630247.78</v>
      </c>
      <c r="O56" s="151">
        <f>312180+400000</f>
        <v>712180</v>
      </c>
      <c r="P56" s="172">
        <v>630247.78</v>
      </c>
      <c r="Q56" s="151"/>
      <c r="R56" s="151">
        <f t="shared" si="0"/>
        <v>630247.78</v>
      </c>
      <c r="S56" s="153">
        <f>IFERROR(VLOOKUP(G56,'附表8-合同明细采集底稿'!B:M,12,0),100%)</f>
        <v>1</v>
      </c>
      <c r="T56" s="154">
        <f t="shared" si="1"/>
        <v>630247.78</v>
      </c>
      <c r="U56" s="145"/>
      <c r="V56" s="155" t="s">
        <v>276</v>
      </c>
      <c r="W56" s="156">
        <f>IF('附表1-面积统计表'!$D$29=0,"",IF(AND(V56="共同成本费用",Z56="总建筑面积法"),ROUND(T56/'附表1-面积统计表'!$D$29*'附表1-面积统计表'!$D$5,2),IF(AND(V56="共同成本费用",Z56="可售建筑面积法"),ROUND(T56/'附表1-面积统计表'!$F$29*'附表1-面积统计表'!$F$5,2),"请手工填写")))</f>
        <v>630247.78</v>
      </c>
      <c r="X56" s="156" t="str">
        <f>IF(SUM('附表1-面积统计表'!$D$6)=0,"",SUM(T56)-SUM(W56)-SUM(Y56))</f>
        <v/>
      </c>
      <c r="Y56" s="156">
        <f>IF(SUM('附表1-面积统计表'!$D$6)=0,SUM(T56)-SUM(W56),IF('附表1-面积统计表'!$D$29=0,"",IF(AND(V56="共同成本费用",Z56="总建筑面积法"),ROUND(T56/'附表1-面积统计表'!$D$29*'附表1-面积统计表'!$D$7,2),IF(AND(V56="共同成本费用",Z56="可售建筑面积法"),ROUND(T56/'附表1-面积统计表'!$F$29*'附表1-面积统计表'!$F$7,2),"请手工填写"))))</f>
        <v>0</v>
      </c>
      <c r="Z56" s="157" t="s">
        <v>251</v>
      </c>
      <c r="AA56" s="145"/>
      <c r="AB56" s="158" t="s">
        <v>905</v>
      </c>
      <c r="AE56" s="159" t="s">
        <v>1045</v>
      </c>
      <c r="AF56" s="159">
        <v>630247.78</v>
      </c>
      <c r="AG56" s="105">
        <f t="shared" si="4"/>
        <v>0</v>
      </c>
    </row>
    <row r="57" s="108" customFormat="1" ht="13" customHeight="1" spans="1:33">
      <c r="A57" s="194">
        <v>51</v>
      </c>
      <c r="B57" s="195" t="s">
        <v>1149</v>
      </c>
      <c r="C57" s="196" t="s">
        <v>1155</v>
      </c>
      <c r="D57" s="197" t="s">
        <v>898</v>
      </c>
      <c r="E57" s="198" t="s">
        <v>1101</v>
      </c>
      <c r="F57" s="196" t="s">
        <v>1156</v>
      </c>
      <c r="G57" s="199" t="s">
        <v>1103</v>
      </c>
      <c r="H57" s="200" t="str">
        <f>IF(G57="","",VLOOKUP(G57,'附表8-合同明细采集底稿'!B:I,2,0))</f>
        <v>春和景苑土方挖运</v>
      </c>
      <c r="I57" s="201" t="str">
        <f>IF(G57="","",VLOOKUP(G57,'附表8-合同明细采集底稿'!B:I,3,0))</f>
        <v>建设工程合同</v>
      </c>
      <c r="J57" s="200" t="str">
        <f>IF(G57="","",VLOOKUP(G57,'附表8-合同明细采集底稿'!B:I,4,0))</f>
        <v>李建新</v>
      </c>
      <c r="K57" s="200" t="s">
        <v>902</v>
      </c>
      <c r="L57" s="214" t="s">
        <v>990</v>
      </c>
      <c r="M57" s="524" t="s">
        <v>1157</v>
      </c>
      <c r="N57" s="203">
        <v>198019.8</v>
      </c>
      <c r="O57" s="203">
        <v>200000</v>
      </c>
      <c r="P57" s="204">
        <v>198019.8</v>
      </c>
      <c r="Q57" s="203">
        <f t="shared" si="5"/>
        <v>-198019.8</v>
      </c>
      <c r="R57" s="203">
        <f t="shared" si="0"/>
        <v>0</v>
      </c>
      <c r="S57" s="205">
        <f>IFERROR(VLOOKUP(G57,'附表8-合同明细采集底稿'!B:M,12,0),100%)</f>
        <v>1</v>
      </c>
      <c r="T57" s="206">
        <f t="shared" si="1"/>
        <v>0</v>
      </c>
      <c r="U57" s="200"/>
      <c r="V57" s="207" t="s">
        <v>276</v>
      </c>
      <c r="W57" s="208">
        <f>IF('附表1-面积统计表'!$D$29=0,"",IF(AND(V57="共同成本费用",Z57="总建筑面积法"),ROUND(T57/'附表1-面积统计表'!$D$29*'附表1-面积统计表'!$D$5,2),IF(AND(V57="共同成本费用",Z57="可售建筑面积法"),ROUND(T57/'附表1-面积统计表'!$F$29*'附表1-面积统计表'!$F$5,2),"请手工填写")))</f>
        <v>0</v>
      </c>
      <c r="X57" s="208" t="str">
        <f>IF(SUM('附表1-面积统计表'!$D$6)=0,"",SUM(T57)-SUM(W57)-SUM(Y57))</f>
        <v/>
      </c>
      <c r="Y57" s="208">
        <f>IF(SUM('附表1-面积统计表'!$D$6)=0,SUM(T57)-SUM(W57),IF('附表1-面积统计表'!$D$29=0,"",IF(AND(V57="共同成本费用",Z57="总建筑面积法"),ROUND(T57/'附表1-面积统计表'!$D$29*'附表1-面积统计表'!$D$7,2),IF(AND(V57="共同成本费用",Z57="可售建筑面积法"),ROUND(T57/'附表1-面积统计表'!$F$29*'附表1-面积统计表'!$F$7,2),"请手工填写"))))</f>
        <v>0</v>
      </c>
      <c r="Z57" s="209" t="s">
        <v>251</v>
      </c>
      <c r="AA57" s="200"/>
      <c r="AB57" s="210" t="s">
        <v>905</v>
      </c>
      <c r="AE57" s="211" t="s">
        <v>1105</v>
      </c>
      <c r="AF57" s="211">
        <v>0</v>
      </c>
      <c r="AG57" s="108">
        <f t="shared" si="4"/>
        <v>0</v>
      </c>
    </row>
    <row r="58" s="109" customFormat="1" ht="13" customHeight="1" spans="1:33">
      <c r="A58" s="215">
        <v>52</v>
      </c>
      <c r="B58" s="216" t="s">
        <v>1149</v>
      </c>
      <c r="C58" s="217" t="s">
        <v>1026</v>
      </c>
      <c r="D58" s="218" t="s">
        <v>898</v>
      </c>
      <c r="E58" s="219" t="s">
        <v>899</v>
      </c>
      <c r="F58" s="217" t="s">
        <v>1158</v>
      </c>
      <c r="G58" s="220" t="s">
        <v>1159</v>
      </c>
      <c r="H58" s="221" t="str">
        <f>IF(G58="","",VLOOKUP(G58,'附表8-合同明细采集底稿'!B:I,2,0))</f>
        <v>春和景苑小区外管网设计</v>
      </c>
      <c r="I58" s="222" t="str">
        <f>IF(G58="","",VLOOKUP(G58,'附表8-合同明细采集底稿'!B:I,3,0))</f>
        <v>技术合同</v>
      </c>
      <c r="J58" s="221" t="str">
        <f>IF(G58="","",VLOOKUP(G58,'附表8-合同明细采集底稿'!B:I,4,0))</f>
        <v>新疆益诚开拓空间规划建筑设计研究院有限公司</v>
      </c>
      <c r="K58" s="221" t="s">
        <v>902</v>
      </c>
      <c r="L58" s="223" t="s">
        <v>1096</v>
      </c>
      <c r="M58" s="223" t="s">
        <v>1160</v>
      </c>
      <c r="N58" s="224">
        <v>39950</v>
      </c>
      <c r="O58" s="224">
        <v>261086</v>
      </c>
      <c r="P58" s="225">
        <v>39950</v>
      </c>
      <c r="Q58" s="224">
        <v>-11648.11</v>
      </c>
      <c r="R58" s="224">
        <f t="shared" si="0"/>
        <v>28301.89</v>
      </c>
      <c r="S58" s="226">
        <f>IFERROR(VLOOKUP(G58,'附表8-合同明细采集底稿'!B:M,12,0),100%)</f>
        <v>0.725945981401044</v>
      </c>
      <c r="T58" s="227">
        <f t="shared" si="1"/>
        <v>20545.64</v>
      </c>
      <c r="U58" s="221" t="s">
        <v>1161</v>
      </c>
      <c r="V58" s="228" t="s">
        <v>276</v>
      </c>
      <c r="W58" s="229">
        <f>IF('附表1-面积统计表'!$D$29=0,"",IF(AND(V58="共同成本费用",Z58="总建筑面积法"),ROUND(T58/'附表1-面积统计表'!$D$29*'附表1-面积统计表'!$D$5,2),IF(AND(V58="共同成本费用",Z58="可售建筑面积法"),ROUND(T58/'附表1-面积统计表'!$F$29*'附表1-面积统计表'!$F$5,2),"请手工填写")))</f>
        <v>20545.64</v>
      </c>
      <c r="X58" s="229" t="str">
        <f>IF(SUM('附表1-面积统计表'!$D$6)=0,"",SUM(T58)-SUM(W58)-SUM(Y58))</f>
        <v/>
      </c>
      <c r="Y58" s="229">
        <f>IF(SUM('附表1-面积统计表'!$D$6)=0,SUM(T58)-SUM(W58),IF('附表1-面积统计表'!$D$29=0,"",IF(AND(V58="共同成本费用",Z58="总建筑面积法"),ROUND(T58/'附表1-面积统计表'!$D$29*'附表1-面积统计表'!$D$7,2),IF(AND(V58="共同成本费用",Z58="可售建筑面积法"),ROUND(T58/'附表1-面积统计表'!$F$29*'附表1-面积统计表'!$F$7,2),"请手工填写"))))</f>
        <v>0</v>
      </c>
      <c r="Z58" s="230" t="s">
        <v>251</v>
      </c>
      <c r="AA58" s="221"/>
      <c r="AB58" s="231" t="s">
        <v>905</v>
      </c>
      <c r="AC58" s="109" t="s">
        <v>911</v>
      </c>
      <c r="AE58" s="232" t="s">
        <v>1161</v>
      </c>
      <c r="AF58" s="232">
        <v>28301.89</v>
      </c>
      <c r="AG58" s="109">
        <f t="shared" si="4"/>
        <v>-7756.25</v>
      </c>
    </row>
    <row r="59" s="105" customFormat="1" ht="13" customHeight="1" spans="1:33">
      <c r="A59" s="139">
        <v>53</v>
      </c>
      <c r="B59" s="160" t="s">
        <v>1149</v>
      </c>
      <c r="C59" s="170" t="s">
        <v>1026</v>
      </c>
      <c r="D59" s="142" t="s">
        <v>898</v>
      </c>
      <c r="E59" s="143" t="s">
        <v>899</v>
      </c>
      <c r="F59" s="170" t="s">
        <v>1158</v>
      </c>
      <c r="G59" s="99" t="s">
        <v>1162</v>
      </c>
      <c r="H59" s="145" t="str">
        <f>IF(G59="","",VLOOKUP(G59,'附表8-合同明细采集底稿'!B:I,2,0))</f>
        <v>春和景苑便民超市及警卫室设计费</v>
      </c>
      <c r="I59" s="146" t="str">
        <f>IF(G59="","",VLOOKUP(G59,'附表8-合同明细采集底稿'!B:I,3,0))</f>
        <v>技术合同</v>
      </c>
      <c r="J59" s="145" t="str">
        <f>IF(G59="","",VLOOKUP(G59,'附表8-合同明细采集底稿'!B:I,4,0))</f>
        <v>新疆益诚开拓空间规划建筑设计研究院有限公司</v>
      </c>
      <c r="K59" s="147" t="s">
        <v>902</v>
      </c>
      <c r="L59" s="171" t="s">
        <v>1096</v>
      </c>
      <c r="M59" s="149" t="s">
        <v>1160</v>
      </c>
      <c r="N59" s="151">
        <v>4716.98</v>
      </c>
      <c r="O59" s="151">
        <f>N59*1.09</f>
        <v>5141.5082</v>
      </c>
      <c r="P59" s="172">
        <v>4716.98</v>
      </c>
      <c r="Q59" s="151"/>
      <c r="R59" s="151">
        <f t="shared" si="0"/>
        <v>4716.98</v>
      </c>
      <c r="S59" s="153">
        <f>IFERROR(VLOOKUP(G59,'附表8-合同明细采集底稿'!B:M,12,0),100%)</f>
        <v>0.725945981401044</v>
      </c>
      <c r="T59" s="154">
        <f t="shared" si="1"/>
        <v>3424.27</v>
      </c>
      <c r="U59" s="145"/>
      <c r="V59" s="155" t="s">
        <v>276</v>
      </c>
      <c r="W59" s="156">
        <f>IF('附表1-面积统计表'!$D$29=0,"",IF(AND(V59="共同成本费用",Z59="总建筑面积法"),ROUND(T59/'附表1-面积统计表'!$D$29*'附表1-面积统计表'!$D$5,2),IF(AND(V59="共同成本费用",Z59="可售建筑面积法"),ROUND(T59/'附表1-面积统计表'!$F$29*'附表1-面积统计表'!$F$5,2),"请手工填写")))</f>
        <v>3424.27</v>
      </c>
      <c r="X59" s="156" t="str">
        <f>IF(SUM('附表1-面积统计表'!$D$6)=0,"",SUM(T59)-SUM(W59)-SUM(Y59))</f>
        <v/>
      </c>
      <c r="Y59" s="156">
        <f>IF(SUM('附表1-面积统计表'!$D$6)=0,SUM(T59)-SUM(W59),IF('附表1-面积统计表'!$D$29=0,"",IF(AND(V59="共同成本费用",Z59="总建筑面积法"),ROUND(T59/'附表1-面积统计表'!$D$29*'附表1-面积统计表'!$D$7,2),IF(AND(V59="共同成本费用",Z59="可售建筑面积法"),ROUND(T59/'附表1-面积统计表'!$F$29*'附表1-面积统计表'!$F$7,2),"请手工填写"))))</f>
        <v>0</v>
      </c>
      <c r="Z59" s="157" t="s">
        <v>251</v>
      </c>
      <c r="AA59" s="145"/>
      <c r="AB59" s="158" t="s">
        <v>905</v>
      </c>
      <c r="AC59" s="105" t="s">
        <v>911</v>
      </c>
      <c r="AE59" s="159"/>
      <c r="AF59" s="159">
        <v>4716.98</v>
      </c>
      <c r="AG59" s="105">
        <f t="shared" si="4"/>
        <v>-1292.71</v>
      </c>
    </row>
    <row r="60" s="105" customFormat="1" ht="13" customHeight="1" spans="1:33">
      <c r="A60" s="139">
        <v>54</v>
      </c>
      <c r="B60" s="160" t="s">
        <v>1163</v>
      </c>
      <c r="C60" s="170" t="s">
        <v>1164</v>
      </c>
      <c r="D60" s="142" t="s">
        <v>898</v>
      </c>
      <c r="E60" s="143" t="s">
        <v>960</v>
      </c>
      <c r="F60" s="170" t="s">
        <v>1165</v>
      </c>
      <c r="G60" s="167"/>
      <c r="H60" s="145" t="str">
        <f>IF(G60="","",VLOOKUP(G60,'附表8-合同明细采集底稿'!B:I,2,0))</f>
        <v/>
      </c>
      <c r="I60" s="146" t="str">
        <f>IF(G60="","",VLOOKUP(G60,'附表8-合同明细采集底稿'!B:I,3,0))</f>
        <v/>
      </c>
      <c r="J60" s="161" t="s">
        <v>1014</v>
      </c>
      <c r="K60" s="147" t="s">
        <v>902</v>
      </c>
      <c r="L60" s="148" t="s">
        <v>1096</v>
      </c>
      <c r="M60" s="522" t="s">
        <v>1166</v>
      </c>
      <c r="N60" s="151">
        <v>22075.47</v>
      </c>
      <c r="O60" s="151">
        <v>23400</v>
      </c>
      <c r="P60" s="172">
        <v>22075.47</v>
      </c>
      <c r="Q60" s="151"/>
      <c r="R60" s="151">
        <f t="shared" si="0"/>
        <v>22075.47</v>
      </c>
      <c r="S60" s="153">
        <v>1</v>
      </c>
      <c r="T60" s="154">
        <f t="shared" si="1"/>
        <v>22075.47</v>
      </c>
      <c r="U60" s="145"/>
      <c r="V60" s="155" t="s">
        <v>276</v>
      </c>
      <c r="W60" s="156">
        <f>IF('附表1-面积统计表'!$D$29=0,"",IF(AND(V60="共同成本费用",Z60="总建筑面积法"),ROUND(T60/'附表1-面积统计表'!$D$29*'附表1-面积统计表'!$D$5,2),IF(AND(V60="共同成本费用",Z60="可售建筑面积法"),ROUND(T60/'附表1-面积统计表'!$F$29*'附表1-面积统计表'!$F$5,2),"请手工填写")))</f>
        <v>22075.47</v>
      </c>
      <c r="X60" s="156" t="str">
        <f>IF(SUM('附表1-面积统计表'!$D$6)=0,"",SUM(T60)-SUM(W60)-SUM(Y60))</f>
        <v/>
      </c>
      <c r="Y60" s="156">
        <f>IF(SUM('附表1-面积统计表'!$D$6)=0,SUM(T60)-SUM(W60),IF('附表1-面积统计表'!$D$29=0,"",IF(AND(V60="共同成本费用",Z60="总建筑面积法"),ROUND(T60/'附表1-面积统计表'!$D$29*'附表1-面积统计表'!$D$7,2),IF(AND(V60="共同成本费用",Z60="可售建筑面积法"),ROUND(T60/'附表1-面积统计表'!$F$29*'附表1-面积统计表'!$F$7,2),"请手工填写"))))</f>
        <v>0</v>
      </c>
      <c r="Z60" s="157" t="s">
        <v>251</v>
      </c>
      <c r="AA60" s="145"/>
      <c r="AB60" s="158" t="s">
        <v>905</v>
      </c>
      <c r="AC60" s="105" t="s">
        <v>911</v>
      </c>
      <c r="AE60" s="159" t="s">
        <v>1167</v>
      </c>
      <c r="AF60" s="159">
        <v>0</v>
      </c>
      <c r="AG60" s="105">
        <f t="shared" si="4"/>
        <v>22075.47</v>
      </c>
    </row>
    <row r="61" s="105" customFormat="1" ht="13" customHeight="1" spans="1:33">
      <c r="A61" s="139">
        <v>55</v>
      </c>
      <c r="B61" s="160" t="s">
        <v>1168</v>
      </c>
      <c r="C61" s="170" t="s">
        <v>1169</v>
      </c>
      <c r="D61" s="142" t="s">
        <v>945</v>
      </c>
      <c r="E61" s="143" t="s">
        <v>1052</v>
      </c>
      <c r="F61" s="170" t="s">
        <v>1170</v>
      </c>
      <c r="G61" s="99" t="s">
        <v>1061</v>
      </c>
      <c r="H61" s="145" t="str">
        <f>IF(G61="","",VLOOKUP(G61,'附表8-合同明细采集底稿'!B:I,2,0))</f>
        <v>电气外网供货安装合同</v>
      </c>
      <c r="I61" s="146" t="str">
        <f>IF(G61="","",VLOOKUP(G61,'附表8-合同明细采集底稿'!B:I,3,0))</f>
        <v>建设工程合同</v>
      </c>
      <c r="J61" s="145" t="str">
        <f>IF(G61="","",VLOOKUP(G61,'附表8-合同明细采集底稿'!B:I,4,0))</f>
        <v>新疆拓宇电力建设工程有限公司何永权</v>
      </c>
      <c r="K61" s="147" t="s">
        <v>902</v>
      </c>
      <c r="L61" s="233" t="s">
        <v>1096</v>
      </c>
      <c r="M61" s="522" t="s">
        <v>1171</v>
      </c>
      <c r="N61" s="151">
        <v>45871.56</v>
      </c>
      <c r="O61" s="151">
        <v>50000</v>
      </c>
      <c r="P61" s="172">
        <v>45871.56</v>
      </c>
      <c r="Q61" s="151"/>
      <c r="R61" s="151">
        <f t="shared" si="0"/>
        <v>45871.56</v>
      </c>
      <c r="S61" s="153">
        <f>IFERROR(VLOOKUP(G61,'附表8-合同明细采集底稿'!B:M,12,0),100%)</f>
        <v>1</v>
      </c>
      <c r="T61" s="154">
        <f t="shared" si="1"/>
        <v>45871.56</v>
      </c>
      <c r="U61" s="145"/>
      <c r="V61" s="155" t="s">
        <v>276</v>
      </c>
      <c r="W61" s="156">
        <f>IF('附表1-面积统计表'!$D$29=0,"",IF(AND(V61="共同成本费用",Z61="总建筑面积法"),ROUND(T61/'附表1-面积统计表'!$D$29*'附表1-面积统计表'!$D$5,2),IF(AND(V61="共同成本费用",Z61="可售建筑面积法"),ROUND(T61/'附表1-面积统计表'!$F$29*'附表1-面积统计表'!$F$5,2),"请手工填写")))</f>
        <v>45871.56</v>
      </c>
      <c r="X61" s="156" t="str">
        <f>IF(SUM('附表1-面积统计表'!$D$6)=0,"",SUM(T61)-SUM(W61)-SUM(Y61))</f>
        <v/>
      </c>
      <c r="Y61" s="156">
        <f>IF(SUM('附表1-面积统计表'!$D$6)=0,SUM(T61)-SUM(W61),IF('附表1-面积统计表'!$D$29=0,"",IF(AND(V61="共同成本费用",Z61="总建筑面积法"),ROUND(T61/'附表1-面积统计表'!$D$29*'附表1-面积统计表'!$D$7,2),IF(AND(V61="共同成本费用",Z61="可售建筑面积法"),ROUND(T61/'附表1-面积统计表'!$F$29*'附表1-面积统计表'!$F$7,2),"请手工填写"))))</f>
        <v>0</v>
      </c>
      <c r="Z61" s="157" t="s">
        <v>251</v>
      </c>
      <c r="AA61" s="145"/>
      <c r="AB61" s="158" t="s">
        <v>905</v>
      </c>
      <c r="AC61" s="105" t="s">
        <v>911</v>
      </c>
      <c r="AE61" s="159"/>
      <c r="AF61" s="159">
        <v>45871.56</v>
      </c>
      <c r="AG61" s="105">
        <f t="shared" si="4"/>
        <v>0</v>
      </c>
    </row>
    <row r="62" s="105" customFormat="1" ht="13" customHeight="1" spans="1:33">
      <c r="A62" s="139">
        <v>56</v>
      </c>
      <c r="B62" s="160" t="s">
        <v>1168</v>
      </c>
      <c r="C62" s="170" t="s">
        <v>1172</v>
      </c>
      <c r="D62" s="142" t="s">
        <v>945</v>
      </c>
      <c r="E62" s="143" t="s">
        <v>1052</v>
      </c>
      <c r="F62" s="170" t="s">
        <v>1173</v>
      </c>
      <c r="G62" s="167"/>
      <c r="H62" s="145" t="str">
        <f>IF(G62="","",VLOOKUP(G62,'附表8-合同明细采集底稿'!B:I,2,0))</f>
        <v/>
      </c>
      <c r="I62" s="146" t="str">
        <f>IF(G62="","",VLOOKUP(G62,'附表8-合同明细采集底稿'!B:I,3,0))</f>
        <v/>
      </c>
      <c r="J62" s="161" t="s">
        <v>1109</v>
      </c>
      <c r="K62" s="147" t="s">
        <v>930</v>
      </c>
      <c r="L62" s="149" t="s">
        <v>1174</v>
      </c>
      <c r="M62" s="522" t="s">
        <v>1175</v>
      </c>
      <c r="N62" s="151">
        <v>2176</v>
      </c>
      <c r="O62" s="151">
        <v>2176</v>
      </c>
      <c r="P62" s="172">
        <v>2176</v>
      </c>
      <c r="Q62" s="151">
        <f>-P62</f>
        <v>-2176</v>
      </c>
      <c r="R62" s="151">
        <f t="shared" si="0"/>
        <v>0</v>
      </c>
      <c r="S62" s="153">
        <f>IFERROR(VLOOKUP(G62,'附表8-合同明细采集底稿'!B:M,12,0),100%)</f>
        <v>1</v>
      </c>
      <c r="T62" s="154">
        <f t="shared" si="1"/>
        <v>0</v>
      </c>
      <c r="U62" s="145"/>
      <c r="V62" s="155" t="s">
        <v>276</v>
      </c>
      <c r="W62" s="156">
        <f>IF('附表1-面积统计表'!$D$29=0,"",IF(AND(V62="共同成本费用",Z62="总建筑面积法"),ROUND(T62/'附表1-面积统计表'!$D$29*'附表1-面积统计表'!$D$5,2),IF(AND(V62="共同成本费用",Z62="可售建筑面积法"),ROUND(T62/'附表1-面积统计表'!$F$29*'附表1-面积统计表'!$F$5,2),"请手工填写")))</f>
        <v>0</v>
      </c>
      <c r="X62" s="156" t="str">
        <f>IF(SUM('附表1-面积统计表'!$D$6)=0,"",SUM(T62)-SUM(W62)-SUM(Y62))</f>
        <v/>
      </c>
      <c r="Y62" s="156">
        <f>IF(SUM('附表1-面积统计表'!$D$6)=0,SUM(T62)-SUM(W62),IF('附表1-面积统计表'!$D$29=0,"",IF(AND(V62="共同成本费用",Z62="总建筑面积法"),ROUND(T62/'附表1-面积统计表'!$D$29*'附表1-面积统计表'!$D$7,2),IF(AND(V62="共同成本费用",Z62="可售建筑面积法"),ROUND(T62/'附表1-面积统计表'!$F$29*'附表1-面积统计表'!$F$7,2),"请手工填写"))))</f>
        <v>0</v>
      </c>
      <c r="Z62" s="157" t="s">
        <v>251</v>
      </c>
      <c r="AA62" s="145"/>
      <c r="AB62" s="158" t="s">
        <v>905</v>
      </c>
      <c r="AD62" s="159" t="s">
        <v>1112</v>
      </c>
      <c r="AE62" s="159" t="s">
        <v>1119</v>
      </c>
      <c r="AF62" s="159">
        <v>0</v>
      </c>
      <c r="AG62" s="105">
        <f t="shared" si="4"/>
        <v>0</v>
      </c>
    </row>
    <row r="63" s="108" customFormat="1" ht="13" customHeight="1" spans="1:33">
      <c r="A63" s="194">
        <v>57</v>
      </c>
      <c r="B63" s="195" t="s">
        <v>1176</v>
      </c>
      <c r="C63" s="196" t="s">
        <v>1177</v>
      </c>
      <c r="D63" s="197" t="s">
        <v>898</v>
      </c>
      <c r="E63" s="198" t="s">
        <v>1101</v>
      </c>
      <c r="F63" s="196" t="s">
        <v>1178</v>
      </c>
      <c r="G63" s="199" t="s">
        <v>1179</v>
      </c>
      <c r="H63" s="200" t="str">
        <f>IF(G63="","",VLOOKUP(G63,'附表8-合同明细采集底稿'!B:I,2,0))</f>
        <v>春和景苑土方挖运</v>
      </c>
      <c r="I63" s="201" t="str">
        <f>IF(G63="","",VLOOKUP(G63,'附表8-合同明细采集底稿'!B:I,3,0))</f>
        <v>建设工程合同</v>
      </c>
      <c r="J63" s="200" t="str">
        <f>IF(G63="","",VLOOKUP(G63,'附表8-合同明细采集底稿'!B:I,4,0))</f>
        <v>徐增起</v>
      </c>
      <c r="K63" s="200" t="s">
        <v>902</v>
      </c>
      <c r="L63" s="202" t="s">
        <v>990</v>
      </c>
      <c r="M63" s="524" t="s">
        <v>1180</v>
      </c>
      <c r="N63" s="203">
        <v>49504.95</v>
      </c>
      <c r="O63" s="203">
        <v>50000</v>
      </c>
      <c r="P63" s="204">
        <v>49504.95</v>
      </c>
      <c r="Q63" s="203">
        <f>-P63</f>
        <v>-49504.95</v>
      </c>
      <c r="R63" s="203">
        <f t="shared" si="0"/>
        <v>0</v>
      </c>
      <c r="S63" s="205">
        <f>IFERROR(VLOOKUP(G63,'附表8-合同明细采集底稿'!B:M,12,0),100%)</f>
        <v>1</v>
      </c>
      <c r="T63" s="206">
        <f t="shared" si="1"/>
        <v>0</v>
      </c>
      <c r="U63" s="200"/>
      <c r="V63" s="207" t="s">
        <v>276</v>
      </c>
      <c r="W63" s="208">
        <f>IF('附表1-面积统计表'!$D$29=0,"",IF(AND(V63="共同成本费用",Z63="总建筑面积法"),ROUND(T63/'附表1-面积统计表'!$D$29*'附表1-面积统计表'!$D$5,2),IF(AND(V63="共同成本费用",Z63="可售建筑面积法"),ROUND(T63/'附表1-面积统计表'!$F$29*'附表1-面积统计表'!$F$5,2),"请手工填写")))</f>
        <v>0</v>
      </c>
      <c r="X63" s="208" t="str">
        <f>IF(SUM('附表1-面积统计表'!$D$6)=0,"",SUM(T63)-SUM(W63)-SUM(Y63))</f>
        <v/>
      </c>
      <c r="Y63" s="208">
        <f>IF(SUM('附表1-面积统计表'!$D$6)=0,SUM(T63)-SUM(W63),IF('附表1-面积统计表'!$D$29=0,"",IF(AND(V63="共同成本费用",Z63="总建筑面积法"),ROUND(T63/'附表1-面积统计表'!$D$29*'附表1-面积统计表'!$D$7,2),IF(AND(V63="共同成本费用",Z63="可售建筑面积法"),ROUND(T63/'附表1-面积统计表'!$F$29*'附表1-面积统计表'!$F$7,2),"请手工填写"))))</f>
        <v>0</v>
      </c>
      <c r="Z63" s="209" t="s">
        <v>251</v>
      </c>
      <c r="AA63" s="200"/>
      <c r="AB63" s="210" t="s">
        <v>905</v>
      </c>
      <c r="AC63" s="108"/>
      <c r="AD63" s="211" t="s">
        <v>1119</v>
      </c>
      <c r="AE63" s="211" t="s">
        <v>944</v>
      </c>
      <c r="AF63" s="211">
        <v>0</v>
      </c>
      <c r="AG63" s="108">
        <f t="shared" si="4"/>
        <v>0</v>
      </c>
    </row>
    <row r="64" s="105" customFormat="1" ht="13" customHeight="1" spans="1:33">
      <c r="A64" s="139">
        <v>58</v>
      </c>
      <c r="B64" s="160" t="s">
        <v>1181</v>
      </c>
      <c r="C64" s="170" t="s">
        <v>1182</v>
      </c>
      <c r="D64" s="142" t="s">
        <v>945</v>
      </c>
      <c r="E64" s="143" t="s">
        <v>1183</v>
      </c>
      <c r="F64" s="170" t="s">
        <v>1184</v>
      </c>
      <c r="G64" s="99" t="s">
        <v>1185</v>
      </c>
      <c r="H64" s="145" t="str">
        <f>IF(G64="","",VLOOKUP(G64,'附表8-合同明细采集底稿'!B:I,2,0))</f>
        <v>春和天然气安装工程委托建设管理协议书</v>
      </c>
      <c r="I64" s="146" t="str">
        <f>IF(G64="","",VLOOKUP(G64,'附表8-合同明细采集底稿'!B:I,3,0))</f>
        <v>建设工程合同</v>
      </c>
      <c r="J64" s="145" t="str">
        <f>IF(G64="","",VLOOKUP(G64,'附表8-合同明细采集底稿'!B:I,4,0))</f>
        <v>新疆南天城建（集团）股份有限公司</v>
      </c>
      <c r="K64" s="147" t="s">
        <v>902</v>
      </c>
      <c r="L64" s="149" t="s">
        <v>995</v>
      </c>
      <c r="M64" s="522" t="s">
        <v>1186</v>
      </c>
      <c r="N64" s="151">
        <v>317332.41</v>
      </c>
      <c r="O64" s="151">
        <v>345892.33</v>
      </c>
      <c r="P64" s="172">
        <v>317332.41</v>
      </c>
      <c r="Q64" s="151"/>
      <c r="R64" s="151">
        <f t="shared" si="0"/>
        <v>317332.41</v>
      </c>
      <c r="S64" s="153">
        <f>IFERROR(VLOOKUP(G64,'附表8-合同明细采集底稿'!B:M,12,0),100%)</f>
        <v>1</v>
      </c>
      <c r="T64" s="154">
        <f t="shared" si="1"/>
        <v>317332.41</v>
      </c>
      <c r="U64" s="145"/>
      <c r="V64" s="155" t="s">
        <v>276</v>
      </c>
      <c r="W64" s="156">
        <f>IF('附表1-面积统计表'!$D$29=0,"",IF(AND(V64="共同成本费用",Z64="总建筑面积法"),ROUND(T64/'附表1-面积统计表'!$D$29*'附表1-面积统计表'!$D$5,2),IF(AND(V64="共同成本费用",Z64="可售建筑面积法"),ROUND(T64/'附表1-面积统计表'!$F$29*'附表1-面积统计表'!$F$5,2),"请手工填写")))</f>
        <v>317332.41</v>
      </c>
      <c r="X64" s="156" t="str">
        <f>IF(SUM('附表1-面积统计表'!$D$6)=0,"",SUM(T64)-SUM(W64)-SUM(Y64))</f>
        <v/>
      </c>
      <c r="Y64" s="156">
        <f>IF(SUM('附表1-面积统计表'!$D$6)=0,SUM(T64)-SUM(W64),IF('附表1-面积统计表'!$D$29=0,"",IF(AND(V64="共同成本费用",Z64="总建筑面积法"),ROUND(T64/'附表1-面积统计表'!$D$29*'附表1-面积统计表'!$D$7,2),IF(AND(V64="共同成本费用",Z64="可售建筑面积法"),ROUND(T64/'附表1-面积统计表'!$F$29*'附表1-面积统计表'!$F$7,2),"请手工填写"))))</f>
        <v>0</v>
      </c>
      <c r="Z64" s="157" t="s">
        <v>251</v>
      </c>
      <c r="AA64" s="145"/>
      <c r="AB64" s="158" t="s">
        <v>905</v>
      </c>
      <c r="AE64" s="159" t="s">
        <v>1187</v>
      </c>
      <c r="AF64" s="159">
        <v>317332.41</v>
      </c>
      <c r="AG64" s="105">
        <f t="shared" si="4"/>
        <v>0</v>
      </c>
    </row>
    <row r="65" s="105" customFormat="1" ht="13" customHeight="1" spans="1:34">
      <c r="A65" s="139">
        <v>59</v>
      </c>
      <c r="B65" s="170" t="s">
        <v>1188</v>
      </c>
      <c r="C65" s="170" t="s">
        <v>1189</v>
      </c>
      <c r="D65" s="142" t="s">
        <v>945</v>
      </c>
      <c r="E65" s="143" t="s">
        <v>1093</v>
      </c>
      <c r="F65" s="170" t="s">
        <v>1190</v>
      </c>
      <c r="G65" s="100" t="s">
        <v>1095</v>
      </c>
      <c r="H65" s="145" t="str">
        <f>IF(G65="","",VLOOKUP(G65,'附表8-合同明细采集底稿'!B:I,2,0))</f>
        <v>春和景苑配套工程</v>
      </c>
      <c r="I65" s="146" t="str">
        <f>IF(G65="","",VLOOKUP(G65,'附表8-合同明细采集底稿'!B:I,3,0))</f>
        <v>建设工程合同</v>
      </c>
      <c r="J65" s="145" t="str">
        <f>IF(G65="","",VLOOKUP(G65,'附表8-合同明细采集底稿'!B:I,4,0))</f>
        <v>巴州绿叶园林工程有限责任公司（谢辞）</v>
      </c>
      <c r="K65" s="147" t="s">
        <v>902</v>
      </c>
      <c r="L65" s="149" t="s">
        <v>1096</v>
      </c>
      <c r="M65" s="149" t="s">
        <v>1191</v>
      </c>
      <c r="N65" s="151">
        <v>91743.12</v>
      </c>
      <c r="O65" s="151">
        <v>277500</v>
      </c>
      <c r="P65" s="193">
        <v>91743.12</v>
      </c>
      <c r="Q65" s="151"/>
      <c r="R65" s="151">
        <f t="shared" si="0"/>
        <v>91743.12</v>
      </c>
      <c r="S65" s="153">
        <f>IFERROR(VLOOKUP(G65,'附表8-合同明细采集底稿'!B:M,12,0),100%)</f>
        <v>0.725945981401044</v>
      </c>
      <c r="T65" s="154">
        <f t="shared" si="1"/>
        <v>66600.55</v>
      </c>
      <c r="U65" s="145"/>
      <c r="V65" s="155" t="s">
        <v>276</v>
      </c>
      <c r="W65" s="156">
        <f>IF('附表1-面积统计表'!$D$29=0,"",IF(AND(V65="共同成本费用",Z65="总建筑面积法"),ROUND(T65/'附表1-面积统计表'!$D$29*'附表1-面积统计表'!$D$5,2),IF(AND(V65="共同成本费用",Z65="可售建筑面积法"),ROUND(T65/'附表1-面积统计表'!$F$29*'附表1-面积统计表'!$F$5,2),"请手工填写")))</f>
        <v>66600.55</v>
      </c>
      <c r="X65" s="156" t="str">
        <f>IF(SUM('附表1-面积统计表'!$D$6)=0,"",SUM(T65)-SUM(W65)-SUM(Y65))</f>
        <v/>
      </c>
      <c r="Y65" s="156">
        <f>IF(SUM('附表1-面积统计表'!$D$6)=0,SUM(T65)-SUM(W65),IF('附表1-面积统计表'!$D$29=0,"",IF(AND(V65="共同成本费用",Z65="总建筑面积法"),ROUND(T65/'附表1-面积统计表'!$D$29*'附表1-面积统计表'!$D$7,2),IF(AND(V65="共同成本费用",Z65="可售建筑面积法"),ROUND(T65/'附表1-面积统计表'!$F$29*'附表1-面积统计表'!$F$7,2),"请手工填写"))))</f>
        <v>0</v>
      </c>
      <c r="Z65" s="157" t="s">
        <v>251</v>
      </c>
      <c r="AA65" s="145"/>
      <c r="AB65" s="158" t="s">
        <v>905</v>
      </c>
      <c r="AC65" s="105" t="s">
        <v>911</v>
      </c>
      <c r="AD65" s="105" t="s">
        <v>1098</v>
      </c>
      <c r="AE65" s="159" t="s">
        <v>1192</v>
      </c>
      <c r="AF65" s="159">
        <v>91743.12</v>
      </c>
      <c r="AG65" s="105">
        <f t="shared" si="4"/>
        <v>-25142.57</v>
      </c>
    </row>
    <row r="66" s="105" customFormat="1" ht="13" customHeight="1" spans="1:34">
      <c r="A66" s="139">
        <v>60</v>
      </c>
      <c r="B66" s="170" t="s">
        <v>1188</v>
      </c>
      <c r="C66" s="170" t="s">
        <v>1189</v>
      </c>
      <c r="D66" s="142" t="s">
        <v>945</v>
      </c>
      <c r="E66" s="143" t="s">
        <v>1093</v>
      </c>
      <c r="F66" s="170" t="s">
        <v>1190</v>
      </c>
      <c r="G66" s="100" t="s">
        <v>1095</v>
      </c>
      <c r="H66" s="145" t="str">
        <f>IF(G66="","",VLOOKUP(G66,'附表8-合同明细采集底稿'!B:I,2,0))</f>
        <v>春和景苑配套工程</v>
      </c>
      <c r="I66" s="146" t="str">
        <f>IF(G66="","",VLOOKUP(G66,'附表8-合同明细采集底稿'!B:I,3,0))</f>
        <v>建设工程合同</v>
      </c>
      <c r="J66" s="145" t="str">
        <f>IF(G66="","",VLOOKUP(G66,'附表8-合同明细采集底稿'!B:I,4,0))</f>
        <v>巴州绿叶园林工程有限责任公司（谢辞）</v>
      </c>
      <c r="K66" s="147" t="s">
        <v>902</v>
      </c>
      <c r="L66" s="149" t="s">
        <v>1096</v>
      </c>
      <c r="M66" s="149" t="s">
        <v>1191</v>
      </c>
      <c r="N66" s="151">
        <v>458715.6</v>
      </c>
      <c r="O66" s="151">
        <f>N66*1.09</f>
        <v>500000.004</v>
      </c>
      <c r="P66" s="193">
        <v>458715.6</v>
      </c>
      <c r="Q66" s="168">
        <v>119693.41</v>
      </c>
      <c r="R66" s="151">
        <f t="shared" si="0"/>
        <v>578409.01</v>
      </c>
      <c r="S66" s="153">
        <f>IFERROR(VLOOKUP(G66,'附表8-合同明细采集底稿'!B:M,12,0),100%)</f>
        <v>0.725945981401044</v>
      </c>
      <c r="T66" s="154">
        <f t="shared" si="1"/>
        <v>419893.7</v>
      </c>
      <c r="U66" s="145"/>
      <c r="V66" s="155" t="s">
        <v>276</v>
      </c>
      <c r="W66" s="156">
        <f>IF('附表1-面积统计表'!$D$29=0,"",IF(AND(V66="共同成本费用",Z66="总建筑面积法"),ROUND(T66/'附表1-面积统计表'!$D$29*'附表1-面积统计表'!$D$5,2),IF(AND(V66="共同成本费用",Z66="可售建筑面积法"),ROUND(T66/'附表1-面积统计表'!$F$29*'附表1-面积统计表'!$F$5,2),"请手工填写")))</f>
        <v>419893.7</v>
      </c>
      <c r="X66" s="156" t="str">
        <f>IF(SUM('附表1-面积统计表'!$D$6)=0,"",SUM(T66)-SUM(W66)-SUM(Y66))</f>
        <v/>
      </c>
      <c r="Y66" s="156">
        <f>IF(SUM('附表1-面积统计表'!$D$6)=0,SUM(T66)-SUM(W66),IF('附表1-面积统计表'!$D$29=0,"",IF(AND(V66="共同成本费用",Z66="总建筑面积法"),ROUND(T66/'附表1-面积统计表'!$D$29*'附表1-面积统计表'!$D$7,2),IF(AND(V66="共同成本费用",Z66="可售建筑面积法"),ROUND(T66/'附表1-面积统计表'!$F$29*'附表1-面积统计表'!$F$7,2),"请手工填写"))))</f>
        <v>0</v>
      </c>
      <c r="Z66" s="157" t="s">
        <v>251</v>
      </c>
      <c r="AA66" s="145"/>
      <c r="AB66" s="158" t="s">
        <v>905</v>
      </c>
      <c r="AD66" s="105" t="s">
        <v>1098</v>
      </c>
      <c r="AE66" s="159"/>
      <c r="AF66" s="159">
        <v>458715.6</v>
      </c>
      <c r="AG66" s="105">
        <f t="shared" si="4"/>
        <v>-38821.9</v>
      </c>
      <c r="AH66" s="105">
        <v>440366.972477064</v>
      </c>
    </row>
    <row r="67" s="105" customFormat="1" ht="13" customHeight="1" spans="1:34">
      <c r="A67" s="139">
        <v>61</v>
      </c>
      <c r="B67" s="170" t="s">
        <v>1188</v>
      </c>
      <c r="C67" s="170" t="s">
        <v>1193</v>
      </c>
      <c r="D67" s="142" t="s">
        <v>966</v>
      </c>
      <c r="E67" s="143" t="s">
        <v>980</v>
      </c>
      <c r="F67" s="170" t="s">
        <v>1194</v>
      </c>
      <c r="G67" s="99" t="s">
        <v>982</v>
      </c>
      <c r="H67" s="145" t="str">
        <f>IF(G67="","",VLOOKUP(G67,'附表8-合同明细采集底稿'!B:I,2,0))</f>
        <v>春和景苑1、2、3#住宅楼施工协议</v>
      </c>
      <c r="I67" s="146" t="str">
        <f>IF(G67="","",VLOOKUP(G67,'附表8-合同明细采集底稿'!B:I,3,0))</f>
        <v>建设工程合同</v>
      </c>
      <c r="J67" s="145" t="str">
        <f>IF(G67="","",VLOOKUP(G67,'附表8-合同明细采集底稿'!B:I,4,0))</f>
        <v>新疆正杰建筑集团有限公司（许兴德）</v>
      </c>
      <c r="K67" s="147" t="s">
        <v>902</v>
      </c>
      <c r="L67" s="149" t="s">
        <v>1096</v>
      </c>
      <c r="M67" s="149" t="s">
        <v>1195</v>
      </c>
      <c r="N67" s="151">
        <v>1023188.99</v>
      </c>
      <c r="O67" s="151">
        <f>N67*1.09</f>
        <v>1115275.9991</v>
      </c>
      <c r="P67" s="172">
        <v>1023188.99</v>
      </c>
      <c r="Q67" s="151"/>
      <c r="R67" s="151">
        <f t="shared" si="0"/>
        <v>1023188.99</v>
      </c>
      <c r="S67" s="153">
        <f>IFERROR(VLOOKUP(G67,'附表8-合同明细采集底稿'!B:M,12,0),100%)</f>
        <v>1</v>
      </c>
      <c r="T67" s="154">
        <f t="shared" si="1"/>
        <v>1023188.99</v>
      </c>
      <c r="U67" s="145"/>
      <c r="V67" s="155" t="s">
        <v>276</v>
      </c>
      <c r="W67" s="156">
        <f>IF('附表1-面积统计表'!$D$29=0,"",IF(AND(V67="共同成本费用",Z67="总建筑面积法"),ROUND(T67/'附表1-面积统计表'!$D$29*'附表1-面积统计表'!$D$5,2),IF(AND(V67="共同成本费用",Z67="可售建筑面积法"),ROUND(T67/'附表1-面积统计表'!$F$29*'附表1-面积统计表'!$F$5,2),"请手工填写")))</f>
        <v>1023188.99</v>
      </c>
      <c r="X67" s="156" t="str">
        <f>IF(SUM('附表1-面积统计表'!$D$6)=0,"",SUM(T67)-SUM(W67)-SUM(Y67))</f>
        <v/>
      </c>
      <c r="Y67" s="156">
        <f>IF(SUM('附表1-面积统计表'!$D$6)=0,SUM(T67)-SUM(W67),IF('附表1-面积统计表'!$D$29=0,"",IF(AND(V67="共同成本费用",Z67="总建筑面积法"),ROUND(T67/'附表1-面积统计表'!$D$29*'附表1-面积统计表'!$D$7,2),IF(AND(V67="共同成本费用",Z67="可售建筑面积法"),ROUND(T67/'附表1-面积统计表'!$F$29*'附表1-面积统计表'!$F$7,2),"请手工填写"))))</f>
        <v>0</v>
      </c>
      <c r="Z67" s="157" t="s">
        <v>251</v>
      </c>
      <c r="AA67" s="145"/>
      <c r="AB67" s="158" t="s">
        <v>905</v>
      </c>
      <c r="AE67" s="159"/>
      <c r="AF67" s="159">
        <v>1023188.99</v>
      </c>
      <c r="AG67" s="105">
        <f t="shared" si="4"/>
        <v>0</v>
      </c>
    </row>
    <row r="68" s="105" customFormat="1" ht="13" customHeight="1" spans="1:34">
      <c r="A68" s="139">
        <v>62</v>
      </c>
      <c r="B68" s="170" t="s">
        <v>1196</v>
      </c>
      <c r="C68" s="170" t="s">
        <v>1197</v>
      </c>
      <c r="D68" s="142" t="s">
        <v>945</v>
      </c>
      <c r="E68" s="143" t="s">
        <v>1052</v>
      </c>
      <c r="F68" s="170" t="s">
        <v>1198</v>
      </c>
      <c r="G68" s="99" t="s">
        <v>1073</v>
      </c>
      <c r="H68" s="145" t="str">
        <f>IF(G68="","",VLOOKUP(G68,'附表8-合同明细采集底稿'!B:I,2,0))</f>
        <v>春和1#2#3#楼给排水</v>
      </c>
      <c r="I68" s="146" t="str">
        <f>IF(G68="","",VLOOKUP(G68,'附表8-合同明细采集底稿'!B:I,3,0))</f>
        <v>建设工程合同</v>
      </c>
      <c r="J68" s="147" t="s">
        <v>1109</v>
      </c>
      <c r="K68" s="147" t="s">
        <v>902</v>
      </c>
      <c r="L68" s="148" t="s">
        <v>1096</v>
      </c>
      <c r="M68" s="149" t="s">
        <v>1199</v>
      </c>
      <c r="N68" s="151">
        <v>412844.04</v>
      </c>
      <c r="O68" s="151">
        <v>450000</v>
      </c>
      <c r="P68" s="172">
        <v>412844.04</v>
      </c>
      <c r="Q68" s="151"/>
      <c r="R68" s="151">
        <f t="shared" si="0"/>
        <v>412844.04</v>
      </c>
      <c r="S68" s="153">
        <f>IFERROR(VLOOKUP(G68,'附表8-合同明细采集底稿'!B:M,12,0),100%)</f>
        <v>1</v>
      </c>
      <c r="T68" s="154">
        <f t="shared" si="1"/>
        <v>412844.04</v>
      </c>
      <c r="U68" s="145"/>
      <c r="V68" s="155" t="s">
        <v>276</v>
      </c>
      <c r="W68" s="156">
        <f>IF('附表1-面积统计表'!$D$29=0,"",IF(AND(V68="共同成本费用",Z68="总建筑面积法"),ROUND(T68/'附表1-面积统计表'!$D$29*'附表1-面积统计表'!$D$5,2),IF(AND(V68="共同成本费用",Z68="可售建筑面积法"),ROUND(T68/'附表1-面积统计表'!$F$29*'附表1-面积统计表'!$F$5,2),"请手工填写")))</f>
        <v>412844.04</v>
      </c>
      <c r="X68" s="156" t="str">
        <f>IF(SUM('附表1-面积统计表'!$D$6)=0,"",SUM(T68)-SUM(W68)-SUM(Y68))</f>
        <v/>
      </c>
      <c r="Y68" s="156">
        <f>IF(SUM('附表1-面积统计表'!$D$6)=0,SUM(T68)-SUM(W68),IF('附表1-面积统计表'!$D$29=0,"",IF(AND(V68="共同成本费用",Z68="总建筑面积法"),ROUND(T68/'附表1-面积统计表'!$D$29*'附表1-面积统计表'!$D$7,2),IF(AND(V68="共同成本费用",Z68="可售建筑面积法"),ROUND(T68/'附表1-面积统计表'!$F$29*'附表1-面积统计表'!$F$7,2),"请手工填写"))))</f>
        <v>0</v>
      </c>
      <c r="Z68" s="157" t="s">
        <v>251</v>
      </c>
      <c r="AA68" s="145"/>
      <c r="AB68" s="158" t="s">
        <v>905</v>
      </c>
      <c r="AE68" s="159" t="s">
        <v>1200</v>
      </c>
      <c r="AF68" s="169">
        <v>412844.04</v>
      </c>
      <c r="AG68" s="105">
        <f t="shared" si="4"/>
        <v>0</v>
      </c>
      <c r="AH68" s="105">
        <f>AH66-R65</f>
        <v>348623.852477064</v>
      </c>
    </row>
    <row r="69" s="105" customFormat="1" ht="13" customHeight="1" spans="1:34">
      <c r="A69" s="139">
        <v>63</v>
      </c>
      <c r="B69" s="170" t="s">
        <v>1201</v>
      </c>
      <c r="C69" s="170" t="s">
        <v>1026</v>
      </c>
      <c r="D69" s="142" t="s">
        <v>945</v>
      </c>
      <c r="E69" s="143" t="s">
        <v>1066</v>
      </c>
      <c r="F69" s="170" t="s">
        <v>1202</v>
      </c>
      <c r="G69" s="99"/>
      <c r="H69" s="145" t="str">
        <f>IF(G69="","",VLOOKUP(G69,'附表8-合同明细采集底稿'!B:I,2,0))</f>
        <v/>
      </c>
      <c r="I69" s="146" t="str">
        <f>IF(G69="","",VLOOKUP(G69,'附表8-合同明细采集底稿'!B:I,3,0))</f>
        <v/>
      </c>
      <c r="J69" s="161" t="s">
        <v>1203</v>
      </c>
      <c r="K69" s="147" t="s">
        <v>930</v>
      </c>
      <c r="L69" s="149" t="s">
        <v>1110</v>
      </c>
      <c r="M69" s="149" t="s">
        <v>1204</v>
      </c>
      <c r="N69" s="151">
        <v>98000</v>
      </c>
      <c r="O69" s="151">
        <v>98000</v>
      </c>
      <c r="P69" s="172">
        <v>98000</v>
      </c>
      <c r="Q69" s="151">
        <f>-P69</f>
        <v>-98000</v>
      </c>
      <c r="R69" s="151">
        <f t="shared" si="0"/>
        <v>0</v>
      </c>
      <c r="S69" s="153">
        <f>IFERROR(VLOOKUP(G69,'附表8-合同明细采集底稿'!B:M,12,0),100%)</f>
        <v>1</v>
      </c>
      <c r="T69" s="154">
        <f t="shared" si="1"/>
        <v>0</v>
      </c>
      <c r="U69" s="145"/>
      <c r="V69" s="155" t="s">
        <v>276</v>
      </c>
      <c r="W69" s="156">
        <f>IF('附表1-面积统计表'!$D$29=0,"",IF(AND(V69="共同成本费用",Z69="总建筑面积法"),ROUND(T69/'附表1-面积统计表'!$D$29*'附表1-面积统计表'!$D$5,2),IF(AND(V69="共同成本费用",Z69="可售建筑面积法"),ROUND(T69/'附表1-面积统计表'!$F$29*'附表1-面积统计表'!$F$5,2),"请手工填写")))</f>
        <v>0</v>
      </c>
      <c r="X69" s="156" t="str">
        <f>IF(SUM('附表1-面积统计表'!$D$6)=0,"",SUM(T69)-SUM(W69)-SUM(Y69))</f>
        <v/>
      </c>
      <c r="Y69" s="156">
        <f>IF(SUM('附表1-面积统计表'!$D$6)=0,SUM(T69)-SUM(W69),IF('附表1-面积统计表'!$D$29=0,"",IF(AND(V69="共同成本费用",Z69="总建筑面积法"),ROUND(T69/'附表1-面积统计表'!$D$29*'附表1-面积统计表'!$D$7,2),IF(AND(V69="共同成本费用",Z69="可售建筑面积法"),ROUND(T69/'附表1-面积统计表'!$F$29*'附表1-面积统计表'!$F$7,2),"请手工填写"))))</f>
        <v>0</v>
      </c>
      <c r="Z69" s="157" t="s">
        <v>251</v>
      </c>
      <c r="AA69" s="145"/>
      <c r="AB69" s="158" t="s">
        <v>905</v>
      </c>
      <c r="AE69" s="159" t="s">
        <v>1205</v>
      </c>
      <c r="AF69" s="159">
        <v>0</v>
      </c>
      <c r="AG69" s="105">
        <f t="shared" si="4"/>
        <v>0</v>
      </c>
      <c r="AH69" s="105">
        <f>AH68-P66</f>
        <v>-110091.747522936</v>
      </c>
    </row>
    <row r="70" s="106" customFormat="1" ht="13" customHeight="1" spans="1:34">
      <c r="A70" s="139">
        <v>64</v>
      </c>
      <c r="B70" s="170" t="s">
        <v>1201</v>
      </c>
      <c r="C70" s="170" t="s">
        <v>1206</v>
      </c>
      <c r="D70" s="142" t="s">
        <v>898</v>
      </c>
      <c r="E70" s="143" t="s">
        <v>975</v>
      </c>
      <c r="F70" s="170" t="s">
        <v>1207</v>
      </c>
      <c r="G70" s="99"/>
      <c r="H70" s="147" t="str">
        <f>IF(G70="","",VLOOKUP(G70,'附表8-合同明细采集底稿'!B:I,2,0))</f>
        <v/>
      </c>
      <c r="I70" s="234" t="str">
        <f>IF(G70="","",VLOOKUP(G70,'附表8-合同明细采集底稿'!B:I,3,0))</f>
        <v/>
      </c>
      <c r="J70" s="149" t="s">
        <v>1208</v>
      </c>
      <c r="K70" s="147" t="s">
        <v>902</v>
      </c>
      <c r="L70" s="149" t="s">
        <v>1096</v>
      </c>
      <c r="M70" s="149" t="s">
        <v>1209</v>
      </c>
      <c r="N70" s="151">
        <v>6687.74</v>
      </c>
      <c r="O70" s="151">
        <v>7098</v>
      </c>
      <c r="P70" s="172">
        <v>6687.74</v>
      </c>
      <c r="Q70" s="151"/>
      <c r="R70" s="151">
        <f t="shared" si="0"/>
        <v>6687.74</v>
      </c>
      <c r="S70" s="153">
        <f>IFERROR(VLOOKUP(G70,'附表8-合同明细采集底稿'!B:M,12,0),100%)</f>
        <v>1</v>
      </c>
      <c r="T70" s="154">
        <f t="shared" si="1"/>
        <v>6687.74</v>
      </c>
      <c r="U70" s="147"/>
      <c r="V70" s="163" t="s">
        <v>276</v>
      </c>
      <c r="W70" s="156">
        <f>IF('附表1-面积统计表'!$D$29=0,"",IF(AND(V70="共同成本费用",Z70="总建筑面积法"),ROUND(T70/'附表1-面积统计表'!$D$29*'附表1-面积统计表'!$D$5,2),IF(AND(V70="共同成本费用",Z70="可售建筑面积法"),ROUND(T70/'附表1-面积统计表'!$F$29*'附表1-面积统计表'!$F$5,2),"请手工填写")))</f>
        <v>6687.74</v>
      </c>
      <c r="X70" s="156" t="str">
        <f>IF(SUM('附表1-面积统计表'!$D$6)=0,"",SUM(T70)-SUM(W70)-SUM(Y70))</f>
        <v/>
      </c>
      <c r="Y70" s="156">
        <f>IF(SUM('附表1-面积统计表'!$D$6)=0,SUM(T70)-SUM(W70),IF('附表1-面积统计表'!$D$29=0,"",IF(AND(V70="共同成本费用",Z70="总建筑面积法"),ROUND(T70/'附表1-面积统计表'!$D$29*'附表1-面积统计表'!$D$7,2),IF(AND(V70="共同成本费用",Z70="可售建筑面积法"),ROUND(T70/'附表1-面积统计表'!$F$29*'附表1-面积统计表'!$F$7,2),"请手工填写"))))</f>
        <v>0</v>
      </c>
      <c r="Z70" s="235" t="s">
        <v>251</v>
      </c>
      <c r="AA70" s="147"/>
      <c r="AB70" s="165" t="s">
        <v>905</v>
      </c>
      <c r="AE70" s="166" t="s">
        <v>1210</v>
      </c>
      <c r="AF70" s="166">
        <v>6687.74</v>
      </c>
      <c r="AG70" s="106">
        <f t="shared" si="4"/>
        <v>0</v>
      </c>
    </row>
    <row r="71" s="105" customFormat="1" ht="19" customHeight="1" spans="1:34">
      <c r="A71" s="139">
        <v>65</v>
      </c>
      <c r="B71" s="170" t="s">
        <v>1211</v>
      </c>
      <c r="C71" s="170" t="s">
        <v>1212</v>
      </c>
      <c r="D71" s="142" t="s">
        <v>966</v>
      </c>
      <c r="E71" s="143" t="s">
        <v>1213</v>
      </c>
      <c r="F71" s="170" t="s">
        <v>1214</v>
      </c>
      <c r="G71" s="99" t="s">
        <v>1215</v>
      </c>
      <c r="H71" s="145" t="str">
        <f>IF(G71="","",VLOOKUP(G71,'附表8-合同明细采集底稿'!B:I,2,0))</f>
        <v>春和景苑样板间2-3-102装修合同</v>
      </c>
      <c r="I71" s="146" t="str">
        <f>IF(G71="","",VLOOKUP(G71,'附表8-合同明细采集底稿'!B:I,3,0))</f>
        <v>建设工程合同</v>
      </c>
      <c r="J71" s="145" t="str">
        <f>IF(G71="","",VLOOKUP(G71,'附表8-合同明细采集底稿'!B:I,4,0))</f>
        <v>巴州理想家建筑装饰有限公司（倪）</v>
      </c>
      <c r="K71" s="147" t="s">
        <v>902</v>
      </c>
      <c r="L71" s="149" t="s">
        <v>1096</v>
      </c>
      <c r="M71" s="149" t="s">
        <v>1216</v>
      </c>
      <c r="N71" s="151">
        <v>399786.24</v>
      </c>
      <c r="O71" s="151">
        <v>435767</v>
      </c>
      <c r="P71" s="172">
        <v>399786.24</v>
      </c>
      <c r="Q71" s="151">
        <v>-95951.8</v>
      </c>
      <c r="R71" s="151">
        <f t="shared" ref="R71:R124" si="6">P71+Q71</f>
        <v>303834.44</v>
      </c>
      <c r="S71" s="153">
        <f>IFERROR(VLOOKUP(G71,'附表8-合同明细采集底稿'!B:M,12,0),100%)</f>
        <v>1</v>
      </c>
      <c r="T71" s="154">
        <f t="shared" ref="T71:T124" si="7">ROUND(SUM(R71)*SUM(S71),2)</f>
        <v>303834.44</v>
      </c>
      <c r="U71" s="145"/>
      <c r="V71" s="155" t="s">
        <v>276</v>
      </c>
      <c r="W71" s="156">
        <f>IF('附表1-面积统计表'!$D$29=0,"",IF(AND(V71="共同成本费用",Z71="总建筑面积法"),ROUND(T71/'附表1-面积统计表'!$D$29*'附表1-面积统计表'!$D$5,2),IF(AND(V71="共同成本费用",Z71="可售建筑面积法"),ROUND(T71/'附表1-面积统计表'!$F$29*'附表1-面积统计表'!$F$5,2),"请手工填写")))</f>
        <v>303834.44</v>
      </c>
      <c r="X71" s="156" t="str">
        <f>IF(SUM('附表1-面积统计表'!$D$6)=0,"",SUM(T71)-SUM(W71)-SUM(Y71))</f>
        <v/>
      </c>
      <c r="Y71" s="156">
        <f>IF(SUM('附表1-面积统计表'!$D$6)=0,SUM(T71)-SUM(W71),IF('附表1-面积统计表'!$D$29=0,"",IF(AND(V71="共同成本费用",Z71="总建筑面积法"),ROUND(T71/'附表1-面积统计表'!$D$29*'附表1-面积统计表'!$D$7,2),IF(AND(V71="共同成本费用",Z71="可售建筑面积法"),ROUND(T71/'附表1-面积统计表'!$F$29*'附表1-面积统计表'!$F$7,2),"请手工填写"))))</f>
        <v>0</v>
      </c>
      <c r="Z71" s="157" t="s">
        <v>251</v>
      </c>
      <c r="AA71" s="145"/>
      <c r="AB71" s="158" t="s">
        <v>905</v>
      </c>
      <c r="AE71" s="159" t="s">
        <v>1217</v>
      </c>
      <c r="AF71" s="159">
        <v>399786.24</v>
      </c>
      <c r="AG71" s="105">
        <f t="shared" si="4"/>
        <v>-95951.8</v>
      </c>
    </row>
    <row r="72" s="105" customFormat="1" ht="13" customHeight="1" spans="1:34">
      <c r="A72" s="139">
        <v>66</v>
      </c>
      <c r="B72" s="170" t="s">
        <v>1218</v>
      </c>
      <c r="C72" s="170" t="s">
        <v>1219</v>
      </c>
      <c r="D72" s="142" t="s">
        <v>898</v>
      </c>
      <c r="E72" s="143" t="s">
        <v>1101</v>
      </c>
      <c r="F72" s="170" t="s">
        <v>1220</v>
      </c>
      <c r="G72" s="99"/>
      <c r="H72" s="145" t="str">
        <f>IF(G72="","",VLOOKUP(G72,'附表8-合同明细采集底稿'!B:I,2,0))</f>
        <v/>
      </c>
      <c r="I72" s="146" t="str">
        <f>IF(G72="","",VLOOKUP(G72,'附表8-合同明细采集底稿'!B:I,3,0))</f>
        <v/>
      </c>
      <c r="J72" s="161" t="s">
        <v>1221</v>
      </c>
      <c r="K72" s="147" t="s">
        <v>902</v>
      </c>
      <c r="L72" s="148" t="s">
        <v>990</v>
      </c>
      <c r="M72" s="149" t="s">
        <v>1222</v>
      </c>
      <c r="N72" s="151">
        <v>49504.95</v>
      </c>
      <c r="O72" s="151">
        <v>50000</v>
      </c>
      <c r="P72" s="172">
        <v>49504.95</v>
      </c>
      <c r="Q72" s="151">
        <f>-P72</f>
        <v>-49504.95</v>
      </c>
      <c r="R72" s="151">
        <f t="shared" si="6"/>
        <v>0</v>
      </c>
      <c r="S72" s="153">
        <f>IFERROR(VLOOKUP(G72,'附表8-合同明细采集底稿'!B:M,12,0),100%)</f>
        <v>1</v>
      </c>
      <c r="T72" s="154">
        <f t="shared" si="7"/>
        <v>0</v>
      </c>
      <c r="U72" s="145"/>
      <c r="V72" s="155" t="s">
        <v>276</v>
      </c>
      <c r="W72" s="156">
        <f>IF('附表1-面积统计表'!$D$29=0,"",IF(AND(V72="共同成本费用",Z72="总建筑面积法"),ROUND(T72/'附表1-面积统计表'!$D$29*'附表1-面积统计表'!$D$5,2),IF(AND(V72="共同成本费用",Z72="可售建筑面积法"),ROUND(T72/'附表1-面积统计表'!$F$29*'附表1-面积统计表'!$F$5,2),"请手工填写")))</f>
        <v>0</v>
      </c>
      <c r="X72" s="156" t="str">
        <f>IF(SUM('附表1-面积统计表'!$D$6)=0,"",SUM(T72)-SUM(W72)-SUM(Y72))</f>
        <v/>
      </c>
      <c r="Y72" s="156">
        <f>IF(SUM('附表1-面积统计表'!$D$6)=0,SUM(T72)-SUM(W72),IF('附表1-面积统计表'!$D$29=0,"",IF(AND(V72="共同成本费用",Z72="总建筑面积法"),ROUND(T72/'附表1-面积统计表'!$D$29*'附表1-面积统计表'!$D$7,2),IF(AND(V72="共同成本费用",Z72="可售建筑面积法"),ROUND(T72/'附表1-面积统计表'!$F$29*'附表1-面积统计表'!$F$7,2),"请手工填写"))))</f>
        <v>0</v>
      </c>
      <c r="Z72" s="157" t="s">
        <v>251</v>
      </c>
      <c r="AA72" s="145"/>
      <c r="AB72" s="158" t="s">
        <v>905</v>
      </c>
      <c r="AE72" s="159" t="s">
        <v>944</v>
      </c>
      <c r="AF72" s="159">
        <v>0</v>
      </c>
      <c r="AG72" s="105">
        <f t="shared" ref="AG72:AG103" si="8">T72-AF72</f>
        <v>0</v>
      </c>
    </row>
    <row r="73" s="105" customFormat="1" ht="13" customHeight="1" spans="1:34">
      <c r="A73" s="139">
        <v>67</v>
      </c>
      <c r="B73" s="170" t="s">
        <v>1218</v>
      </c>
      <c r="C73" s="170" t="s">
        <v>1223</v>
      </c>
      <c r="D73" s="142" t="s">
        <v>966</v>
      </c>
      <c r="E73" s="143" t="s">
        <v>967</v>
      </c>
      <c r="F73" s="170" t="s">
        <v>1224</v>
      </c>
      <c r="G73" s="99" t="s">
        <v>1225</v>
      </c>
      <c r="H73" s="145" t="str">
        <f>IF(G73="","",VLOOKUP(G73,'附表8-合同明细采集底稿'!B:I,2,0))</f>
        <v>春和景苑外墙装修</v>
      </c>
      <c r="I73" s="146" t="str">
        <f>IF(G73="","",VLOOKUP(G73,'附表8-合同明细采集底稿'!B:I,3,0))</f>
        <v>建设工程合同</v>
      </c>
      <c r="J73" s="145" t="str">
        <f>IF(G73="","",VLOOKUP(G73,'附表8-合同明细采集底稿'!B:I,4,0))</f>
        <v>新疆智明建设工程有限公司（金克)</v>
      </c>
      <c r="K73" s="147" t="s">
        <v>902</v>
      </c>
      <c r="L73" s="171" t="s">
        <v>1096</v>
      </c>
      <c r="M73" s="149" t="s">
        <v>1226</v>
      </c>
      <c r="N73" s="151">
        <v>181651.38</v>
      </c>
      <c r="O73" s="151">
        <v>198000</v>
      </c>
      <c r="P73" s="172">
        <v>181651.38</v>
      </c>
      <c r="Q73" s="151"/>
      <c r="R73" s="151">
        <f t="shared" si="6"/>
        <v>181651.38</v>
      </c>
      <c r="S73" s="153">
        <f>IFERROR(VLOOKUP(G73,'附表8-合同明细采集底稿'!B:M,12,0),100%)</f>
        <v>1</v>
      </c>
      <c r="T73" s="154">
        <f t="shared" si="7"/>
        <v>181651.38</v>
      </c>
      <c r="U73" s="145"/>
      <c r="V73" s="155" t="s">
        <v>276</v>
      </c>
      <c r="W73" s="156">
        <f>IF('附表1-面积统计表'!$D$29=0,"",IF(AND(V73="共同成本费用",Z73="总建筑面积法"),ROUND(T73/'附表1-面积统计表'!$D$29*'附表1-面积统计表'!$D$5,2),IF(AND(V73="共同成本费用",Z73="可售建筑面积法"),ROUND(T73/'附表1-面积统计表'!$F$29*'附表1-面积统计表'!$F$5,2),"请手工填写")))</f>
        <v>181651.38</v>
      </c>
      <c r="X73" s="156" t="str">
        <f>IF(SUM('附表1-面积统计表'!$D$6)=0,"",SUM(T73)-SUM(W73)-SUM(Y73))</f>
        <v/>
      </c>
      <c r="Y73" s="156">
        <f>IF(SUM('附表1-面积统计表'!$D$6)=0,SUM(T73)-SUM(W73),IF('附表1-面积统计表'!$D$29=0,"",IF(AND(V73="共同成本费用",Z73="总建筑面积法"),ROUND(T73/'附表1-面积统计表'!$D$29*'附表1-面积统计表'!$D$7,2),IF(AND(V73="共同成本费用",Z73="可售建筑面积法"),ROUND(T73/'附表1-面积统计表'!$F$29*'附表1-面积统计表'!$F$7,2),"请手工填写"))))</f>
        <v>0</v>
      </c>
      <c r="Z73" s="157" t="s">
        <v>251</v>
      </c>
      <c r="AA73" s="145"/>
      <c r="AB73" s="158" t="s">
        <v>905</v>
      </c>
      <c r="AE73" s="159" t="s">
        <v>1227</v>
      </c>
      <c r="AF73" s="159">
        <v>181651.38</v>
      </c>
      <c r="AG73" s="105">
        <f t="shared" si="8"/>
        <v>0</v>
      </c>
    </row>
    <row r="74" s="107" customFormat="1" ht="13" customHeight="1" spans="1:34">
      <c r="A74" s="173">
        <v>68</v>
      </c>
      <c r="B74" s="175" t="s">
        <v>1228</v>
      </c>
      <c r="C74" s="175" t="s">
        <v>1229</v>
      </c>
      <c r="D74" s="176" t="s">
        <v>945</v>
      </c>
      <c r="E74" s="177" t="s">
        <v>1093</v>
      </c>
      <c r="F74" s="175" t="s">
        <v>1230</v>
      </c>
      <c r="G74" s="178" t="s">
        <v>1231</v>
      </c>
      <c r="H74" s="179" t="str">
        <f>IF(G74="","",VLOOKUP(G74,'附表8-合同明细采集底稿'!B:I,2,0))</f>
        <v>春和景苑小区园林景观工程施工协议</v>
      </c>
      <c r="I74" s="180" t="str">
        <f>IF(G74="","",VLOOKUP(G74,'附表8-合同明细采集底稿'!B:I,3,0))</f>
        <v>建设工程合同</v>
      </c>
      <c r="J74" s="179" t="str">
        <f>IF(G74="","",VLOOKUP(G74,'附表8-合同明细采集底稿'!B:I,4,0))</f>
        <v>乌鲁木齐大漠林海绿化有限责任公司（蔚晓芳）</v>
      </c>
      <c r="K74" s="179" t="s">
        <v>902</v>
      </c>
      <c r="L74" s="181" t="s">
        <v>1232</v>
      </c>
      <c r="M74" s="181" t="s">
        <v>1233</v>
      </c>
      <c r="N74" s="182">
        <v>626146.79</v>
      </c>
      <c r="O74" s="182">
        <v>682500</v>
      </c>
      <c r="P74" s="183">
        <v>626146.79</v>
      </c>
      <c r="Q74" s="182"/>
      <c r="R74" s="182">
        <f t="shared" si="6"/>
        <v>626146.79</v>
      </c>
      <c r="S74" s="184">
        <f>S90</f>
        <v>1</v>
      </c>
      <c r="T74" s="185">
        <f t="shared" si="7"/>
        <v>626146.79</v>
      </c>
      <c r="U74" s="179"/>
      <c r="V74" s="186" t="s">
        <v>276</v>
      </c>
      <c r="W74" s="187">
        <f>IF('附表1-面积统计表'!$D$29=0,"",IF(AND(V74="共同成本费用",Z74="总建筑面积法"),ROUND(T74/'附表1-面积统计表'!$D$29*'附表1-面积统计表'!$D$5,2),IF(AND(V74="共同成本费用",Z74="可售建筑面积法"),ROUND(T74/'附表1-面积统计表'!$F$29*'附表1-面积统计表'!$F$5,2),"请手工填写")))</f>
        <v>626146.79</v>
      </c>
      <c r="X74" s="187" t="str">
        <f>IF(SUM('附表1-面积统计表'!$D$6)=0,"",SUM(T74)-SUM(W74)-SUM(Y74))</f>
        <v/>
      </c>
      <c r="Y74" s="187">
        <f>IF(SUM('附表1-面积统计表'!$D$6)=0,SUM(T74)-SUM(W74),IF('附表1-面积统计表'!$D$29=0,"",IF(AND(V74="共同成本费用",Z74="总建筑面积法"),ROUND(T74/'附表1-面积统计表'!$D$29*'附表1-面积统计表'!$D$7,2),IF(AND(V74="共同成本费用",Z74="可售建筑面积法"),ROUND(T74/'附表1-面积统计表'!$F$29*'附表1-面积统计表'!$F$7,2),"请手工填写"))))</f>
        <v>0</v>
      </c>
      <c r="Z74" s="188" t="s">
        <v>251</v>
      </c>
      <c r="AA74" s="179"/>
      <c r="AB74" s="189" t="s">
        <v>905</v>
      </c>
      <c r="AC74" s="107" t="s">
        <v>911</v>
      </c>
      <c r="AE74" s="192" t="s">
        <v>1234</v>
      </c>
      <c r="AF74" s="192">
        <v>626146.79</v>
      </c>
      <c r="AG74" s="107">
        <f t="shared" si="8"/>
        <v>0</v>
      </c>
    </row>
    <row r="75" s="105" customFormat="1" ht="13" customHeight="1" spans="1:34">
      <c r="A75" s="139">
        <v>69</v>
      </c>
      <c r="B75" s="170" t="s">
        <v>641</v>
      </c>
      <c r="C75" s="170" t="s">
        <v>1235</v>
      </c>
      <c r="D75" s="142" t="s">
        <v>966</v>
      </c>
      <c r="E75" s="143" t="s">
        <v>980</v>
      </c>
      <c r="F75" s="170" t="s">
        <v>1236</v>
      </c>
      <c r="G75" s="99" t="s">
        <v>982</v>
      </c>
      <c r="H75" s="145" t="str">
        <f>IF(G75="","",VLOOKUP(G75,'附表8-合同明细采集底稿'!B:I,2,0))</f>
        <v>春和景苑1、2、3#住宅楼施工协议</v>
      </c>
      <c r="I75" s="146" t="str">
        <f>IF(G75="","",VLOOKUP(G75,'附表8-合同明细采集底稿'!B:I,3,0))</f>
        <v>建设工程合同</v>
      </c>
      <c r="J75" s="145" t="str">
        <f>IF(G75="","",VLOOKUP(G75,'附表8-合同明细采集底稿'!B:I,4,0))</f>
        <v>新疆正杰建筑集团有限公司（许兴德）</v>
      </c>
      <c r="K75" s="145" t="s">
        <v>902</v>
      </c>
      <c r="L75" s="161" t="s">
        <v>1096</v>
      </c>
      <c r="M75" s="149" t="s">
        <v>1237</v>
      </c>
      <c r="N75" s="151">
        <v>550458.72</v>
      </c>
      <c r="O75" s="151">
        <f>ROUND(N75*1.09,2)</f>
        <v>600000</v>
      </c>
      <c r="P75" s="172">
        <v>550458.72</v>
      </c>
      <c r="Q75" s="151"/>
      <c r="R75" s="151">
        <f t="shared" si="6"/>
        <v>550458.72</v>
      </c>
      <c r="S75" s="153">
        <f>IFERROR(VLOOKUP(G75,'附表8-合同明细采集底稿'!B:M,12,0),100%)</f>
        <v>1</v>
      </c>
      <c r="T75" s="154">
        <f t="shared" si="7"/>
        <v>550458.72</v>
      </c>
      <c r="U75" s="145"/>
      <c r="V75" s="155" t="s">
        <v>276</v>
      </c>
      <c r="W75" s="156">
        <f>IF('附表1-面积统计表'!$D$29=0,"",IF(AND(V75="共同成本费用",Z75="总建筑面积法"),ROUND(T75/'附表1-面积统计表'!$D$29*'附表1-面积统计表'!$D$5,2),IF(AND(V75="共同成本费用",Z75="可售建筑面积法"),ROUND(T75/'附表1-面积统计表'!$F$29*'附表1-面积统计表'!$F$5,2),"请手工填写")))</f>
        <v>550458.72</v>
      </c>
      <c r="X75" s="156" t="str">
        <f>IF(SUM('附表1-面积统计表'!$D$6)=0,"",SUM(T75)-SUM(W75)-SUM(Y75))</f>
        <v/>
      </c>
      <c r="Y75" s="156">
        <f>IF(SUM('附表1-面积统计表'!$D$6)=0,SUM(T75)-SUM(W75),IF('附表1-面积统计表'!$D$29=0,"",IF(AND(V75="共同成本费用",Z75="总建筑面积法"),ROUND(T75/'附表1-面积统计表'!$D$29*'附表1-面积统计表'!$D$7,2),IF(AND(V75="共同成本费用",Z75="可售建筑面积法"),ROUND(T75/'附表1-面积统计表'!$F$29*'附表1-面积统计表'!$F$7,2),"请手工填写"))))</f>
        <v>0</v>
      </c>
      <c r="Z75" s="157" t="s">
        <v>251</v>
      </c>
      <c r="AA75" s="145"/>
      <c r="AB75" s="158" t="s">
        <v>905</v>
      </c>
      <c r="AE75" s="159"/>
      <c r="AF75" s="159">
        <v>550458.72</v>
      </c>
      <c r="AG75" s="105">
        <f t="shared" si="8"/>
        <v>0</v>
      </c>
    </row>
    <row r="76" s="105" customFormat="1" ht="13" customHeight="1" spans="1:34">
      <c r="A76" s="139">
        <v>70</v>
      </c>
      <c r="B76" s="170" t="s">
        <v>1238</v>
      </c>
      <c r="C76" s="170" t="s">
        <v>1239</v>
      </c>
      <c r="D76" s="142" t="s">
        <v>945</v>
      </c>
      <c r="E76" s="143" t="s">
        <v>1066</v>
      </c>
      <c r="F76" s="170" t="s">
        <v>1240</v>
      </c>
      <c r="G76" s="99" t="s">
        <v>1241</v>
      </c>
      <c r="H76" s="145" t="str">
        <f>IF(G76="","",VLOOKUP(G76,'附表8-合同明细采集底稿'!B:I,2,0))</f>
        <v>春和室外健身器材</v>
      </c>
      <c r="I76" s="146" t="str">
        <f>IF(G76="","",VLOOKUP(G76,'附表8-合同明细采集底稿'!B:I,3,0))</f>
        <v>建设工程合同</v>
      </c>
      <c r="J76" s="145" t="str">
        <f>IF(G76="","",VLOOKUP(G76,'附表8-合同明细采集底稿'!B:I,4,0))</f>
        <v>库尔勒云帆超人商贸有限公司</v>
      </c>
      <c r="K76" s="147" t="s">
        <v>902</v>
      </c>
      <c r="L76" s="149" t="s">
        <v>1096</v>
      </c>
      <c r="M76" s="149" t="s">
        <v>1242</v>
      </c>
      <c r="N76" s="151">
        <v>10460.19</v>
      </c>
      <c r="O76" s="151">
        <v>11820</v>
      </c>
      <c r="P76" s="172">
        <v>10460.19</v>
      </c>
      <c r="Q76" s="151">
        <v>-523</v>
      </c>
      <c r="R76" s="151">
        <f t="shared" si="6"/>
        <v>9937.19</v>
      </c>
      <c r="S76" s="153">
        <f>IFERROR(VLOOKUP(G76,'附表8-合同明细采集底稿'!B:M,12,0),100%)</f>
        <v>1</v>
      </c>
      <c r="T76" s="154">
        <f t="shared" si="7"/>
        <v>9937.19</v>
      </c>
      <c r="U76" s="145" t="s">
        <v>1243</v>
      </c>
      <c r="V76" s="155" t="s">
        <v>276</v>
      </c>
      <c r="W76" s="156">
        <f>IF('附表1-面积统计表'!$D$29=0,"",IF(AND(V76="共同成本费用",Z76="总建筑面积法"),ROUND(T76/'附表1-面积统计表'!$D$29*'附表1-面积统计表'!$D$5,2),IF(AND(V76="共同成本费用",Z76="可售建筑面积法"),ROUND(T76/'附表1-面积统计表'!$F$29*'附表1-面积统计表'!$F$5,2),"请手工填写")))</f>
        <v>9937.19</v>
      </c>
      <c r="X76" s="156" t="str">
        <f>IF(SUM('附表1-面积统计表'!$D$6)=0,"",SUM(T76)-SUM(W76)-SUM(Y76))</f>
        <v/>
      </c>
      <c r="Y76" s="156">
        <f>IF(SUM('附表1-面积统计表'!$D$6)=0,SUM(T76)-SUM(W76),IF('附表1-面积统计表'!$D$29=0,"",IF(AND(V76="共同成本费用",Z76="总建筑面积法"),ROUND(T76/'附表1-面积统计表'!$D$29*'附表1-面积统计表'!$D$7,2),IF(AND(V76="共同成本费用",Z76="可售建筑面积法"),ROUND(T76/'附表1-面积统计表'!$F$29*'附表1-面积统计表'!$F$7,2),"请手工填写"))))</f>
        <v>0</v>
      </c>
      <c r="Z76" s="157" t="s">
        <v>251</v>
      </c>
      <c r="AA76" s="145"/>
      <c r="AB76" s="158" t="s">
        <v>905</v>
      </c>
      <c r="AE76" s="236" t="s">
        <v>1244</v>
      </c>
      <c r="AF76" s="236">
        <v>9937.19</v>
      </c>
      <c r="AG76" s="105">
        <f t="shared" si="8"/>
        <v>0</v>
      </c>
    </row>
    <row r="77" s="105" customFormat="1" ht="13" customHeight="1" spans="1:34">
      <c r="A77" s="139">
        <v>71</v>
      </c>
      <c r="B77" s="170" t="s">
        <v>1245</v>
      </c>
      <c r="C77" s="170" t="s">
        <v>1246</v>
      </c>
      <c r="D77" s="142" t="s">
        <v>945</v>
      </c>
      <c r="E77" s="143" t="s">
        <v>1019</v>
      </c>
      <c r="F77" s="170" t="s">
        <v>1247</v>
      </c>
      <c r="G77" s="99" t="s">
        <v>1248</v>
      </c>
      <c r="H77" s="145" t="str">
        <f>IF(G77="","",VLOOKUP(G77,'附表8-合同明细采集底稿'!B:I,2,0))</f>
        <v>春和景苑弱电及弱电管道、道闸、单元人脸识别、楼宇可视</v>
      </c>
      <c r="I77" s="146" t="str">
        <f>IF(G77="","",VLOOKUP(G77,'附表8-合同明细采集底稿'!B:I,3,0))</f>
        <v>建设工程合同</v>
      </c>
      <c r="J77" s="145" t="str">
        <f>IF(G77="","",VLOOKUP(G77,'附表8-合同明细采集底稿'!B:I,4,0))</f>
        <v>巴州青橄榄电子科技有限公司（党曌）</v>
      </c>
      <c r="K77" s="147" t="s">
        <v>902</v>
      </c>
      <c r="L77" s="148" t="s">
        <v>1096</v>
      </c>
      <c r="M77" s="149" t="s">
        <v>1249</v>
      </c>
      <c r="N77" s="151">
        <v>199349.5</v>
      </c>
      <c r="O77" s="151">
        <v>201343</v>
      </c>
      <c r="P77" s="172">
        <v>199349.5</v>
      </c>
      <c r="Q77" s="151"/>
      <c r="R77" s="151">
        <f t="shared" si="6"/>
        <v>199349.5</v>
      </c>
      <c r="S77" s="153">
        <f>IFERROR(VLOOKUP(G77,'附表8-合同明细采集底稿'!B:M,12,0),100%)</f>
        <v>1</v>
      </c>
      <c r="T77" s="154">
        <f t="shared" si="7"/>
        <v>199349.5</v>
      </c>
      <c r="U77" s="145"/>
      <c r="V77" s="155" t="s">
        <v>276</v>
      </c>
      <c r="W77" s="156">
        <f>IF('附表1-面积统计表'!$D$29=0,"",IF(AND(V77="共同成本费用",Z77="总建筑面积法"),ROUND(T77/'附表1-面积统计表'!$D$29*'附表1-面积统计表'!$D$5,2),IF(AND(V77="共同成本费用",Z77="可售建筑面积法"),ROUND(T77/'附表1-面积统计表'!$F$29*'附表1-面积统计表'!$F$5,2),"请手工填写")))</f>
        <v>199349.5</v>
      </c>
      <c r="X77" s="156" t="str">
        <f>IF(SUM('附表1-面积统计表'!$D$6)=0,"",SUM(T77)-SUM(W77)-SUM(Y77))</f>
        <v/>
      </c>
      <c r="Y77" s="156">
        <f>IF(SUM('附表1-面积统计表'!$D$6)=0,SUM(T77)-SUM(W77),IF('附表1-面积统计表'!$D$29=0,"",IF(AND(V77="共同成本费用",Z77="总建筑面积法"),ROUND(T77/'附表1-面积统计表'!$D$29*'附表1-面积统计表'!$D$7,2),IF(AND(V77="共同成本费用",Z77="可售建筑面积法"),ROUND(T77/'附表1-面积统计表'!$F$29*'附表1-面积统计表'!$F$7,2),"请手工填写"))))</f>
        <v>0</v>
      </c>
      <c r="Z77" s="157" t="s">
        <v>251</v>
      </c>
      <c r="AA77" s="145"/>
      <c r="AB77" s="158" t="s">
        <v>905</v>
      </c>
      <c r="AC77" s="105" t="s">
        <v>911</v>
      </c>
      <c r="AE77" s="159"/>
      <c r="AF77" s="159">
        <v>199349.5</v>
      </c>
      <c r="AG77" s="105">
        <f t="shared" si="8"/>
        <v>0</v>
      </c>
    </row>
    <row r="78" s="105" customFormat="1" ht="13" customHeight="1" spans="1:34">
      <c r="A78" s="139">
        <v>72</v>
      </c>
      <c r="B78" s="170" t="s">
        <v>1250</v>
      </c>
      <c r="C78" s="170" t="s">
        <v>1251</v>
      </c>
      <c r="D78" s="142" t="s">
        <v>945</v>
      </c>
      <c r="E78" s="143" t="s">
        <v>1019</v>
      </c>
      <c r="F78" s="170" t="s">
        <v>1252</v>
      </c>
      <c r="G78" s="99" t="s">
        <v>1253</v>
      </c>
      <c r="H78" s="145" t="str">
        <f>IF(G78="","",VLOOKUP(G78,'附表8-合同明细采集底稿'!B:I,2,0))</f>
        <v>春和景苑三网合一FTTH工程施工合同（绿）</v>
      </c>
      <c r="I78" s="146" t="str">
        <f>IF(G78="","",VLOOKUP(G78,'附表8-合同明细采集底稿'!B:I,3,0))</f>
        <v>建设工程合同</v>
      </c>
      <c r="J78" s="145" t="str">
        <f>IF(G78="","",VLOOKUP(G78,'附表8-合同明细采集底稿'!B:I,4,0))</f>
        <v>新疆鑫宇恒建设工程有限公司（蒋华）</v>
      </c>
      <c r="K78" s="147" t="s">
        <v>902</v>
      </c>
      <c r="L78" s="148" t="s">
        <v>1096</v>
      </c>
      <c r="M78" s="149" t="s">
        <v>1254</v>
      </c>
      <c r="N78" s="151">
        <v>30517.43</v>
      </c>
      <c r="O78" s="151">
        <f>29938+1662.8+1663.2</f>
        <v>33264</v>
      </c>
      <c r="P78" s="172">
        <v>30517.43</v>
      </c>
      <c r="Q78" s="151"/>
      <c r="R78" s="151">
        <f t="shared" si="6"/>
        <v>30517.43</v>
      </c>
      <c r="S78" s="153">
        <f>IFERROR(VLOOKUP(G78,'附表8-合同明细采集底稿'!B:M,12,0),100%)</f>
        <v>1</v>
      </c>
      <c r="T78" s="154">
        <f t="shared" si="7"/>
        <v>30517.43</v>
      </c>
      <c r="U78" s="145"/>
      <c r="V78" s="155" t="s">
        <v>276</v>
      </c>
      <c r="W78" s="156">
        <f>IF('附表1-面积统计表'!$D$29=0,"",IF(AND(V78="共同成本费用",Z78="总建筑面积法"),ROUND(T78/'附表1-面积统计表'!$D$29*'附表1-面积统计表'!$D$5,2),IF(AND(V78="共同成本费用",Z78="可售建筑面积法"),ROUND(T78/'附表1-面积统计表'!$F$29*'附表1-面积统计表'!$F$5,2),"请手工填写")))</f>
        <v>30517.43</v>
      </c>
      <c r="X78" s="156" t="str">
        <f>IF(SUM('附表1-面积统计表'!$D$6)=0,"",SUM(T78)-SUM(W78)-SUM(Y78))</f>
        <v/>
      </c>
      <c r="Y78" s="156">
        <f>IF(SUM('附表1-面积统计表'!$D$6)=0,SUM(T78)-SUM(W78),IF('附表1-面积统计表'!$D$29=0,"",IF(AND(V78="共同成本费用",Z78="总建筑面积法"),ROUND(T78/'附表1-面积统计表'!$D$29*'附表1-面积统计表'!$D$7,2),IF(AND(V78="共同成本费用",Z78="可售建筑面积法"),ROUND(T78/'附表1-面积统计表'!$F$29*'附表1-面积统计表'!$F$7,2),"请手工填写"))))</f>
        <v>0</v>
      </c>
      <c r="Z78" s="157" t="s">
        <v>251</v>
      </c>
      <c r="AA78" s="145"/>
      <c r="AB78" s="158" t="s">
        <v>905</v>
      </c>
      <c r="AE78" s="159" t="s">
        <v>1255</v>
      </c>
      <c r="AF78" s="159">
        <v>30517.43</v>
      </c>
      <c r="AG78" s="105">
        <f t="shared" si="8"/>
        <v>0</v>
      </c>
    </row>
    <row r="79" s="105" customFormat="1" ht="13" customHeight="1" spans="1:34">
      <c r="A79" s="139">
        <v>73</v>
      </c>
      <c r="B79" s="170" t="s">
        <v>1256</v>
      </c>
      <c r="C79" s="170" t="s">
        <v>1257</v>
      </c>
      <c r="D79" s="142" t="s">
        <v>966</v>
      </c>
      <c r="E79" s="143" t="s">
        <v>967</v>
      </c>
      <c r="F79" s="170" t="s">
        <v>1258</v>
      </c>
      <c r="G79" s="99" t="s">
        <v>969</v>
      </c>
      <c r="H79" s="145" t="str">
        <f>IF(G79="","",VLOOKUP(G79,'附表8-合同明细采集底稿'!B:I,2,0))</f>
        <v>监理合同补充协议</v>
      </c>
      <c r="I79" s="146" t="str">
        <f>IF(G79="","",VLOOKUP(G79,'附表8-合同明细采集底稿'!B:I,3,0))</f>
        <v>技术合同</v>
      </c>
      <c r="J79" s="145" t="str">
        <f>IF(G79="","",VLOOKUP(G79,'附表8-合同明细采集底稿'!B:I,4,0))</f>
        <v>巴州智诚工程项目管理服务有限公司</v>
      </c>
      <c r="K79" s="147" t="s">
        <v>902</v>
      </c>
      <c r="L79" s="148" t="s">
        <v>941</v>
      </c>
      <c r="M79" s="149" t="s">
        <v>1259</v>
      </c>
      <c r="N79" s="151">
        <v>9720.12</v>
      </c>
      <c r="O79" s="151">
        <f t="shared" ref="O79:O81" si="9">N79*1.01</f>
        <v>9817.3212</v>
      </c>
      <c r="P79" s="172">
        <v>9720.12</v>
      </c>
      <c r="Q79" s="151"/>
      <c r="R79" s="151">
        <f t="shared" si="6"/>
        <v>9720.12</v>
      </c>
      <c r="S79" s="153">
        <f>IFERROR(VLOOKUP(G79,'附表8-合同明细采集底稿'!B:M,12,0),100%)</f>
        <v>1</v>
      </c>
      <c r="T79" s="154">
        <f t="shared" si="7"/>
        <v>9720.12</v>
      </c>
      <c r="U79" s="145"/>
      <c r="V79" s="155" t="s">
        <v>276</v>
      </c>
      <c r="W79" s="156">
        <f>IF('附表1-面积统计表'!$D$29=0,"",IF(AND(V79="共同成本费用",Z79="总建筑面积法"),ROUND(T79/'附表1-面积统计表'!$D$29*'附表1-面积统计表'!$D$5,2),IF(AND(V79="共同成本费用",Z79="可售建筑面积法"),ROUND(T79/'附表1-面积统计表'!$F$29*'附表1-面积统计表'!$F$5,2),"请手工填写")))</f>
        <v>9720.12</v>
      </c>
      <c r="X79" s="156" t="str">
        <f>IF(SUM('附表1-面积统计表'!$D$6)=0,"",SUM(T79)-SUM(W79)-SUM(Y79))</f>
        <v/>
      </c>
      <c r="Y79" s="156">
        <f>IF(SUM('附表1-面积统计表'!$D$6)=0,SUM(T79)-SUM(W79),IF('附表1-面积统计表'!$D$29=0,"",IF(AND(V79="共同成本费用",Z79="总建筑面积法"),ROUND(T79/'附表1-面积统计表'!$D$29*'附表1-面积统计表'!$D$7,2),IF(AND(V79="共同成本费用",Z79="可售建筑面积法"),ROUND(T79/'附表1-面积统计表'!$F$29*'附表1-面积统计表'!$F$7,2),"请手工填写"))))</f>
        <v>0</v>
      </c>
      <c r="Z79" s="157" t="s">
        <v>251</v>
      </c>
      <c r="AA79" s="145"/>
      <c r="AB79" s="158" t="s">
        <v>905</v>
      </c>
      <c r="AE79" s="159"/>
      <c r="AF79" s="159">
        <v>9720.12</v>
      </c>
      <c r="AG79" s="105">
        <f t="shared" si="8"/>
        <v>0</v>
      </c>
    </row>
    <row r="80" s="105" customFormat="1" ht="13" customHeight="1" spans="1:34">
      <c r="A80" s="139">
        <v>74</v>
      </c>
      <c r="B80" s="170" t="s">
        <v>1260</v>
      </c>
      <c r="C80" s="170" t="s">
        <v>1261</v>
      </c>
      <c r="D80" s="142" t="s">
        <v>945</v>
      </c>
      <c r="E80" s="143" t="s">
        <v>1262</v>
      </c>
      <c r="F80" s="170" t="s">
        <v>1263</v>
      </c>
      <c r="G80" s="99" t="s">
        <v>1264</v>
      </c>
      <c r="H80" s="145" t="str">
        <f>IF(G80="","",VLOOKUP(G80,'附表8-合同明细采集底稿'!B:I,2,0))</f>
        <v>春和1#2#3#亮化</v>
      </c>
      <c r="I80" s="146" t="str">
        <f>IF(G80="","",VLOOKUP(G80,'附表8-合同明细采集底稿'!B:I,3,0))</f>
        <v>建设工程合同</v>
      </c>
      <c r="J80" s="145" t="str">
        <f>IF(G80="","",VLOOKUP(G80,'附表8-合同明细采集底稿'!B:I,4,0))</f>
        <v>巴州方程视广告有限公司（刘亭）</v>
      </c>
      <c r="K80" s="147" t="s">
        <v>902</v>
      </c>
      <c r="L80" s="171" t="s">
        <v>1265</v>
      </c>
      <c r="M80" s="149" t="s">
        <v>1266</v>
      </c>
      <c r="N80" s="151">
        <v>198019.8</v>
      </c>
      <c r="O80" s="151">
        <f t="shared" si="9"/>
        <v>199999.998</v>
      </c>
      <c r="P80" s="172">
        <v>198019.8</v>
      </c>
      <c r="Q80" s="151"/>
      <c r="R80" s="151">
        <f t="shared" si="6"/>
        <v>198019.8</v>
      </c>
      <c r="S80" s="153">
        <f>IFERROR(VLOOKUP(G80,'附表8-合同明细采集底稿'!B:M,12,0),100%)</f>
        <v>1</v>
      </c>
      <c r="T80" s="154">
        <f t="shared" si="7"/>
        <v>198019.8</v>
      </c>
      <c r="U80" s="145"/>
      <c r="V80" s="155" t="s">
        <v>276</v>
      </c>
      <c r="W80" s="156">
        <f>IF('附表1-面积统计表'!$D$29=0,"",IF(AND(V80="共同成本费用",Z80="总建筑面积法"),ROUND(T80/'附表1-面积统计表'!$D$29*'附表1-面积统计表'!$D$5,2),IF(AND(V80="共同成本费用",Z80="可售建筑面积法"),ROUND(T80/'附表1-面积统计表'!$F$29*'附表1-面积统计表'!$F$5,2),"请手工填写")))</f>
        <v>198019.8</v>
      </c>
      <c r="X80" s="156" t="str">
        <f>IF(SUM('附表1-面积统计表'!$D$6)=0,"",SUM(T80)-SUM(W80)-SUM(Y80))</f>
        <v/>
      </c>
      <c r="Y80" s="156">
        <f>IF(SUM('附表1-面积统计表'!$D$6)=0,SUM(T80)-SUM(W80),IF('附表1-面积统计表'!$D$29=0,"",IF(AND(V80="共同成本费用",Z80="总建筑面积法"),ROUND(T80/'附表1-面积统计表'!$D$29*'附表1-面积统计表'!$D$7,2),IF(AND(V80="共同成本费用",Z80="可售建筑面积法"),ROUND(T80/'附表1-面积统计表'!$F$29*'附表1-面积统计表'!$F$7,2),"请手工填写"))))</f>
        <v>0</v>
      </c>
      <c r="Z80" s="157" t="s">
        <v>251</v>
      </c>
      <c r="AA80" s="145"/>
      <c r="AB80" s="158" t="s">
        <v>905</v>
      </c>
      <c r="AE80" s="159" t="s">
        <v>1267</v>
      </c>
      <c r="AF80" s="159">
        <v>198019.8</v>
      </c>
      <c r="AG80" s="105">
        <f t="shared" si="8"/>
        <v>0</v>
      </c>
    </row>
    <row r="81" s="105" customFormat="1" ht="13" customHeight="1" spans="1:33">
      <c r="A81" s="139">
        <v>75</v>
      </c>
      <c r="B81" s="170" t="s">
        <v>1268</v>
      </c>
      <c r="C81" s="170" t="s">
        <v>1269</v>
      </c>
      <c r="D81" s="142" t="s">
        <v>966</v>
      </c>
      <c r="E81" s="143" t="s">
        <v>967</v>
      </c>
      <c r="F81" s="170" t="s">
        <v>1270</v>
      </c>
      <c r="G81" s="99" t="s">
        <v>1225</v>
      </c>
      <c r="H81" s="145" t="str">
        <f>IF(G81="","",VLOOKUP(G81,'附表8-合同明细采集底稿'!B:I,2,0))</f>
        <v>春和景苑外墙装修</v>
      </c>
      <c r="I81" s="146" t="str">
        <f>IF(G81="","",VLOOKUP(G81,'附表8-合同明细采集底稿'!B:I,3,0))</f>
        <v>建设工程合同</v>
      </c>
      <c r="J81" s="145" t="str">
        <f>IF(G81="","",VLOOKUP(G81,'附表8-合同明细采集底稿'!B:I,4,0))</f>
        <v>新疆智明建设工程有限公司（金克)</v>
      </c>
      <c r="K81" s="147" t="s">
        <v>902</v>
      </c>
      <c r="L81" s="191" t="s">
        <v>1096</v>
      </c>
      <c r="M81" s="149" t="s">
        <v>1271</v>
      </c>
      <c r="N81" s="151">
        <v>108990.83</v>
      </c>
      <c r="O81" s="151">
        <f t="shared" si="9"/>
        <v>110080.7383</v>
      </c>
      <c r="P81" s="172">
        <v>108990.83</v>
      </c>
      <c r="Q81" s="151"/>
      <c r="R81" s="151">
        <f t="shared" si="6"/>
        <v>108990.83</v>
      </c>
      <c r="S81" s="153">
        <f>IFERROR(VLOOKUP(G81,'附表8-合同明细采集底稿'!B:M,12,0),100%)</f>
        <v>1</v>
      </c>
      <c r="T81" s="154">
        <f t="shared" si="7"/>
        <v>108990.83</v>
      </c>
      <c r="U81" s="145"/>
      <c r="V81" s="155" t="s">
        <v>276</v>
      </c>
      <c r="W81" s="156">
        <f>IF('附表1-面积统计表'!$D$29=0,"",IF(AND(V81="共同成本费用",Z81="总建筑面积法"),ROUND(T81/'附表1-面积统计表'!$D$29*'附表1-面积统计表'!$D$5,2),IF(AND(V81="共同成本费用",Z81="可售建筑面积法"),ROUND(T81/'附表1-面积统计表'!$F$29*'附表1-面积统计表'!$F$5,2),"请手工填写")))</f>
        <v>108990.83</v>
      </c>
      <c r="X81" s="156" t="str">
        <f>IF(SUM('附表1-面积统计表'!$D$6)=0,"",SUM(T81)-SUM(W81)-SUM(Y81))</f>
        <v/>
      </c>
      <c r="Y81" s="156">
        <f>IF(SUM('附表1-面积统计表'!$D$6)=0,SUM(T81)-SUM(W81),IF('附表1-面积统计表'!$D$29=0,"",IF(AND(V81="共同成本费用",Z81="总建筑面积法"),ROUND(T81/'附表1-面积统计表'!$D$29*'附表1-面积统计表'!$D$7,2),IF(AND(V81="共同成本费用",Z81="可售建筑面积法"),ROUND(T81/'附表1-面积统计表'!$F$29*'附表1-面积统计表'!$F$7,2),"请手工填写"))))</f>
        <v>0</v>
      </c>
      <c r="Z81" s="157" t="s">
        <v>251</v>
      </c>
      <c r="AA81" s="145"/>
      <c r="AB81" s="158" t="s">
        <v>905</v>
      </c>
      <c r="AE81" s="159" t="s">
        <v>1227</v>
      </c>
      <c r="AF81" s="159">
        <v>108990.83</v>
      </c>
      <c r="AG81" s="105">
        <f t="shared" si="8"/>
        <v>0</v>
      </c>
    </row>
    <row r="82" s="105" customFormat="1" ht="13" customHeight="1" spans="1:33">
      <c r="A82" s="139">
        <v>76</v>
      </c>
      <c r="B82" s="170" t="s">
        <v>1272</v>
      </c>
      <c r="C82" s="170" t="s">
        <v>1273</v>
      </c>
      <c r="D82" s="142" t="s">
        <v>945</v>
      </c>
      <c r="E82" s="143" t="s">
        <v>1183</v>
      </c>
      <c r="F82" s="170" t="s">
        <v>1274</v>
      </c>
      <c r="G82" s="99" t="s">
        <v>1275</v>
      </c>
      <c r="H82" s="145" t="str">
        <f>IF(G82="","",VLOOKUP(G82,'附表8-合同明细采集底稿'!B:I,2,0))</f>
        <v>春和老年活动室天然气安装工程委托建设管理协议书</v>
      </c>
      <c r="I82" s="146" t="str">
        <f>IF(G82="","",VLOOKUP(G82,'附表8-合同明细采集底稿'!B:I,3,0))</f>
        <v>建设工程合同</v>
      </c>
      <c r="J82" s="145" t="str">
        <f>IF(G82="","",VLOOKUP(G82,'附表8-合同明细采集底稿'!B:I,4,0))</f>
        <v>新疆南天城建（集团）股份有限公司</v>
      </c>
      <c r="K82" s="147" t="s">
        <v>902</v>
      </c>
      <c r="L82" s="149" t="s">
        <v>1096</v>
      </c>
      <c r="M82" s="149" t="s">
        <v>1276</v>
      </c>
      <c r="N82" s="151">
        <v>13120.89</v>
      </c>
      <c r="O82" s="151">
        <f>N82*1.09</f>
        <v>14301.7701</v>
      </c>
      <c r="P82" s="172">
        <v>13120.89</v>
      </c>
      <c r="Q82" s="151"/>
      <c r="R82" s="151">
        <f t="shared" si="6"/>
        <v>13120.89</v>
      </c>
      <c r="S82" s="153">
        <f>IFERROR(VLOOKUP(G82,'附表8-合同明细采集底稿'!B:M,12,0),100%)</f>
        <v>0.725945981401044</v>
      </c>
      <c r="T82" s="154">
        <f t="shared" si="7"/>
        <v>9525.06</v>
      </c>
      <c r="U82" s="145"/>
      <c r="V82" s="155" t="s">
        <v>276</v>
      </c>
      <c r="W82" s="156">
        <f>IF('附表1-面积统计表'!$D$29=0,"",IF(AND(V82="共同成本费用",Z82="总建筑面积法"),ROUND(T82/'附表1-面积统计表'!$D$29*'附表1-面积统计表'!$D$5,2),IF(AND(V82="共同成本费用",Z82="可售建筑面积法"),ROUND(T82/'附表1-面积统计表'!$F$29*'附表1-面积统计表'!$F$5,2),"请手工填写")))</f>
        <v>9525.06</v>
      </c>
      <c r="X82" s="156" t="str">
        <f>IF(SUM('附表1-面积统计表'!$D$6)=0,"",SUM(T82)-SUM(W82)-SUM(Y82))</f>
        <v/>
      </c>
      <c r="Y82" s="156">
        <f>IF(SUM('附表1-面积统计表'!$D$6)=0,SUM(T82)-SUM(W82),IF('附表1-面积统计表'!$D$29=0,"",IF(AND(V82="共同成本费用",Z82="总建筑面积法"),ROUND(T82/'附表1-面积统计表'!$D$29*'附表1-面积统计表'!$D$7,2),IF(AND(V82="共同成本费用",Z82="可售建筑面积法"),ROUND(T82/'附表1-面积统计表'!$F$29*'附表1-面积统计表'!$F$7,2),"请手工填写"))))</f>
        <v>0</v>
      </c>
      <c r="Z82" s="157" t="s">
        <v>251</v>
      </c>
      <c r="AA82" s="145"/>
      <c r="AB82" s="158" t="s">
        <v>905</v>
      </c>
      <c r="AE82" s="159" t="s">
        <v>1187</v>
      </c>
      <c r="AF82" s="159">
        <v>13120.89</v>
      </c>
      <c r="AG82" s="105">
        <f t="shared" si="8"/>
        <v>-3595.83</v>
      </c>
    </row>
    <row r="83" s="105" customFormat="1" ht="13" customHeight="1" spans="1:33">
      <c r="A83" s="139">
        <v>77</v>
      </c>
      <c r="B83" s="170" t="s">
        <v>1277</v>
      </c>
      <c r="C83" s="170" t="s">
        <v>1278</v>
      </c>
      <c r="D83" s="142" t="s">
        <v>966</v>
      </c>
      <c r="E83" s="143" t="s">
        <v>967</v>
      </c>
      <c r="F83" s="170" t="s">
        <v>1279</v>
      </c>
      <c r="G83" s="99" t="s">
        <v>1225</v>
      </c>
      <c r="H83" s="145" t="str">
        <f>IF(G83="","",VLOOKUP(G83,'附表8-合同明细采集底稿'!B:I,2,0))</f>
        <v>春和景苑外墙装修</v>
      </c>
      <c r="I83" s="146" t="str">
        <f>IF(G83="","",VLOOKUP(G83,'附表8-合同明细采集底稿'!B:I,3,0))</f>
        <v>建设工程合同</v>
      </c>
      <c r="J83" s="145" t="str">
        <f>IF(G83="","",VLOOKUP(G83,'附表8-合同明细采集底稿'!B:I,4,0))</f>
        <v>新疆智明建设工程有限公司（金克)</v>
      </c>
      <c r="K83" s="147" t="s">
        <v>902</v>
      </c>
      <c r="L83" s="149" t="s">
        <v>1280</v>
      </c>
      <c r="M83" s="149" t="s">
        <v>1281</v>
      </c>
      <c r="N83" s="151">
        <v>72660.55</v>
      </c>
      <c r="O83" s="151">
        <f>N83*1.09</f>
        <v>79199.9995</v>
      </c>
      <c r="P83" s="172">
        <v>72660.55</v>
      </c>
      <c r="Q83" s="151"/>
      <c r="R83" s="151">
        <f t="shared" si="6"/>
        <v>72660.55</v>
      </c>
      <c r="S83" s="153">
        <f>IFERROR(VLOOKUP(G83,'附表8-合同明细采集底稿'!B:M,12,0),100%)</f>
        <v>1</v>
      </c>
      <c r="T83" s="154">
        <f t="shared" si="7"/>
        <v>72660.55</v>
      </c>
      <c r="U83" s="145"/>
      <c r="V83" s="155" t="s">
        <v>276</v>
      </c>
      <c r="W83" s="156">
        <f>IF('附表1-面积统计表'!$D$29=0,"",IF(AND(V83="共同成本费用",Z83="总建筑面积法"),ROUND(T83/'附表1-面积统计表'!$D$29*'附表1-面积统计表'!$D$5,2),IF(AND(V83="共同成本费用",Z83="可售建筑面积法"),ROUND(T83/'附表1-面积统计表'!$F$29*'附表1-面积统计表'!$F$5,2),"请手工填写")))</f>
        <v>72660.55</v>
      </c>
      <c r="X83" s="156" t="str">
        <f>IF(SUM('附表1-面积统计表'!$D$6)=0,"",SUM(T83)-SUM(W83)-SUM(Y83))</f>
        <v/>
      </c>
      <c r="Y83" s="156">
        <f>IF(SUM('附表1-面积统计表'!$D$6)=0,SUM(T83)-SUM(W83),IF('附表1-面积统计表'!$D$29=0,"",IF(AND(V83="共同成本费用",Z83="总建筑面积法"),ROUND(T83/'附表1-面积统计表'!$D$29*'附表1-面积统计表'!$D$7,2),IF(AND(V83="共同成本费用",Z83="可售建筑面积法"),ROUND(T83/'附表1-面积统计表'!$F$29*'附表1-面积统计表'!$F$7,2),"请手工填写"))))</f>
        <v>0</v>
      </c>
      <c r="Z83" s="157" t="s">
        <v>251</v>
      </c>
      <c r="AA83" s="145"/>
      <c r="AB83" s="158" t="s">
        <v>905</v>
      </c>
      <c r="AE83" s="159" t="s">
        <v>1227</v>
      </c>
      <c r="AF83" s="159">
        <v>72660.55</v>
      </c>
      <c r="AG83" s="105">
        <f t="shared" si="8"/>
        <v>0</v>
      </c>
    </row>
    <row r="84" s="105" customFormat="1" ht="13" customHeight="1" spans="1:33">
      <c r="A84" s="139">
        <v>78</v>
      </c>
      <c r="B84" s="170" t="s">
        <v>1282</v>
      </c>
      <c r="C84" s="170" t="s">
        <v>1283</v>
      </c>
      <c r="D84" s="142" t="s">
        <v>898</v>
      </c>
      <c r="E84" s="143" t="s">
        <v>899</v>
      </c>
      <c r="F84" s="170" t="s">
        <v>1284</v>
      </c>
      <c r="G84" s="99"/>
      <c r="H84" s="145" t="str">
        <f>IF(G84="","",VLOOKUP(G84,'附表8-合同明细采集底稿'!B:I,2,0))</f>
        <v/>
      </c>
      <c r="I84" s="146" t="str">
        <f>IF(G84="","",VLOOKUP(G84,'附表8-合同明细采集底稿'!B:I,3,0))</f>
        <v/>
      </c>
      <c r="J84" s="145" t="str">
        <f>IF(G84="","",VLOOKUP(G84,'附表8-合同明细采集底稿'!B:I,4,0))</f>
        <v/>
      </c>
      <c r="K84" s="147" t="s">
        <v>958</v>
      </c>
      <c r="L84" s="149"/>
      <c r="M84" s="99"/>
      <c r="N84" s="151">
        <v>0</v>
      </c>
      <c r="O84" s="151">
        <v>0</v>
      </c>
      <c r="P84" s="172">
        <v>6236.79</v>
      </c>
      <c r="Q84" s="151">
        <f t="shared" ref="Q84:Q89" si="10">-P84</f>
        <v>-6236.79</v>
      </c>
      <c r="R84" s="151">
        <f t="shared" si="6"/>
        <v>0</v>
      </c>
      <c r="S84" s="153">
        <f>IFERROR(VLOOKUP(G84,'附表8-合同明细采集底稿'!B:M,12,0),100%)</f>
        <v>1</v>
      </c>
      <c r="T84" s="154">
        <f t="shared" si="7"/>
        <v>0</v>
      </c>
      <c r="U84" s="145"/>
      <c r="V84" s="155" t="s">
        <v>276</v>
      </c>
      <c r="W84" s="156">
        <f>IF('附表1-面积统计表'!$D$29=0,"",IF(AND(V84="共同成本费用",Z84="总建筑面积法"),ROUND(T84/'附表1-面积统计表'!$D$29*'附表1-面积统计表'!$D$5,2),IF(AND(V84="共同成本费用",Z84="可售建筑面积法"),ROUND(T84/'附表1-面积统计表'!$F$29*'附表1-面积统计表'!$F$5,2),"请手工填写")))</f>
        <v>0</v>
      </c>
      <c r="X84" s="156" t="str">
        <f>IF(SUM('附表1-面积统计表'!$D$6)=0,"",SUM(T84)-SUM(W84)-SUM(Y84))</f>
        <v/>
      </c>
      <c r="Y84" s="156">
        <f>IF(SUM('附表1-面积统计表'!$D$6)=0,SUM(T84)-SUM(W84),IF('附表1-面积统计表'!$D$29=0,"",IF(AND(V84="共同成本费用",Z84="总建筑面积法"),ROUND(T84/'附表1-面积统计表'!$D$29*'附表1-面积统计表'!$D$7,2),IF(AND(V84="共同成本费用",Z84="可售建筑面积法"),ROUND(T84/'附表1-面积统计表'!$F$29*'附表1-面积统计表'!$F$7,2),"请手工填写"))))</f>
        <v>0</v>
      </c>
      <c r="Z84" s="157" t="s">
        <v>251</v>
      </c>
      <c r="AA84" s="145"/>
      <c r="AB84" s="158" t="s">
        <v>905</v>
      </c>
      <c r="AE84" s="159"/>
      <c r="AF84" s="159">
        <v>0</v>
      </c>
      <c r="AG84" s="105">
        <f t="shared" si="8"/>
        <v>0</v>
      </c>
    </row>
    <row r="85" s="105" customFormat="1" ht="13" customHeight="1" spans="1:33">
      <c r="A85" s="139">
        <v>79</v>
      </c>
      <c r="B85" s="170" t="s">
        <v>1282</v>
      </c>
      <c r="C85" s="170" t="s">
        <v>1126</v>
      </c>
      <c r="D85" s="142" t="s">
        <v>945</v>
      </c>
      <c r="E85" s="143" t="s">
        <v>1115</v>
      </c>
      <c r="F85" s="170" t="s">
        <v>1285</v>
      </c>
      <c r="G85" s="99"/>
      <c r="H85" s="145" t="str">
        <f>IF(G85="","",VLOOKUP(G85,'附表8-合同明细采集底稿'!B:I,2,0))</f>
        <v/>
      </c>
      <c r="I85" s="146" t="str">
        <f>IF(G85="","",VLOOKUP(G85,'附表8-合同明细采集底稿'!B:I,3,0))</f>
        <v/>
      </c>
      <c r="J85" s="145" t="str">
        <f>IF(G85="","",VLOOKUP(G85,'附表8-合同明细采集底稿'!B:I,4,0))</f>
        <v/>
      </c>
      <c r="K85" s="147" t="s">
        <v>958</v>
      </c>
      <c r="L85" s="171"/>
      <c r="M85" s="99"/>
      <c r="N85" s="151">
        <v>0</v>
      </c>
      <c r="O85" s="151">
        <v>0</v>
      </c>
      <c r="P85" s="172">
        <v>258407.08</v>
      </c>
      <c r="Q85" s="151">
        <f t="shared" si="10"/>
        <v>-258407.08</v>
      </c>
      <c r="R85" s="151">
        <f t="shared" si="6"/>
        <v>0</v>
      </c>
      <c r="S85" s="153">
        <f>IFERROR(VLOOKUP(G85,'附表8-合同明细采集底稿'!B:M,12,0),100%)</f>
        <v>1</v>
      </c>
      <c r="T85" s="154">
        <f t="shared" si="7"/>
        <v>0</v>
      </c>
      <c r="U85" s="145"/>
      <c r="V85" s="155" t="s">
        <v>276</v>
      </c>
      <c r="W85" s="156">
        <f>IF('附表1-面积统计表'!$D$29=0,"",IF(AND(V85="共同成本费用",Z85="总建筑面积法"),ROUND(T85/'附表1-面积统计表'!$D$29*'附表1-面积统计表'!$D$5,2),IF(AND(V85="共同成本费用",Z85="可售建筑面积法"),ROUND(T85/'附表1-面积统计表'!$F$29*'附表1-面积统计表'!$F$5,2),"请手工填写")))</f>
        <v>0</v>
      </c>
      <c r="X85" s="156" t="str">
        <f>IF(SUM('附表1-面积统计表'!$D$6)=0,"",SUM(T85)-SUM(W85)-SUM(Y85))</f>
        <v/>
      </c>
      <c r="Y85" s="156">
        <f>IF(SUM('附表1-面积统计表'!$D$6)=0,SUM(T85)-SUM(W85),IF('附表1-面积统计表'!$D$29=0,"",IF(AND(V85="共同成本费用",Z85="总建筑面积法"),ROUND(T85/'附表1-面积统计表'!$D$29*'附表1-面积统计表'!$D$7,2),IF(AND(V85="共同成本费用",Z85="可售建筑面积法"),ROUND(T85/'附表1-面积统计表'!$F$29*'附表1-面积统计表'!$F$7,2),"请手工填写"))))</f>
        <v>0</v>
      </c>
      <c r="Z85" s="157" t="s">
        <v>251</v>
      </c>
      <c r="AA85" s="145"/>
      <c r="AB85" s="158" t="s">
        <v>905</v>
      </c>
      <c r="AE85" s="159"/>
      <c r="AF85" s="159">
        <v>0</v>
      </c>
      <c r="AG85" s="105">
        <f t="shared" si="8"/>
        <v>0</v>
      </c>
    </row>
    <row r="86" s="105" customFormat="1" ht="13" customHeight="1" spans="1:33">
      <c r="A86" s="139">
        <v>80</v>
      </c>
      <c r="B86" s="170" t="s">
        <v>1282</v>
      </c>
      <c r="C86" s="170" t="s">
        <v>1286</v>
      </c>
      <c r="D86" s="142" t="s">
        <v>966</v>
      </c>
      <c r="E86" s="143" t="s">
        <v>967</v>
      </c>
      <c r="F86" s="170" t="s">
        <v>1287</v>
      </c>
      <c r="G86" s="99"/>
      <c r="H86" s="145" t="str">
        <f>IF(G86="","",VLOOKUP(G86,'附表8-合同明细采集底稿'!B:I,2,0))</f>
        <v/>
      </c>
      <c r="I86" s="146" t="str">
        <f>IF(G86="","",VLOOKUP(G86,'附表8-合同明细采集底稿'!B:I,3,0))</f>
        <v/>
      </c>
      <c r="J86" s="145" t="str">
        <f>IF(G86="","",VLOOKUP(G86,'附表8-合同明细采集底稿'!B:I,4,0))</f>
        <v/>
      </c>
      <c r="K86" s="147" t="s">
        <v>958</v>
      </c>
      <c r="L86" s="237"/>
      <c r="M86" s="99"/>
      <c r="N86" s="151">
        <v>0</v>
      </c>
      <c r="O86" s="151">
        <v>0</v>
      </c>
      <c r="P86" s="172">
        <v>6495233.58</v>
      </c>
      <c r="Q86" s="151">
        <f t="shared" si="10"/>
        <v>-6495233.58</v>
      </c>
      <c r="R86" s="151">
        <f t="shared" si="6"/>
        <v>0</v>
      </c>
      <c r="S86" s="153">
        <f>IFERROR(VLOOKUP(G86,'附表8-合同明细采集底稿'!B:M,12,0),100%)</f>
        <v>1</v>
      </c>
      <c r="T86" s="154">
        <f t="shared" si="7"/>
        <v>0</v>
      </c>
      <c r="U86" s="145"/>
      <c r="V86" s="155" t="s">
        <v>276</v>
      </c>
      <c r="W86" s="156">
        <f>IF('附表1-面积统计表'!$D$29=0,"",IF(AND(V86="共同成本费用",Z86="总建筑面积法"),ROUND(T86/'附表1-面积统计表'!$D$29*'附表1-面积统计表'!$D$5,2),IF(AND(V86="共同成本费用",Z86="可售建筑面积法"),ROUND(T86/'附表1-面积统计表'!$F$29*'附表1-面积统计表'!$F$5,2),"请手工填写")))</f>
        <v>0</v>
      </c>
      <c r="X86" s="156" t="str">
        <f>IF(SUM('附表1-面积统计表'!$D$6)=0,"",SUM(T86)-SUM(W86)-SUM(Y86))</f>
        <v/>
      </c>
      <c r="Y86" s="156">
        <f>IF(SUM('附表1-面积统计表'!$D$6)=0,SUM(T86)-SUM(W86),IF('附表1-面积统计表'!$D$29=0,"",IF(AND(V86="共同成本费用",Z86="总建筑面积法"),ROUND(T86/'附表1-面积统计表'!$D$29*'附表1-面积统计表'!$D$7,2),IF(AND(V86="共同成本费用",Z86="可售建筑面积法"),ROUND(T86/'附表1-面积统计表'!$F$29*'附表1-面积统计表'!$F$7,2),"请手工填写"))))</f>
        <v>0</v>
      </c>
      <c r="Z86" s="157" t="s">
        <v>251</v>
      </c>
      <c r="AA86" s="145"/>
      <c r="AB86" s="158" t="s">
        <v>905</v>
      </c>
      <c r="AE86" s="159"/>
      <c r="AF86" s="159">
        <v>0</v>
      </c>
      <c r="AG86" s="105">
        <f t="shared" si="8"/>
        <v>0</v>
      </c>
    </row>
    <row r="87" s="105" customFormat="1" ht="13" customHeight="1" spans="1:33">
      <c r="A87" s="139">
        <v>81</v>
      </c>
      <c r="B87" s="170" t="s">
        <v>1282</v>
      </c>
      <c r="C87" s="170" t="s">
        <v>1288</v>
      </c>
      <c r="D87" s="142" t="s">
        <v>945</v>
      </c>
      <c r="E87" s="143" t="s">
        <v>1052</v>
      </c>
      <c r="F87" s="170" t="s">
        <v>1289</v>
      </c>
      <c r="G87" s="99"/>
      <c r="H87" s="145" t="str">
        <f>IF(G87="","",VLOOKUP(G87,'附表8-合同明细采集底稿'!B:I,2,0))</f>
        <v/>
      </c>
      <c r="I87" s="146" t="str">
        <f>IF(G87="","",VLOOKUP(G87,'附表8-合同明细采集底稿'!B:I,3,0))</f>
        <v/>
      </c>
      <c r="J87" s="145" t="str">
        <f>IF(G87="","",VLOOKUP(G87,'附表8-合同明细采集底稿'!B:I,4,0))</f>
        <v/>
      </c>
      <c r="K87" s="147" t="s">
        <v>958</v>
      </c>
      <c r="L87" s="238"/>
      <c r="M87" s="99"/>
      <c r="N87" s="151">
        <v>0</v>
      </c>
      <c r="O87" s="151">
        <v>0</v>
      </c>
      <c r="P87" s="172">
        <v>70723.85</v>
      </c>
      <c r="Q87" s="151">
        <f t="shared" si="10"/>
        <v>-70723.85</v>
      </c>
      <c r="R87" s="151">
        <f t="shared" si="6"/>
        <v>0</v>
      </c>
      <c r="S87" s="153">
        <f>IFERROR(VLOOKUP(G87,'附表8-合同明细采集底稿'!B:M,12,0),100%)</f>
        <v>1</v>
      </c>
      <c r="T87" s="154">
        <f t="shared" si="7"/>
        <v>0</v>
      </c>
      <c r="U87" s="145"/>
      <c r="V87" s="155" t="s">
        <v>276</v>
      </c>
      <c r="W87" s="156">
        <f>IF('附表1-面积统计表'!$D$29=0,"",IF(AND(V87="共同成本费用",Z87="总建筑面积法"),ROUND(T87/'附表1-面积统计表'!$D$29*'附表1-面积统计表'!$D$5,2),IF(AND(V87="共同成本费用",Z87="可售建筑面积法"),ROUND(T87/'附表1-面积统计表'!$F$29*'附表1-面积统计表'!$F$5,2),"请手工填写")))</f>
        <v>0</v>
      </c>
      <c r="X87" s="156" t="str">
        <f>IF(SUM('附表1-面积统计表'!$D$6)=0,"",SUM(T87)-SUM(W87)-SUM(Y87))</f>
        <v/>
      </c>
      <c r="Y87" s="156">
        <f>IF(SUM('附表1-面积统计表'!$D$6)=0,SUM(T87)-SUM(W87),IF('附表1-面积统计表'!$D$29=0,"",IF(AND(V87="共同成本费用",Z87="总建筑面积法"),ROUND(T87/'附表1-面积统计表'!$D$29*'附表1-面积统计表'!$D$7,2),IF(AND(V87="共同成本费用",Z87="可售建筑面积法"),ROUND(T87/'附表1-面积统计表'!$F$29*'附表1-面积统计表'!$F$7,2),"请手工填写"))))</f>
        <v>0</v>
      </c>
      <c r="Z87" s="157" t="s">
        <v>251</v>
      </c>
      <c r="AA87" s="145"/>
      <c r="AB87" s="158" t="s">
        <v>905</v>
      </c>
      <c r="AE87" s="159"/>
      <c r="AF87" s="159">
        <v>0</v>
      </c>
      <c r="AG87" s="105">
        <f t="shared" si="8"/>
        <v>0</v>
      </c>
    </row>
    <row r="88" s="105" customFormat="1" ht="13" customHeight="1" spans="1:33">
      <c r="A88" s="139">
        <v>82</v>
      </c>
      <c r="B88" s="170" t="s">
        <v>1282</v>
      </c>
      <c r="C88" s="170" t="s">
        <v>1290</v>
      </c>
      <c r="D88" s="142" t="s">
        <v>945</v>
      </c>
      <c r="E88" s="143" t="s">
        <v>1093</v>
      </c>
      <c r="F88" s="170" t="s">
        <v>1291</v>
      </c>
      <c r="G88" s="99"/>
      <c r="H88" s="145" t="str">
        <f>IF(G88="","",VLOOKUP(G88,'附表8-合同明细采集底稿'!B:I,2,0))</f>
        <v/>
      </c>
      <c r="I88" s="146" t="str">
        <f>IF(G88="","",VLOOKUP(G88,'附表8-合同明细采集底稿'!B:I,3,0))</f>
        <v/>
      </c>
      <c r="J88" s="145" t="str">
        <f>IF(G88="","",VLOOKUP(G88,'附表8-合同明细采集底稿'!B:I,4,0))</f>
        <v/>
      </c>
      <c r="K88" s="147" t="s">
        <v>958</v>
      </c>
      <c r="L88" s="149"/>
      <c r="M88" s="99"/>
      <c r="N88" s="151">
        <v>0</v>
      </c>
      <c r="O88" s="151">
        <v>0</v>
      </c>
      <c r="P88" s="172">
        <v>91743.12</v>
      </c>
      <c r="Q88" s="151">
        <f t="shared" si="10"/>
        <v>-91743.12</v>
      </c>
      <c r="R88" s="151">
        <f t="shared" si="6"/>
        <v>0</v>
      </c>
      <c r="S88" s="153">
        <f>IFERROR(VLOOKUP(G88,'附表8-合同明细采集底稿'!B:M,12,0),100%)</f>
        <v>1</v>
      </c>
      <c r="T88" s="154">
        <f t="shared" si="7"/>
        <v>0</v>
      </c>
      <c r="U88" s="145"/>
      <c r="V88" s="155" t="s">
        <v>276</v>
      </c>
      <c r="W88" s="156">
        <f>IF('附表1-面积统计表'!$D$29=0,"",IF(AND(V88="共同成本费用",Z88="总建筑面积法"),ROUND(T88/'附表1-面积统计表'!$D$29*'附表1-面积统计表'!$D$5,2),IF(AND(V88="共同成本费用",Z88="可售建筑面积法"),ROUND(T88/'附表1-面积统计表'!$F$29*'附表1-面积统计表'!$F$5,2),"请手工填写")))</f>
        <v>0</v>
      </c>
      <c r="X88" s="156" t="str">
        <f>IF(SUM('附表1-面积统计表'!$D$6)=0,"",SUM(T88)-SUM(W88)-SUM(Y88))</f>
        <v/>
      </c>
      <c r="Y88" s="156">
        <f>IF(SUM('附表1-面积统计表'!$D$6)=0,SUM(T88)-SUM(W88),IF('附表1-面积统计表'!$D$29=0,"",IF(AND(V88="共同成本费用",Z88="总建筑面积法"),ROUND(T88/'附表1-面积统计表'!$D$29*'附表1-面积统计表'!$D$7,2),IF(AND(V88="共同成本费用",Z88="可售建筑面积法"),ROUND(T88/'附表1-面积统计表'!$F$29*'附表1-面积统计表'!$F$7,2),"请手工填写"))))</f>
        <v>0</v>
      </c>
      <c r="Z88" s="157" t="s">
        <v>251</v>
      </c>
      <c r="AA88" s="145"/>
      <c r="AB88" s="158" t="s">
        <v>905</v>
      </c>
      <c r="AE88" s="159"/>
      <c r="AF88" s="159">
        <v>0</v>
      </c>
      <c r="AG88" s="105">
        <f t="shared" si="8"/>
        <v>0</v>
      </c>
    </row>
    <row r="89" s="105" customFormat="1" ht="13" customHeight="1" spans="1:33">
      <c r="A89" s="139">
        <v>83</v>
      </c>
      <c r="B89" s="170" t="s">
        <v>1282</v>
      </c>
      <c r="C89" s="170" t="s">
        <v>1290</v>
      </c>
      <c r="D89" s="142" t="s">
        <v>945</v>
      </c>
      <c r="E89" s="143" t="s">
        <v>1093</v>
      </c>
      <c r="F89" s="170" t="s">
        <v>1291</v>
      </c>
      <c r="G89" s="99"/>
      <c r="H89" s="145" t="str">
        <f>IF(G89="","",VLOOKUP(G89,'附表8-合同明细采集底稿'!B:I,2,0))</f>
        <v/>
      </c>
      <c r="I89" s="146" t="str">
        <f>IF(G89="","",VLOOKUP(G89,'附表8-合同明细采集底稿'!B:I,3,0))</f>
        <v/>
      </c>
      <c r="J89" s="145" t="str">
        <f>IF(G89="","",VLOOKUP(G89,'附表8-合同明细采集底稿'!B:I,4,0))</f>
        <v/>
      </c>
      <c r="K89" s="147" t="s">
        <v>958</v>
      </c>
      <c r="L89" s="149"/>
      <c r="M89" s="99"/>
      <c r="N89" s="151">
        <v>0</v>
      </c>
      <c r="O89" s="151">
        <v>0</v>
      </c>
      <c r="P89" s="172">
        <v>568807.34</v>
      </c>
      <c r="Q89" s="151">
        <f t="shared" si="10"/>
        <v>-568807.34</v>
      </c>
      <c r="R89" s="151">
        <f t="shared" si="6"/>
        <v>0</v>
      </c>
      <c r="S89" s="153">
        <f>IFERROR(VLOOKUP(G89,'附表8-合同明细采集底稿'!B:M,12,0),100%)</f>
        <v>1</v>
      </c>
      <c r="T89" s="154">
        <f t="shared" si="7"/>
        <v>0</v>
      </c>
      <c r="U89" s="145"/>
      <c r="V89" s="155" t="s">
        <v>276</v>
      </c>
      <c r="W89" s="156">
        <f>IF('附表1-面积统计表'!$D$29=0,"",IF(AND(V89="共同成本费用",Z89="总建筑面积法"),ROUND(T89/'附表1-面积统计表'!$D$29*'附表1-面积统计表'!$D$5,2),IF(AND(V89="共同成本费用",Z89="可售建筑面积法"),ROUND(T89/'附表1-面积统计表'!$F$29*'附表1-面积统计表'!$F$5,2),"请手工填写")))</f>
        <v>0</v>
      </c>
      <c r="X89" s="156" t="str">
        <f>IF(SUM('附表1-面积统计表'!$D$6)=0,"",SUM(T89)-SUM(W89)-SUM(Y89))</f>
        <v/>
      </c>
      <c r="Y89" s="156">
        <f>IF(SUM('附表1-面积统计表'!$D$6)=0,SUM(T89)-SUM(W89),IF('附表1-面积统计表'!$D$29=0,"",IF(AND(V89="共同成本费用",Z89="总建筑面积法"),ROUND(T89/'附表1-面积统计表'!$D$29*'附表1-面积统计表'!$D$7,2),IF(AND(V89="共同成本费用",Z89="可售建筑面积法"),ROUND(T89/'附表1-面积统计表'!$F$29*'附表1-面积统计表'!$F$7,2),"请手工填写"))))</f>
        <v>0</v>
      </c>
      <c r="Z89" s="157" t="s">
        <v>251</v>
      </c>
      <c r="AA89" s="145"/>
      <c r="AB89" s="158" t="s">
        <v>905</v>
      </c>
      <c r="AE89" s="159"/>
      <c r="AF89" s="159">
        <v>0</v>
      </c>
      <c r="AG89" s="105">
        <f t="shared" si="8"/>
        <v>0</v>
      </c>
    </row>
    <row r="90" s="105" customFormat="1" ht="13" customHeight="1" spans="1:33">
      <c r="A90" s="139">
        <v>84</v>
      </c>
      <c r="B90" s="170" t="s">
        <v>1292</v>
      </c>
      <c r="C90" s="170" t="s">
        <v>1293</v>
      </c>
      <c r="D90" s="142" t="s">
        <v>945</v>
      </c>
      <c r="E90" s="143" t="s">
        <v>1093</v>
      </c>
      <c r="F90" s="170" t="s">
        <v>1294</v>
      </c>
      <c r="G90" s="99" t="s">
        <v>1231</v>
      </c>
      <c r="H90" s="145" t="str">
        <f>IF(G90="","",VLOOKUP(G90,'附表8-合同明细采集底稿'!B:I,2,0))</f>
        <v>春和景苑小区园林景观工程施工协议</v>
      </c>
      <c r="I90" s="146" t="str">
        <f>IF(G90="","",VLOOKUP(G90,'附表8-合同明细采集底稿'!B:I,3,0))</f>
        <v>建设工程合同</v>
      </c>
      <c r="J90" s="145" t="str">
        <f>IF(G90="","",VLOOKUP(G90,'附表8-合同明细采集底稿'!B:I,4,0))</f>
        <v>乌鲁木齐大漠林海绿化有限责任公司（蔚晓芳）</v>
      </c>
      <c r="K90" s="147" t="s">
        <v>902</v>
      </c>
      <c r="L90" s="149" t="s">
        <v>1232</v>
      </c>
      <c r="M90" s="149" t="s">
        <v>1295</v>
      </c>
      <c r="N90" s="151">
        <v>626146.79</v>
      </c>
      <c r="O90" s="151">
        <v>682500</v>
      </c>
      <c r="P90" s="172">
        <v>626146.79</v>
      </c>
      <c r="Q90" s="151"/>
      <c r="R90" s="151">
        <f t="shared" si="6"/>
        <v>626146.79</v>
      </c>
      <c r="S90" s="153">
        <f>'附表8-合同明细采集底稿'!M26</f>
        <v>1</v>
      </c>
      <c r="T90" s="154">
        <f t="shared" si="7"/>
        <v>626146.79</v>
      </c>
      <c r="U90" s="145"/>
      <c r="V90" s="155" t="s">
        <v>276</v>
      </c>
      <c r="W90" s="156">
        <f>IF('附表1-面积统计表'!$D$29=0,"",IF(AND(V90="共同成本费用",Z90="总建筑面积法"),ROUND(T90/'附表1-面积统计表'!$D$29*'附表1-面积统计表'!$D$5,2),IF(AND(V90="共同成本费用",Z90="可售建筑面积法"),ROUND(T90/'附表1-面积统计表'!$F$29*'附表1-面积统计表'!$F$5,2),"请手工填写")))</f>
        <v>626146.79</v>
      </c>
      <c r="X90" s="156" t="str">
        <f>IF(SUM('附表1-面积统计表'!$D$6)=0,"",SUM(T90)-SUM(W90)-SUM(Y90))</f>
        <v/>
      </c>
      <c r="Y90" s="156">
        <f>IF(SUM('附表1-面积统计表'!$D$6)=0,SUM(T90)-SUM(W90),IF('附表1-面积统计表'!$D$29=0,"",IF(AND(V90="共同成本费用",Z90="总建筑面积法"),ROUND(T90/'附表1-面积统计表'!$D$29*'附表1-面积统计表'!$D$7,2),IF(AND(V90="共同成本费用",Z90="可售建筑面积法"),ROUND(T90/'附表1-面积统计表'!$F$29*'附表1-面积统计表'!$F$7,2),"请手工填写"))))</f>
        <v>0</v>
      </c>
      <c r="Z90" s="157" t="s">
        <v>251</v>
      </c>
      <c r="AA90" s="145"/>
      <c r="AB90" s="158" t="s">
        <v>905</v>
      </c>
      <c r="AC90" s="105" t="s">
        <v>911</v>
      </c>
      <c r="AE90" s="159"/>
      <c r="AF90" s="159">
        <v>626146.79</v>
      </c>
      <c r="AG90" s="105">
        <f t="shared" si="8"/>
        <v>0</v>
      </c>
    </row>
    <row r="91" s="105" customFormat="1" ht="13" customHeight="1" spans="1:33">
      <c r="A91" s="139">
        <v>85</v>
      </c>
      <c r="B91" s="170" t="s">
        <v>1296</v>
      </c>
      <c r="C91" s="170" t="s">
        <v>1297</v>
      </c>
      <c r="D91" s="142" t="s">
        <v>966</v>
      </c>
      <c r="E91" s="143" t="s">
        <v>980</v>
      </c>
      <c r="F91" s="170" t="s">
        <v>1298</v>
      </c>
      <c r="G91" s="99" t="s">
        <v>982</v>
      </c>
      <c r="H91" s="145" t="str">
        <f>IF(G91="","",VLOOKUP(G91,'附表8-合同明细采集底稿'!B:I,2,0))</f>
        <v>春和景苑1、2、3#住宅楼施工协议</v>
      </c>
      <c r="I91" s="146" t="str">
        <f>IF(G91="","",VLOOKUP(G91,'附表8-合同明细采集底稿'!B:I,3,0))</f>
        <v>建设工程合同</v>
      </c>
      <c r="J91" s="145" t="str">
        <f>IF(G91="","",VLOOKUP(G91,'附表8-合同明细采集底稿'!B:I,4,0))</f>
        <v>新疆正杰建筑集团有限公司（许兴德）</v>
      </c>
      <c r="K91" s="147" t="s">
        <v>902</v>
      </c>
      <c r="L91" s="149" t="s">
        <v>1280</v>
      </c>
      <c r="M91" s="149" t="s">
        <v>1299</v>
      </c>
      <c r="N91" s="151">
        <v>1834862.39</v>
      </c>
      <c r="O91" s="151">
        <f>ROUND(N91*1.09,2)-0.01</f>
        <v>2000000</v>
      </c>
      <c r="P91" s="172">
        <v>1834862.39</v>
      </c>
      <c r="Q91" s="151">
        <v>0</v>
      </c>
      <c r="R91" s="151">
        <f t="shared" si="6"/>
        <v>1834862.39</v>
      </c>
      <c r="S91" s="153">
        <f>IFERROR(VLOOKUP(G91,'附表8-合同明细采集底稿'!B:M,12,0),100%)</f>
        <v>1</v>
      </c>
      <c r="T91" s="154">
        <f t="shared" si="7"/>
        <v>1834862.39</v>
      </c>
      <c r="U91" s="145"/>
      <c r="V91" s="155" t="s">
        <v>276</v>
      </c>
      <c r="W91" s="156">
        <f>IF('附表1-面积统计表'!$D$29=0,"",IF(AND(V91="共同成本费用",Z91="总建筑面积法"),ROUND(T91/'附表1-面积统计表'!$D$29*'附表1-面积统计表'!$D$5,2),IF(AND(V91="共同成本费用",Z91="可售建筑面积法"),ROUND(T91/'附表1-面积统计表'!$F$29*'附表1-面积统计表'!$F$5,2),"请手工填写")))</f>
        <v>1834862.39</v>
      </c>
      <c r="X91" s="156" t="str">
        <f>IF(SUM('附表1-面积统计表'!$D$6)=0,"",SUM(T91)-SUM(W91)-SUM(Y91))</f>
        <v/>
      </c>
      <c r="Y91" s="156">
        <f>IF(SUM('附表1-面积统计表'!$D$6)=0,SUM(T91)-SUM(W91),IF('附表1-面积统计表'!$D$29=0,"",IF(AND(V91="共同成本费用",Z91="总建筑面积法"),ROUND(T91/'附表1-面积统计表'!$D$29*'附表1-面积统计表'!$D$7,2),IF(AND(V91="共同成本费用",Z91="可售建筑面积法"),ROUND(T91/'附表1-面积统计表'!$F$29*'附表1-面积统计表'!$F$7,2),"请手工填写"))))</f>
        <v>0</v>
      </c>
      <c r="Z91" s="157" t="s">
        <v>251</v>
      </c>
      <c r="AA91" s="145"/>
      <c r="AB91" s="158" t="s">
        <v>905</v>
      </c>
      <c r="AE91" s="159"/>
      <c r="AF91" s="159">
        <v>1834862.39</v>
      </c>
      <c r="AG91" s="105">
        <f t="shared" si="8"/>
        <v>0</v>
      </c>
    </row>
    <row r="92" s="105" customFormat="1" ht="13" customHeight="1" spans="1:33">
      <c r="A92" s="139">
        <v>86</v>
      </c>
      <c r="B92" s="170" t="s">
        <v>1296</v>
      </c>
      <c r="C92" s="170" t="s">
        <v>1297</v>
      </c>
      <c r="D92" s="142" t="s">
        <v>966</v>
      </c>
      <c r="E92" s="143" t="s">
        <v>980</v>
      </c>
      <c r="F92" s="170" t="s">
        <v>1298</v>
      </c>
      <c r="G92" s="99"/>
      <c r="H92" s="145" t="str">
        <f>IF(G92="","",VLOOKUP(G92,'附表8-合同明细采集底稿'!B:I,2,0))</f>
        <v/>
      </c>
      <c r="I92" s="146" t="str">
        <f>IF(G92="","",VLOOKUP(G92,'附表8-合同明细采集底稿'!B:I,3,0))</f>
        <v/>
      </c>
      <c r="J92" s="145" t="str">
        <f>IF(G92="","",VLOOKUP(G92,'附表8-合同明细采集底稿'!B:I,4,0))</f>
        <v/>
      </c>
      <c r="K92" s="147" t="s">
        <v>958</v>
      </c>
      <c r="L92" s="149" t="s">
        <v>1280</v>
      </c>
      <c r="M92" s="149" t="s">
        <v>1299</v>
      </c>
      <c r="N92" s="151">
        <v>0</v>
      </c>
      <c r="O92" s="151">
        <v>0</v>
      </c>
      <c r="P92" s="172">
        <v>-1834862.39</v>
      </c>
      <c r="Q92" s="151">
        <f t="shared" ref="Q92:Q96" si="11">-P92</f>
        <v>1834862.39</v>
      </c>
      <c r="R92" s="151">
        <f t="shared" si="6"/>
        <v>0</v>
      </c>
      <c r="S92" s="153">
        <f>IFERROR(VLOOKUP(G92,'附表8-合同明细采集底稿'!B:M,12,0),100%)</f>
        <v>1</v>
      </c>
      <c r="T92" s="154">
        <f t="shared" si="7"/>
        <v>0</v>
      </c>
      <c r="U92" s="145"/>
      <c r="V92" s="155" t="s">
        <v>276</v>
      </c>
      <c r="W92" s="156">
        <f>IF('附表1-面积统计表'!$D$29=0,"",IF(AND(V92="共同成本费用",Z92="总建筑面积法"),ROUND(T92/'附表1-面积统计表'!$D$29*'附表1-面积统计表'!$D$5,2),IF(AND(V92="共同成本费用",Z92="可售建筑面积法"),ROUND(T92/'附表1-面积统计表'!$F$29*'附表1-面积统计表'!$F$5,2),"请手工填写")))</f>
        <v>0</v>
      </c>
      <c r="X92" s="156" t="str">
        <f>IF(SUM('附表1-面积统计表'!$D$6)=0,"",SUM(T92)-SUM(W92)-SUM(Y92))</f>
        <v/>
      </c>
      <c r="Y92" s="156">
        <f>IF(SUM('附表1-面积统计表'!$D$6)=0,SUM(T92)-SUM(W92),IF('附表1-面积统计表'!$D$29=0,"",IF(AND(V92="共同成本费用",Z92="总建筑面积法"),ROUND(T92/'附表1-面积统计表'!$D$29*'附表1-面积统计表'!$D$7,2),IF(AND(V92="共同成本费用",Z92="可售建筑面积法"),ROUND(T92/'附表1-面积统计表'!$F$29*'附表1-面积统计表'!$F$7,2),"请手工填写"))))</f>
        <v>0</v>
      </c>
      <c r="Z92" s="157" t="s">
        <v>251</v>
      </c>
      <c r="AA92" s="145"/>
      <c r="AB92" s="158" t="s">
        <v>905</v>
      </c>
      <c r="AE92" s="159"/>
      <c r="AF92" s="159">
        <v>0</v>
      </c>
      <c r="AG92" s="105">
        <f t="shared" si="8"/>
        <v>0</v>
      </c>
    </row>
    <row r="93" s="105" customFormat="1" ht="13" customHeight="1" spans="1:33">
      <c r="A93" s="139">
        <v>87</v>
      </c>
      <c r="B93" s="170" t="s">
        <v>1300</v>
      </c>
      <c r="C93" s="170" t="s">
        <v>1301</v>
      </c>
      <c r="D93" s="142" t="s">
        <v>966</v>
      </c>
      <c r="E93" s="143" t="s">
        <v>967</v>
      </c>
      <c r="F93" s="170" t="s">
        <v>1302</v>
      </c>
      <c r="G93" s="99" t="s">
        <v>969</v>
      </c>
      <c r="H93" s="145" t="str">
        <f>IF(G93="","",VLOOKUP(G93,'附表8-合同明细采集底稿'!B:I,2,0))</f>
        <v>监理合同补充协议</v>
      </c>
      <c r="I93" s="146" t="str">
        <f>IF(G93="","",VLOOKUP(G93,'附表8-合同明细采集底稿'!B:I,3,0))</f>
        <v>技术合同</v>
      </c>
      <c r="J93" s="145" t="str">
        <f>IF(G93="","",VLOOKUP(G93,'附表8-合同明细采集底稿'!B:I,4,0))</f>
        <v>巴州智诚工程项目管理服务有限公司</v>
      </c>
      <c r="K93" s="147" t="s">
        <v>902</v>
      </c>
      <c r="L93" s="171" t="s">
        <v>941</v>
      </c>
      <c r="M93" s="149" t="s">
        <v>1303</v>
      </c>
      <c r="N93" s="151">
        <v>15104.95</v>
      </c>
      <c r="O93" s="151">
        <v>15256</v>
      </c>
      <c r="P93" s="172">
        <v>15104.95</v>
      </c>
      <c r="Q93" s="151"/>
      <c r="R93" s="151">
        <f t="shared" si="6"/>
        <v>15104.95</v>
      </c>
      <c r="S93" s="153">
        <f>IFERROR(VLOOKUP(G93,'附表8-合同明细采集底稿'!B:M,12,0),100%)</f>
        <v>1</v>
      </c>
      <c r="T93" s="154">
        <f t="shared" si="7"/>
        <v>15104.95</v>
      </c>
      <c r="U93" s="145"/>
      <c r="V93" s="155" t="s">
        <v>276</v>
      </c>
      <c r="W93" s="156">
        <f>IF('附表1-面积统计表'!$D$29=0,"",IF(AND(V93="共同成本费用",Z93="总建筑面积法"),ROUND(T93/'附表1-面积统计表'!$D$29*'附表1-面积统计表'!$D$5,2),IF(AND(V93="共同成本费用",Z93="可售建筑面积法"),ROUND(T93/'附表1-面积统计表'!$F$29*'附表1-面积统计表'!$F$5,2),"请手工填写")))</f>
        <v>15104.95</v>
      </c>
      <c r="X93" s="156" t="str">
        <f>IF(SUM('附表1-面积统计表'!$D$6)=0,"",SUM(T93)-SUM(W93)-SUM(Y93))</f>
        <v/>
      </c>
      <c r="Y93" s="156">
        <f>IF(SUM('附表1-面积统计表'!$D$6)=0,SUM(T93)-SUM(W93),IF('附表1-面积统计表'!$D$29=0,"",IF(AND(V93="共同成本费用",Z93="总建筑面积法"),ROUND(T93/'附表1-面积统计表'!$D$29*'附表1-面积统计表'!$D$7,2),IF(AND(V93="共同成本费用",Z93="可售建筑面积法"),ROUND(T93/'附表1-面积统计表'!$F$29*'附表1-面积统计表'!$F$7,2),"请手工填写"))))</f>
        <v>0</v>
      </c>
      <c r="Z93" s="157" t="s">
        <v>251</v>
      </c>
      <c r="AA93" s="145"/>
      <c r="AB93" s="158" t="s">
        <v>905</v>
      </c>
      <c r="AE93" s="159"/>
      <c r="AF93" s="159">
        <v>15104.95</v>
      </c>
      <c r="AG93" s="105">
        <f t="shared" si="8"/>
        <v>0</v>
      </c>
    </row>
    <row r="94" s="105" customFormat="1" ht="13" customHeight="1" spans="1:33">
      <c r="A94" s="139">
        <v>88</v>
      </c>
      <c r="B94" s="170" t="s">
        <v>414</v>
      </c>
      <c r="C94" s="170" t="s">
        <v>1164</v>
      </c>
      <c r="D94" s="142" t="s">
        <v>966</v>
      </c>
      <c r="E94" s="143" t="s">
        <v>980</v>
      </c>
      <c r="F94" s="170" t="s">
        <v>1304</v>
      </c>
      <c r="G94" s="99"/>
      <c r="H94" s="145" t="str">
        <f>IF(G94="","",VLOOKUP(G94,'附表8-合同明细采集底稿'!B:I,2,0))</f>
        <v/>
      </c>
      <c r="I94" s="146" t="str">
        <f>IF(G94="","",VLOOKUP(G94,'附表8-合同明细采集底稿'!B:I,3,0))</f>
        <v/>
      </c>
      <c r="J94" s="145" t="str">
        <f>IF(G94="","",VLOOKUP(G94,'附表8-合同明细采集底稿'!B:I,4,0))</f>
        <v/>
      </c>
      <c r="K94" s="147" t="s">
        <v>958</v>
      </c>
      <c r="L94" s="99"/>
      <c r="M94" s="99"/>
      <c r="N94" s="151">
        <v>0</v>
      </c>
      <c r="O94" s="151">
        <v>0</v>
      </c>
      <c r="P94" s="172">
        <v>-331453.21</v>
      </c>
      <c r="Q94" s="151">
        <f t="shared" si="11"/>
        <v>331453.21</v>
      </c>
      <c r="R94" s="151">
        <f t="shared" si="6"/>
        <v>0</v>
      </c>
      <c r="S94" s="153">
        <f>IFERROR(VLOOKUP(G94,'附表8-合同明细采集底稿'!B:M,12,0),100%)</f>
        <v>1</v>
      </c>
      <c r="T94" s="154">
        <f t="shared" si="7"/>
        <v>0</v>
      </c>
      <c r="U94" s="145"/>
      <c r="V94" s="155" t="s">
        <v>276</v>
      </c>
      <c r="W94" s="156">
        <f>IF('附表1-面积统计表'!$D$29=0,"",IF(AND(V94="共同成本费用",Z94="总建筑面积法"),ROUND(T94/'附表1-面积统计表'!$D$29*'附表1-面积统计表'!$D$5,2),IF(AND(V94="共同成本费用",Z94="可售建筑面积法"),ROUND(T94/'附表1-面积统计表'!$F$29*'附表1-面积统计表'!$F$5,2),"请手工填写")))</f>
        <v>0</v>
      </c>
      <c r="X94" s="156" t="str">
        <f>IF(SUM('附表1-面积统计表'!$D$6)=0,"",SUM(T94)-SUM(W94)-SUM(Y94))</f>
        <v/>
      </c>
      <c r="Y94" s="156">
        <f>IF(SUM('附表1-面积统计表'!$D$6)=0,SUM(T94)-SUM(W94),IF('附表1-面积统计表'!$D$29=0,"",IF(AND(V94="共同成本费用",Z94="总建筑面积法"),ROUND(T94/'附表1-面积统计表'!$D$29*'附表1-面积统计表'!$D$7,2),IF(AND(V94="共同成本费用",Z94="可售建筑面积法"),ROUND(T94/'附表1-面积统计表'!$F$29*'附表1-面积统计表'!$F$7,2),"请手工填写"))))</f>
        <v>0</v>
      </c>
      <c r="Z94" s="157" t="s">
        <v>251</v>
      </c>
      <c r="AA94" s="145"/>
      <c r="AB94" s="158" t="s">
        <v>905</v>
      </c>
      <c r="AE94" s="159"/>
      <c r="AF94" s="159">
        <v>0</v>
      </c>
      <c r="AG94" s="105">
        <f t="shared" si="8"/>
        <v>0</v>
      </c>
    </row>
    <row r="95" s="105" customFormat="1" ht="13" customHeight="1" spans="1:33">
      <c r="A95" s="139">
        <v>89</v>
      </c>
      <c r="B95" s="170" t="s">
        <v>1300</v>
      </c>
      <c r="C95" s="170" t="s">
        <v>1164</v>
      </c>
      <c r="D95" s="142" t="s">
        <v>966</v>
      </c>
      <c r="E95" s="143" t="s">
        <v>980</v>
      </c>
      <c r="F95" s="170" t="s">
        <v>1305</v>
      </c>
      <c r="G95" s="99" t="s">
        <v>982</v>
      </c>
      <c r="H95" s="145" t="str">
        <f>IF(G95="","",VLOOKUP(G95,'附表8-合同明细采集底稿'!B:I,2,0))</f>
        <v>春和景苑1、2、3#住宅楼施工协议</v>
      </c>
      <c r="I95" s="146" t="str">
        <f>IF(G95="","",VLOOKUP(G95,'附表8-合同明细采集底稿'!B:I,3,0))</f>
        <v>建设工程合同</v>
      </c>
      <c r="J95" s="145" t="str">
        <f>IF(G95="","",VLOOKUP(G95,'附表8-合同明细采集底稿'!B:I,4,0))</f>
        <v>新疆正杰建筑集团有限公司（许兴德）</v>
      </c>
      <c r="K95" s="147" t="s">
        <v>902</v>
      </c>
      <c r="L95" s="191" t="s">
        <v>1280</v>
      </c>
      <c r="M95" s="149" t="s">
        <v>1306</v>
      </c>
      <c r="N95" s="151">
        <v>331453.21</v>
      </c>
      <c r="O95" s="151">
        <f>ROUND(N95*1.09,2)</f>
        <v>361284</v>
      </c>
      <c r="P95" s="172">
        <v>331453.21</v>
      </c>
      <c r="Q95" s="151"/>
      <c r="R95" s="151">
        <f t="shared" si="6"/>
        <v>331453.21</v>
      </c>
      <c r="S95" s="153">
        <f>IFERROR(VLOOKUP(G95,'附表8-合同明细采集底稿'!B:M,12,0),100%)</f>
        <v>1</v>
      </c>
      <c r="T95" s="154">
        <f t="shared" si="7"/>
        <v>331453.21</v>
      </c>
      <c r="U95" s="145"/>
      <c r="V95" s="155" t="s">
        <v>276</v>
      </c>
      <c r="W95" s="156">
        <f>IF('附表1-面积统计表'!$D$29=0,"",IF(AND(V95="共同成本费用",Z95="总建筑面积法"),ROUND(T95/'附表1-面积统计表'!$D$29*'附表1-面积统计表'!$D$5,2),IF(AND(V95="共同成本费用",Z95="可售建筑面积法"),ROUND(T95/'附表1-面积统计表'!$F$29*'附表1-面积统计表'!$F$5,2),"请手工填写")))</f>
        <v>331453.21</v>
      </c>
      <c r="X95" s="156" t="str">
        <f>IF(SUM('附表1-面积统计表'!$D$6)=0,"",SUM(T95)-SUM(W95)-SUM(Y95))</f>
        <v/>
      </c>
      <c r="Y95" s="156">
        <f>IF(SUM('附表1-面积统计表'!$D$6)=0,SUM(T95)-SUM(W95),IF('附表1-面积统计表'!$D$29=0,"",IF(AND(V95="共同成本费用",Z95="总建筑面积法"),ROUND(T95/'附表1-面积统计表'!$D$29*'附表1-面积统计表'!$D$7,2),IF(AND(V95="共同成本费用",Z95="可售建筑面积法"),ROUND(T95/'附表1-面积统计表'!$F$29*'附表1-面积统计表'!$F$7,2),"请手工填写"))))</f>
        <v>0</v>
      </c>
      <c r="Z95" s="157" t="s">
        <v>251</v>
      </c>
      <c r="AA95" s="145"/>
      <c r="AB95" s="158" t="s">
        <v>905</v>
      </c>
      <c r="AE95" s="159"/>
      <c r="AF95" s="159">
        <v>331453.21</v>
      </c>
      <c r="AG95" s="105">
        <f t="shared" si="8"/>
        <v>0</v>
      </c>
    </row>
    <row r="96" s="105" customFormat="1" ht="13" customHeight="1" spans="1:33">
      <c r="A96" s="139">
        <v>90</v>
      </c>
      <c r="B96" s="170" t="s">
        <v>1307</v>
      </c>
      <c r="C96" s="170" t="s">
        <v>1308</v>
      </c>
      <c r="D96" s="142" t="s">
        <v>966</v>
      </c>
      <c r="E96" s="143" t="s">
        <v>967</v>
      </c>
      <c r="F96" s="170" t="s">
        <v>1309</v>
      </c>
      <c r="G96" s="99" t="s">
        <v>969</v>
      </c>
      <c r="H96" s="145" t="str">
        <f>IF(G96="","",VLOOKUP(G96,'附表8-合同明细采集底稿'!B:I,2,0))</f>
        <v>监理合同补充协议</v>
      </c>
      <c r="I96" s="146" t="str">
        <f>IF(G96="","",VLOOKUP(G96,'附表8-合同明细采集底稿'!B:I,3,0))</f>
        <v>技术合同</v>
      </c>
      <c r="J96" s="145" t="str">
        <f>IF(G96="","",VLOOKUP(G96,'附表8-合同明细采集底稿'!B:I,4,0))</f>
        <v>巴州智诚工程项目管理服务有限公司</v>
      </c>
      <c r="K96" s="147" t="s">
        <v>958</v>
      </c>
      <c r="L96" s="149"/>
      <c r="M96" s="99"/>
      <c r="N96" s="151">
        <v>0</v>
      </c>
      <c r="O96" s="151">
        <v>0</v>
      </c>
      <c r="P96" s="172">
        <v>-15104.95</v>
      </c>
      <c r="Q96" s="151">
        <f t="shared" si="11"/>
        <v>15104.95</v>
      </c>
      <c r="R96" s="151">
        <f t="shared" si="6"/>
        <v>0</v>
      </c>
      <c r="S96" s="153">
        <f>IFERROR(VLOOKUP(G96,'附表8-合同明细采集底稿'!B:M,12,0),100%)</f>
        <v>1</v>
      </c>
      <c r="T96" s="154">
        <f t="shared" si="7"/>
        <v>0</v>
      </c>
      <c r="U96" s="145"/>
      <c r="V96" s="155" t="s">
        <v>276</v>
      </c>
      <c r="W96" s="156">
        <f>IF('附表1-面积统计表'!$D$29=0,"",IF(AND(V96="共同成本费用",Z96="总建筑面积法"),ROUND(T96/'附表1-面积统计表'!$D$29*'附表1-面积统计表'!$D$5,2),IF(AND(V96="共同成本费用",Z96="可售建筑面积法"),ROUND(T96/'附表1-面积统计表'!$F$29*'附表1-面积统计表'!$F$5,2),"请手工填写")))</f>
        <v>0</v>
      </c>
      <c r="X96" s="156" t="str">
        <f>IF(SUM('附表1-面积统计表'!$D$6)=0,"",SUM(T96)-SUM(W96)-SUM(Y96))</f>
        <v/>
      </c>
      <c r="Y96" s="156">
        <f>IF(SUM('附表1-面积统计表'!$D$6)=0,SUM(T96)-SUM(W96),IF('附表1-面积统计表'!$D$29=0,"",IF(AND(V96="共同成本费用",Z96="总建筑面积法"),ROUND(T96/'附表1-面积统计表'!$D$29*'附表1-面积统计表'!$D$7,2),IF(AND(V96="共同成本费用",Z96="可售建筑面积法"),ROUND(T96/'附表1-面积统计表'!$F$29*'附表1-面积统计表'!$F$7,2),"请手工填写"))))</f>
        <v>0</v>
      </c>
      <c r="Z96" s="157" t="s">
        <v>251</v>
      </c>
      <c r="AA96" s="145"/>
      <c r="AB96" s="158" t="s">
        <v>905</v>
      </c>
      <c r="AE96" s="159"/>
      <c r="AF96" s="159">
        <v>0</v>
      </c>
      <c r="AG96" s="105">
        <f t="shared" si="8"/>
        <v>0</v>
      </c>
    </row>
    <row r="97" s="105" customFormat="1" ht="13" customHeight="1" spans="1:33">
      <c r="A97" s="139">
        <v>91</v>
      </c>
      <c r="B97" s="170" t="s">
        <v>1310</v>
      </c>
      <c r="C97" s="170" t="s">
        <v>1311</v>
      </c>
      <c r="D97" s="142" t="s">
        <v>945</v>
      </c>
      <c r="E97" s="143" t="s">
        <v>1066</v>
      </c>
      <c r="F97" s="170" t="s">
        <v>1312</v>
      </c>
      <c r="G97" s="99" t="s">
        <v>1073</v>
      </c>
      <c r="H97" s="145" t="str">
        <f>IF(G97="","",VLOOKUP(G97,'附表8-合同明细采集底稿'!B:I,2,0))</f>
        <v>春和1#2#3#楼给排水</v>
      </c>
      <c r="I97" s="146" t="str">
        <f>IF(G97="","",VLOOKUP(G97,'附表8-合同明细采集底稿'!B:I,3,0))</f>
        <v>建设工程合同</v>
      </c>
      <c r="J97" s="145" t="str">
        <f>IF(G97="","",VLOOKUP(G97,'附表8-合同明细采集底稿'!B:I,4,0))</f>
        <v>江苏中义消防工程有限公司巴州分公司（巩红卫）</v>
      </c>
      <c r="K97" s="147" t="s">
        <v>902</v>
      </c>
      <c r="L97" s="171" t="s">
        <v>1280</v>
      </c>
      <c r="M97" s="149" t="s">
        <v>1313</v>
      </c>
      <c r="N97" s="151">
        <v>48165.14</v>
      </c>
      <c r="O97" s="151">
        <v>52500</v>
      </c>
      <c r="P97" s="172">
        <v>48165.14</v>
      </c>
      <c r="Q97" s="151">
        <v>19082.57</v>
      </c>
      <c r="R97" s="151">
        <f t="shared" si="6"/>
        <v>67247.71</v>
      </c>
      <c r="S97" s="153">
        <f>IFERROR(VLOOKUP(G97,'附表8-合同明细采集底稿'!B:M,12,0),100%)</f>
        <v>1</v>
      </c>
      <c r="T97" s="154">
        <f t="shared" si="7"/>
        <v>67247.71</v>
      </c>
      <c r="U97" s="145"/>
      <c r="V97" s="155" t="s">
        <v>276</v>
      </c>
      <c r="W97" s="156">
        <f>IF('附表1-面积统计表'!$D$29=0,"",IF(AND(V97="共同成本费用",Z97="总建筑面积法"),ROUND(T97/'附表1-面积统计表'!$D$29*'附表1-面积统计表'!$D$5,2),IF(AND(V97="共同成本费用",Z97="可售建筑面积法"),ROUND(T97/'附表1-面积统计表'!$F$29*'附表1-面积统计表'!$F$5,2),"请手工填写")))</f>
        <v>67247.71</v>
      </c>
      <c r="X97" s="156" t="str">
        <f>IF(SUM('附表1-面积统计表'!$D$6)=0,"",SUM(T97)-SUM(W97)-SUM(Y97))</f>
        <v/>
      </c>
      <c r="Y97" s="156">
        <f>IF(SUM('附表1-面积统计表'!$D$6)=0,SUM(T97)-SUM(W97),IF('附表1-面积统计表'!$D$29=0,"",IF(AND(V97="共同成本费用",Z97="总建筑面积法"),ROUND(T97/'附表1-面积统计表'!$D$29*'附表1-面积统计表'!$D$7,2),IF(AND(V97="共同成本费用",Z97="可售建筑面积法"),ROUND(T97/'附表1-面积统计表'!$F$29*'附表1-面积统计表'!$F$7,2),"请手工填写"))))</f>
        <v>0</v>
      </c>
      <c r="Z97" s="157" t="s">
        <v>251</v>
      </c>
      <c r="AA97" s="145"/>
      <c r="AB97" s="158" t="s">
        <v>905</v>
      </c>
      <c r="AE97" s="169"/>
      <c r="AF97" s="169">
        <v>48165.14</v>
      </c>
      <c r="AG97" s="105">
        <f t="shared" si="8"/>
        <v>19082.57</v>
      </c>
    </row>
    <row r="98" s="105" customFormat="1" ht="13" customHeight="1" spans="1:33">
      <c r="A98" s="139">
        <v>92</v>
      </c>
      <c r="B98" s="170" t="s">
        <v>1310</v>
      </c>
      <c r="C98" s="170" t="s">
        <v>1311</v>
      </c>
      <c r="D98" s="142" t="s">
        <v>945</v>
      </c>
      <c r="E98" s="143" t="s">
        <v>1066</v>
      </c>
      <c r="F98" s="170" t="s">
        <v>1314</v>
      </c>
      <c r="G98" s="99"/>
      <c r="H98" s="145" t="str">
        <f>IF(G98="","",VLOOKUP(G98,'附表8-合同明细采集底稿'!B:I,2,0))</f>
        <v/>
      </c>
      <c r="I98" s="146" t="str">
        <f>IF(G98="","",VLOOKUP(G98,'附表8-合同明细采集底稿'!B:I,3,0))</f>
        <v/>
      </c>
      <c r="J98" s="145" t="str">
        <f>IF(G98="","",VLOOKUP(G98,'附表8-合同明细采集底稿'!B:I,4,0))</f>
        <v/>
      </c>
      <c r="K98" s="147" t="s">
        <v>958</v>
      </c>
      <c r="L98" s="149"/>
      <c r="M98" s="99"/>
      <c r="N98" s="151">
        <v>0</v>
      </c>
      <c r="O98" s="151">
        <v>0</v>
      </c>
      <c r="P98" s="172">
        <v>-48165.14</v>
      </c>
      <c r="Q98" s="151">
        <f t="shared" ref="Q98:Q102" si="12">-P98</f>
        <v>48165.14</v>
      </c>
      <c r="R98" s="151">
        <f t="shared" si="6"/>
        <v>0</v>
      </c>
      <c r="S98" s="153">
        <f>IFERROR(VLOOKUP(G98,'附表8-合同明细采集底稿'!B:M,12,0),100%)</f>
        <v>1</v>
      </c>
      <c r="T98" s="154">
        <f t="shared" si="7"/>
        <v>0</v>
      </c>
      <c r="U98" s="145"/>
      <c r="V98" s="155" t="s">
        <v>276</v>
      </c>
      <c r="W98" s="156">
        <f>IF('附表1-面积统计表'!$D$29=0,"",IF(AND(V98="共同成本费用",Z98="总建筑面积法"),ROUND(T98/'附表1-面积统计表'!$D$29*'附表1-面积统计表'!$D$5,2),IF(AND(V98="共同成本费用",Z98="可售建筑面积法"),ROUND(T98/'附表1-面积统计表'!$F$29*'附表1-面积统计表'!$F$5,2),"请手工填写")))</f>
        <v>0</v>
      </c>
      <c r="X98" s="156" t="str">
        <f>IF(SUM('附表1-面积统计表'!$D$6)=0,"",SUM(T98)-SUM(W98)-SUM(Y98))</f>
        <v/>
      </c>
      <c r="Y98" s="156">
        <f>IF(SUM('附表1-面积统计表'!$D$6)=0,SUM(T98)-SUM(W98),IF('附表1-面积统计表'!$D$29=0,"",IF(AND(V98="共同成本费用",Z98="总建筑面积法"),ROUND(T98/'附表1-面积统计表'!$D$29*'附表1-面积统计表'!$D$7,2),IF(AND(V98="共同成本费用",Z98="可售建筑面积法"),ROUND(T98/'附表1-面积统计表'!$F$29*'附表1-面积统计表'!$F$7,2),"请手工填写"))))</f>
        <v>0</v>
      </c>
      <c r="Z98" s="157" t="s">
        <v>251</v>
      </c>
      <c r="AA98" s="145"/>
      <c r="AB98" s="158" t="s">
        <v>905</v>
      </c>
      <c r="AE98" s="159"/>
      <c r="AF98" s="159">
        <v>0</v>
      </c>
      <c r="AG98" s="105">
        <f t="shared" si="8"/>
        <v>0</v>
      </c>
    </row>
    <row r="99" s="105" customFormat="1" ht="13" customHeight="1" spans="1:33">
      <c r="A99" s="139">
        <v>93</v>
      </c>
      <c r="B99" s="170" t="s">
        <v>1310</v>
      </c>
      <c r="C99" s="170" t="s">
        <v>1315</v>
      </c>
      <c r="D99" s="142" t="s">
        <v>945</v>
      </c>
      <c r="E99" s="143" t="s">
        <v>1115</v>
      </c>
      <c r="F99" s="170" t="s">
        <v>1316</v>
      </c>
      <c r="G99" s="99" t="s">
        <v>1317</v>
      </c>
      <c r="H99" s="145" t="str">
        <f>IF(G99="","",VLOOKUP(G99,'附表8-合同明细采集底稿'!B:I,2,0))</f>
        <v>沁春锦苑、春和地埋式垃圾处理站购销安装合同</v>
      </c>
      <c r="I99" s="146" t="str">
        <f>IF(G99="","",VLOOKUP(G99,'附表8-合同明细采集底稿'!B:I,3,0))</f>
        <v>买卖合同</v>
      </c>
      <c r="J99" s="145" t="str">
        <f>IF(G99="","",VLOOKUP(G99,'附表8-合同明细采集底稿'!B:I,4,0))</f>
        <v>新疆云景环保科技有限公司(13999983055)</v>
      </c>
      <c r="K99" s="147" t="s">
        <v>902</v>
      </c>
      <c r="L99" s="149" t="s">
        <v>1232</v>
      </c>
      <c r="M99" s="149" t="s">
        <v>1318</v>
      </c>
      <c r="N99" s="151">
        <v>64601.77</v>
      </c>
      <c r="O99" s="151">
        <v>73000</v>
      </c>
      <c r="P99" s="172">
        <v>64601.77</v>
      </c>
      <c r="Q99" s="151"/>
      <c r="R99" s="151">
        <f t="shared" si="6"/>
        <v>64601.77</v>
      </c>
      <c r="S99" s="153">
        <f>IFERROR(VLOOKUP(G99,'附表8-合同明细采集底稿'!B:M,12,0),100%)</f>
        <v>0.725945981401044</v>
      </c>
      <c r="T99" s="154">
        <f t="shared" si="7"/>
        <v>46897.4</v>
      </c>
      <c r="U99" s="145"/>
      <c r="V99" s="155" t="s">
        <v>276</v>
      </c>
      <c r="W99" s="156">
        <f>IF('附表1-面积统计表'!$D$29=0,"",IF(AND(V99="共同成本费用",Z99="总建筑面积法"),ROUND(T99/'附表1-面积统计表'!$D$29*'附表1-面积统计表'!$D$5,2),IF(AND(V99="共同成本费用",Z99="可售建筑面积法"),ROUND(T99/'附表1-面积统计表'!$F$29*'附表1-面积统计表'!$F$5,2),"请手工填写")))</f>
        <v>46897.4</v>
      </c>
      <c r="X99" s="156" t="str">
        <f>IF(SUM('附表1-面积统计表'!$D$6)=0,"",SUM(T99)-SUM(W99)-SUM(Y99))</f>
        <v/>
      </c>
      <c r="Y99" s="156">
        <f>IF(SUM('附表1-面积统计表'!$D$6)=0,SUM(T99)-SUM(W99),IF('附表1-面积统计表'!$D$29=0,"",IF(AND(V99="共同成本费用",Z99="总建筑面积法"),ROUND(T99/'附表1-面积统计表'!$D$29*'附表1-面积统计表'!$D$7,2),IF(AND(V99="共同成本费用",Z99="可售建筑面积法"),ROUND(T99/'附表1-面积统计表'!$F$29*'附表1-面积统计表'!$F$7,2),"请手工填写"))))</f>
        <v>0</v>
      </c>
      <c r="Z99" s="157" t="s">
        <v>251</v>
      </c>
      <c r="AA99" s="145"/>
      <c r="AB99" s="158" t="s">
        <v>905</v>
      </c>
      <c r="AC99" s="105" t="s">
        <v>911</v>
      </c>
      <c r="AE99" s="159" t="s">
        <v>1319</v>
      </c>
      <c r="AF99" s="159">
        <v>64601.77</v>
      </c>
      <c r="AG99" s="105">
        <f t="shared" si="8"/>
        <v>-17704.37</v>
      </c>
    </row>
    <row r="100" s="105" customFormat="1" ht="13" customHeight="1" spans="1:33">
      <c r="A100" s="139">
        <v>94</v>
      </c>
      <c r="B100" s="170" t="s">
        <v>1310</v>
      </c>
      <c r="C100" s="170" t="s">
        <v>1315</v>
      </c>
      <c r="D100" s="142" t="s">
        <v>945</v>
      </c>
      <c r="E100" s="143" t="s">
        <v>1115</v>
      </c>
      <c r="F100" s="170" t="s">
        <v>1320</v>
      </c>
      <c r="G100" s="99"/>
      <c r="H100" s="145" t="str">
        <f>IF(G100="","",VLOOKUP(G100,'附表8-合同明细采集底稿'!B:I,2,0))</f>
        <v/>
      </c>
      <c r="I100" s="146" t="str">
        <f>IF(G100="","",VLOOKUP(G100,'附表8-合同明细采集底稿'!B:I,3,0))</f>
        <v/>
      </c>
      <c r="J100" s="145" t="str">
        <f>IF(G100="","",VLOOKUP(G100,'附表8-合同明细采集底稿'!B:I,4,0))</f>
        <v/>
      </c>
      <c r="K100" s="147" t="s">
        <v>958</v>
      </c>
      <c r="L100" s="149"/>
      <c r="M100" s="99"/>
      <c r="N100" s="151">
        <v>0</v>
      </c>
      <c r="O100" s="151">
        <v>0</v>
      </c>
      <c r="P100" s="172">
        <v>-64601.77</v>
      </c>
      <c r="Q100" s="151">
        <f t="shared" si="12"/>
        <v>64601.77</v>
      </c>
      <c r="R100" s="151">
        <f t="shared" si="6"/>
        <v>0</v>
      </c>
      <c r="S100" s="153">
        <f>IFERROR(VLOOKUP(G100,'附表8-合同明细采集底稿'!B:M,12,0),100%)</f>
        <v>1</v>
      </c>
      <c r="T100" s="154">
        <f t="shared" si="7"/>
        <v>0</v>
      </c>
      <c r="U100" s="145"/>
      <c r="V100" s="155" t="s">
        <v>276</v>
      </c>
      <c r="W100" s="156">
        <f>IF('附表1-面积统计表'!$D$29=0,"",IF(AND(V100="共同成本费用",Z100="总建筑面积法"),ROUND(T100/'附表1-面积统计表'!$D$29*'附表1-面积统计表'!$D$5,2),IF(AND(V100="共同成本费用",Z100="可售建筑面积法"),ROUND(T100/'附表1-面积统计表'!$F$29*'附表1-面积统计表'!$F$5,2),"请手工填写")))</f>
        <v>0</v>
      </c>
      <c r="X100" s="156" t="str">
        <f>IF(SUM('附表1-面积统计表'!$D$6)=0,"",SUM(T100)-SUM(W100)-SUM(Y100))</f>
        <v/>
      </c>
      <c r="Y100" s="156">
        <f>IF(SUM('附表1-面积统计表'!$D$6)=0,SUM(T100)-SUM(W100),IF('附表1-面积统计表'!$D$29=0,"",IF(AND(V100="共同成本费用",Z100="总建筑面积法"),ROUND(T100/'附表1-面积统计表'!$D$29*'附表1-面积统计表'!$D$7,2),IF(AND(V100="共同成本费用",Z100="可售建筑面积法"),ROUND(T100/'附表1-面积统计表'!$F$29*'附表1-面积统计表'!$F$7,2),"请手工填写"))))</f>
        <v>0</v>
      </c>
      <c r="Z100" s="157" t="s">
        <v>251</v>
      </c>
      <c r="AA100" s="145"/>
      <c r="AB100" s="158" t="s">
        <v>905</v>
      </c>
      <c r="AE100" s="159"/>
      <c r="AF100" s="159">
        <v>0</v>
      </c>
      <c r="AG100" s="105">
        <f t="shared" si="8"/>
        <v>0</v>
      </c>
    </row>
    <row r="101" s="105" customFormat="1" ht="13" customHeight="1" spans="1:33">
      <c r="A101" s="139">
        <v>95</v>
      </c>
      <c r="B101" s="170" t="s">
        <v>1310</v>
      </c>
      <c r="C101" s="170" t="s">
        <v>1321</v>
      </c>
      <c r="D101" s="142" t="s">
        <v>966</v>
      </c>
      <c r="E101" s="143" t="s">
        <v>967</v>
      </c>
      <c r="F101" s="170" t="s">
        <v>1322</v>
      </c>
      <c r="G101" s="99" t="s">
        <v>1225</v>
      </c>
      <c r="H101" s="145" t="str">
        <f>IF(G101="","",VLOOKUP(G101,'附表8-合同明细采集底稿'!B:I,2,0))</f>
        <v>春和景苑外墙装修</v>
      </c>
      <c r="I101" s="146" t="str">
        <f>IF(G101="","",VLOOKUP(G101,'附表8-合同明细采集底稿'!B:I,3,0))</f>
        <v>建设工程合同</v>
      </c>
      <c r="J101" s="145" t="str">
        <f>IF(G101="","",VLOOKUP(G101,'附表8-合同明细采集底稿'!B:I,4,0))</f>
        <v>新疆智明建设工程有限公司（金克)</v>
      </c>
      <c r="K101" s="147" t="s">
        <v>902</v>
      </c>
      <c r="L101" s="171" t="s">
        <v>1280</v>
      </c>
      <c r="M101" s="149" t="s">
        <v>1323</v>
      </c>
      <c r="N101" s="151">
        <v>58715.6</v>
      </c>
      <c r="O101" s="151">
        <v>64000</v>
      </c>
      <c r="P101" s="172">
        <v>58715.6</v>
      </c>
      <c r="Q101" s="151"/>
      <c r="R101" s="151">
        <f t="shared" si="6"/>
        <v>58715.6</v>
      </c>
      <c r="S101" s="153">
        <f>IFERROR(VLOOKUP(G101,'附表8-合同明细采集底稿'!B:M,12,0),100%)</f>
        <v>1</v>
      </c>
      <c r="T101" s="154">
        <f t="shared" si="7"/>
        <v>58715.6</v>
      </c>
      <c r="U101" s="145"/>
      <c r="V101" s="155" t="s">
        <v>276</v>
      </c>
      <c r="W101" s="156">
        <f>IF('附表1-面积统计表'!$D$29=0,"",IF(AND(V101="共同成本费用",Z101="总建筑面积法"),ROUND(T101/'附表1-面积统计表'!$D$29*'附表1-面积统计表'!$D$5,2),IF(AND(V101="共同成本费用",Z101="可售建筑面积法"),ROUND(T101/'附表1-面积统计表'!$F$29*'附表1-面积统计表'!$F$5,2),"请手工填写")))</f>
        <v>58715.6</v>
      </c>
      <c r="X101" s="156" t="str">
        <f>IF(SUM('附表1-面积统计表'!$D$6)=0,"",SUM(T101)-SUM(W101)-SUM(Y101))</f>
        <v/>
      </c>
      <c r="Y101" s="156">
        <f>IF(SUM('附表1-面积统计表'!$D$6)=0,SUM(T101)-SUM(W101),IF('附表1-面积统计表'!$D$29=0,"",IF(AND(V101="共同成本费用",Z101="总建筑面积法"),ROUND(T101/'附表1-面积统计表'!$D$29*'附表1-面积统计表'!$D$7,2),IF(AND(V101="共同成本费用",Z101="可售建筑面积法"),ROUND(T101/'附表1-面积统计表'!$F$29*'附表1-面积统计表'!$F$7,2),"请手工填写"))))</f>
        <v>0</v>
      </c>
      <c r="Z101" s="157" t="s">
        <v>251</v>
      </c>
      <c r="AA101" s="145"/>
      <c r="AB101" s="158" t="s">
        <v>905</v>
      </c>
      <c r="AE101" s="159" t="s">
        <v>1227</v>
      </c>
      <c r="AF101" s="159">
        <v>58715.6</v>
      </c>
      <c r="AG101" s="105">
        <f t="shared" si="8"/>
        <v>0</v>
      </c>
    </row>
    <row r="102" s="105" customFormat="1" ht="13" customHeight="1" spans="1:33">
      <c r="A102" s="139">
        <v>96</v>
      </c>
      <c r="B102" s="170" t="s">
        <v>1310</v>
      </c>
      <c r="C102" s="170" t="s">
        <v>1321</v>
      </c>
      <c r="D102" s="142" t="s">
        <v>966</v>
      </c>
      <c r="E102" s="143" t="s">
        <v>967</v>
      </c>
      <c r="F102" s="170" t="s">
        <v>1324</v>
      </c>
      <c r="G102" s="99"/>
      <c r="H102" s="145" t="str">
        <f>IF(G102="","",VLOOKUP(G102,'附表8-合同明细采集底稿'!B:I,2,0))</f>
        <v/>
      </c>
      <c r="I102" s="146" t="str">
        <f>IF(G102="","",VLOOKUP(G102,'附表8-合同明细采集底稿'!B:I,3,0))</f>
        <v/>
      </c>
      <c r="J102" s="145" t="str">
        <f>IF(G102="","",VLOOKUP(G102,'附表8-合同明细采集底稿'!B:I,4,0))</f>
        <v/>
      </c>
      <c r="K102" s="147" t="s">
        <v>958</v>
      </c>
      <c r="L102" s="99"/>
      <c r="M102" s="99"/>
      <c r="N102" s="151">
        <v>0</v>
      </c>
      <c r="O102" s="151">
        <v>0</v>
      </c>
      <c r="P102" s="172">
        <v>-58715.6</v>
      </c>
      <c r="Q102" s="151">
        <f t="shared" si="12"/>
        <v>58715.6</v>
      </c>
      <c r="R102" s="151">
        <f t="shared" si="6"/>
        <v>0</v>
      </c>
      <c r="S102" s="153">
        <f>IFERROR(VLOOKUP(G102,'附表8-合同明细采集底稿'!B:M,12,0),100%)</f>
        <v>1</v>
      </c>
      <c r="T102" s="154">
        <f t="shared" si="7"/>
        <v>0</v>
      </c>
      <c r="U102" s="145"/>
      <c r="V102" s="155" t="s">
        <v>276</v>
      </c>
      <c r="W102" s="156">
        <f>IF('附表1-面积统计表'!$D$29=0,"",IF(AND(V102="共同成本费用",Z102="总建筑面积法"),ROUND(T102/'附表1-面积统计表'!$D$29*'附表1-面积统计表'!$D$5,2),IF(AND(V102="共同成本费用",Z102="可售建筑面积法"),ROUND(T102/'附表1-面积统计表'!$F$29*'附表1-面积统计表'!$F$5,2),"请手工填写")))</f>
        <v>0</v>
      </c>
      <c r="X102" s="156" t="str">
        <f>IF(SUM('附表1-面积统计表'!$D$6)=0,"",SUM(T102)-SUM(W102)-SUM(Y102))</f>
        <v/>
      </c>
      <c r="Y102" s="156">
        <f>IF(SUM('附表1-面积统计表'!$D$6)=0,SUM(T102)-SUM(W102),IF('附表1-面积统计表'!$D$29=0,"",IF(AND(V102="共同成本费用",Z102="总建筑面积法"),ROUND(T102/'附表1-面积统计表'!$D$29*'附表1-面积统计表'!$D$7,2),IF(AND(V102="共同成本费用",Z102="可售建筑面积法"),ROUND(T102/'附表1-面积统计表'!$F$29*'附表1-面积统计表'!$F$7,2),"请手工填写"))))</f>
        <v>0</v>
      </c>
      <c r="Z102" s="157" t="s">
        <v>251</v>
      </c>
      <c r="AA102" s="145"/>
      <c r="AB102" s="158" t="s">
        <v>905</v>
      </c>
      <c r="AE102" s="159"/>
      <c r="AF102" s="159">
        <v>0</v>
      </c>
      <c r="AG102" s="105">
        <f t="shared" si="8"/>
        <v>0</v>
      </c>
    </row>
    <row r="103" s="105" customFormat="1" ht="13" customHeight="1" spans="1:33">
      <c r="A103" s="139">
        <v>97</v>
      </c>
      <c r="B103" s="170" t="s">
        <v>1310</v>
      </c>
      <c r="C103" s="170" t="s">
        <v>1092</v>
      </c>
      <c r="D103" s="142" t="s">
        <v>945</v>
      </c>
      <c r="E103" s="143" t="s">
        <v>1066</v>
      </c>
      <c r="F103" s="170" t="s">
        <v>1325</v>
      </c>
      <c r="G103" s="167" t="s">
        <v>1326</v>
      </c>
      <c r="H103" s="145" t="str">
        <f>IF(G103="","",VLOOKUP(G103,'附表8-合同明细采集底稿'!B:I,2,0))</f>
        <v>后花园围栏制作</v>
      </c>
      <c r="I103" s="146" t="str">
        <f>IF(G103="","",VLOOKUP(G103,'附表8-合同明细采集底稿'!B:I,3,0))</f>
        <v>建设工程合同</v>
      </c>
      <c r="J103" s="145" t="str">
        <f>IF(G103="","",VLOOKUP(G103,'附表8-合同明细采集底稿'!B:I,4,0))</f>
        <v>巴州冠华商贸有限公司</v>
      </c>
      <c r="K103" s="147" t="s">
        <v>902</v>
      </c>
      <c r="L103" s="149" t="s">
        <v>1280</v>
      </c>
      <c r="M103" s="149" t="s">
        <v>1327</v>
      </c>
      <c r="N103" s="151">
        <v>48473.45</v>
      </c>
      <c r="O103" s="151">
        <v>54775</v>
      </c>
      <c r="P103" s="172">
        <v>48473.45</v>
      </c>
      <c r="Q103" s="151"/>
      <c r="R103" s="151">
        <f t="shared" si="6"/>
        <v>48473.45</v>
      </c>
      <c r="S103" s="153">
        <f>IFERROR(VLOOKUP(G103,'附表8-合同明细采集底稿'!B:M,12,0),100%)</f>
        <v>1</v>
      </c>
      <c r="T103" s="154">
        <f t="shared" si="7"/>
        <v>48473.45</v>
      </c>
      <c r="U103" s="145"/>
      <c r="V103" s="155" t="s">
        <v>276</v>
      </c>
      <c r="W103" s="156">
        <f>IF('附表1-面积统计表'!$D$29=0,"",IF(AND(V103="共同成本费用",Z103="总建筑面积法"),ROUND(T103/'附表1-面积统计表'!$D$29*'附表1-面积统计表'!$D$5,2),IF(AND(V103="共同成本费用",Z103="可售建筑面积法"),ROUND(T103/'附表1-面积统计表'!$F$29*'附表1-面积统计表'!$F$5,2),"请手工填写")))</f>
        <v>48473.45</v>
      </c>
      <c r="X103" s="156" t="str">
        <f>IF(SUM('附表1-面积统计表'!$D$6)=0,"",SUM(T103)-SUM(W103)-SUM(Y103))</f>
        <v/>
      </c>
      <c r="Y103" s="156">
        <f>IF(SUM('附表1-面积统计表'!$D$6)=0,SUM(T103)-SUM(W103),IF('附表1-面积统计表'!$D$29=0,"",IF(AND(V103="共同成本费用",Z103="总建筑面积法"),ROUND(T103/'附表1-面积统计表'!$D$29*'附表1-面积统计表'!$D$7,2),IF(AND(V103="共同成本费用",Z103="可售建筑面积法"),ROUND(T103/'附表1-面积统计表'!$F$29*'附表1-面积统计表'!$F$7,2),"请手工填写"))))</f>
        <v>0</v>
      </c>
      <c r="Z103" s="157" t="s">
        <v>251</v>
      </c>
      <c r="AA103" s="145"/>
      <c r="AB103" s="158" t="s">
        <v>905</v>
      </c>
      <c r="AE103" s="159" t="s">
        <v>1328</v>
      </c>
      <c r="AF103" s="159">
        <v>48473.45</v>
      </c>
      <c r="AG103" s="105">
        <f t="shared" si="8"/>
        <v>0</v>
      </c>
    </row>
    <row r="104" s="105" customFormat="1" ht="13" customHeight="1" spans="1:33">
      <c r="A104" s="139">
        <v>98</v>
      </c>
      <c r="B104" s="170" t="s">
        <v>1310</v>
      </c>
      <c r="C104" s="170" t="s">
        <v>1092</v>
      </c>
      <c r="D104" s="142" t="s">
        <v>945</v>
      </c>
      <c r="E104" s="143" t="s">
        <v>1066</v>
      </c>
      <c r="F104" s="170" t="s">
        <v>1329</v>
      </c>
      <c r="G104" s="99"/>
      <c r="H104" s="145" t="str">
        <f>IF(G104="","",VLOOKUP(G104,'附表8-合同明细采集底稿'!B:I,2,0))</f>
        <v/>
      </c>
      <c r="I104" s="146" t="str">
        <f>IF(G104="","",VLOOKUP(G104,'附表8-合同明细采集底稿'!B:I,3,0))</f>
        <v/>
      </c>
      <c r="J104" s="145" t="str">
        <f>IF(G104="","",VLOOKUP(G104,'附表8-合同明细采集底稿'!B:I,4,0))</f>
        <v/>
      </c>
      <c r="K104" s="147" t="s">
        <v>958</v>
      </c>
      <c r="L104" s="238"/>
      <c r="M104" s="99"/>
      <c r="N104" s="151">
        <v>0</v>
      </c>
      <c r="O104" s="151">
        <v>0</v>
      </c>
      <c r="P104" s="172">
        <v>-48473.45</v>
      </c>
      <c r="Q104" s="151">
        <f>-P104</f>
        <v>48473.45</v>
      </c>
      <c r="R104" s="151">
        <f t="shared" si="6"/>
        <v>0</v>
      </c>
      <c r="S104" s="153">
        <f>IFERROR(VLOOKUP(G104,'附表8-合同明细采集底稿'!B:M,12,0),100%)</f>
        <v>1</v>
      </c>
      <c r="T104" s="154">
        <f t="shared" si="7"/>
        <v>0</v>
      </c>
      <c r="U104" s="145"/>
      <c r="V104" s="155" t="s">
        <v>276</v>
      </c>
      <c r="W104" s="156">
        <f>IF('附表1-面积统计表'!$D$29=0,"",IF(AND(V104="共同成本费用",Z104="总建筑面积法"),ROUND(T104/'附表1-面积统计表'!$D$29*'附表1-面积统计表'!$D$5,2),IF(AND(V104="共同成本费用",Z104="可售建筑面积法"),ROUND(T104/'附表1-面积统计表'!$F$29*'附表1-面积统计表'!$F$5,2),"请手工填写")))</f>
        <v>0</v>
      </c>
      <c r="X104" s="156" t="str">
        <f>IF(SUM('附表1-面积统计表'!$D$6)=0,"",SUM(T104)-SUM(W104)-SUM(Y104))</f>
        <v/>
      </c>
      <c r="Y104" s="156">
        <f>IF(SUM('附表1-面积统计表'!$D$6)=0,SUM(T104)-SUM(W104),IF('附表1-面积统计表'!$D$29=0,"",IF(AND(V104="共同成本费用",Z104="总建筑面积法"),ROUND(T104/'附表1-面积统计表'!$D$29*'附表1-面积统计表'!$D$7,2),IF(AND(V104="共同成本费用",Z104="可售建筑面积法"),ROUND(T104/'附表1-面积统计表'!$F$29*'附表1-面积统计表'!$F$7,2),"请手工填写"))))</f>
        <v>0</v>
      </c>
      <c r="Z104" s="157" t="s">
        <v>251</v>
      </c>
      <c r="AA104" s="145"/>
      <c r="AB104" s="158" t="s">
        <v>905</v>
      </c>
      <c r="AE104" s="159"/>
      <c r="AF104" s="159">
        <v>0</v>
      </c>
      <c r="AG104" s="105">
        <f t="shared" ref="AG104:AG123" si="13">T104-AF104</f>
        <v>0</v>
      </c>
    </row>
    <row r="105" s="105" customFormat="1" ht="13" customHeight="1" spans="1:33">
      <c r="A105" s="139">
        <v>99</v>
      </c>
      <c r="B105" s="170" t="s">
        <v>1330</v>
      </c>
      <c r="C105" s="170" t="s">
        <v>1269</v>
      </c>
      <c r="D105" s="142" t="s">
        <v>966</v>
      </c>
      <c r="E105" s="143" t="s">
        <v>980</v>
      </c>
      <c r="F105" s="170" t="s">
        <v>1331</v>
      </c>
      <c r="G105" s="99" t="s">
        <v>982</v>
      </c>
      <c r="H105" s="145" t="str">
        <f>IF(G105="","",VLOOKUP(G105,'附表8-合同明细采集底稿'!B:I,2,0))</f>
        <v>春和景苑1、2、3#住宅楼施工协议</v>
      </c>
      <c r="I105" s="146" t="str">
        <f>IF(G105="","",VLOOKUP(G105,'附表8-合同明细采集底稿'!B:I,3,0))</f>
        <v>建设工程合同</v>
      </c>
      <c r="J105" s="145" t="str">
        <f>IF(G105="","",VLOOKUP(G105,'附表8-合同明细采集底稿'!B:I,4,0))</f>
        <v>新疆正杰建筑集团有限公司（许兴德）</v>
      </c>
      <c r="K105" s="147" t="s">
        <v>902</v>
      </c>
      <c r="L105" s="148" t="s">
        <v>1332</v>
      </c>
      <c r="M105" s="149" t="s">
        <v>1333</v>
      </c>
      <c r="N105" s="151">
        <v>365391.74</v>
      </c>
      <c r="O105" s="151">
        <f>N105*1.09</f>
        <v>398276.9966</v>
      </c>
      <c r="P105" s="172">
        <v>365391.74</v>
      </c>
      <c r="Q105" s="151"/>
      <c r="R105" s="151">
        <f t="shared" si="6"/>
        <v>365391.74</v>
      </c>
      <c r="S105" s="153">
        <f>IFERROR(VLOOKUP(G105,'附表8-合同明细采集底稿'!B:M,12,0),100%)</f>
        <v>1</v>
      </c>
      <c r="T105" s="154">
        <f t="shared" si="7"/>
        <v>365391.74</v>
      </c>
      <c r="U105" s="145"/>
      <c r="V105" s="155" t="s">
        <v>276</v>
      </c>
      <c r="W105" s="156">
        <f>IF('附表1-面积统计表'!$D$29=0,"",IF(AND(V105="共同成本费用",Z105="总建筑面积法"),ROUND(T105/'附表1-面积统计表'!$D$29*'附表1-面积统计表'!$D$5,2),IF(AND(V105="共同成本费用",Z105="可售建筑面积法"),ROUND(T105/'附表1-面积统计表'!$F$29*'附表1-面积统计表'!$F$5,2),"请手工填写")))</f>
        <v>365391.74</v>
      </c>
      <c r="X105" s="156" t="str">
        <f>IF(SUM('附表1-面积统计表'!$D$6)=0,"",SUM(T105)-SUM(W105)-SUM(Y105))</f>
        <v/>
      </c>
      <c r="Y105" s="156">
        <f>IF(SUM('附表1-面积统计表'!$D$6)=0,SUM(T105)-SUM(W105),IF('附表1-面积统计表'!$D$29=0,"",IF(AND(V105="共同成本费用",Z105="总建筑面积法"),ROUND(T105/'附表1-面积统计表'!$D$29*'附表1-面积统计表'!$D$7,2),IF(AND(V105="共同成本费用",Z105="可售建筑面积法"),ROUND(T105/'附表1-面积统计表'!$F$29*'附表1-面积统计表'!$F$7,2),"请手工填写"))))</f>
        <v>0</v>
      </c>
      <c r="Z105" s="157" t="s">
        <v>251</v>
      </c>
      <c r="AA105" s="145"/>
      <c r="AB105" s="158" t="s">
        <v>905</v>
      </c>
      <c r="AE105" s="159"/>
      <c r="AF105" s="159">
        <v>365391.74</v>
      </c>
      <c r="AG105" s="105">
        <f t="shared" si="13"/>
        <v>0</v>
      </c>
    </row>
    <row r="106" s="107" customFormat="1" ht="13" customHeight="1" spans="1:33">
      <c r="A106" s="173">
        <v>100</v>
      </c>
      <c r="B106" s="239">
        <v>44958</v>
      </c>
      <c r="C106" s="175">
        <v>71</v>
      </c>
      <c r="D106" s="176" t="s">
        <v>945</v>
      </c>
      <c r="E106" s="177" t="s">
        <v>1093</v>
      </c>
      <c r="F106" s="175" t="s">
        <v>1334</v>
      </c>
      <c r="G106" s="178" t="s">
        <v>1335</v>
      </c>
      <c r="H106" s="179" t="str">
        <f>IF(G106="","",VLOOKUP(G106,'附表8-合同明细采集底稿'!B:I,2,0))</f>
        <v>春和景苑绿化种植</v>
      </c>
      <c r="I106" s="180" t="str">
        <f>IF(G106="","",VLOOKUP(G106,'附表8-合同明细采集底稿'!B:I,3,0))</f>
        <v>建设工程合同</v>
      </c>
      <c r="J106" s="179" t="str">
        <f>IF(G106="","",VLOOKUP(G106,'附表8-合同明细采集底稿'!B:I,4,0))</f>
        <v>巴州绿叶园林工程有限责任公司（谢辞）</v>
      </c>
      <c r="K106" s="179" t="s">
        <v>902</v>
      </c>
      <c r="L106" s="181" t="s">
        <v>1336</v>
      </c>
      <c r="M106" s="181" t="s">
        <v>1337</v>
      </c>
      <c r="N106" s="182">
        <v>540558.72</v>
      </c>
      <c r="O106" s="182">
        <f>N106*1.09</f>
        <v>589209.0048</v>
      </c>
      <c r="P106" s="183">
        <v>540558.72</v>
      </c>
      <c r="Q106" s="182">
        <v>-151620.03</v>
      </c>
      <c r="R106" s="182"/>
      <c r="S106" s="184">
        <f>IFERROR(VLOOKUP(G106,'附表8-合同明细采集底稿'!B:M,12,0),100%)</f>
        <v>0.725945981401044</v>
      </c>
      <c r="T106" s="185">
        <f t="shared" si="7"/>
        <v>0</v>
      </c>
      <c r="U106" s="179" t="s">
        <v>1081</v>
      </c>
      <c r="V106" s="186" t="s">
        <v>276</v>
      </c>
      <c r="W106" s="187">
        <f>IF('附表1-面积统计表'!$D$29=0,"",IF(AND(V106="共同成本费用",Z106="总建筑面积法"),ROUND(T106/'附表1-面积统计表'!$D$29*'附表1-面积统计表'!$D$5,2),IF(AND(V106="共同成本费用",Z106="可售建筑面积法"),ROUND(T106/'附表1-面积统计表'!$F$29*'附表1-面积统计表'!$F$5,2),"请手工填写")))</f>
        <v>0</v>
      </c>
      <c r="X106" s="187" t="str">
        <f>IF(SUM('附表1-面积统计表'!$D$6)=0,"",SUM(T106)-SUM(W106)-SUM(Y106))</f>
        <v/>
      </c>
      <c r="Y106" s="187">
        <f>IF(SUM('附表1-面积统计表'!$D$6)=0,SUM(T106)-SUM(W106),IF('附表1-面积统计表'!$D$29=0,"",IF(AND(V106="共同成本费用",Z106="总建筑面积法"),ROUND(T106/'附表1-面积统计表'!$D$29*'附表1-面积统计表'!$D$7,2),IF(AND(V106="共同成本费用",Z106="可售建筑面积法"),ROUND(T106/'附表1-面积统计表'!$F$29*'附表1-面积统计表'!$F$7,2),"请手工填写"))))</f>
        <v>0</v>
      </c>
      <c r="Z106" s="188" t="s">
        <v>251</v>
      </c>
      <c r="AA106" s="179"/>
      <c r="AB106" s="189" t="s">
        <v>905</v>
      </c>
      <c r="AD106" s="107" t="s">
        <v>1098</v>
      </c>
      <c r="AE106" s="192" t="s">
        <v>1099</v>
      </c>
      <c r="AF106" s="192">
        <v>540558.72</v>
      </c>
      <c r="AG106" s="107">
        <f t="shared" si="13"/>
        <v>-540558.72</v>
      </c>
    </row>
    <row r="107" s="105" customFormat="1" ht="13" customHeight="1" spans="1:33">
      <c r="A107" s="139">
        <v>101</v>
      </c>
      <c r="B107" s="240" t="s">
        <v>1338</v>
      </c>
      <c r="C107" s="99">
        <v>95</v>
      </c>
      <c r="D107" s="142" t="s">
        <v>945</v>
      </c>
      <c r="E107" s="143" t="s">
        <v>1066</v>
      </c>
      <c r="F107" s="241" t="s">
        <v>1339</v>
      </c>
      <c r="G107" s="99"/>
      <c r="H107" s="145" t="str">
        <f>IF(G107="","",VLOOKUP(G107,'附表8-合同明细采集底稿'!B:I,2,0))</f>
        <v/>
      </c>
      <c r="I107" s="146" t="str">
        <f>IF(G107="","",VLOOKUP(G107,'附表8-合同明细采集底稿'!B:I,3,0))</f>
        <v/>
      </c>
      <c r="J107" s="145" t="str">
        <f>IF(G107="","",VLOOKUP(G107,'附表8-合同明细采集底稿'!B:I,4,0))</f>
        <v/>
      </c>
      <c r="K107" s="147" t="s">
        <v>958</v>
      </c>
      <c r="L107" s="149"/>
      <c r="M107" s="99"/>
      <c r="N107" s="151">
        <v>534458.14</v>
      </c>
      <c r="O107" s="151">
        <v>534458.14</v>
      </c>
      <c r="P107" s="172">
        <v>534458.14</v>
      </c>
      <c r="Q107" s="151"/>
      <c r="R107" s="151">
        <f t="shared" si="6"/>
        <v>534458.14</v>
      </c>
      <c r="S107" s="153">
        <f>IFERROR(VLOOKUP(G107,'附表8-合同明细采集底稿'!B:M,12,0),100%)</f>
        <v>1</v>
      </c>
      <c r="T107" s="154">
        <f t="shared" si="7"/>
        <v>534458.14</v>
      </c>
      <c r="U107" s="145"/>
      <c r="V107" s="155" t="s">
        <v>276</v>
      </c>
      <c r="W107" s="156">
        <f>IF('附表1-面积统计表'!$D$29=0,"",IF(AND(V107="共同成本费用",Z107="总建筑面积法"),ROUND(T107/'附表1-面积统计表'!$D$29*'附表1-面积统计表'!$D$5,2),IF(AND(V107="共同成本费用",Z107="可售建筑面积法"),ROUND(T107/'附表1-面积统计表'!$F$29*'附表1-面积统计表'!$F$5,2),"请手工填写")))</f>
        <v>534458.14</v>
      </c>
      <c r="X107" s="156" t="str">
        <f>IF(SUM('附表1-面积统计表'!$D$6)=0,"",SUM(T107)-SUM(W107)-SUM(Y107))</f>
        <v/>
      </c>
      <c r="Y107" s="156">
        <f>IF(SUM('附表1-面积统计表'!$D$6)=0,SUM(T107)-SUM(W107),IF('附表1-面积统计表'!$D$29=0,"",IF(AND(V107="共同成本费用",Z107="总建筑面积法"),ROUND(T107/'附表1-面积统计表'!$D$29*'附表1-面积统计表'!$D$7,2),IF(AND(V107="共同成本费用",Z107="可售建筑面积法"),ROUND(T107/'附表1-面积统计表'!$F$29*'附表1-面积统计表'!$F$7,2),"请手工填写"))))</f>
        <v>0</v>
      </c>
      <c r="Z107" s="157" t="s">
        <v>251</v>
      </c>
      <c r="AA107" s="145"/>
      <c r="AB107" s="158" t="s">
        <v>905</v>
      </c>
      <c r="AE107" s="169" t="s">
        <v>1340</v>
      </c>
      <c r="AF107" s="169">
        <v>534458.14</v>
      </c>
      <c r="AG107" s="105">
        <f t="shared" si="13"/>
        <v>0</v>
      </c>
    </row>
    <row r="108" s="105" customFormat="1" ht="13" customHeight="1" spans="1:33">
      <c r="A108" s="139">
        <v>102</v>
      </c>
      <c r="B108" s="240" t="s">
        <v>1341</v>
      </c>
      <c r="C108" s="99">
        <v>12</v>
      </c>
      <c r="D108" s="142" t="s">
        <v>945</v>
      </c>
      <c r="E108" s="143" t="s">
        <v>1066</v>
      </c>
      <c r="F108" s="170" t="s">
        <v>1342</v>
      </c>
      <c r="G108" s="99"/>
      <c r="H108" s="145" t="str">
        <f>IF(G108="","",VLOOKUP(G108,'附表8-合同明细采集底稿'!B:I,2,0))</f>
        <v/>
      </c>
      <c r="I108" s="146" t="str">
        <f>IF(G108="","",VLOOKUP(G108,'附表8-合同明细采集底稿'!B:I,3,0))</f>
        <v/>
      </c>
      <c r="J108" s="242" t="s">
        <v>21</v>
      </c>
      <c r="K108" s="147" t="s">
        <v>958</v>
      </c>
      <c r="L108" s="243"/>
      <c r="M108" s="99"/>
      <c r="N108" s="151">
        <v>16033.74</v>
      </c>
      <c r="O108" s="151">
        <v>16033.74</v>
      </c>
      <c r="P108" s="172">
        <v>16033.74</v>
      </c>
      <c r="Q108" s="151"/>
      <c r="R108" s="151">
        <f t="shared" si="6"/>
        <v>16033.74</v>
      </c>
      <c r="S108" s="153">
        <f>IFERROR(VLOOKUP(G108,'附表8-合同明细采集底稿'!B:M,12,0),100%)</f>
        <v>1</v>
      </c>
      <c r="T108" s="154">
        <f t="shared" si="7"/>
        <v>16033.74</v>
      </c>
      <c r="U108" s="145"/>
      <c r="V108" s="155" t="s">
        <v>276</v>
      </c>
      <c r="W108" s="156">
        <f>IF('附表1-面积统计表'!$D$29=0,"",IF(AND(V108="共同成本费用",Z108="总建筑面积法"),ROUND(T108/'附表1-面积统计表'!$D$29*'附表1-面积统计表'!$D$5,2),IF(AND(V108="共同成本费用",Z108="可售建筑面积法"),ROUND(T108/'附表1-面积统计表'!$F$29*'附表1-面积统计表'!$F$5,2),"请手工填写")))</f>
        <v>16033.74</v>
      </c>
      <c r="X108" s="156" t="str">
        <f>IF(SUM('附表1-面积统计表'!$D$6)=0,"",SUM(T108)-SUM(W108)-SUM(Y108))</f>
        <v/>
      </c>
      <c r="Y108" s="156">
        <f>IF(SUM('附表1-面积统计表'!$D$6)=0,SUM(T108)-SUM(W108),IF('附表1-面积统计表'!$D$29=0,"",IF(AND(V108="共同成本费用",Z108="总建筑面积法"),ROUND(T108/'附表1-面积统计表'!$D$29*'附表1-面积统计表'!$D$7,2),IF(AND(V108="共同成本费用",Z108="可售建筑面积法"),ROUND(T108/'附表1-面积统计表'!$F$29*'附表1-面积统计表'!$F$7,2),"请手工填写"))))</f>
        <v>0</v>
      </c>
      <c r="Z108" s="157" t="s">
        <v>251</v>
      </c>
      <c r="AA108" s="145"/>
      <c r="AB108" s="158" t="s">
        <v>905</v>
      </c>
      <c r="AE108" s="159"/>
      <c r="AF108" s="159">
        <v>16033.74</v>
      </c>
      <c r="AG108" s="105">
        <f t="shared" si="13"/>
        <v>0</v>
      </c>
    </row>
    <row r="109" s="105" customFormat="1" ht="13" customHeight="1" spans="1:33">
      <c r="A109" s="139">
        <v>103</v>
      </c>
      <c r="B109" s="240" t="s">
        <v>1343</v>
      </c>
      <c r="C109" s="99">
        <v>18</v>
      </c>
      <c r="D109" s="142" t="s">
        <v>945</v>
      </c>
      <c r="E109" s="143" t="s">
        <v>1052</v>
      </c>
      <c r="F109" s="170" t="s">
        <v>1344</v>
      </c>
      <c r="G109" s="99" t="s">
        <v>1248</v>
      </c>
      <c r="H109" s="145" t="str">
        <f>IF(G109="","",VLOOKUP(G109,'附表8-合同明细采集底稿'!B:I,2,0))</f>
        <v>春和景苑弱电及弱电管道、道闸、单元人脸识别、楼宇可视</v>
      </c>
      <c r="I109" s="146" t="str">
        <f>IF(G109="","",VLOOKUP(G109,'附表8-合同明细采集底稿'!B:I,3,0))</f>
        <v>建设工程合同</v>
      </c>
      <c r="J109" s="145" t="str">
        <f>IF(G109="","",VLOOKUP(G109,'附表8-合同明细采集底稿'!B:I,4,0))</f>
        <v>巴州青橄榄电子科技有限公司（党曌）</v>
      </c>
      <c r="K109" s="147" t="s">
        <v>902</v>
      </c>
      <c r="L109" s="99" t="s">
        <v>1345</v>
      </c>
      <c r="M109" s="99" t="s">
        <v>1346</v>
      </c>
      <c r="N109" s="151">
        <v>-1980.2</v>
      </c>
      <c r="O109" s="151">
        <v>18301.5</v>
      </c>
      <c r="P109" s="172">
        <v>-1980.2</v>
      </c>
      <c r="Q109" s="151"/>
      <c r="R109" s="151">
        <f t="shared" si="6"/>
        <v>-1980.2</v>
      </c>
      <c r="S109" s="153">
        <f>IFERROR(VLOOKUP(G109,'附表8-合同明细采集底稿'!B:M,12,0),100%)</f>
        <v>1</v>
      </c>
      <c r="T109" s="154">
        <f t="shared" si="7"/>
        <v>-1980.2</v>
      </c>
      <c r="U109" s="145"/>
      <c r="V109" s="155" t="s">
        <v>276</v>
      </c>
      <c r="W109" s="156">
        <f>IF('附表1-面积统计表'!$D$29=0,"",IF(AND(V109="共同成本费用",Z109="总建筑面积法"),ROUND(T109/'附表1-面积统计表'!$D$29*'附表1-面积统计表'!$D$5,2),IF(AND(V109="共同成本费用",Z109="可售建筑面积法"),ROUND(T109/'附表1-面积统计表'!$F$29*'附表1-面积统计表'!$F$5,2),"请手工填写")))</f>
        <v>-1980.2</v>
      </c>
      <c r="X109" s="156" t="str">
        <f>IF(SUM('附表1-面积统计表'!$D$6)=0,"",SUM(T109)-SUM(W109)-SUM(Y109))</f>
        <v/>
      </c>
      <c r="Y109" s="156">
        <f>IF(SUM('附表1-面积统计表'!$D$6)=0,SUM(T109)-SUM(W109),IF('附表1-面积统计表'!$D$29=0,"",IF(AND(V109="共同成本费用",Z109="总建筑面积法"),ROUND(T109/'附表1-面积统计表'!$D$29*'附表1-面积统计表'!$D$7,2),IF(AND(V109="共同成本费用",Z109="可售建筑面积法"),ROUND(T109/'附表1-面积统计表'!$F$29*'附表1-面积统计表'!$F$7,2),"请手工填写"))))</f>
        <v>0</v>
      </c>
      <c r="Z109" s="157" t="s">
        <v>251</v>
      </c>
      <c r="AA109" s="145"/>
      <c r="AB109" s="158" t="s">
        <v>905</v>
      </c>
      <c r="AC109" s="105" t="s">
        <v>911</v>
      </c>
      <c r="AE109" s="159"/>
      <c r="AF109" s="159">
        <v>-1980.2</v>
      </c>
      <c r="AG109" s="105">
        <f t="shared" si="13"/>
        <v>0</v>
      </c>
    </row>
    <row r="110" s="105" customFormat="1" ht="13" customHeight="1" spans="1:33">
      <c r="A110" s="139">
        <v>104</v>
      </c>
      <c r="B110" s="240" t="s">
        <v>1347</v>
      </c>
      <c r="C110" s="99">
        <v>59</v>
      </c>
      <c r="D110" s="142" t="s">
        <v>898</v>
      </c>
      <c r="E110" s="143" t="s">
        <v>899</v>
      </c>
      <c r="F110" s="170" t="s">
        <v>1348</v>
      </c>
      <c r="G110" s="99"/>
      <c r="H110" s="145" t="str">
        <f>IF(G110="","",VLOOKUP(G110,'附表8-合同明细采集底稿'!B:I,2,0))</f>
        <v/>
      </c>
      <c r="I110" s="146" t="str">
        <f>IF(G110="","",VLOOKUP(G110,'附表8-合同明细采集底稿'!B:I,3,0))</f>
        <v/>
      </c>
      <c r="J110" s="145" t="str">
        <f>IF(G110="","",VLOOKUP(G110,'附表8-合同明细采集底稿'!B:I,4,0))</f>
        <v/>
      </c>
      <c r="K110" s="147" t="s">
        <v>958</v>
      </c>
      <c r="L110" s="99"/>
      <c r="M110" s="99"/>
      <c r="N110" s="151">
        <v>-17018.4</v>
      </c>
      <c r="O110" s="151">
        <v>0</v>
      </c>
      <c r="P110" s="172">
        <v>-17018.4</v>
      </c>
      <c r="Q110" s="151"/>
      <c r="R110" s="151">
        <f t="shared" si="6"/>
        <v>-17018.4</v>
      </c>
      <c r="S110" s="153">
        <f>IFERROR(VLOOKUP(G110,'附表8-合同明细采集底稿'!B:M,12,0),100%)</f>
        <v>1</v>
      </c>
      <c r="T110" s="154">
        <f t="shared" si="7"/>
        <v>-17018.4</v>
      </c>
      <c r="U110" s="145"/>
      <c r="V110" s="155" t="s">
        <v>276</v>
      </c>
      <c r="W110" s="156">
        <f>IF('附表1-面积统计表'!$D$29=0,"",IF(AND(V110="共同成本费用",Z110="总建筑面积法"),ROUND(T110/'附表1-面积统计表'!$D$29*'附表1-面积统计表'!$D$5,2),IF(AND(V110="共同成本费用",Z110="可售建筑面积法"),ROUND(T110/'附表1-面积统计表'!$F$29*'附表1-面积统计表'!$F$5,2),"请手工填写")))</f>
        <v>-17018.4</v>
      </c>
      <c r="X110" s="156" t="str">
        <f>IF(SUM('附表1-面积统计表'!$D$6)=0,"",SUM(T110)-SUM(W110)-SUM(Y110))</f>
        <v/>
      </c>
      <c r="Y110" s="156">
        <f>IF(SUM('附表1-面积统计表'!$D$6)=0,SUM(T110)-SUM(W110),IF('附表1-面积统计表'!$D$29=0,"",IF(AND(V110="共同成本费用",Z110="总建筑面积法"),ROUND(T110/'附表1-面积统计表'!$D$29*'附表1-面积统计表'!$D$7,2),IF(AND(V110="共同成本费用",Z110="可售建筑面积法"),ROUND(T110/'附表1-面积统计表'!$F$29*'附表1-面积统计表'!$F$7,2),"请手工填写"))))</f>
        <v>0</v>
      </c>
      <c r="Z110" s="157" t="s">
        <v>251</v>
      </c>
      <c r="AA110" s="145"/>
      <c r="AB110" s="158" t="s">
        <v>905</v>
      </c>
      <c r="AE110" s="159"/>
      <c r="AF110" s="159">
        <v>-17018.4</v>
      </c>
      <c r="AG110" s="105">
        <f t="shared" si="13"/>
        <v>0</v>
      </c>
    </row>
    <row r="111" s="105" customFormat="1" ht="13" customHeight="1" spans="1:33">
      <c r="A111" s="139">
        <v>105</v>
      </c>
      <c r="B111" s="240" t="s">
        <v>1349</v>
      </c>
      <c r="C111" s="99">
        <v>35</v>
      </c>
      <c r="D111" s="142" t="s">
        <v>966</v>
      </c>
      <c r="E111" s="143" t="s">
        <v>980</v>
      </c>
      <c r="F111" s="170" t="s">
        <v>1350</v>
      </c>
      <c r="G111" s="99" t="s">
        <v>982</v>
      </c>
      <c r="H111" s="145" t="str">
        <f>IF(G111="","",VLOOKUP(G111,'附表8-合同明细采集底稿'!B:I,2,0))</f>
        <v>春和景苑1、2、3#住宅楼施工协议</v>
      </c>
      <c r="I111" s="146" t="str">
        <f>IF(G111="","",VLOOKUP(G111,'附表8-合同明细采集底稿'!B:I,3,0))</f>
        <v>建设工程合同</v>
      </c>
      <c r="J111" s="145" t="str">
        <f>IF(G111="","",VLOOKUP(G111,'附表8-合同明细采集底稿'!B:I,4,0))</f>
        <v>新疆正杰建筑集团有限公司（许兴德）</v>
      </c>
      <c r="K111" s="147" t="s">
        <v>902</v>
      </c>
      <c r="L111" s="99"/>
      <c r="M111" s="99" t="s">
        <v>1351</v>
      </c>
      <c r="N111" s="151">
        <v>458715.6</v>
      </c>
      <c r="O111" s="151">
        <f>ROUND(N111*1.09,2)</f>
        <v>500000</v>
      </c>
      <c r="P111" s="172">
        <v>458715.6</v>
      </c>
      <c r="Q111" s="151"/>
      <c r="R111" s="151">
        <f t="shared" si="6"/>
        <v>458715.6</v>
      </c>
      <c r="S111" s="153">
        <f>IFERROR(VLOOKUP(G111,'附表8-合同明细采集底稿'!B:M,12,0),100%)</f>
        <v>1</v>
      </c>
      <c r="T111" s="154">
        <f t="shared" si="7"/>
        <v>458715.6</v>
      </c>
      <c r="U111" s="145"/>
      <c r="V111" s="155" t="s">
        <v>276</v>
      </c>
      <c r="W111" s="156">
        <f>IF('附表1-面积统计表'!$D$29=0,"",IF(AND(V111="共同成本费用",Z111="总建筑面积法"),ROUND(T111/'附表1-面积统计表'!$D$29*'附表1-面积统计表'!$D$5,2),IF(AND(V111="共同成本费用",Z111="可售建筑面积法"),ROUND(T111/'附表1-面积统计表'!$F$29*'附表1-面积统计表'!$F$5,2),"请手工填写")))</f>
        <v>458715.6</v>
      </c>
      <c r="X111" s="156" t="str">
        <f>IF(SUM('附表1-面积统计表'!$D$6)=0,"",SUM(T111)-SUM(W111)-SUM(Y111))</f>
        <v/>
      </c>
      <c r="Y111" s="156">
        <f>IF(SUM('附表1-面积统计表'!$D$6)=0,SUM(T111)-SUM(W111),IF('附表1-面积统计表'!$D$29=0,"",IF(AND(V111="共同成本费用",Z111="总建筑面积法"),ROUND(T111/'附表1-面积统计表'!$D$29*'附表1-面积统计表'!$D$7,2),IF(AND(V111="共同成本费用",Z111="可售建筑面积法"),ROUND(T111/'附表1-面积统计表'!$F$29*'附表1-面积统计表'!$F$7,2),"请手工填写"))))</f>
        <v>0</v>
      </c>
      <c r="Z111" s="157" t="s">
        <v>251</v>
      </c>
      <c r="AA111" s="145"/>
      <c r="AB111" s="158" t="s">
        <v>905</v>
      </c>
      <c r="AE111" s="159"/>
      <c r="AF111" s="159">
        <v>458715.6</v>
      </c>
      <c r="AG111" s="105">
        <f t="shared" si="13"/>
        <v>0</v>
      </c>
    </row>
    <row r="112" s="105" customFormat="1" ht="13" customHeight="1" spans="1:33">
      <c r="A112" s="139">
        <v>106</v>
      </c>
      <c r="B112" s="240" t="s">
        <v>1352</v>
      </c>
      <c r="C112" s="99">
        <v>71</v>
      </c>
      <c r="D112" s="142" t="s">
        <v>966</v>
      </c>
      <c r="E112" s="143" t="s">
        <v>980</v>
      </c>
      <c r="F112" s="170" t="s">
        <v>1353</v>
      </c>
      <c r="G112" s="99" t="s">
        <v>982</v>
      </c>
      <c r="H112" s="145" t="str">
        <f>IF(G112="","",VLOOKUP(G112,'附表8-合同明细采集底稿'!B:I,2,0))</f>
        <v>春和景苑1、2、3#住宅楼施工协议</v>
      </c>
      <c r="I112" s="146" t="str">
        <f>IF(G112="","",VLOOKUP(G112,'附表8-合同明细采集底稿'!B:I,3,0))</f>
        <v>建设工程合同</v>
      </c>
      <c r="J112" s="145" t="str">
        <f>IF(G112="","",VLOOKUP(G112,'附表8-合同明细采集底稿'!B:I,4,0))</f>
        <v>新疆正杰建筑集团有限公司（许兴德）</v>
      </c>
      <c r="K112" s="147" t="s">
        <v>902</v>
      </c>
      <c r="L112" s="244"/>
      <c r="M112" s="99" t="s">
        <v>1354</v>
      </c>
      <c r="N112" s="151">
        <v>453971.56</v>
      </c>
      <c r="O112" s="151">
        <f>ROUND(N112*1.09,2)</f>
        <v>494829</v>
      </c>
      <c r="P112" s="172">
        <v>453971.56</v>
      </c>
      <c r="Q112" s="151"/>
      <c r="R112" s="151">
        <f t="shared" si="6"/>
        <v>453971.56</v>
      </c>
      <c r="S112" s="153">
        <f>IFERROR(VLOOKUP(G112,'附表8-合同明细采集底稿'!B:M,12,0),100%)</f>
        <v>1</v>
      </c>
      <c r="T112" s="154">
        <f t="shared" si="7"/>
        <v>453971.56</v>
      </c>
      <c r="U112" s="145"/>
      <c r="V112" s="155" t="s">
        <v>276</v>
      </c>
      <c r="W112" s="156">
        <f>IF('附表1-面积统计表'!$D$29=0,"",IF(AND(V112="共同成本费用",Z112="总建筑面积法"),ROUND(T112/'附表1-面积统计表'!$D$29*'附表1-面积统计表'!$D$5,2),IF(AND(V112="共同成本费用",Z112="可售建筑面积法"),ROUND(T112/'附表1-面积统计表'!$F$29*'附表1-面积统计表'!$F$5,2),"请手工填写")))</f>
        <v>453971.56</v>
      </c>
      <c r="X112" s="156" t="str">
        <f>IF(SUM('附表1-面积统计表'!$D$6)=0,"",SUM(T112)-SUM(W112)-SUM(Y112))</f>
        <v/>
      </c>
      <c r="Y112" s="156">
        <f>IF(SUM('附表1-面积统计表'!$D$6)=0,SUM(T112)-SUM(W112),IF('附表1-面积统计表'!$D$29=0,"",IF(AND(V112="共同成本费用",Z112="总建筑面积法"),ROUND(T112/'附表1-面积统计表'!$D$29*'附表1-面积统计表'!$D$7,2),IF(AND(V112="共同成本费用",Z112="可售建筑面积法"),ROUND(T112/'附表1-面积统计表'!$F$29*'附表1-面积统计表'!$F$7,2),"请手工填写"))))</f>
        <v>0</v>
      </c>
      <c r="Z112" s="157" t="s">
        <v>251</v>
      </c>
      <c r="AA112" s="145"/>
      <c r="AB112" s="158" t="s">
        <v>905</v>
      </c>
      <c r="AE112" s="159"/>
      <c r="AF112" s="159">
        <v>453971.56</v>
      </c>
      <c r="AG112" s="105">
        <f t="shared" si="13"/>
        <v>0</v>
      </c>
    </row>
    <row r="113" s="105" customFormat="1" ht="13" customHeight="1" spans="1:33">
      <c r="A113" s="139">
        <v>107</v>
      </c>
      <c r="B113" s="240" t="s">
        <v>1355</v>
      </c>
      <c r="C113" s="99">
        <v>12</v>
      </c>
      <c r="D113" s="142" t="s">
        <v>945</v>
      </c>
      <c r="E113" s="143" t="s">
        <v>1019</v>
      </c>
      <c r="F113" s="170" t="s">
        <v>1356</v>
      </c>
      <c r="G113" s="99" t="s">
        <v>1357</v>
      </c>
      <c r="H113" s="145" t="str">
        <f>IF(G113="","",VLOOKUP(G113,'附表8-合同明细采集底稿'!B:I,2,0))</f>
        <v>春和景苑智慧小区设备采购合同</v>
      </c>
      <c r="I113" s="146" t="str">
        <f>IF(G113="","",VLOOKUP(G113,'附表8-合同明细采集底稿'!B:I,3,0))</f>
        <v>建设工程合同</v>
      </c>
      <c r="J113" s="145" t="str">
        <f>IF(G113="","",VLOOKUP(G113,'附表8-合同明细采集底稿'!B:I,4,0))</f>
        <v>巴州香柏树电子科技有限公司</v>
      </c>
      <c r="K113" s="147" t="s">
        <v>902</v>
      </c>
      <c r="L113" s="244"/>
      <c r="M113" s="99" t="s">
        <v>1358</v>
      </c>
      <c r="N113" s="151">
        <v>19801.98</v>
      </c>
      <c r="O113" s="151">
        <v>20000</v>
      </c>
      <c r="P113" s="172">
        <v>19801.98</v>
      </c>
      <c r="Q113" s="151"/>
      <c r="R113" s="151">
        <f t="shared" si="6"/>
        <v>19801.98</v>
      </c>
      <c r="S113" s="153">
        <f>IFERROR(VLOOKUP(G113,'附表8-合同明细采集底稿'!B:M,12,0),100%)</f>
        <v>1</v>
      </c>
      <c r="T113" s="154">
        <f t="shared" si="7"/>
        <v>19801.98</v>
      </c>
      <c r="U113" s="145"/>
      <c r="V113" s="155" t="s">
        <v>276</v>
      </c>
      <c r="W113" s="156">
        <f>IF('附表1-面积统计表'!$D$29=0,"",IF(AND(V113="共同成本费用",Z113="总建筑面积法"),ROUND(T113/'附表1-面积统计表'!$D$29*'附表1-面积统计表'!$D$5,2),IF(AND(V113="共同成本费用",Z113="可售建筑面积法"),ROUND(T113/'附表1-面积统计表'!$F$29*'附表1-面积统计表'!$F$5,2),"请手工填写")))</f>
        <v>19801.98</v>
      </c>
      <c r="X113" s="156" t="str">
        <f>IF(SUM('附表1-面积统计表'!$D$6)=0,"",SUM(T113)-SUM(W113)-SUM(Y113))</f>
        <v/>
      </c>
      <c r="Y113" s="156">
        <f>IF(SUM('附表1-面积统计表'!$D$6)=0,SUM(T113)-SUM(W113),IF('附表1-面积统计表'!$D$29=0,"",IF(AND(V113="共同成本费用",Z113="总建筑面积法"),ROUND(T113/'附表1-面积统计表'!$D$29*'附表1-面积统计表'!$D$7,2),IF(AND(V113="共同成本费用",Z113="可售建筑面积法"),ROUND(T113/'附表1-面积统计表'!$F$29*'附表1-面积统计表'!$F$7,2),"请手工填写"))))</f>
        <v>0</v>
      </c>
      <c r="Z113" s="157" t="s">
        <v>251</v>
      </c>
      <c r="AA113" s="145"/>
      <c r="AB113" s="158" t="s">
        <v>905</v>
      </c>
      <c r="AE113" s="159" t="s">
        <v>1016</v>
      </c>
      <c r="AF113" s="159">
        <v>0</v>
      </c>
      <c r="AG113" s="105">
        <f t="shared" si="13"/>
        <v>19801.98</v>
      </c>
    </row>
    <row r="114" s="105" customFormat="1" ht="13" customHeight="1" spans="1:33">
      <c r="A114" s="139">
        <v>109</v>
      </c>
      <c r="B114" s="240">
        <v>45870</v>
      </c>
      <c r="C114" s="99" t="s">
        <v>425</v>
      </c>
      <c r="D114" s="142" t="s">
        <v>966</v>
      </c>
      <c r="E114" s="143" t="s">
        <v>1066</v>
      </c>
      <c r="F114" s="170" t="s">
        <v>1359</v>
      </c>
      <c r="G114" s="99" t="s">
        <v>1360</v>
      </c>
      <c r="H114" s="145" t="str">
        <f>IF(G114="","",VLOOKUP(G114,'附表8-合同明细采集底稿'!B:I,2,0))</f>
        <v>土方工程专业承包合同</v>
      </c>
      <c r="I114" s="146" t="str">
        <f>IF(G114="","",VLOOKUP(G114,'附表8-合同明细采集底稿'!B:I,3,0))</f>
        <v>建设工程合同</v>
      </c>
      <c r="J114" s="145" t="str">
        <f>IF(G114="","",VLOOKUP(G114,'附表8-合同明细采集底稿'!B:I,4,0))</f>
        <v>新疆通力建设集团股份有限公司</v>
      </c>
      <c r="K114" s="147" t="s">
        <v>902</v>
      </c>
      <c r="L114" s="244"/>
      <c r="M114" s="99" t="s">
        <v>1361</v>
      </c>
      <c r="N114" s="151">
        <f>4000000/1.09</f>
        <v>3669724.7706422</v>
      </c>
      <c r="O114" s="151">
        <v>4600399.05</v>
      </c>
      <c r="P114" s="168">
        <f>4225860.96-P115</f>
        <v>3770799.53</v>
      </c>
      <c r="Q114" s="151"/>
      <c r="R114" s="151">
        <f t="shared" si="6"/>
        <v>3770799.53</v>
      </c>
      <c r="S114" s="153">
        <v>1</v>
      </c>
      <c r="T114" s="154">
        <f t="shared" si="7"/>
        <v>3770799.53</v>
      </c>
      <c r="U114" s="145"/>
      <c r="V114" s="155" t="s">
        <v>276</v>
      </c>
      <c r="W114" s="156">
        <f>IF('附表1-面积统计表'!$D$29=0,"",IF(AND(V114="共同成本费用",Z114="总建筑面积法"),ROUND(T114/'附表1-面积统计表'!$D$29*'附表1-面积统计表'!$D$5,2),IF(AND(V114="共同成本费用",Z114="可售建筑面积法"),ROUND(T114/'附表1-面积统计表'!$F$29*'附表1-面积统计表'!$F$5,2),"请手工填写")))</f>
        <v>3770799.53</v>
      </c>
      <c r="X114" s="156" t="str">
        <f>IF(SUM('附表1-面积统计表'!$D$6)=0,"",SUM(T114)-SUM(W114)-SUM(Y114))</f>
        <v/>
      </c>
      <c r="Y114" s="156">
        <f>IF(SUM('附表1-面积统计表'!$D$6)=0,SUM(T114)-SUM(W114),IF('附表1-面积统计表'!$D$29=0,"",IF(AND(V114="共同成本费用",Z114="总建筑面积法"),ROUND(T114/'附表1-面积统计表'!$D$29*'附表1-面积统计表'!$D$7,2),IF(AND(V114="共同成本费用",Z114="可售建筑面积法"),ROUND(T114/'附表1-面积统计表'!$F$29*'附表1-面积统计表'!$F$7,2),"请手工填写"))))</f>
        <v>0</v>
      </c>
      <c r="Z114" s="157" t="s">
        <v>251</v>
      </c>
      <c r="AA114" s="145"/>
      <c r="AB114" s="158" t="s">
        <v>905</v>
      </c>
      <c r="AC114" s="105" t="s">
        <v>1362</v>
      </c>
      <c r="AE114" s="159" t="s">
        <v>1363</v>
      </c>
      <c r="AF114" s="159">
        <v>4220549.59</v>
      </c>
      <c r="AG114" s="105">
        <f t="shared" si="13"/>
        <v>-449750.06</v>
      </c>
    </row>
    <row r="115" s="105" customFormat="1" ht="13" customHeight="1" spans="1:33">
      <c r="A115" s="139">
        <v>109</v>
      </c>
      <c r="B115" s="240">
        <v>45870</v>
      </c>
      <c r="C115" s="99" t="s">
        <v>425</v>
      </c>
      <c r="D115" s="142" t="s">
        <v>966</v>
      </c>
      <c r="E115" s="143" t="s">
        <v>1066</v>
      </c>
      <c r="F115" s="170" t="s">
        <v>1359</v>
      </c>
      <c r="G115" s="99" t="s">
        <v>1360</v>
      </c>
      <c r="H115" s="145" t="str">
        <f>IF(G115="","",VLOOKUP(G115,'附表8-合同明细采集底稿'!B:I,2,0))</f>
        <v>土方工程专业承包合同</v>
      </c>
      <c r="I115" s="146" t="str">
        <f>IF(G115="","",VLOOKUP(G115,'附表8-合同明细采集底稿'!B:I,3,0))</f>
        <v>建设工程合同</v>
      </c>
      <c r="J115" s="145" t="str">
        <f>IF(G115="","",VLOOKUP(G115,'附表8-合同明细采集底稿'!B:I,4,0))</f>
        <v>新疆通力建设集团股份有限公司</v>
      </c>
      <c r="K115" s="147" t="s">
        <v>902</v>
      </c>
      <c r="L115" s="244"/>
      <c r="M115" s="99" t="s">
        <v>1361</v>
      </c>
      <c r="N115" s="151">
        <f>4220549.59-N114</f>
        <v>550824.8193578</v>
      </c>
      <c r="O115" s="151">
        <v>4600399.05</v>
      </c>
      <c r="P115" s="245">
        <v>455061.43</v>
      </c>
      <c r="Q115" s="151"/>
      <c r="R115" s="151">
        <f t="shared" si="6"/>
        <v>455061.43</v>
      </c>
      <c r="S115" s="153">
        <f>'附表8-合同明细采集底稿'!M35</f>
        <v>0.725945981401044</v>
      </c>
      <c r="T115" s="154">
        <f t="shared" si="7"/>
        <v>330350.02</v>
      </c>
      <c r="U115" s="145"/>
      <c r="V115" s="155" t="s">
        <v>276</v>
      </c>
      <c r="W115" s="156">
        <f>IF('附表1-面积统计表'!$D$29=0,"",IF(AND(V115="共同成本费用",Z115="总建筑面积法"),ROUND(T115/'附表1-面积统计表'!$D$29*'附表1-面积统计表'!$D$5,2),IF(AND(V115="共同成本费用",Z115="可售建筑面积法"),ROUND(T115/'附表1-面积统计表'!$F$29*'附表1-面积统计表'!$F$5,2),"请手工填写")))</f>
        <v>330350.02</v>
      </c>
      <c r="X115" s="156" t="str">
        <f>IF(SUM('附表1-面积统计表'!$D$6)=0,"",SUM(T115)-SUM(W115)-SUM(Y115))</f>
        <v/>
      </c>
      <c r="Y115" s="156">
        <f>IF(SUM('附表1-面积统计表'!$D$6)=0,SUM(T115)-SUM(W115),IF('附表1-面积统计表'!$D$29=0,"",IF(AND(V115="共同成本费用",Z115="总建筑面积法"),ROUND(T115/'附表1-面积统计表'!$D$29*'附表1-面积统计表'!$D$7,2),IF(AND(V115="共同成本费用",Z115="可售建筑面积法"),ROUND(T115/'附表1-面积统计表'!$F$29*'附表1-面积统计表'!$F$7,2),"请手工填写"))))</f>
        <v>0</v>
      </c>
      <c r="Z115" s="157" t="s">
        <v>251</v>
      </c>
      <c r="AA115" s="145"/>
      <c r="AB115" s="158" t="s">
        <v>905</v>
      </c>
      <c r="AC115" s="105" t="s">
        <v>1362</v>
      </c>
      <c r="AE115" s="159" t="s">
        <v>1363</v>
      </c>
      <c r="AF115" s="159">
        <v>4220549.59</v>
      </c>
      <c r="AG115" s="105">
        <f t="shared" si="13"/>
        <v>-3890199.57</v>
      </c>
    </row>
    <row r="116" s="105" customFormat="1" ht="13" customHeight="1" spans="1:33">
      <c r="A116" s="139">
        <v>110</v>
      </c>
      <c r="B116" s="240">
        <v>45870</v>
      </c>
      <c r="C116" s="99" t="s">
        <v>1364</v>
      </c>
      <c r="D116" s="142" t="s">
        <v>966</v>
      </c>
      <c r="E116" s="143" t="s">
        <v>980</v>
      </c>
      <c r="F116" s="170" t="s">
        <v>1365</v>
      </c>
      <c r="G116" s="99" t="s">
        <v>982</v>
      </c>
      <c r="H116" s="145" t="str">
        <f>IF(G116="","",VLOOKUP(G116,'附表8-合同明细采集底稿'!B:I,2,0))</f>
        <v>春和景苑1、2、3#住宅楼施工协议</v>
      </c>
      <c r="I116" s="146" t="str">
        <f>IF(G116="","",VLOOKUP(G116,'附表8-合同明细采集底稿'!B:I,3,0))</f>
        <v>建设工程合同</v>
      </c>
      <c r="J116" s="145" t="str">
        <f>IF(G116="","",VLOOKUP(G116,'附表8-合同明细采集底稿'!B:I,4,0))</f>
        <v>新疆正杰建筑集团有限公司（许兴德）</v>
      </c>
      <c r="K116" s="147" t="s">
        <v>958</v>
      </c>
      <c r="L116" s="244"/>
      <c r="M116" s="99"/>
      <c r="N116" s="151">
        <v>0</v>
      </c>
      <c r="O116" s="151">
        <v>0</v>
      </c>
      <c r="P116" s="172"/>
      <c r="Q116" s="151"/>
      <c r="R116" s="151">
        <f t="shared" si="6"/>
        <v>0</v>
      </c>
      <c r="S116" s="153">
        <f>IFERROR(VLOOKUP(G116,'附表8-合同明细采集底稿'!B:M,12,0),100%)</f>
        <v>1</v>
      </c>
      <c r="T116" s="154">
        <f t="shared" si="7"/>
        <v>0</v>
      </c>
      <c r="U116" s="145"/>
      <c r="V116" s="155" t="s">
        <v>276</v>
      </c>
      <c r="W116" s="156">
        <f>IF('附表1-面积统计表'!$D$29=0,"",IF(AND(V116="共同成本费用",Z116="总建筑面积法"),ROUND(T116/'附表1-面积统计表'!$D$29*'附表1-面积统计表'!$D$5,2),IF(AND(V116="共同成本费用",Z116="可售建筑面积法"),ROUND(T116/'附表1-面积统计表'!$F$29*'附表1-面积统计表'!$F$5,2),"请手工填写")))</f>
        <v>0</v>
      </c>
      <c r="X116" s="156" t="str">
        <f>IF(SUM('附表1-面积统计表'!$D$6)=0,"",SUM(T116)-SUM(W116)-SUM(Y116))</f>
        <v/>
      </c>
      <c r="Y116" s="156">
        <f>IF(SUM('附表1-面积统计表'!$D$6)=0,SUM(T116)-SUM(W116),IF('附表1-面积统计表'!$D$29=0,"",IF(AND(V116="共同成本费用",Z116="总建筑面积法"),ROUND(T116/'附表1-面积统计表'!$D$29*'附表1-面积统计表'!$D$7,2),IF(AND(V116="共同成本费用",Z116="可售建筑面积法"),ROUND(T116/'附表1-面积统计表'!$F$29*'附表1-面积统计表'!$F$7,2),"请手工填写"))))</f>
        <v>0</v>
      </c>
      <c r="Z116" s="157" t="s">
        <v>251</v>
      </c>
      <c r="AA116" s="145"/>
      <c r="AB116" s="158" t="s">
        <v>905</v>
      </c>
      <c r="AE116" s="169" t="s">
        <v>1366</v>
      </c>
      <c r="AF116" s="169">
        <v>0</v>
      </c>
      <c r="AG116" s="105">
        <f t="shared" si="13"/>
        <v>0</v>
      </c>
    </row>
    <row r="117" s="105" customFormat="1" ht="13" customHeight="1" spans="1:33">
      <c r="A117" s="139">
        <v>111</v>
      </c>
      <c r="B117" s="240">
        <v>45870</v>
      </c>
      <c r="C117" s="99" t="s">
        <v>1364</v>
      </c>
      <c r="D117" s="142" t="s">
        <v>945</v>
      </c>
      <c r="E117" s="143" t="s">
        <v>1066</v>
      </c>
      <c r="F117" s="170" t="s">
        <v>1367</v>
      </c>
      <c r="G117" s="101" t="s">
        <v>1061</v>
      </c>
      <c r="H117" s="145" t="str">
        <f>IF(G117="","",VLOOKUP(G117,'附表8-合同明细采集底稿'!B:I,2,0))</f>
        <v>电气外网供货安装合同</v>
      </c>
      <c r="I117" s="146" t="str">
        <f>IF(G117="","",VLOOKUP(G117,'附表8-合同明细采集底稿'!B:I,3,0))</f>
        <v>建设工程合同</v>
      </c>
      <c r="J117" s="145" t="str">
        <f>IF(G117="","",VLOOKUP(G117,'附表8-合同明细采集底稿'!B:I,4,0))</f>
        <v>新疆拓宇电力建设工程有限公司何永权</v>
      </c>
      <c r="K117" s="147" t="s">
        <v>958</v>
      </c>
      <c r="L117" s="244"/>
      <c r="M117" s="99"/>
      <c r="N117" s="151">
        <v>0</v>
      </c>
      <c r="O117" s="151">
        <v>0</v>
      </c>
      <c r="P117" s="172">
        <v>87325.508623853</v>
      </c>
      <c r="Q117" s="151"/>
      <c r="R117" s="151">
        <f t="shared" si="6"/>
        <v>87325.508623853</v>
      </c>
      <c r="S117" s="153">
        <f>IFERROR(VLOOKUP(G117,'附表8-合同明细采集底稿'!B:M,12,0),100%)</f>
        <v>1</v>
      </c>
      <c r="T117" s="154">
        <f t="shared" si="7"/>
        <v>87325.51</v>
      </c>
      <c r="U117" s="145"/>
      <c r="V117" s="155" t="s">
        <v>276</v>
      </c>
      <c r="W117" s="156">
        <f>IF('附表1-面积统计表'!$D$29=0,"",IF(AND(V117="共同成本费用",Z117="总建筑面积法"),ROUND(T117/'附表1-面积统计表'!$D$29*'附表1-面积统计表'!$D$5,2),IF(AND(V117="共同成本费用",Z117="可售建筑面积法"),ROUND(T117/'附表1-面积统计表'!$F$29*'附表1-面积统计表'!$F$5,2),"请手工填写")))</f>
        <v>87325.51</v>
      </c>
      <c r="X117" s="156" t="str">
        <f>IF(SUM('附表1-面积统计表'!$D$6)=0,"",SUM(T117)-SUM(W117)-SUM(Y117))</f>
        <v/>
      </c>
      <c r="Y117" s="156">
        <f>IF(SUM('附表1-面积统计表'!$D$6)=0,SUM(T117)-SUM(W117),IF('附表1-面积统计表'!$D$29=0,"",IF(AND(V117="共同成本费用",Z117="总建筑面积法"),ROUND(T117/'附表1-面积统计表'!$D$29*'附表1-面积统计表'!$D$7,2),IF(AND(V117="共同成本费用",Z117="可售建筑面积法"),ROUND(T117/'附表1-面积统计表'!$F$29*'附表1-面积统计表'!$F$7,2),"请手工填写"))))</f>
        <v>0</v>
      </c>
      <c r="Z117" s="157" t="s">
        <v>251</v>
      </c>
      <c r="AA117" s="145"/>
      <c r="AB117" s="158" t="s">
        <v>905</v>
      </c>
      <c r="AC117" s="105" t="s">
        <v>911</v>
      </c>
      <c r="AE117" s="159"/>
      <c r="AF117" s="159">
        <v>87325.51</v>
      </c>
      <c r="AG117" s="105">
        <f t="shared" si="13"/>
        <v>0</v>
      </c>
    </row>
    <row r="118" s="105" customFormat="1" ht="13" customHeight="1" spans="1:33">
      <c r="A118" s="139">
        <v>112</v>
      </c>
      <c r="B118" s="240">
        <v>45870</v>
      </c>
      <c r="C118" s="99" t="s">
        <v>455</v>
      </c>
      <c r="D118" s="142" t="s">
        <v>945</v>
      </c>
      <c r="E118" s="143" t="s">
        <v>1066</v>
      </c>
      <c r="F118" s="170" t="s">
        <v>1368</v>
      </c>
      <c r="G118" s="99" t="s">
        <v>1369</v>
      </c>
      <c r="H118" s="145" t="str">
        <f>IF(G118="","",VLOOKUP(G118,'附表8-合同明细采集底稿'!B:I,2,0))</f>
        <v>春和景苑附属配套设施工程专业承包合同</v>
      </c>
      <c r="I118" s="146" t="str">
        <f>IF(G118="","",VLOOKUP(G118,'附表8-合同明细采集底稿'!B:I,3,0))</f>
        <v>建设工程合同</v>
      </c>
      <c r="J118" s="145" t="str">
        <f>IF(G118="","",VLOOKUP(G118,'附表8-合同明细采集底稿'!B:I,4,0))</f>
        <v>新疆通力建设集团股份有限公司</v>
      </c>
      <c r="K118" s="147" t="s">
        <v>902</v>
      </c>
      <c r="L118" s="244"/>
      <c r="M118" s="99" t="s">
        <v>1370</v>
      </c>
      <c r="N118" s="151">
        <v>506792.09</v>
      </c>
      <c r="O118" s="151">
        <f>N118*1.09</f>
        <v>552403.3781</v>
      </c>
      <c r="P118" s="172">
        <v>506792.09</v>
      </c>
      <c r="Q118" s="151"/>
      <c r="R118" s="151">
        <f t="shared" si="6"/>
        <v>506792.09</v>
      </c>
      <c r="S118" s="153">
        <f>IFERROR(VLOOKUP(G118,'附表8-合同明细采集底稿'!B:M,12,0),100%)</f>
        <v>0.725945981401044</v>
      </c>
      <c r="T118" s="154">
        <f t="shared" si="7"/>
        <v>367903.68</v>
      </c>
      <c r="U118" s="145"/>
      <c r="V118" s="155" t="s">
        <v>276</v>
      </c>
      <c r="W118" s="156">
        <f>IF('附表1-面积统计表'!$D$29=0,"",IF(AND(V118="共同成本费用",Z118="总建筑面积法"),ROUND(T118/'附表1-面积统计表'!$D$29*'附表1-面积统计表'!$D$5,2),IF(AND(V118="共同成本费用",Z118="可售建筑面积法"),ROUND(T118/'附表1-面积统计表'!$F$29*'附表1-面积统计表'!$F$5,2),"请手工填写")))</f>
        <v>367903.68</v>
      </c>
      <c r="X118" s="156" t="str">
        <f>IF(SUM('附表1-面积统计表'!$D$6)=0,"",SUM(T118)-SUM(W118)-SUM(Y118))</f>
        <v/>
      </c>
      <c r="Y118" s="156">
        <f>IF(SUM('附表1-面积统计表'!$D$6)=0,SUM(T118)-SUM(W118),IF('附表1-面积统计表'!$D$29=0,"",IF(AND(V118="共同成本费用",Z118="总建筑面积法"),ROUND(T118/'附表1-面积统计表'!$D$29*'附表1-面积统计表'!$D$7,2),IF(AND(V118="共同成本费用",Z118="可售建筑面积法"),ROUND(T118/'附表1-面积统计表'!$F$29*'附表1-面积统计表'!$F$7,2),"请手工填写"))))</f>
        <v>0</v>
      </c>
      <c r="Z118" s="157" t="s">
        <v>251</v>
      </c>
      <c r="AA118" s="145"/>
      <c r="AB118" s="158" t="s">
        <v>905</v>
      </c>
      <c r="AC118" s="105" t="s">
        <v>911</v>
      </c>
      <c r="AE118" s="159"/>
      <c r="AF118" s="159">
        <v>506792.09</v>
      </c>
      <c r="AG118" s="105">
        <f t="shared" si="13"/>
        <v>-138888.41</v>
      </c>
    </row>
    <row r="119" s="107" customFormat="1" ht="13" customHeight="1" spans="1:33">
      <c r="A119" s="173">
        <v>113</v>
      </c>
      <c r="B119" s="239">
        <v>45870</v>
      </c>
      <c r="C119" s="178" t="s">
        <v>460</v>
      </c>
      <c r="D119" s="176" t="s">
        <v>945</v>
      </c>
      <c r="E119" s="177" t="s">
        <v>1066</v>
      </c>
      <c r="F119" s="175" t="s">
        <v>1371</v>
      </c>
      <c r="G119" s="180" t="s">
        <v>1335</v>
      </c>
      <c r="H119" s="179" t="str">
        <f>IF(G119="","",VLOOKUP(G119,'附表8-合同明细采集底稿'!B:I,2,0))</f>
        <v>春和景苑绿化种植</v>
      </c>
      <c r="I119" s="180" t="str">
        <f>IF(G119="","",VLOOKUP(G119,'附表8-合同明细采集底稿'!B:I,3,0))</f>
        <v>建设工程合同</v>
      </c>
      <c r="J119" s="179" t="str">
        <f>IF(G119="","",VLOOKUP(G119,'附表8-合同明细采集底稿'!B:I,4,0))</f>
        <v>巴州绿叶园林工程有限责任公司（谢辞）</v>
      </c>
      <c r="K119" s="179" t="s">
        <v>902</v>
      </c>
      <c r="L119" s="178"/>
      <c r="M119" s="178" t="s">
        <v>1372</v>
      </c>
      <c r="N119" s="182">
        <v>19501.68</v>
      </c>
      <c r="O119" s="182">
        <v>21256.83</v>
      </c>
      <c r="P119" s="246">
        <v>19501.68</v>
      </c>
      <c r="Q119" s="182"/>
      <c r="R119" s="182"/>
      <c r="S119" s="184">
        <f>IFERROR(VLOOKUP(G119,'附表8-合同明细采集底稿'!B:M,12,0),100%)</f>
        <v>0.725945981401044</v>
      </c>
      <c r="T119" s="185">
        <f t="shared" si="7"/>
        <v>0</v>
      </c>
      <c r="U119" s="179" t="s">
        <v>1081</v>
      </c>
      <c r="V119" s="186" t="s">
        <v>276</v>
      </c>
      <c r="W119" s="156">
        <f>IF('附表1-面积统计表'!$D$29=0,"",IF(AND(V119="共同成本费用",Z119="总建筑面积法"),ROUND(T119/'附表1-面积统计表'!$D$29*'附表1-面积统计表'!$D$5,2),IF(AND(V119="共同成本费用",Z119="可售建筑面积法"),ROUND(T119/'附表1-面积统计表'!$F$29*'附表1-面积统计表'!$F$5,2),"请手工填写")))</f>
        <v>0</v>
      </c>
      <c r="X119" s="187" t="str">
        <f>IF(SUM('附表1-面积统计表'!$D$6)=0,"",SUM(T119)-SUM(W119)-SUM(Y119))</f>
        <v/>
      </c>
      <c r="Y119" s="187">
        <f>IF(SUM('附表1-面积统计表'!$D$6)=0,SUM(T119)-SUM(W119),IF('附表1-面积统计表'!$D$29=0,"",IF(AND(V119="共同成本费用",Z119="总建筑面积法"),ROUND(T119/'附表1-面积统计表'!$D$29*'附表1-面积统计表'!$D$7,2),IF(AND(V119="共同成本费用",Z119="可售建筑面积法"),ROUND(T119/'附表1-面积统计表'!$F$29*'附表1-面积统计表'!$F$7,2),"请手工填写"))))</f>
        <v>0</v>
      </c>
      <c r="Z119" s="188" t="s">
        <v>251</v>
      </c>
      <c r="AA119" s="179"/>
      <c r="AB119" s="189" t="s">
        <v>905</v>
      </c>
      <c r="AD119" s="107" t="s">
        <v>1098</v>
      </c>
      <c r="AE119" s="192"/>
      <c r="AF119" s="192">
        <v>19501.68</v>
      </c>
      <c r="AG119" s="107">
        <f t="shared" si="13"/>
        <v>-19501.68</v>
      </c>
    </row>
    <row r="120" s="105" customFormat="1" ht="13" customHeight="1" spans="1:33">
      <c r="A120" s="139">
        <v>110</v>
      </c>
      <c r="B120" s="240">
        <v>45870</v>
      </c>
      <c r="C120" s="99" t="s">
        <v>1364</v>
      </c>
      <c r="D120" s="142" t="s">
        <v>966</v>
      </c>
      <c r="E120" s="143" t="s">
        <v>980</v>
      </c>
      <c r="F120" s="170" t="s">
        <v>1365</v>
      </c>
      <c r="G120" s="99" t="s">
        <v>982</v>
      </c>
      <c r="H120" s="145" t="str">
        <f>IF(G120="","",VLOOKUP(G120,'附表8-合同明细采集底稿'!B:I,2,0))</f>
        <v>春和景苑1、2、3#住宅楼施工协议</v>
      </c>
      <c r="I120" s="146" t="str">
        <f>IF(G120="","",VLOOKUP(G120,'[1]附表8-合同明细采集底稿'!B:I,3,0))</f>
        <v>建设工程合同</v>
      </c>
      <c r="J120" s="145" t="str">
        <f>IF(G120="","",VLOOKUP(G120,'[1]附表8-合同明细采集底稿'!B:I,4,0))</f>
        <v>新疆正杰建筑集团有限公司（许兴德）</v>
      </c>
      <c r="K120" s="147" t="s">
        <v>958</v>
      </c>
      <c r="L120" s="244"/>
      <c r="M120" s="99" t="s">
        <v>1373</v>
      </c>
      <c r="N120" s="151">
        <v>3878788.41</v>
      </c>
      <c r="O120" s="151"/>
      <c r="P120" s="172">
        <v>3394576.16</v>
      </c>
      <c r="Q120" s="151"/>
      <c r="R120" s="151">
        <f>P120+Q120</f>
        <v>3394576.16</v>
      </c>
      <c r="S120" s="153">
        <f>IFERROR(VLOOKUP(G120,'[1]附表8-合同明细采集底稿'!B:M,12,0),100%)</f>
        <v>1</v>
      </c>
      <c r="T120" s="154">
        <f t="shared" si="7"/>
        <v>3394576.16</v>
      </c>
      <c r="U120" s="145"/>
      <c r="V120" s="155" t="s">
        <v>276</v>
      </c>
      <c r="W120" s="156">
        <f>IF('附表1-面积统计表'!$D$29=0,"",IF(AND(V120="共同成本费用",Z120="总建筑面积法"),ROUND(T120/'附表1-面积统计表'!$D$29*'附表1-面积统计表'!$D$5,2),IF(AND(V120="共同成本费用",Z120="可售建筑面积法"),ROUND(T120/'附表1-面积统计表'!$F$29*'附表1-面积统计表'!$F$5,2),"请手工填写")))</f>
        <v>3394576.16</v>
      </c>
      <c r="X120" s="156" t="str">
        <f>IF(SUM('[1]附表1-面积统计表'!$D$6)=0,"",SUM(T120)-SUM(W120)-SUM(Y120))</f>
        <v/>
      </c>
      <c r="Y120" s="156">
        <f>IF(SUM('[1]附表1-面积统计表'!$D$6)=0,SUM(T120)-SUM(W120),IF('[1]附表1-面积统计表'!$D$29=0,"",IF(AND(V120="共同成本费用",Z120="总建筑面积法"),ROUND(T120/'[1]附表1-面积统计表'!$D$29*'[1]附表1-面积统计表'!$D$7,2),IF(AND(V120="共同成本费用",Z120="可售建筑面积法"),ROUND(T120/'[1]附表1-面积统计表'!$F$29*'[1]附表1-面积统计表'!$F$7,2),"请手工填写"))))</f>
        <v>0</v>
      </c>
      <c r="Z120" s="157" t="s">
        <v>251</v>
      </c>
      <c r="AA120" s="145"/>
      <c r="AB120" s="158" t="s">
        <v>905</v>
      </c>
      <c r="AE120" s="169" t="s">
        <v>1366</v>
      </c>
      <c r="AF120" s="169">
        <v>0</v>
      </c>
      <c r="AG120" s="105">
        <f t="shared" si="13"/>
        <v>3394576.16</v>
      </c>
    </row>
    <row r="121" s="105" customFormat="1" ht="13" customHeight="1" spans="1:33">
      <c r="A121" s="139">
        <v>110</v>
      </c>
      <c r="B121" s="240">
        <v>45870</v>
      </c>
      <c r="C121" s="99" t="s">
        <v>1364</v>
      </c>
      <c r="D121" s="142" t="s">
        <v>966</v>
      </c>
      <c r="E121" s="143" t="s">
        <v>980</v>
      </c>
      <c r="F121" s="170" t="s">
        <v>1365</v>
      </c>
      <c r="G121" s="99" t="s">
        <v>982</v>
      </c>
      <c r="H121" s="145" t="str">
        <f>IF(G121="","",VLOOKUP(G121,'附表8-合同明细采集底稿'!B:I,2,0))</f>
        <v>春和景苑1、2、3#住宅楼施工协议</v>
      </c>
      <c r="I121" s="146" t="str">
        <f>IF(G121="","",VLOOKUP(G121,'[1]附表8-合同明细采集底稿'!B:I,3,0))</f>
        <v>建设工程合同</v>
      </c>
      <c r="J121" s="145" t="str">
        <f>IF(G121="","",VLOOKUP(G121,'[1]附表8-合同明细采集底稿'!B:I,4,0))</f>
        <v>新疆正杰建筑集团有限公司（许兴德）</v>
      </c>
      <c r="K121" s="147" t="s">
        <v>958</v>
      </c>
      <c r="L121" s="244"/>
      <c r="M121" s="99" t="s">
        <v>1374</v>
      </c>
      <c r="N121" s="247">
        <v>464212.25</v>
      </c>
      <c r="O121" s="151">
        <v>0</v>
      </c>
      <c r="P121" s="172">
        <v>464212.25</v>
      </c>
      <c r="Q121" s="151"/>
      <c r="R121" s="151">
        <f>P121+Q121</f>
        <v>464212.25</v>
      </c>
      <c r="S121" s="153">
        <f>IFERROR(VLOOKUP(G121,'[1]附表8-合同明细采集底稿'!B:M,12,0),100%)</f>
        <v>1</v>
      </c>
      <c r="T121" s="154">
        <f t="shared" si="7"/>
        <v>464212.25</v>
      </c>
      <c r="U121" s="145"/>
      <c r="V121" s="155" t="s">
        <v>276</v>
      </c>
      <c r="W121" s="156">
        <f>IF('附表1-面积统计表'!$D$29=0,"",IF(AND(V121="共同成本费用",Z121="总建筑面积法"),ROUND(T121/'附表1-面积统计表'!$D$29*'附表1-面积统计表'!$D$5,2),IF(AND(V121="共同成本费用",Z121="可售建筑面积法"),ROUND(T121/'附表1-面积统计表'!$F$29*'附表1-面积统计表'!$F$5,2),"请手工填写")))</f>
        <v>464212.25</v>
      </c>
      <c r="X121" s="156" t="str">
        <f>IF(SUM('[1]附表1-面积统计表'!$D$6)=0,"",SUM(T121)-SUM(W121)-SUM(Y121))</f>
        <v/>
      </c>
      <c r="Y121" s="156">
        <f>IF(SUM('[1]附表1-面积统计表'!$D$6)=0,SUM(T121)-SUM(W121),IF('[1]附表1-面积统计表'!$D$29=0,"",IF(AND(V121="共同成本费用",Z121="总建筑面积法"),ROUND(T121/'[1]附表1-面积统计表'!$D$29*'[1]附表1-面积统计表'!$D$7,2),IF(AND(V121="共同成本费用",Z121="可售建筑面积法"),ROUND(T121/'[1]附表1-面积统计表'!$F$29*'[1]附表1-面积统计表'!$F$7,2),"请手工填写"))))</f>
        <v>0</v>
      </c>
      <c r="Z121" s="157" t="s">
        <v>251</v>
      </c>
      <c r="AA121" s="145"/>
      <c r="AB121" s="158" t="s">
        <v>905</v>
      </c>
      <c r="AE121" s="169" t="s">
        <v>1366</v>
      </c>
      <c r="AF121" s="169">
        <v>0</v>
      </c>
      <c r="AG121" s="105">
        <f t="shared" si="13"/>
        <v>464212.25</v>
      </c>
    </row>
    <row r="122" s="105" customFormat="1" ht="13" customHeight="1" spans="1:33">
      <c r="A122" s="139">
        <v>110</v>
      </c>
      <c r="B122" s="240">
        <v>45870</v>
      </c>
      <c r="C122" s="99" t="s">
        <v>1364</v>
      </c>
      <c r="D122" s="142" t="s">
        <v>966</v>
      </c>
      <c r="E122" s="143" t="s">
        <v>980</v>
      </c>
      <c r="F122" s="170" t="s">
        <v>1365</v>
      </c>
      <c r="G122" s="99" t="s">
        <v>982</v>
      </c>
      <c r="H122" s="145" t="str">
        <f>IF(G122="","",VLOOKUP(G122,'附表8-合同明细采集底稿'!B:I,2,0))</f>
        <v>春和景苑1、2、3#住宅楼施工协议</v>
      </c>
      <c r="I122" s="146" t="str">
        <f>IF(G122="","",VLOOKUP(G122,'[1]附表8-合同明细采集底稿'!B:I,3,0))</f>
        <v>建设工程合同</v>
      </c>
      <c r="J122" s="145" t="str">
        <f>IF(G122="","",VLOOKUP(G122,'[1]附表8-合同明细采集底稿'!B:I,4,0))</f>
        <v>新疆正杰建筑集团有限公司（许兴德）</v>
      </c>
      <c r="K122" s="147" t="s">
        <v>958</v>
      </c>
      <c r="L122" s="244"/>
      <c r="M122" s="99" t="s">
        <v>1375</v>
      </c>
      <c r="N122" s="247">
        <v>987255.31</v>
      </c>
      <c r="O122" s="151">
        <v>0</v>
      </c>
      <c r="P122" s="172">
        <v>987255.31</v>
      </c>
      <c r="Q122" s="151">
        <f>-P122</f>
        <v>-987255.31</v>
      </c>
      <c r="R122" s="151">
        <f>P122+Q122</f>
        <v>0</v>
      </c>
      <c r="S122" s="153">
        <f>IFERROR(VLOOKUP(G122,'[1]附表8-合同明细采集底稿'!B:M,12,0),100%)</f>
        <v>1</v>
      </c>
      <c r="T122" s="154">
        <f t="shared" si="7"/>
        <v>0</v>
      </c>
      <c r="U122" s="145"/>
      <c r="V122" s="155" t="s">
        <v>276</v>
      </c>
      <c r="W122" s="156">
        <f>IF('附表1-面积统计表'!$D$29=0,"",IF(AND(V122="共同成本费用",Z122="总建筑面积法"),ROUND(T122/'附表1-面积统计表'!$D$29*'附表1-面积统计表'!$D$5,2),IF(AND(V122="共同成本费用",Z122="可售建筑面积法"),ROUND(T122/'附表1-面积统计表'!$F$29*'附表1-面积统计表'!$F$5,2),"请手工填写")))</f>
        <v>0</v>
      </c>
      <c r="X122" s="156" t="str">
        <f>IF(SUM('[1]附表1-面积统计表'!$D$6)=0,"",SUM(T122)-SUM(W122)-SUM(Y122))</f>
        <v/>
      </c>
      <c r="Y122" s="156">
        <f>IF(SUM('[1]附表1-面积统计表'!$D$6)=0,SUM(T122)-SUM(W122),IF('[1]附表1-面积统计表'!$D$29=0,"",IF(AND(V122="共同成本费用",Z122="总建筑面积法"),ROUND(T122/'[1]附表1-面积统计表'!$D$29*'[1]附表1-面积统计表'!$D$7,2),IF(AND(V122="共同成本费用",Z122="可售建筑面积法"),ROUND(T122/'[1]附表1-面积统计表'!$F$29*'[1]附表1-面积统计表'!$F$7,2),"请手工填写"))))</f>
        <v>0</v>
      </c>
      <c r="Z122" s="157" t="s">
        <v>251</v>
      </c>
      <c r="AA122" s="145"/>
      <c r="AB122" s="158" t="s">
        <v>905</v>
      </c>
      <c r="AE122" s="169" t="s">
        <v>1366</v>
      </c>
      <c r="AF122" s="169">
        <v>0</v>
      </c>
      <c r="AG122" s="105">
        <f t="shared" si="13"/>
        <v>0</v>
      </c>
    </row>
    <row r="123" spans="1:33">
      <c r="Q123" s="111">
        <f>Q114*1.09</f>
        <v>0</v>
      </c>
      <c r="S123" s="248"/>
    </row>
    <row r="124" spans="1:33">
      <c r="O124" s="111">
        <v>3844917.02</v>
      </c>
    </row>
    <row r="125" spans="1:33">
      <c r="O125" s="111">
        <f>O124/1.09</f>
        <v>3527446.80733945</v>
      </c>
    </row>
  </sheetData>
  <sortState ref="A70:AB111">
    <sortCondition ref="G70:G111"/>
    <sortCondition ref="B70:B111"/>
    <sortCondition ref="C70:C111"/>
  </sortState>
  <mergeCells count="2">
    <mergeCell ref="A1:AB1"/>
    <mergeCell ref="A2:AB2"/>
  </mergeCells>
  <conditionalFormatting sqref="G45">
    <cfRule type="duplicateValues" dxfId="0" priority="7"/>
  </conditionalFormatting>
  <conditionalFormatting sqref="G46">
    <cfRule type="duplicateValues" dxfId="0" priority="2"/>
  </conditionalFormatting>
  <conditionalFormatting sqref="G54">
    <cfRule type="duplicateValues" dxfId="0" priority="5"/>
  </conditionalFormatting>
  <conditionalFormatting sqref="G117">
    <cfRule type="duplicateValues" dxfId="0" priority="3"/>
  </conditionalFormatting>
  <conditionalFormatting sqref="G119">
    <cfRule type="duplicateValues" dxfId="0" priority="4"/>
  </conditionalFormatting>
  <conditionalFormatting sqref="G65:G66">
    <cfRule type="duplicateValues" dxfId="0" priority="1"/>
  </conditionalFormatting>
  <dataValidations count="9">
    <dataValidation allowBlank="1" showInputMessage="1" sqref="H108:I108 H7:J107 H109:J122"/>
    <dataValidation type="list" allowBlank="1" showInputMessage="1" showErrorMessage="1" sqref="D123:D1048576">
      <formula1>OFFSET(数据对照表!$B$1,,,1,COUNTA(数据对照表!$B$1:$I$1))</formula1>
    </dataValidation>
    <dataValidation type="list" allowBlank="1" showInputMessage="1" showErrorMessage="1" sqref="E123:E1048576">
      <formula1>OFFSET(数据对照表!$B$2,,MATCH($D123,数据对照表!$B$1:$I$1,0)-1,COUNTA(OFFSET(数据对照表!$B$2,,MATCH($D123,数据对照表!$B$1:$I$1,0)-1,255)))</formula1>
    </dataValidation>
    <dataValidation type="list" showInputMessage="1" showErrorMessage="1" sqref="G123:G1048576">
      <formula1>OFFSET('附表8-合同明细采集底稿'!$B$6,,,COUNTA('附表8-合同明细采集底稿'!$B$6:$B$229),1)</formula1>
    </dataValidation>
    <dataValidation type="list" allowBlank="1" showInputMessage="1" showErrorMessage="1" sqref="K7:K110 K116:K117">
      <formula1>数据对照表!$J$2:$J$8</formula1>
    </dataValidation>
    <dataValidation type="list" allowBlank="1" showInputMessage="1" showErrorMessage="1" sqref="K123:K1048576">
      <formula1>OFFSET(数据对照表!$J$2,,,COUNTA(数据对照表!J:J)-1,1)</formula1>
    </dataValidation>
    <dataValidation type="list" allowBlank="1" showInputMessage="1" showErrorMessage="1" sqref="V7:V119 V123:V1048576">
      <formula1>OFFSET(数据对照表!$K$1,,,1,COUNTA(数据对照表!$K$1:$L$1))</formula1>
    </dataValidation>
    <dataValidation type="list" allowBlank="1" showInputMessage="1" showErrorMessage="1" sqref="Z7:Z119 Z123:Z1048576">
      <formula1>OFFSET(数据对照表!$K$2,,MATCH($V7,数据对照表!$K$1:$L$1,0)-1,COUNTA(OFFSET(数据对照表!$K$2,,MATCH($V7,数据对照表!$K$1:$L$1,0)-1,255)))</formula1>
    </dataValidation>
    <dataValidation type="list" allowBlank="1" showInputMessage="1" showErrorMessage="1" sqref="AB7:AB119 AB123:AB1048576">
      <formula1>OFFSET(数据对照表!$M$2,,MATCH($D7,数据对照表!$M$1:$T$1,0)-1,COUNTA(OFFSET(数据对照表!$M$2,,MATCH($D7,数据对照表!$M$1:$T$1,0)-1,255)))</formula1>
    </dataValidation>
  </dataValidations>
  <printOptions horizontalCentered="1"/>
  <pageMargins left="0.747916666666667" right="0.511805555555556" top="0.984027777777778" bottom="0.984027777777778" header="0.511805555555556" footer="0.511805555555556"/>
  <pageSetup paperSize="9" scale="33" fitToHeight="0" orientation="landscape"/>
  <headerFooter>
    <oddFooter>&amp;C第 &amp;P 页，共 &amp;N 页</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61"/>
  <sheetViews>
    <sheetView topLeftCell="C24" workbookViewId="0">
      <selection activeCell="P41" sqref="P41"/>
    </sheetView>
  </sheetViews>
  <sheetFormatPr defaultColWidth="8.88405797101449" defaultRowHeight="17.5"/>
  <cols>
    <col min="1" max="1" width="5.6231884057971" style="51" customWidth="1"/>
    <col min="2" max="3" width="9.38405797101449" style="51" customWidth="1"/>
    <col min="4" max="4" width="9.38405797101449" style="52" customWidth="1"/>
    <col min="5" max="5" width="20.9130434782609" customWidth="1"/>
    <col min="6" max="6" width="9.38405797101449" customWidth="1"/>
    <col min="7" max="7" width="14.2536231884058" customWidth="1"/>
    <col min="8" max="8" width="11.7173913043478" style="53" customWidth="1"/>
    <col min="9" max="9" width="9.38405797101449" style="53" customWidth="1"/>
    <col min="14" max="14" width="11.7536231884058" customWidth="1"/>
    <col min="16" max="16" width="12.7826086956522" customWidth="1"/>
  </cols>
  <sheetData>
    <row r="1" ht="21.3" spans="1:28">
      <c r="A1" s="54" t="s">
        <v>1376</v>
      </c>
      <c r="B1" s="54"/>
      <c r="C1" s="54"/>
      <c r="D1" s="54"/>
      <c r="E1" s="54"/>
      <c r="F1" s="54"/>
      <c r="G1" s="54"/>
      <c r="H1" s="54"/>
      <c r="I1" s="54"/>
      <c r="J1" s="54"/>
      <c r="K1" s="54"/>
      <c r="L1" s="54"/>
      <c r="M1" s="54"/>
      <c r="N1" s="54"/>
      <c r="O1" s="54"/>
      <c r="P1" s="54"/>
      <c r="Q1" s="54"/>
      <c r="R1" s="54"/>
      <c r="S1" s="54"/>
      <c r="T1" s="54"/>
      <c r="U1" s="54"/>
      <c r="V1" s="54"/>
      <c r="W1" s="54"/>
      <c r="X1" s="54"/>
      <c r="Y1" s="54"/>
      <c r="Z1" s="54"/>
      <c r="AA1" s="54"/>
      <c r="AB1" s="54"/>
    </row>
    <row r="2" spans="1:28">
      <c r="A2" s="55" t="str">
        <f>土地增值税税源明细表!F5&amp;"："&amp;土地增值税税源明细表!H5&amp;"          "&amp;土地增值税税源明细表!A5&amp;"："&amp;土地增值税税源明细表!B5&amp;"          "&amp;"金额单位:人民币元(列至角分)"</f>
        <v>项目编码：Z65280120200013          项目名称：春和景苑          金额单位:人民币元(列至角分)</v>
      </c>
      <c r="B2" s="55"/>
      <c r="C2" s="55"/>
      <c r="D2" s="55"/>
      <c r="E2" s="55"/>
      <c r="F2" s="55"/>
      <c r="G2" s="55"/>
      <c r="H2" s="55"/>
      <c r="I2" s="55"/>
      <c r="J2" s="55"/>
      <c r="K2" s="55"/>
      <c r="L2" s="55"/>
      <c r="M2" s="55"/>
      <c r="N2" s="55"/>
      <c r="O2" s="55"/>
      <c r="P2" s="55"/>
      <c r="Q2" s="55"/>
      <c r="R2" s="55"/>
      <c r="S2" s="55"/>
      <c r="T2" s="55"/>
      <c r="U2" s="55"/>
      <c r="V2" s="55"/>
      <c r="W2" s="55"/>
      <c r="X2" s="55"/>
      <c r="Y2" s="55"/>
      <c r="Z2" s="55"/>
      <c r="AA2" s="55"/>
      <c r="AB2" s="55"/>
    </row>
    <row r="3" spans="1:28">
      <c r="A3" s="56" t="s">
        <v>37</v>
      </c>
      <c r="B3" s="56" t="s">
        <v>1377</v>
      </c>
      <c r="C3" s="56" t="s">
        <v>1378</v>
      </c>
      <c r="D3" s="56" t="s">
        <v>875</v>
      </c>
      <c r="E3" s="56" t="s">
        <v>1379</v>
      </c>
      <c r="F3" s="56" t="s">
        <v>1380</v>
      </c>
      <c r="G3" s="56" t="s">
        <v>301</v>
      </c>
      <c r="H3" s="56" t="s">
        <v>1381</v>
      </c>
      <c r="I3" s="56" t="s">
        <v>1382</v>
      </c>
      <c r="J3" s="56" t="s">
        <v>1383</v>
      </c>
      <c r="K3" s="56" t="s">
        <v>1384</v>
      </c>
      <c r="L3" s="57" t="s">
        <v>1385</v>
      </c>
      <c r="M3" s="57"/>
      <c r="N3" s="57"/>
      <c r="O3" s="57"/>
      <c r="P3" s="57"/>
      <c r="Q3" s="57"/>
      <c r="R3" s="57"/>
      <c r="S3" s="57"/>
      <c r="T3" s="57"/>
      <c r="U3" s="57"/>
      <c r="V3" s="57"/>
      <c r="W3" s="57"/>
      <c r="X3" s="57"/>
      <c r="Y3" s="57"/>
      <c r="Z3" s="57"/>
      <c r="AA3" s="57"/>
      <c r="AB3" s="57"/>
    </row>
    <row r="4" ht="45.1" spans="1:28">
      <c r="A4" s="56"/>
      <c r="B4" s="56"/>
      <c r="C4" s="56"/>
      <c r="D4" s="56"/>
      <c r="E4" s="56"/>
      <c r="F4" s="56"/>
      <c r="G4" s="56"/>
      <c r="H4" s="56"/>
      <c r="I4" s="56"/>
      <c r="J4" s="56"/>
      <c r="K4" s="56"/>
      <c r="L4" s="58" t="s">
        <v>1386</v>
      </c>
      <c r="M4" s="59" t="s">
        <v>1387</v>
      </c>
      <c r="N4" s="60" t="s">
        <v>1388</v>
      </c>
      <c r="O4" s="58" t="s">
        <v>1389</v>
      </c>
      <c r="P4" s="60" t="s">
        <v>1390</v>
      </c>
      <c r="Q4" s="60" t="s">
        <v>1391</v>
      </c>
      <c r="R4" s="58" t="s">
        <v>270</v>
      </c>
      <c r="S4" s="60" t="s">
        <v>1392</v>
      </c>
      <c r="T4" s="60"/>
      <c r="U4" s="60"/>
      <c r="V4" s="60"/>
      <c r="W4" s="60"/>
      <c r="X4" s="60"/>
      <c r="Y4" s="60"/>
      <c r="Z4" s="60"/>
      <c r="AA4" s="60"/>
      <c r="AB4" s="60"/>
    </row>
    <row r="5" ht="30.05" spans="1:28">
      <c r="A5" s="61"/>
      <c r="B5" s="525" t="s">
        <v>42</v>
      </c>
      <c r="C5" s="525" t="s">
        <v>80</v>
      </c>
      <c r="D5" s="525" t="s">
        <v>83</v>
      </c>
      <c r="E5" s="525" t="s">
        <v>213</v>
      </c>
      <c r="F5" s="525" t="s">
        <v>244</v>
      </c>
      <c r="G5" s="525" t="s">
        <v>215</v>
      </c>
      <c r="H5" s="525" t="s">
        <v>216</v>
      </c>
      <c r="I5" s="525" t="s">
        <v>217</v>
      </c>
      <c r="J5" s="525" t="s">
        <v>224</v>
      </c>
      <c r="K5" s="525" t="s">
        <v>225</v>
      </c>
      <c r="L5" s="525" t="s">
        <v>253</v>
      </c>
      <c r="M5" s="525" t="s">
        <v>227</v>
      </c>
      <c r="N5" s="525" t="s">
        <v>228</v>
      </c>
      <c r="O5" s="525" t="s">
        <v>229</v>
      </c>
      <c r="P5" s="525" t="s">
        <v>230</v>
      </c>
      <c r="Q5" s="525" t="s">
        <v>1393</v>
      </c>
      <c r="R5" s="525" t="s">
        <v>258</v>
      </c>
      <c r="S5" s="62" t="s">
        <v>1394</v>
      </c>
      <c r="T5" s="62" t="s">
        <v>1395</v>
      </c>
      <c r="U5" s="62" t="s">
        <v>1396</v>
      </c>
      <c r="V5" s="62" t="s">
        <v>1397</v>
      </c>
      <c r="W5" s="62" t="s">
        <v>1398</v>
      </c>
      <c r="X5" s="62" t="s">
        <v>1399</v>
      </c>
      <c r="Y5" s="62" t="s">
        <v>1400</v>
      </c>
      <c r="Z5" s="62" t="s">
        <v>1401</v>
      </c>
      <c r="AA5" s="62" t="s">
        <v>1402</v>
      </c>
      <c r="AB5" s="62" t="s">
        <v>1403</v>
      </c>
    </row>
    <row r="6" s="49" customFormat="1" ht="24" customHeight="1" spans="1:28">
      <c r="A6" s="63">
        <v>1</v>
      </c>
      <c r="B6" s="64" t="s">
        <v>901</v>
      </c>
      <c r="C6" s="64" t="s">
        <v>1404</v>
      </c>
      <c r="D6" s="65" t="s">
        <v>1405</v>
      </c>
      <c r="E6" s="66" t="s">
        <v>1406</v>
      </c>
      <c r="F6" s="67">
        <v>43327</v>
      </c>
      <c r="G6" s="68">
        <f>(2850+3*4680)*9-10-25640</f>
        <v>126360</v>
      </c>
      <c r="H6" s="69">
        <v>119207.55</v>
      </c>
      <c r="I6" s="70" t="s">
        <v>271</v>
      </c>
      <c r="J6" s="70" t="s">
        <v>271</v>
      </c>
      <c r="K6" s="70" t="s">
        <v>271</v>
      </c>
      <c r="L6" s="70"/>
      <c r="M6" s="71">
        <f>IFERROR(IF(COUNTIFS(S6:AB6,清算项目基本情况表!$D$6)&gt;=1,IF(L6="占地面积法",ROUND(SUM('附表4-项目间分摊信息采集表'!$E$5)/SUMPRODUCT(SUMIFS('附表4-项目间分摊信息采集表'!$E:$E,'附表4-项目间分摊信息采集表'!$B:$B,S6:AB6)),20),IF(L6="测绘总建筑面积法",ROUND(SUM('附表4-项目间分摊信息采集表'!$F$5)/SUMPRODUCT(SUMIFS('附表4-项目间分摊信息采集表'!$F:$F,'附表4-项目间分摊信息采集表'!$B:$B,S6:AB6)),20),IF(L6="可售建筑面积法",ROUND(SUM('附表4-项目间分摊信息采集表'!$G$5)/SUMPRODUCT(SUMIFS('附表4-项目间分摊信息采集表'!$G:$G,'附表4-项目间分摊信息采集表'!$B:$B,S6:AB6)),20),IF(L6="其他分摊方法",ROUND(SUM('附表4-项目间分摊信息采集表'!$H$5)/SUMPRODUCT(SUMIFS('附表4-项目间分摊信息采集表'!$H:$H,'附表4-项目间分摊信息采集表'!$B:$B,S6:AB6)),20),IF(L6="手工填写分摊比例","请填写分摊比例",100%))))),IF(COUNTA(S6:AB6)&gt;=1,0%,100%)),100%)</f>
        <v>1</v>
      </c>
      <c r="N6" s="72">
        <f>SUMIFS('附表7-扣除项目明细采集底稿'!$R:$R,'附表7-扣除项目明细采集底稿'!$G:$G,B6)</f>
        <v>119207.55</v>
      </c>
      <c r="O6" s="70" t="s">
        <v>1407</v>
      </c>
      <c r="P6" s="73">
        <f>SUMIFS('附表7-扣除项目明细采集底稿'!$T:$T,'附表7-扣除项目明细采集底稿'!$G:$G,$B6)</f>
        <v>119207.55</v>
      </c>
      <c r="Q6" s="74">
        <f>ROUND(SUM(N6)-SUM(O6)-SUM(P6),2)</f>
        <v>0</v>
      </c>
      <c r="R6" s="75"/>
      <c r="S6" s="70"/>
      <c r="T6" s="70"/>
      <c r="U6" s="70"/>
      <c r="V6" s="70"/>
      <c r="W6" s="70"/>
      <c r="X6" s="70"/>
      <c r="Y6" s="70"/>
      <c r="Z6" s="70"/>
      <c r="AA6" s="70"/>
      <c r="AB6" s="70"/>
    </row>
    <row r="7" s="49" customFormat="1" ht="24" customHeight="1" spans="1:28">
      <c r="A7" s="63">
        <v>2</v>
      </c>
      <c r="B7" s="64" t="s">
        <v>977</v>
      </c>
      <c r="C7" s="64" t="s">
        <v>1408</v>
      </c>
      <c r="D7" s="65" t="s">
        <v>1405</v>
      </c>
      <c r="E7" s="66" t="s">
        <v>1409</v>
      </c>
      <c r="F7" s="67">
        <v>43343</v>
      </c>
      <c r="G7" s="76">
        <v>20000</v>
      </c>
      <c r="H7" s="72">
        <v>18867.9245283019</v>
      </c>
      <c r="I7" s="70" t="s">
        <v>271</v>
      </c>
      <c r="J7" s="70" t="s">
        <v>271</v>
      </c>
      <c r="K7" s="70" t="s">
        <v>16</v>
      </c>
      <c r="L7" s="70" t="s">
        <v>1410</v>
      </c>
      <c r="M7" s="71">
        <f>IFERROR(IF(COUNTIFS(S7:AB7,清算项目基本情况表!$D$6)&gt;=1,IF(L7="占地面积法",ROUND(SUM('附表4-项目间分摊信息采集表'!$E$5)/SUMPRODUCT(SUMIFS('附表4-项目间分摊信息采集表'!$E:$E,'附表4-项目间分摊信息采集表'!$B:$B,S7:AB7)),20),IF(L7="测绘总建筑面积法",ROUND(SUM('附表4-项目间分摊信息采集表'!$F$5)/SUMPRODUCT(SUMIFS('附表4-项目间分摊信息采集表'!$F:$F,'附表4-项目间分摊信息采集表'!$B:$B,S7:AB7)),20),IF(L7="可售建筑面积法",ROUND(SUM('附表4-项目间分摊信息采集表'!$G$5)/SUMPRODUCT(SUMIFS('附表4-项目间分摊信息采集表'!$G:$G,'附表4-项目间分摊信息采集表'!$B:$B,S7:AB7)),20),IF(L7="其他分摊方法",ROUND(SUM('附表4-项目间分摊信息采集表'!$H$5)/SUMPRODUCT(SUMIFS('附表4-项目间分摊信息采集表'!$H:$H,'附表4-项目间分摊信息采集表'!$B:$B,S7:AB7)),20),IF(L7="手工填写分摊比例","请填写分摊比例",100%))))),IF(COUNTA(S7:AB7)&gt;=1,0%,100%)),100%)</f>
        <v>0.725945981401044</v>
      </c>
      <c r="N7" s="72">
        <f>SUMIFS('附表7-扣除项目明细采集底稿'!$R:$R,'附表7-扣除项目明细采集底稿'!$G:$G,B7)</f>
        <v>18867.92</v>
      </c>
      <c r="O7" s="70" t="s">
        <v>1407</v>
      </c>
      <c r="P7" s="73">
        <f>SUMIFS('附表7-扣除项目明细采集底稿'!$T:$T,'附表7-扣除项目明细采集底稿'!$G:$G,$B7)</f>
        <v>13697.09</v>
      </c>
      <c r="Q7" s="74">
        <f t="shared" ref="Q7:Q67" si="0">ROUND(SUM(N7)-SUM(O7)-SUM(P7),2)</f>
        <v>5170.83</v>
      </c>
      <c r="R7" s="75"/>
      <c r="S7" s="70" t="s">
        <v>12</v>
      </c>
      <c r="T7" s="70" t="s">
        <v>273</v>
      </c>
      <c r="U7" s="70"/>
      <c r="V7" s="70"/>
      <c r="W7" s="70"/>
      <c r="X7" s="70"/>
      <c r="Y7" s="70"/>
      <c r="Z7" s="70"/>
      <c r="AA7" s="70"/>
      <c r="AB7" s="70"/>
    </row>
    <row r="8" s="49" customFormat="1" ht="24" customHeight="1" spans="1:28">
      <c r="A8" s="63">
        <v>3</v>
      </c>
      <c r="B8" s="64" t="s">
        <v>940</v>
      </c>
      <c r="C8" s="64" t="s">
        <v>1411</v>
      </c>
      <c r="D8" s="65" t="s">
        <v>1405</v>
      </c>
      <c r="E8" s="77" t="s">
        <v>1412</v>
      </c>
      <c r="F8" s="67">
        <v>43429</v>
      </c>
      <c r="G8" s="76">
        <v>12000</v>
      </c>
      <c r="H8" s="72">
        <v>11650.4854368932</v>
      </c>
      <c r="I8" s="70" t="s">
        <v>271</v>
      </c>
      <c r="J8" s="70" t="s">
        <v>271</v>
      </c>
      <c r="K8" s="70" t="s">
        <v>271</v>
      </c>
      <c r="L8" s="70"/>
      <c r="M8" s="71">
        <f>IFERROR(IF(COUNTIFS(S8:AB8,清算项目基本情况表!$D$6)&gt;=1,IF(L8="占地面积法",ROUND(SUM('附表4-项目间分摊信息采集表'!$E$5)/SUMPRODUCT(SUMIFS('附表4-项目间分摊信息采集表'!$E:$E,'附表4-项目间分摊信息采集表'!$B:$B,S8:AB8)),20),IF(L8="测绘总建筑面积法",ROUND(SUM('附表4-项目间分摊信息采集表'!$F$5)/SUMPRODUCT(SUMIFS('附表4-项目间分摊信息采集表'!$F:$F,'附表4-项目间分摊信息采集表'!$B:$B,S8:AB8)),20),IF(L8="可售建筑面积法",ROUND(SUM('附表4-项目间分摊信息采集表'!$G$5)/SUMPRODUCT(SUMIFS('附表4-项目间分摊信息采集表'!$G:$G,'附表4-项目间分摊信息采集表'!$B:$B,S8:AB8)),20),IF(L8="其他分摊方法",ROUND(SUM('附表4-项目间分摊信息采集表'!$H$5)/SUMPRODUCT(SUMIFS('附表4-项目间分摊信息采集表'!$H:$H,'附表4-项目间分摊信息采集表'!$B:$B,S8:AB8)),20),IF(L8="手工填写分摊比例","请填写分摊比例",100%))))),IF(COUNTA(S8:AB8)&gt;=1,0%,100%)),100%)</f>
        <v>1</v>
      </c>
      <c r="N8" s="72">
        <f>SUMIFS('附表7-扣除项目明细采集底稿'!$R:$R,'附表7-扣除项目明细采集底稿'!$G:$G,B8)</f>
        <v>0</v>
      </c>
      <c r="O8" s="70" t="s">
        <v>1407</v>
      </c>
      <c r="P8" s="73">
        <f>SUMIFS('附表7-扣除项目明细采集底稿'!$T:$T,'附表7-扣除项目明细采集底稿'!$G:$G,$B8)</f>
        <v>0</v>
      </c>
      <c r="Q8" s="74">
        <f t="shared" si="0"/>
        <v>0</v>
      </c>
      <c r="R8" s="75"/>
      <c r="S8" s="70"/>
      <c r="T8" s="70"/>
      <c r="U8" s="70"/>
      <c r="V8" s="70"/>
      <c r="W8" s="70"/>
      <c r="X8" s="70"/>
      <c r="Y8" s="70"/>
      <c r="Z8" s="70"/>
      <c r="AA8" s="70"/>
      <c r="AB8" s="70"/>
    </row>
    <row r="9" s="49" customFormat="1" ht="24" customHeight="1" spans="1:28">
      <c r="A9" s="63">
        <v>4</v>
      </c>
      <c r="B9" s="64" t="s">
        <v>969</v>
      </c>
      <c r="C9" s="64" t="s">
        <v>1413</v>
      </c>
      <c r="D9" s="65" t="s">
        <v>1405</v>
      </c>
      <c r="E9" s="77" t="s">
        <v>1414</v>
      </c>
      <c r="F9" s="67">
        <v>43656</v>
      </c>
      <c r="G9" s="76">
        <v>113414.32</v>
      </c>
      <c r="H9" s="72">
        <v>111913.995578199</v>
      </c>
      <c r="I9" s="70" t="s">
        <v>271</v>
      </c>
      <c r="J9" s="70" t="s">
        <v>271</v>
      </c>
      <c r="K9" s="70" t="s">
        <v>271</v>
      </c>
      <c r="L9" s="70"/>
      <c r="M9" s="71">
        <f>IFERROR(IF(COUNTIFS(S9:AB9,清算项目基本情况表!$D$6)&gt;=1,IF(L9="占地面积法",ROUND(SUM('附表4-项目间分摊信息采集表'!$E$5)/SUMPRODUCT(SUMIFS('附表4-项目间分摊信息采集表'!$E:$E,'附表4-项目间分摊信息采集表'!$B:$B,S9:AB9)),20),IF(L9="测绘总建筑面积法",ROUND(SUM('附表4-项目间分摊信息采集表'!$F$5)/SUMPRODUCT(SUMIFS('附表4-项目间分摊信息采集表'!$F:$F,'附表4-项目间分摊信息采集表'!$B:$B,S9:AB9)),20),IF(L9="可售建筑面积法",ROUND(SUM('附表4-项目间分摊信息采集表'!$G$5)/SUMPRODUCT(SUMIFS('附表4-项目间分摊信息采集表'!$G:$G,'附表4-项目间分摊信息采集表'!$B:$B,S9:AB9)),20),IF(L9="其他分摊方法",ROUND(SUM('附表4-项目间分摊信息采集表'!$H$5)/SUMPRODUCT(SUMIFS('附表4-项目间分摊信息采集表'!$H:$H,'附表4-项目间分摊信息采集表'!$B:$B,S9:AB9)),20),IF(L9="手工填写分摊比例","请填写分摊比例",100%))))),IF(COUNTA(S9:AB9)&gt;=1,0%,100%)),100%)</f>
        <v>1</v>
      </c>
      <c r="N9" s="72">
        <f>SUMIFS('附表7-扣除项目明细采集底稿'!$R:$R,'附表7-扣除项目明细采集底稿'!$G:$G,B9)</f>
        <v>111914</v>
      </c>
      <c r="O9" s="70" t="s">
        <v>1407</v>
      </c>
      <c r="P9" s="73">
        <f>SUMIFS('附表7-扣除项目明细采集底稿'!$T:$T,'附表7-扣除项目明细采集底稿'!$G:$G,$B9)</f>
        <v>111914</v>
      </c>
      <c r="Q9" s="74">
        <f t="shared" si="0"/>
        <v>0</v>
      </c>
      <c r="R9" s="75"/>
      <c r="S9" s="70"/>
      <c r="T9" s="70"/>
      <c r="U9" s="70"/>
      <c r="V9" s="70"/>
      <c r="W9" s="70"/>
      <c r="X9" s="70"/>
      <c r="Y9" s="70"/>
      <c r="Z9" s="70"/>
      <c r="AA9" s="70"/>
      <c r="AB9" s="70"/>
    </row>
    <row r="10" s="49" customFormat="1" ht="24" customHeight="1" spans="1:28">
      <c r="A10" s="63">
        <v>5</v>
      </c>
      <c r="B10" s="64" t="s">
        <v>982</v>
      </c>
      <c r="C10" s="64" t="s">
        <v>1415</v>
      </c>
      <c r="D10" s="65" t="s">
        <v>1416</v>
      </c>
      <c r="E10" s="77" t="s">
        <v>1417</v>
      </c>
      <c r="F10" s="67">
        <v>43672</v>
      </c>
      <c r="G10" s="76">
        <v>18948270.6</v>
      </c>
      <c r="H10" s="72">
        <v>17383734.4954128</v>
      </c>
      <c r="I10" s="70" t="s">
        <v>271</v>
      </c>
      <c r="J10" s="70" t="s">
        <v>271</v>
      </c>
      <c r="K10" s="70" t="s">
        <v>271</v>
      </c>
      <c r="L10" s="70"/>
      <c r="M10" s="71">
        <f>IFERROR(IF(COUNTIFS(S10:AB10,清算项目基本情况表!$D$6)&gt;=1,IF(L10="占地面积法",ROUND(SUM('附表4-项目间分摊信息采集表'!$E$5)/SUMPRODUCT(SUMIFS('附表4-项目间分摊信息采集表'!$E:$E,'附表4-项目间分摊信息采集表'!$B:$B,S10:AB10)),20),IF(L10="测绘总建筑面积法",ROUND(SUM('附表4-项目间分摊信息采集表'!$F$5)/SUMPRODUCT(SUMIFS('附表4-项目间分摊信息采集表'!$F:$F,'附表4-项目间分摊信息采集表'!$B:$B,S10:AB10)),20),IF(L10="可售建筑面积法",ROUND(SUM('附表4-项目间分摊信息采集表'!$G$5)/SUMPRODUCT(SUMIFS('附表4-项目间分摊信息采集表'!$G:$G,'附表4-项目间分摊信息采集表'!$B:$B,S10:AB10)),20),IF(L10="其他分摊方法",ROUND(SUM('附表4-项目间分摊信息采集表'!$H$5)/SUMPRODUCT(SUMIFS('附表4-项目间分摊信息采集表'!$H:$H,'附表4-项目间分摊信息采集表'!$B:$B,S10:AB10)),20),IF(L10="手工填写分摊比例","请填写分摊比例",100%))))),IF(COUNTA(S10:AB10)&gt;=1,0%,100%)),100%)</f>
        <v>1</v>
      </c>
      <c r="N10" s="72">
        <f>SUMIFS('附表7-扣除项目明细采集底稿'!$R:$R,'附表7-扣除项目明细采集底稿'!$G:$G,B10)</f>
        <v>18265078.31</v>
      </c>
      <c r="O10" s="70" t="s">
        <v>1407</v>
      </c>
      <c r="P10" s="73">
        <f>SUMIFS('附表7-扣除项目明细采集底稿'!$T:$T,'附表7-扣除项目明细采集底稿'!$G:$G,$B10)</f>
        <v>18265078.31</v>
      </c>
      <c r="Q10" s="74">
        <f t="shared" si="0"/>
        <v>0</v>
      </c>
      <c r="R10" s="75"/>
      <c r="S10" s="70"/>
      <c r="T10" s="70"/>
      <c r="U10" s="70"/>
      <c r="V10" s="70"/>
      <c r="W10" s="70"/>
      <c r="X10" s="70"/>
      <c r="Y10" s="70"/>
      <c r="Z10" s="70"/>
      <c r="AA10" s="70"/>
      <c r="AB10" s="70"/>
    </row>
    <row r="11" s="49" customFormat="1" ht="24" customHeight="1" spans="1:28">
      <c r="A11" s="63">
        <v>6</v>
      </c>
      <c r="B11" s="64" t="s">
        <v>1418</v>
      </c>
      <c r="C11" s="64" t="s">
        <v>1419</v>
      </c>
      <c r="D11" s="65" t="s">
        <v>1416</v>
      </c>
      <c r="E11" s="78" t="s">
        <v>1420</v>
      </c>
      <c r="F11" s="67">
        <v>43775</v>
      </c>
      <c r="G11" s="76">
        <v>8506</v>
      </c>
      <c r="H11" s="72">
        <v>8258.25242718446</v>
      </c>
      <c r="I11" s="70" t="s">
        <v>271</v>
      </c>
      <c r="J11" s="70" t="s">
        <v>271</v>
      </c>
      <c r="K11" s="70" t="s">
        <v>271</v>
      </c>
      <c r="L11" s="70"/>
      <c r="M11" s="71">
        <f>IFERROR(IF(COUNTIFS(S11:AB11,清算项目基本情况表!$D$6)&gt;=1,IF(L11="占地面积法",ROUND(SUM('附表4-项目间分摊信息采集表'!$E$5)/SUMPRODUCT(SUMIFS('附表4-项目间分摊信息采集表'!$E:$E,'附表4-项目间分摊信息采集表'!$B:$B,S11:AB11)),20),IF(L11="测绘总建筑面积法",ROUND(SUM('附表4-项目间分摊信息采集表'!$F$5)/SUMPRODUCT(SUMIFS('附表4-项目间分摊信息采集表'!$F:$F,'附表4-项目间分摊信息采集表'!$B:$B,S11:AB11)),20),IF(L11="可售建筑面积法",ROUND(SUM('附表4-项目间分摊信息采集表'!$G$5)/SUMPRODUCT(SUMIFS('附表4-项目间分摊信息采集表'!$G:$G,'附表4-项目间分摊信息采集表'!$B:$B,S11:AB11)),20),IF(L11="其他分摊方法",ROUND(SUM('附表4-项目间分摊信息采集表'!$H$5)/SUMPRODUCT(SUMIFS('附表4-项目间分摊信息采集表'!$H:$H,'附表4-项目间分摊信息采集表'!$B:$B,S11:AB11)),20),IF(L11="手工填写分摊比例","请填写分摊比例",100%))))),IF(COUNTA(S11:AB11)&gt;=1,0%,100%)),100%)</f>
        <v>1</v>
      </c>
      <c r="N11" s="72">
        <f>SUMIFS('附表7-扣除项目明细采集底稿'!$R:$R,'附表7-扣除项目明细采集底稿'!$G:$G,B11)</f>
        <v>0</v>
      </c>
      <c r="O11" s="70" t="s">
        <v>1407</v>
      </c>
      <c r="P11" s="73">
        <f>SUMIFS('附表7-扣除项目明细采集底稿'!$T:$T,'附表7-扣除项目明细采集底稿'!$G:$G,$B11)</f>
        <v>0</v>
      </c>
      <c r="Q11" s="74">
        <f t="shared" si="0"/>
        <v>0</v>
      </c>
      <c r="R11" s="75"/>
      <c r="S11" s="70"/>
      <c r="T11" s="70"/>
      <c r="U11" s="70"/>
      <c r="V11" s="70"/>
      <c r="W11" s="70"/>
      <c r="X11" s="70"/>
      <c r="Y11" s="70"/>
      <c r="Z11" s="70"/>
      <c r="AA11" s="70"/>
      <c r="AB11" s="70"/>
    </row>
    <row r="12" s="49" customFormat="1" ht="24" customHeight="1" spans="1:28">
      <c r="A12" s="63">
        <v>7</v>
      </c>
      <c r="B12" s="64" t="s">
        <v>1000</v>
      </c>
      <c r="C12" s="64" t="s">
        <v>1421</v>
      </c>
      <c r="D12" s="65" t="s">
        <v>1416</v>
      </c>
      <c r="E12" s="77" t="s">
        <v>1422</v>
      </c>
      <c r="F12" s="67">
        <v>43920</v>
      </c>
      <c r="G12" s="76">
        <v>1636920</v>
      </c>
      <c r="H12" s="72">
        <v>1525061.95</v>
      </c>
      <c r="I12" s="70" t="s">
        <v>271</v>
      </c>
      <c r="J12" s="70" t="s">
        <v>271</v>
      </c>
      <c r="K12" s="70" t="s">
        <v>271</v>
      </c>
      <c r="L12" s="70"/>
      <c r="M12" s="71">
        <f>IFERROR(IF(COUNTIFS(S12:AB12,清算项目基本情况表!$D$6)&gt;=1,IF(L12="占地面积法",ROUND(SUM('附表4-项目间分摊信息采集表'!$E$5)/SUMPRODUCT(SUMIFS('附表4-项目间分摊信息采集表'!$E:$E,'附表4-项目间分摊信息采集表'!$B:$B,S12:AB12)),20),IF(L12="测绘总建筑面积法",ROUND(SUM('附表4-项目间分摊信息采集表'!$F$5)/SUMPRODUCT(SUMIFS('附表4-项目间分摊信息采集表'!$F:$F,'附表4-项目间分摊信息采集表'!$B:$B,S12:AB12)),20),IF(L12="可售建筑面积法",ROUND(SUM('附表4-项目间分摊信息采集表'!$G$5)/SUMPRODUCT(SUMIFS('附表4-项目间分摊信息采集表'!$G:$G,'附表4-项目间分摊信息采集表'!$B:$B,S12:AB12)),20),IF(L12="其他分摊方法",ROUND(SUM('附表4-项目间分摊信息采集表'!$H$5)/SUMPRODUCT(SUMIFS('附表4-项目间分摊信息采集表'!$H:$H,'附表4-项目间分摊信息采集表'!$B:$B,S12:AB12)),20),IF(L12="手工填写分摊比例","请填写分摊比例",100%))))),IF(COUNTA(S12:AB12)&gt;=1,0%,100%)),100%)</f>
        <v>1</v>
      </c>
      <c r="N12" s="72">
        <f>SUMIFS('附表7-扣除项目明细采集底稿'!$R:$R,'附表7-扣除项目明细采集底稿'!$G:$G,B12)</f>
        <v>1525061.95</v>
      </c>
      <c r="O12" s="70" t="s">
        <v>1407</v>
      </c>
      <c r="P12" s="73">
        <f>SUMIFS('附表7-扣除项目明细采集底稿'!$T:$T,'附表7-扣除项目明细采集底稿'!$G:$G,$B12)</f>
        <v>1525061.95</v>
      </c>
      <c r="Q12" s="74">
        <f t="shared" si="0"/>
        <v>0</v>
      </c>
      <c r="R12" s="75"/>
      <c r="S12" s="70"/>
      <c r="T12" s="70"/>
      <c r="U12" s="70"/>
      <c r="V12" s="70"/>
      <c r="W12" s="70"/>
      <c r="X12" s="70"/>
      <c r="Y12" s="70"/>
      <c r="Z12" s="70"/>
      <c r="AA12" s="70"/>
      <c r="AB12" s="70"/>
    </row>
    <row r="13" s="49" customFormat="1" ht="24" customHeight="1" spans="1:28">
      <c r="A13" s="63">
        <v>8</v>
      </c>
      <c r="B13" s="64" t="s">
        <v>1185</v>
      </c>
      <c r="C13" s="64" t="s">
        <v>1423</v>
      </c>
      <c r="D13" s="65" t="s">
        <v>1416</v>
      </c>
      <c r="E13" s="77" t="s">
        <v>1424</v>
      </c>
      <c r="F13" s="67">
        <v>43952</v>
      </c>
      <c r="G13" s="76">
        <v>345892.33</v>
      </c>
      <c r="H13" s="72">
        <v>317332.412844037</v>
      </c>
      <c r="I13" s="70" t="s">
        <v>271</v>
      </c>
      <c r="J13" s="70" t="s">
        <v>271</v>
      </c>
      <c r="K13" s="70" t="s">
        <v>271</v>
      </c>
      <c r="L13" s="70"/>
      <c r="M13" s="71">
        <f>IFERROR(IF(COUNTIFS(S13:AB13,清算项目基本情况表!$D$6)&gt;=1,IF(L13="占地面积法",ROUND(SUM('附表4-项目间分摊信息采集表'!$E$5)/SUMPRODUCT(SUMIFS('附表4-项目间分摊信息采集表'!$E:$E,'附表4-项目间分摊信息采集表'!$B:$B,S13:AB13)),20),IF(L13="测绘总建筑面积法",ROUND(SUM('附表4-项目间分摊信息采集表'!$F$5)/SUMPRODUCT(SUMIFS('附表4-项目间分摊信息采集表'!$F:$F,'附表4-项目间分摊信息采集表'!$B:$B,S13:AB13)),20),IF(L13="可售建筑面积法",ROUND(SUM('附表4-项目间分摊信息采集表'!$G$5)/SUMPRODUCT(SUMIFS('附表4-项目间分摊信息采集表'!$G:$G,'附表4-项目间分摊信息采集表'!$B:$B,S13:AB13)),20),IF(L13="其他分摊方法",ROUND(SUM('附表4-项目间分摊信息采集表'!$H$5)/SUMPRODUCT(SUMIFS('附表4-项目间分摊信息采集表'!$H:$H,'附表4-项目间分摊信息采集表'!$B:$B,S13:AB13)),20),IF(L13="手工填写分摊比例","请填写分摊比例",100%))))),IF(COUNTA(S13:AB13)&gt;=1,0%,100%)),100%)</f>
        <v>1</v>
      </c>
      <c r="N13" s="72">
        <f>SUMIFS('附表7-扣除项目明细采集底稿'!$R:$R,'附表7-扣除项目明细采集底稿'!$G:$G,B13)</f>
        <v>317332.41</v>
      </c>
      <c r="O13" s="70" t="s">
        <v>1407</v>
      </c>
      <c r="P13" s="73">
        <f>SUMIFS('附表7-扣除项目明细采集底稿'!$T:$T,'附表7-扣除项目明细采集底稿'!$G:$G,$B13)</f>
        <v>317332.41</v>
      </c>
      <c r="Q13" s="74">
        <f t="shared" si="0"/>
        <v>0</v>
      </c>
      <c r="R13" s="75"/>
      <c r="S13" s="70"/>
      <c r="T13" s="70"/>
      <c r="U13" s="70"/>
      <c r="V13" s="70"/>
      <c r="W13" s="70"/>
      <c r="X13" s="70"/>
      <c r="Y13" s="70"/>
      <c r="Z13" s="70"/>
      <c r="AA13" s="70"/>
      <c r="AB13" s="70"/>
    </row>
    <row r="14" s="49" customFormat="1" ht="24" customHeight="1" spans="1:28">
      <c r="A14" s="63">
        <v>9</v>
      </c>
      <c r="B14" s="64" t="s">
        <v>1162</v>
      </c>
      <c r="C14" s="64" t="s">
        <v>1425</v>
      </c>
      <c r="D14" s="65" t="s">
        <v>1405</v>
      </c>
      <c r="E14" s="66" t="s">
        <v>1426</v>
      </c>
      <c r="F14" s="67">
        <v>44075</v>
      </c>
      <c r="G14" s="76">
        <v>5000</v>
      </c>
      <c r="H14" s="72">
        <v>4716.98113207547</v>
      </c>
      <c r="I14" s="70" t="s">
        <v>271</v>
      </c>
      <c r="J14" s="70" t="s">
        <v>271</v>
      </c>
      <c r="K14" s="70" t="s">
        <v>16</v>
      </c>
      <c r="L14" s="70" t="s">
        <v>1410</v>
      </c>
      <c r="M14" s="71">
        <f>IFERROR(IF(COUNTIFS(S14:AB14,清算项目基本情况表!$D$6)&gt;=1,IF(L14="占地面积法",ROUND(SUM('附表4-项目间分摊信息采集表'!$E$5)/SUMPRODUCT(SUMIFS('附表4-项目间分摊信息采集表'!$E:$E,'附表4-项目间分摊信息采集表'!$B:$B,S14:AB14)),20),IF(L14="测绘总建筑面积法",ROUND(SUM('附表4-项目间分摊信息采集表'!$F$5)/SUMPRODUCT(SUMIFS('附表4-项目间分摊信息采集表'!$F:$F,'附表4-项目间分摊信息采集表'!$B:$B,S14:AB14)),20),IF(L14="可售建筑面积法",ROUND(SUM('附表4-项目间分摊信息采集表'!$G$5)/SUMPRODUCT(SUMIFS('附表4-项目间分摊信息采集表'!$G:$G,'附表4-项目间分摊信息采集表'!$B:$B,S14:AB14)),20),IF(L14="其他分摊方法",ROUND(SUM('附表4-项目间分摊信息采集表'!$H$5)/SUMPRODUCT(SUMIFS('附表4-项目间分摊信息采集表'!$H:$H,'附表4-项目间分摊信息采集表'!$B:$B,S14:AB14)),20),IF(L14="手工填写分摊比例","请填写分摊比例",100%))))),IF(COUNTA(S14:AB14)&gt;=1,0%,100%)),100%)</f>
        <v>0.725945981401044</v>
      </c>
      <c r="N14" s="72">
        <f>SUMIFS('附表7-扣除项目明细采集底稿'!$R:$R,'附表7-扣除项目明细采集底稿'!$G:$G,B14)</f>
        <v>4716.98</v>
      </c>
      <c r="O14" s="70" t="s">
        <v>1407</v>
      </c>
      <c r="P14" s="73">
        <f>SUMIFS('附表7-扣除项目明细采集底稿'!$T:$T,'附表7-扣除项目明细采集底稿'!$G:$G,$B14)</f>
        <v>3424.27</v>
      </c>
      <c r="Q14" s="74">
        <f t="shared" si="0"/>
        <v>1292.71</v>
      </c>
      <c r="R14" s="75"/>
      <c r="S14" s="70" t="s">
        <v>12</v>
      </c>
      <c r="T14" s="70" t="s">
        <v>273</v>
      </c>
      <c r="U14" s="70"/>
      <c r="V14" s="70"/>
      <c r="W14" s="70"/>
      <c r="X14" s="70"/>
      <c r="Y14" s="70"/>
      <c r="Z14" s="70"/>
      <c r="AA14" s="70"/>
      <c r="AB14" s="70"/>
    </row>
    <row r="15" s="49" customFormat="1" ht="24" customHeight="1" spans="1:28">
      <c r="A15" s="63">
        <v>10</v>
      </c>
      <c r="B15" s="64" t="s">
        <v>1054</v>
      </c>
      <c r="C15" s="64" t="s">
        <v>1427</v>
      </c>
      <c r="D15" s="65" t="s">
        <v>1416</v>
      </c>
      <c r="E15" s="77" t="s">
        <v>1428</v>
      </c>
      <c r="F15" s="67">
        <v>44271</v>
      </c>
      <c r="G15" s="76">
        <v>169205</v>
      </c>
      <c r="H15" s="72">
        <v>149738.938053097</v>
      </c>
      <c r="I15" s="70" t="s">
        <v>271</v>
      </c>
      <c r="J15" s="70" t="s">
        <v>271</v>
      </c>
      <c r="K15" s="70" t="s">
        <v>16</v>
      </c>
      <c r="L15" s="70"/>
      <c r="M15" s="71">
        <f>IFERROR(IF(COUNTIFS(S15:AB15,清算项目基本情况表!$D$6)&gt;=1,IF(L15="占地面积法",ROUND(SUM('附表4-项目间分摊信息采集表'!$E$5)/SUMPRODUCT(SUMIFS('附表4-项目间分摊信息采集表'!$E:$E,'附表4-项目间分摊信息采集表'!$B:$B,S15:AB15)),20),IF(L15="测绘总建筑面积法",ROUND(SUM('附表4-项目间分摊信息采集表'!$F$5)/SUMPRODUCT(SUMIFS('附表4-项目间分摊信息采集表'!$F:$F,'附表4-项目间分摊信息采集表'!$B:$B,S15:AB15)),20),IF(L15="可售建筑面积法",ROUND(SUM('附表4-项目间分摊信息采集表'!$G$5)/SUMPRODUCT(SUMIFS('附表4-项目间分摊信息采集表'!$G:$G,'附表4-项目间分摊信息采集表'!$B:$B,S15:AB15)),20),IF(L15="其他分摊方法",ROUND(SUM('附表4-项目间分摊信息采集表'!$H$5)/SUMPRODUCT(SUMIFS('附表4-项目间分摊信息采集表'!$H:$H,'附表4-项目间分摊信息采集表'!$B:$B,S15:AB15)),20),IF(L15="手工填写分摊比例","请填写分摊比例",100%))))),IF(COUNTA(S15:AB15)&gt;=1,0%,100%)),100%)</f>
        <v>1</v>
      </c>
      <c r="N15" s="72">
        <f>SUMIFS('附表7-扣除项目明细采集底稿'!$R:$R,'附表7-扣除项目明细采集底稿'!$G:$G,B15)</f>
        <v>149738.94</v>
      </c>
      <c r="O15" s="70" t="s">
        <v>1407</v>
      </c>
      <c r="P15" s="73">
        <f>SUMIFS('附表7-扣除项目明细采集底稿'!$T:$T,'附表7-扣除项目明细采集底稿'!$G:$G,$B15)</f>
        <v>149738.94</v>
      </c>
      <c r="Q15" s="74">
        <f t="shared" si="0"/>
        <v>0</v>
      </c>
      <c r="R15" s="75"/>
      <c r="S15" s="70" t="s">
        <v>12</v>
      </c>
      <c r="T15" s="70" t="s">
        <v>273</v>
      </c>
      <c r="U15" s="70"/>
      <c r="V15" s="70"/>
      <c r="W15" s="70"/>
      <c r="X15" s="70"/>
      <c r="Y15" s="70"/>
      <c r="Z15" s="70"/>
      <c r="AA15" s="70"/>
      <c r="AB15" s="70"/>
    </row>
    <row r="16" s="49" customFormat="1" ht="24" customHeight="1" spans="1:28">
      <c r="A16" s="63">
        <v>11</v>
      </c>
      <c r="B16" s="64" t="s">
        <v>1078</v>
      </c>
      <c r="C16" s="64" t="s">
        <v>1429</v>
      </c>
      <c r="D16" s="65" t="s">
        <v>1430</v>
      </c>
      <c r="E16" s="77" t="s">
        <v>1431</v>
      </c>
      <c r="F16" s="67">
        <v>44273</v>
      </c>
      <c r="G16" s="76">
        <v>218980</v>
      </c>
      <c r="H16" s="72">
        <v>193787.610619469</v>
      </c>
      <c r="I16" s="70" t="s">
        <v>271</v>
      </c>
      <c r="J16" s="70" t="s">
        <v>271</v>
      </c>
      <c r="K16" s="70" t="s">
        <v>271</v>
      </c>
      <c r="L16" s="70"/>
      <c r="M16" s="71">
        <f>IFERROR(IF(COUNTIFS(S16:AB16,清算项目基本情况表!$D$6)&gt;=1,IF(L16="占地面积法",ROUND(SUM('附表4-项目间分摊信息采集表'!$E$5)/SUMPRODUCT(SUMIFS('附表4-项目间分摊信息采集表'!$E:$E,'附表4-项目间分摊信息采集表'!$B:$B,S16:AB16)),20),IF(L16="测绘总建筑面积法",ROUND(SUM('附表4-项目间分摊信息采集表'!$F$5)/SUMPRODUCT(SUMIFS('附表4-项目间分摊信息采集表'!$F:$F,'附表4-项目间分摊信息采集表'!$B:$B,S16:AB16)),20),IF(L16="可售建筑面积法",ROUND(SUM('附表4-项目间分摊信息采集表'!$G$5)/SUMPRODUCT(SUMIFS('附表4-项目间分摊信息采集表'!$G:$G,'附表4-项目间分摊信息采集表'!$B:$B,S16:AB16)),20),IF(L16="其他分摊方法",ROUND(SUM('附表4-项目间分摊信息采集表'!$H$5)/SUMPRODUCT(SUMIFS('附表4-项目间分摊信息采集表'!$H:$H,'附表4-项目间分摊信息采集表'!$B:$B,S16:AB16)),20),IF(L16="手工填写分摊比例","请填写分摊比例",100%))))),IF(COUNTA(S16:AB16)&gt;=1,0%,100%)),100%)</f>
        <v>1</v>
      </c>
      <c r="N16" s="72">
        <f>SUMIFS('附表7-扣除项目明细采集底稿'!$R:$R,'附表7-扣除项目明细采集底稿'!$G:$G,B16)</f>
        <v>193787.61</v>
      </c>
      <c r="O16" s="70" t="s">
        <v>1407</v>
      </c>
      <c r="P16" s="73">
        <f>SUMIFS('附表7-扣除项目明细采集底稿'!$T:$T,'附表7-扣除项目明细采集底稿'!$G:$G,$B16)</f>
        <v>193787.61</v>
      </c>
      <c r="Q16" s="74">
        <f t="shared" si="0"/>
        <v>0</v>
      </c>
      <c r="R16" s="75"/>
      <c r="S16" s="70"/>
      <c r="T16" s="70"/>
      <c r="U16" s="70"/>
      <c r="V16" s="70"/>
      <c r="W16" s="70"/>
      <c r="X16" s="70"/>
      <c r="Y16" s="70"/>
      <c r="Z16" s="70"/>
      <c r="AA16" s="70"/>
      <c r="AB16" s="70"/>
    </row>
    <row r="17" s="49" customFormat="1" ht="24" customHeight="1" spans="1:28">
      <c r="A17" s="63">
        <v>12</v>
      </c>
      <c r="B17" s="64" t="s">
        <v>1073</v>
      </c>
      <c r="C17" s="64" t="s">
        <v>1432</v>
      </c>
      <c r="D17" s="65" t="s">
        <v>1416</v>
      </c>
      <c r="E17" s="77" t="s">
        <v>1433</v>
      </c>
      <c r="F17" s="67">
        <v>44271</v>
      </c>
      <c r="G17" s="76">
        <v>1090000</v>
      </c>
      <c r="H17" s="72">
        <v>550458.72</v>
      </c>
      <c r="I17" s="70" t="s">
        <v>271</v>
      </c>
      <c r="J17" s="70" t="s">
        <v>271</v>
      </c>
      <c r="K17" s="70" t="s">
        <v>271</v>
      </c>
      <c r="L17" s="70"/>
      <c r="M17" s="71">
        <f>IFERROR(IF(COUNTIFS(S17:AB17,清算项目基本情况表!$D$6)&gt;=1,IF(L17="占地面积法",ROUND(SUM('附表4-项目间分摊信息采集表'!$E$5)/SUMPRODUCT(SUMIFS('附表4-项目间分摊信息采集表'!$E:$E,'附表4-项目间分摊信息采集表'!$B:$B,S17:AB17)),20),IF(L17="测绘总建筑面积法",ROUND(SUM('附表4-项目间分摊信息采集表'!$F$5)/SUMPRODUCT(SUMIFS('附表4-项目间分摊信息采集表'!$F:$F,'附表4-项目间分摊信息采集表'!$B:$B,S17:AB17)),20),IF(L17="可售建筑面积法",ROUND(SUM('附表4-项目间分摊信息采集表'!$G$5)/SUMPRODUCT(SUMIFS('附表4-项目间分摊信息采集表'!$G:$G,'附表4-项目间分摊信息采集表'!$B:$B,S17:AB17)),20),IF(L17="其他分摊方法",ROUND(SUM('附表4-项目间分摊信息采集表'!$H$5)/SUMPRODUCT(SUMIFS('附表4-项目间分摊信息采集表'!$H:$H,'附表4-项目间分摊信息采集表'!$B:$B,S17:AB17)),20),IF(L17="手工填写分摊比例","请填写分摊比例",100%))))),IF(COUNTA(S17:AB17)&gt;=1,0%,100%)),100%)</f>
        <v>1</v>
      </c>
      <c r="N17" s="72">
        <f>SUMIFS('附表7-扣除项目明细采集底稿'!$R:$R,'附表7-扣除项目明细采集底稿'!$G:$G,B17)</f>
        <v>569541.29</v>
      </c>
      <c r="O17" s="70" t="s">
        <v>1407</v>
      </c>
      <c r="P17" s="73">
        <f>SUMIFS('附表7-扣除项目明细采集底稿'!$T:$T,'附表7-扣除项目明细采集底稿'!$G:$G,$B17)</f>
        <v>569541.29</v>
      </c>
      <c r="Q17" s="74">
        <f t="shared" si="0"/>
        <v>0</v>
      </c>
      <c r="R17" s="75"/>
      <c r="S17" s="70"/>
      <c r="T17" s="70"/>
      <c r="U17" s="70"/>
      <c r="V17" s="70"/>
      <c r="W17" s="70"/>
      <c r="X17" s="70"/>
      <c r="Y17" s="70"/>
      <c r="Z17" s="70"/>
      <c r="AA17" s="70"/>
      <c r="AB17" s="70"/>
    </row>
    <row r="18" s="49" customFormat="1" ht="24" customHeight="1" spans="1:28">
      <c r="A18" s="63">
        <v>13</v>
      </c>
      <c r="B18" s="64" t="s">
        <v>948</v>
      </c>
      <c r="C18" s="64" t="s">
        <v>1434</v>
      </c>
      <c r="D18" s="65" t="s">
        <v>1416</v>
      </c>
      <c r="E18" s="77" t="s">
        <v>1435</v>
      </c>
      <c r="F18" s="67">
        <v>44287</v>
      </c>
      <c r="G18" s="76">
        <v>71997.02</v>
      </c>
      <c r="H18" s="72">
        <v>66052.3119266055</v>
      </c>
      <c r="I18" s="70" t="s">
        <v>271</v>
      </c>
      <c r="J18" s="70" t="s">
        <v>271</v>
      </c>
      <c r="K18" s="70" t="s">
        <v>16</v>
      </c>
      <c r="L18" s="70"/>
      <c r="M18" s="71">
        <f>IFERROR(IF(COUNTIFS(S18:AB18,清算项目基本情况表!$D$6)&gt;=1,IF(L18="占地面积法",ROUND(SUM('附表4-项目间分摊信息采集表'!$E$5)/SUMPRODUCT(SUMIFS('附表4-项目间分摊信息采集表'!$E:$E,'附表4-项目间分摊信息采集表'!$B:$B,S18:AB18)),20),IF(L18="测绘总建筑面积法",ROUND(SUM('附表4-项目间分摊信息采集表'!$F$5)/SUMPRODUCT(SUMIFS('附表4-项目间分摊信息采集表'!$F:$F,'附表4-项目间分摊信息采集表'!$B:$B,S18:AB18)),20),IF(L18="可售建筑面积法",ROUND(SUM('附表4-项目间分摊信息采集表'!$G$5)/SUMPRODUCT(SUMIFS('附表4-项目间分摊信息采集表'!$G:$G,'附表4-项目间分摊信息采集表'!$B:$B,S18:AB18)),20),IF(L18="其他分摊方法",ROUND(SUM('附表4-项目间分摊信息采集表'!$H$5)/SUMPRODUCT(SUMIFS('附表4-项目间分摊信息采集表'!$H:$H,'附表4-项目间分摊信息采集表'!$B:$B,S18:AB18)),20),IF(L18="手工填写分摊比例","请填写分摊比例",100%))))),IF(COUNTA(S18:AB18)&gt;=1,0%,100%)),100%)</f>
        <v>1</v>
      </c>
      <c r="N18" s="72">
        <f>SUMIFS('附表7-扣除项目明细采集底稿'!$R:$R,'附表7-扣除项目明细采集底稿'!$G:$G,B18)</f>
        <v>66052.31</v>
      </c>
      <c r="O18" s="70" t="s">
        <v>1407</v>
      </c>
      <c r="P18" s="73">
        <f>SUMIFS('附表7-扣除项目明细采集底稿'!$T:$T,'附表7-扣除项目明细采集底稿'!$G:$G,$B18)</f>
        <v>66052.31</v>
      </c>
      <c r="Q18" s="74">
        <f t="shared" si="0"/>
        <v>0</v>
      </c>
      <c r="R18" s="75"/>
      <c r="S18" s="70" t="s">
        <v>12</v>
      </c>
      <c r="T18" s="70" t="s">
        <v>273</v>
      </c>
      <c r="U18" s="70"/>
      <c r="V18" s="70"/>
      <c r="W18" s="70"/>
      <c r="X18" s="70"/>
      <c r="Y18" s="70"/>
      <c r="Z18" s="70"/>
      <c r="AA18" s="70"/>
      <c r="AB18" s="70"/>
    </row>
    <row r="19" s="49" customFormat="1" ht="24" customHeight="1" spans="1:28">
      <c r="A19" s="63">
        <v>14</v>
      </c>
      <c r="B19" s="64" t="s">
        <v>1095</v>
      </c>
      <c r="C19" s="64" t="s">
        <v>1436</v>
      </c>
      <c r="D19" s="65" t="s">
        <v>1416</v>
      </c>
      <c r="E19" s="77" t="s">
        <v>1437</v>
      </c>
      <c r="F19" s="67">
        <v>44296</v>
      </c>
      <c r="G19" s="76">
        <v>1400000</v>
      </c>
      <c r="H19" s="72">
        <v>1284403.66972477</v>
      </c>
      <c r="I19" s="70" t="s">
        <v>271</v>
      </c>
      <c r="J19" s="70" t="s">
        <v>271</v>
      </c>
      <c r="K19" s="70" t="s">
        <v>16</v>
      </c>
      <c r="L19" s="70" t="s">
        <v>1410</v>
      </c>
      <c r="M19" s="71">
        <f>IFERROR(IF(COUNTIFS(S19:AB19,清算项目基本情况表!$D$6)&gt;=1,IF(L19="占地面积法",ROUND(SUM('附表4-项目间分摊信息采集表'!$E$5)/SUMPRODUCT(SUMIFS('附表4-项目间分摊信息采集表'!$E:$E,'附表4-项目间分摊信息采集表'!$B:$B,S19:AB19)),20),IF(L19="测绘总建筑面积法",ROUND(SUM('附表4-项目间分摊信息采集表'!$F$5)/SUMPRODUCT(SUMIFS('附表4-项目间分摊信息采集表'!$F:$F,'附表4-项目间分摊信息采集表'!$B:$B,S19:AB19)),20),IF(L19="可售建筑面积法",ROUND(SUM('附表4-项目间分摊信息采集表'!$G$5)/SUMPRODUCT(SUMIFS('附表4-项目间分摊信息采集表'!$G:$G,'附表4-项目间分摊信息采集表'!$B:$B,S19:AB19)),20),IF(L19="其他分摊方法",ROUND(SUM('附表4-项目间分摊信息采集表'!$H$5)/SUMPRODUCT(SUMIFS('附表4-项目间分摊信息采集表'!$H:$H,'附表4-项目间分摊信息采集表'!$B:$B,S19:AB19)),20),IF(L19="手工填写分摊比例","请填写分摊比例",100%))))),IF(COUNTA(S19:AB19)&gt;=1,0%,100%)),100%)</f>
        <v>0.725945981401044</v>
      </c>
      <c r="N19" s="72">
        <f>SUMIFS('附表7-扣除项目明细采集底稿'!$R:$R,'附表7-扣除项目明细采集底稿'!$G:$G,B19)</f>
        <v>1183913.61</v>
      </c>
      <c r="O19" s="70" t="s">
        <v>1407</v>
      </c>
      <c r="P19" s="73">
        <f>SUMIFS('附表7-扣除项目明细采集底稿'!$T:$T,'附表7-扣除项目明细采集底稿'!$G:$G,$B19)</f>
        <v>859457.33</v>
      </c>
      <c r="Q19" s="74">
        <f t="shared" si="0"/>
        <v>324456.28</v>
      </c>
      <c r="R19" s="75">
        <v>792856.77</v>
      </c>
      <c r="S19" s="70" t="s">
        <v>12</v>
      </c>
      <c r="T19" s="70" t="s">
        <v>273</v>
      </c>
      <c r="U19" s="70"/>
      <c r="V19" s="70"/>
      <c r="W19" s="70"/>
      <c r="X19" s="70"/>
      <c r="Y19" s="70"/>
      <c r="Z19" s="70"/>
      <c r="AA19" s="70"/>
      <c r="AB19" s="70"/>
    </row>
    <row r="20" s="49" customFormat="1" ht="24" customHeight="1" spans="1:28">
      <c r="A20" s="63">
        <v>15</v>
      </c>
      <c r="B20" s="64" t="s">
        <v>1335</v>
      </c>
      <c r="C20" s="64" t="s">
        <v>1438</v>
      </c>
      <c r="D20" s="65" t="s">
        <v>1416</v>
      </c>
      <c r="E20" s="65" t="s">
        <v>1437</v>
      </c>
      <c r="F20" s="79">
        <v>44296</v>
      </c>
      <c r="G20" s="76">
        <v>480000</v>
      </c>
      <c r="H20" s="72">
        <v>440366.972477064</v>
      </c>
      <c r="I20" s="70" t="s">
        <v>271</v>
      </c>
      <c r="J20" s="70" t="s">
        <v>271</v>
      </c>
      <c r="K20" s="70" t="s">
        <v>16</v>
      </c>
      <c r="L20" s="70" t="s">
        <v>1410</v>
      </c>
      <c r="M20" s="71">
        <f>IFERROR(IF(COUNTIFS(S20:AB20,清算项目基本情况表!$D$6)&gt;=1,IF(L20="占地面积法",ROUND(SUM('附表4-项目间分摊信息采集表'!$E$5)/SUMPRODUCT(SUMIFS('附表4-项目间分摊信息采集表'!$E:$E,'附表4-项目间分摊信息采集表'!$B:$B,S20:AB20)),20),IF(L20="测绘总建筑面积法",ROUND(SUM('附表4-项目间分摊信息采集表'!$F$5)/SUMPRODUCT(SUMIFS('附表4-项目间分摊信息采集表'!$F:$F,'附表4-项目间分摊信息采集表'!$B:$B,S20:AB20)),20),IF(L20="可售建筑面积法",ROUND(SUM('附表4-项目间分摊信息采集表'!$G$5)/SUMPRODUCT(SUMIFS('附表4-项目间分摊信息采集表'!$G:$G,'附表4-项目间分摊信息采集表'!$B:$B,S20:AB20)),20),IF(L20="其他分摊方法",ROUND(SUM('附表4-项目间分摊信息采集表'!$H$5)/SUMPRODUCT(SUMIFS('附表4-项目间分摊信息采集表'!$H:$H,'附表4-项目间分摊信息采集表'!$B:$B,S20:AB20)),20),IF(L20="手工填写分摊比例","请填写分摊比例",100%))))),IF(COUNTA(S20:AB20)&gt;=1,0%,100%)),100%)</f>
        <v>0.725945981401044</v>
      </c>
      <c r="N20" s="72">
        <f>SUMIFS('附表7-扣除项目明细采集底稿'!$R:$R,'附表7-扣除项目明细采集底稿'!$G:$G,B20)</f>
        <v>0</v>
      </c>
      <c r="O20" s="70" t="s">
        <v>1407</v>
      </c>
      <c r="P20" s="73">
        <f>SUMIFS('附表7-扣除项目明细采集底稿'!$T:$T,'附表7-扣除项目明细采集底稿'!$G:$G,$B20)</f>
        <v>0</v>
      </c>
      <c r="Q20" s="74">
        <f t="shared" si="0"/>
        <v>0</v>
      </c>
      <c r="R20" s="75">
        <v>66600.55</v>
      </c>
      <c r="S20" s="70" t="s">
        <v>12</v>
      </c>
      <c r="T20" s="70" t="s">
        <v>273</v>
      </c>
      <c r="U20" s="70"/>
      <c r="V20" s="70"/>
      <c r="W20" s="70"/>
      <c r="X20" s="70"/>
      <c r="Y20" s="70"/>
      <c r="Z20" s="70"/>
      <c r="AA20" s="70"/>
      <c r="AB20" s="70"/>
    </row>
    <row r="21" s="49" customFormat="1" ht="24" customHeight="1" spans="1:28">
      <c r="A21" s="63">
        <v>16</v>
      </c>
      <c r="B21" s="64" t="s">
        <v>1117</v>
      </c>
      <c r="C21" s="64" t="s">
        <v>1439</v>
      </c>
      <c r="D21" s="65" t="s">
        <v>1430</v>
      </c>
      <c r="E21" s="77" t="s">
        <v>1440</v>
      </c>
      <c r="F21" s="67">
        <v>44336</v>
      </c>
      <c r="G21" s="76">
        <v>45000</v>
      </c>
      <c r="H21" s="72">
        <v>39823.0088495575</v>
      </c>
      <c r="I21" s="70" t="s">
        <v>271</v>
      </c>
      <c r="J21" s="70" t="s">
        <v>271</v>
      </c>
      <c r="K21" s="70" t="s">
        <v>271</v>
      </c>
      <c r="L21" s="70"/>
      <c r="M21" s="71">
        <f>IFERROR(IF(COUNTIFS(S21:AB21,清算项目基本情况表!$D$6)&gt;=1,IF(L21="占地面积法",ROUND(SUM('附表4-项目间分摊信息采集表'!$E$5)/SUMPRODUCT(SUMIFS('附表4-项目间分摊信息采集表'!$E:$E,'附表4-项目间分摊信息采集表'!$B:$B,S21:AB21)),20),IF(L21="测绘总建筑面积法",ROUND(SUM('附表4-项目间分摊信息采集表'!$F$5)/SUMPRODUCT(SUMIFS('附表4-项目间分摊信息采集表'!$F:$F,'附表4-项目间分摊信息采集表'!$B:$B,S21:AB21)),20),IF(L21="可售建筑面积法",ROUND(SUM('附表4-项目间分摊信息采集表'!$G$5)/SUMPRODUCT(SUMIFS('附表4-项目间分摊信息采集表'!$G:$G,'附表4-项目间分摊信息采集表'!$B:$B,S21:AB21)),20),IF(L21="其他分摊方法",ROUND(SUM('附表4-项目间分摊信息采集表'!$H$5)/SUMPRODUCT(SUMIFS('附表4-项目间分摊信息采集表'!$H:$H,'附表4-项目间分摊信息采集表'!$B:$B,S21:AB21)),20),IF(L21="手工填写分摊比例","请填写分摊比例",100%))))),IF(COUNTA(S21:AB21)&gt;=1,0%,100%)),100%)</f>
        <v>1</v>
      </c>
      <c r="N21" s="72">
        <f>SUMIFS('附表7-扣除项目明细采集底稿'!$R:$R,'附表7-扣除项目明细采集底稿'!$G:$G,B21)</f>
        <v>39823.01</v>
      </c>
      <c r="O21" s="70" t="s">
        <v>1407</v>
      </c>
      <c r="P21" s="73">
        <f>SUMIFS('附表7-扣除项目明细采集底稿'!$T:$T,'附表7-扣除项目明细采集底稿'!$G:$G,$B21)</f>
        <v>39823.01</v>
      </c>
      <c r="Q21" s="74">
        <f t="shared" si="0"/>
        <v>0</v>
      </c>
      <c r="R21" s="75"/>
      <c r="S21" s="70"/>
      <c r="T21" s="70"/>
      <c r="U21" s="70"/>
      <c r="V21" s="70"/>
      <c r="W21" s="70"/>
      <c r="X21" s="70"/>
      <c r="Y21" s="70"/>
      <c r="Z21" s="70"/>
      <c r="AA21" s="70"/>
      <c r="AB21" s="70"/>
    </row>
    <row r="22" s="49" customFormat="1" ht="24" customHeight="1" spans="1:28">
      <c r="A22" s="63">
        <v>17</v>
      </c>
      <c r="B22" s="64" t="s">
        <v>1123</v>
      </c>
      <c r="C22" s="64" t="s">
        <v>1441</v>
      </c>
      <c r="D22" s="65" t="s">
        <v>1416</v>
      </c>
      <c r="E22" s="77" t="s">
        <v>1442</v>
      </c>
      <c r="F22" s="67">
        <v>44362</v>
      </c>
      <c r="G22" s="76">
        <v>26600</v>
      </c>
      <c r="H22" s="72">
        <v>26336.6336633663</v>
      </c>
      <c r="I22" s="70" t="s">
        <v>271</v>
      </c>
      <c r="J22" s="70" t="s">
        <v>271</v>
      </c>
      <c r="K22" s="70" t="s">
        <v>271</v>
      </c>
      <c r="L22" s="70"/>
      <c r="M22" s="71">
        <f>IFERROR(IF(COUNTIFS(S22:AB22,清算项目基本情况表!$D$6)&gt;=1,IF(L22="占地面积法",ROUND(SUM('附表4-项目间分摊信息采集表'!$E$5)/SUMPRODUCT(SUMIFS('附表4-项目间分摊信息采集表'!$E:$E,'附表4-项目间分摊信息采集表'!$B:$B,S22:AB22)),20),IF(L22="测绘总建筑面积法",ROUND(SUM('附表4-项目间分摊信息采集表'!$F$5)/SUMPRODUCT(SUMIFS('附表4-项目间分摊信息采集表'!$F:$F,'附表4-项目间分摊信息采集表'!$B:$B,S22:AB22)),20),IF(L22="可售建筑面积法",ROUND(SUM('附表4-项目间分摊信息采集表'!$G$5)/SUMPRODUCT(SUMIFS('附表4-项目间分摊信息采集表'!$G:$G,'附表4-项目间分摊信息采集表'!$B:$B,S22:AB22)),20),IF(L22="其他分摊方法",ROUND(SUM('附表4-项目间分摊信息采集表'!$H$5)/SUMPRODUCT(SUMIFS('附表4-项目间分摊信息采集表'!$H:$H,'附表4-项目间分摊信息采集表'!$B:$B,S22:AB22)),20),IF(L22="手工填写分摊比例","请填写分摊比例",100%))))),IF(COUNTA(S22:AB22)&gt;=1,0%,100%)),100%)</f>
        <v>1</v>
      </c>
      <c r="N22" s="72">
        <f>SUMIFS('附表7-扣除项目明细采集底稿'!$R:$R,'附表7-扣除项目明细采集底稿'!$G:$G,B22)</f>
        <v>26336.63</v>
      </c>
      <c r="O22" s="70" t="s">
        <v>1407</v>
      </c>
      <c r="P22" s="73">
        <f>SUMIFS('附表7-扣除项目明细采集底稿'!$T:$T,'附表7-扣除项目明细采集底稿'!$G:$G,$B22)</f>
        <v>26336.63</v>
      </c>
      <c r="Q22" s="74">
        <f t="shared" si="0"/>
        <v>0</v>
      </c>
      <c r="R22" s="75"/>
      <c r="S22" s="70"/>
      <c r="T22" s="70"/>
      <c r="U22" s="70"/>
      <c r="V22" s="70"/>
      <c r="W22" s="70"/>
      <c r="X22" s="70"/>
      <c r="Y22" s="70"/>
      <c r="Z22" s="70"/>
      <c r="AA22" s="70"/>
      <c r="AB22" s="70"/>
    </row>
    <row r="23" s="50" customFormat="1" ht="24" customHeight="1" spans="1:28">
      <c r="A23" s="80">
        <v>18</v>
      </c>
      <c r="B23" s="81" t="s">
        <v>1131</v>
      </c>
      <c r="C23" s="81" t="s">
        <v>1443</v>
      </c>
      <c r="D23" s="82" t="s">
        <v>1416</v>
      </c>
      <c r="E23" s="83" t="s">
        <v>1444</v>
      </c>
      <c r="F23" s="84">
        <v>44330</v>
      </c>
      <c r="G23" s="85">
        <v>93000</v>
      </c>
      <c r="H23" s="86">
        <v>92079.2079207921</v>
      </c>
      <c r="I23" s="87" t="s">
        <v>271</v>
      </c>
      <c r="J23" s="87" t="s">
        <v>271</v>
      </c>
      <c r="K23" s="87" t="s">
        <v>16</v>
      </c>
      <c r="L23" s="87"/>
      <c r="M23" s="88">
        <f>IFERROR(IF(COUNTIFS(S23:AB23,清算项目基本情况表!$D$6)&gt;=1,IF(L23="占地面积法",ROUND(SUM('附表4-项目间分摊信息采集表'!$E$5)/SUMPRODUCT(SUMIFS('附表4-项目间分摊信息采集表'!$E:$E,'附表4-项目间分摊信息采集表'!$B:$B,S23:AB23)),20),IF(L23="测绘总建筑面积法",ROUND(SUM('附表4-项目间分摊信息采集表'!$F$5)/SUMPRODUCT(SUMIFS('附表4-项目间分摊信息采集表'!$F:$F,'附表4-项目间分摊信息采集表'!$B:$B,S23:AB23)),20),IF(L23="可售建筑面积法",ROUND(SUM('附表4-项目间分摊信息采集表'!$G$5)/SUMPRODUCT(SUMIFS('附表4-项目间分摊信息采集表'!$G:$G,'附表4-项目间分摊信息采集表'!$B:$B,S23:AB23)),20),IF(L23="其他分摊方法",ROUND(SUM('附表4-项目间分摊信息采集表'!$H$5)/SUMPRODUCT(SUMIFS('附表4-项目间分摊信息采集表'!$H:$H,'附表4-项目间分摊信息采集表'!$B:$B,S23:AB23)),20),IF(L23="手工填写分摊比例","请填写分摊比例",100%))))),IF(COUNTA(S23:AB23)&gt;=1,0%,100%)),100%)</f>
        <v>1</v>
      </c>
      <c r="N23" s="86">
        <f>SUMIFS('附表7-扣除项目明细采集底稿'!$R:$R,'附表7-扣除项目明细采集底稿'!$G:$G,B23)</f>
        <v>92079.21</v>
      </c>
      <c r="O23" s="87" t="s">
        <v>1407</v>
      </c>
      <c r="P23" s="89">
        <f>SUMIFS('附表7-扣除项目明细采集底稿'!$T:$T,'附表7-扣除项目明细采集底稿'!$G:$G,$B23)</f>
        <v>92079.21</v>
      </c>
      <c r="Q23" s="90">
        <f t="shared" si="0"/>
        <v>0</v>
      </c>
      <c r="R23" s="91"/>
      <c r="S23" s="87" t="s">
        <v>12</v>
      </c>
      <c r="T23" s="87" t="s">
        <v>273</v>
      </c>
      <c r="U23" s="87"/>
      <c r="V23" s="87"/>
      <c r="W23" s="87"/>
      <c r="X23" s="87"/>
      <c r="Y23" s="87"/>
      <c r="Z23" s="87"/>
      <c r="AA23" s="87"/>
      <c r="AB23" s="87"/>
    </row>
    <row r="24" s="49" customFormat="1" ht="24" customHeight="1" spans="1:28">
      <c r="A24" s="63">
        <v>19</v>
      </c>
      <c r="B24" s="64" t="s">
        <v>1159</v>
      </c>
      <c r="C24" s="64" t="s">
        <v>1445</v>
      </c>
      <c r="D24" s="65" t="s">
        <v>1405</v>
      </c>
      <c r="E24" s="66" t="s">
        <v>1426</v>
      </c>
      <c r="F24" s="92" t="s">
        <v>1446</v>
      </c>
      <c r="G24" s="76">
        <v>30000</v>
      </c>
      <c r="H24" s="72">
        <v>28301.8867924528</v>
      </c>
      <c r="I24" s="70" t="s">
        <v>271</v>
      </c>
      <c r="J24" s="70" t="s">
        <v>271</v>
      </c>
      <c r="K24" s="70" t="s">
        <v>16</v>
      </c>
      <c r="L24" s="70" t="s">
        <v>1410</v>
      </c>
      <c r="M24" s="71">
        <f>IFERROR(IF(COUNTIFS(S24:AB24,清算项目基本情况表!$D$6)&gt;=1,IF(L24="占地面积法",ROUND(SUM('附表4-项目间分摊信息采集表'!$E$5)/SUMPRODUCT(SUMIFS('附表4-项目间分摊信息采集表'!$E:$E,'附表4-项目间分摊信息采集表'!$B:$B,S24:AB24)),20),IF(L24="测绘总建筑面积法",ROUND(SUM('附表4-项目间分摊信息采集表'!$F$5)/SUMPRODUCT(SUMIFS('附表4-项目间分摊信息采集表'!$F:$F,'附表4-项目间分摊信息采集表'!$B:$B,S24:AB24)),20),IF(L24="可售建筑面积法",ROUND(SUM('附表4-项目间分摊信息采集表'!$G$5)/SUMPRODUCT(SUMIFS('附表4-项目间分摊信息采集表'!$G:$G,'附表4-项目间分摊信息采集表'!$B:$B,S24:AB24)),20),IF(L24="其他分摊方法",ROUND(SUM('附表4-项目间分摊信息采集表'!$H$5)/SUMPRODUCT(SUMIFS('附表4-项目间分摊信息采集表'!$H:$H,'附表4-项目间分摊信息采集表'!$B:$B,S24:AB24)),20),IF(L24="手工填写分摊比例","请填写分摊比例",100%))))),IF(COUNTA(S24:AB24)&gt;=1,0%,100%)),100%)</f>
        <v>0.725945981401044</v>
      </c>
      <c r="N24" s="72">
        <f>SUMIFS('附表7-扣除项目明细采集底稿'!$R:$R,'附表7-扣除项目明细采集底稿'!$G:$G,B24)</f>
        <v>28301.89</v>
      </c>
      <c r="O24" s="70" t="s">
        <v>1407</v>
      </c>
      <c r="P24" s="73">
        <f>SUMIFS('附表7-扣除项目明细采集底稿'!$T:$T,'附表7-扣除项目明细采集底稿'!$G:$G,$B24)</f>
        <v>20545.64</v>
      </c>
      <c r="Q24" s="74">
        <f t="shared" si="0"/>
        <v>7756.25</v>
      </c>
      <c r="R24" s="75"/>
      <c r="S24" s="70" t="s">
        <v>12</v>
      </c>
      <c r="T24" s="70" t="s">
        <v>273</v>
      </c>
      <c r="U24" s="70"/>
      <c r="V24" s="70"/>
      <c r="W24" s="70"/>
      <c r="X24" s="70"/>
      <c r="Y24" s="70"/>
      <c r="Z24" s="70"/>
      <c r="AA24" s="70"/>
      <c r="AB24" s="70"/>
    </row>
    <row r="25" s="49" customFormat="1" ht="24" customHeight="1" spans="1:28">
      <c r="A25" s="63">
        <v>20</v>
      </c>
      <c r="B25" s="64" t="s">
        <v>1152</v>
      </c>
      <c r="C25" s="64" t="s">
        <v>1447</v>
      </c>
      <c r="D25" s="65" t="s">
        <v>1416</v>
      </c>
      <c r="E25" s="77" t="s">
        <v>1448</v>
      </c>
      <c r="F25" s="67">
        <v>44383</v>
      </c>
      <c r="G25" s="76">
        <v>712180</v>
      </c>
      <c r="H25" s="72">
        <v>630247.78</v>
      </c>
      <c r="I25" s="70" t="s">
        <v>271</v>
      </c>
      <c r="J25" s="70" t="s">
        <v>271</v>
      </c>
      <c r="K25" s="70" t="s">
        <v>271</v>
      </c>
      <c r="L25" s="70"/>
      <c r="M25" s="71">
        <f>IFERROR(IF(COUNTIFS(S25:AB25,清算项目基本情况表!$D$6)&gt;=1,IF(L25="占地面积法",ROUND(SUM('附表4-项目间分摊信息采集表'!$E$5)/SUMPRODUCT(SUMIFS('附表4-项目间分摊信息采集表'!$E:$E,'附表4-项目间分摊信息采集表'!$B:$B,S25:AB25)),20),IF(L25="测绘总建筑面积法",ROUND(SUM('附表4-项目间分摊信息采集表'!$F$5)/SUMPRODUCT(SUMIFS('附表4-项目间分摊信息采集表'!$F:$F,'附表4-项目间分摊信息采集表'!$B:$B,S25:AB25)),20),IF(L25="可售建筑面积法",ROUND(SUM('附表4-项目间分摊信息采集表'!$G$5)/SUMPRODUCT(SUMIFS('附表4-项目间分摊信息采集表'!$G:$G,'附表4-项目间分摊信息采集表'!$B:$B,S25:AB25)),20),IF(L25="其他分摊方法",ROUND(SUM('附表4-项目间分摊信息采集表'!$H$5)/SUMPRODUCT(SUMIFS('附表4-项目间分摊信息采集表'!$H:$H,'附表4-项目间分摊信息采集表'!$B:$B,S25:AB25)),20),IF(L25="手工填写分摊比例","请填写分摊比例",100%))))),IF(COUNTA(S25:AB25)&gt;=1,0%,100%)),100%)</f>
        <v>1</v>
      </c>
      <c r="N25" s="72">
        <f>SUMIFS('附表7-扣除项目明细采集底稿'!$R:$R,'附表7-扣除项目明细采集底稿'!$G:$G,B25)</f>
        <v>630247.78</v>
      </c>
      <c r="O25" s="70" t="s">
        <v>1407</v>
      </c>
      <c r="P25" s="73">
        <f>SUMIFS('附表7-扣除项目明细采集底稿'!$T:$T,'附表7-扣除项目明细采集底稿'!$G:$G,$B25)</f>
        <v>630247.78</v>
      </c>
      <c r="Q25" s="74">
        <f t="shared" si="0"/>
        <v>0</v>
      </c>
      <c r="R25" s="75"/>
      <c r="S25" s="70"/>
      <c r="T25" s="70"/>
      <c r="U25" s="70"/>
      <c r="V25" s="70"/>
      <c r="W25" s="70"/>
      <c r="X25" s="70"/>
      <c r="Y25" s="70"/>
      <c r="Z25" s="70"/>
      <c r="AA25" s="70"/>
      <c r="AB25" s="70"/>
    </row>
    <row r="26" s="49" customFormat="1" ht="24" customHeight="1" spans="1:28">
      <c r="A26" s="63">
        <v>21</v>
      </c>
      <c r="B26" s="64" t="s">
        <v>1231</v>
      </c>
      <c r="C26" s="64" t="s">
        <v>1449</v>
      </c>
      <c r="D26" s="65" t="s">
        <v>1416</v>
      </c>
      <c r="E26" s="65" t="s">
        <v>1450</v>
      </c>
      <c r="F26" s="79">
        <v>44296</v>
      </c>
      <c r="G26" s="76">
        <v>1365000</v>
      </c>
      <c r="H26" s="72">
        <v>1252293.57798165</v>
      </c>
      <c r="I26" s="70" t="s">
        <v>271</v>
      </c>
      <c r="J26" s="70" t="s">
        <v>271</v>
      </c>
      <c r="K26" s="70" t="s">
        <v>16</v>
      </c>
      <c r="L26" s="70"/>
      <c r="M26" s="71">
        <f>IFERROR(IF(COUNTIFS(S26:AB26,清算项目基本情况表!$D$6)&gt;=1,IF(L26="占地面积法",ROUND(SUM('附表4-项目间分摊信息采集表'!$E$5)/SUMPRODUCT(SUMIFS('附表4-项目间分摊信息采集表'!$E:$E,'附表4-项目间分摊信息采集表'!$B:$B,S26:AB26)),20),IF(L26="测绘总建筑面积法",ROUND(SUM('附表4-项目间分摊信息采集表'!$F$5)/SUMPRODUCT(SUMIFS('附表4-项目间分摊信息采集表'!$F:$F,'附表4-项目间分摊信息采集表'!$B:$B,S26:AB26)),20),IF(L26="可售建筑面积法",ROUND(SUM('附表4-项目间分摊信息采集表'!$G$5)/SUMPRODUCT(SUMIFS('附表4-项目间分摊信息采集表'!$G:$G,'附表4-项目间分摊信息采集表'!$B:$B,S26:AB26)),20),IF(L26="其他分摊方法",ROUND(SUM('附表4-项目间分摊信息采集表'!$H$5)/SUMPRODUCT(SUMIFS('附表4-项目间分摊信息采集表'!$H:$H,'附表4-项目间分摊信息采集表'!$B:$B,S26:AB26)),20),IF(L26="手工填写分摊比例","请填写分摊比例",100%))))),IF(COUNTA(S26:AB26)&gt;=1,0%,100%)),100%)</f>
        <v>1</v>
      </c>
      <c r="N26" s="72">
        <f>SUMIFS('附表7-扣除项目明细采集底稿'!$R:$R,'附表7-扣除项目明细采集底稿'!$G:$G,B26)</f>
        <v>1252293.58</v>
      </c>
      <c r="O26" s="70" t="s">
        <v>1407</v>
      </c>
      <c r="P26" s="73">
        <f>SUMIFS('附表7-扣除项目明细采集底稿'!$T:$T,'附表7-扣除项目明细采集底稿'!$G:$G,$B26)</f>
        <v>1252293.58</v>
      </c>
      <c r="Q26" s="74">
        <f t="shared" si="0"/>
        <v>0</v>
      </c>
      <c r="R26" s="75"/>
      <c r="S26" s="70" t="s">
        <v>12</v>
      </c>
      <c r="T26" s="70" t="s">
        <v>273</v>
      </c>
      <c r="U26" s="70"/>
      <c r="V26" s="70"/>
      <c r="W26" s="70"/>
      <c r="X26" s="70"/>
      <c r="Y26" s="70"/>
      <c r="Z26" s="70"/>
      <c r="AA26" s="70"/>
      <c r="AB26" s="70"/>
    </row>
    <row r="27" s="49" customFormat="1" ht="24" customHeight="1" spans="1:28">
      <c r="A27" s="63">
        <v>22</v>
      </c>
      <c r="B27" s="64" t="s">
        <v>1253</v>
      </c>
      <c r="C27" s="64" t="s">
        <v>1451</v>
      </c>
      <c r="D27" s="65" t="s">
        <v>1416</v>
      </c>
      <c r="E27" s="65" t="s">
        <v>1452</v>
      </c>
      <c r="F27" s="79" t="s">
        <v>1453</v>
      </c>
      <c r="G27" s="76">
        <v>33264</v>
      </c>
      <c r="H27" s="72">
        <v>30517.43</v>
      </c>
      <c r="I27" s="70" t="s">
        <v>271</v>
      </c>
      <c r="J27" s="70" t="s">
        <v>271</v>
      </c>
      <c r="K27" s="70" t="s">
        <v>271</v>
      </c>
      <c r="L27" s="70"/>
      <c r="M27" s="71">
        <f>IFERROR(IF(COUNTIFS(S27:AB27,清算项目基本情况表!$D$6)&gt;=1,IF(L27="占地面积法",ROUND(SUM('附表4-项目间分摊信息采集表'!$E$5)/SUMPRODUCT(SUMIFS('附表4-项目间分摊信息采集表'!$E:$E,'附表4-项目间分摊信息采集表'!$B:$B,S27:AB27)),20),IF(L27="测绘总建筑面积法",ROUND(SUM('附表4-项目间分摊信息采集表'!$F$5)/SUMPRODUCT(SUMIFS('附表4-项目间分摊信息采集表'!$F:$F,'附表4-项目间分摊信息采集表'!$B:$B,S27:AB27)),20),IF(L27="可售建筑面积法",ROUND(SUM('附表4-项目间分摊信息采集表'!$G$5)/SUMPRODUCT(SUMIFS('附表4-项目间分摊信息采集表'!$G:$G,'附表4-项目间分摊信息采集表'!$B:$B,S27:AB27)),20),IF(L27="其他分摊方法",ROUND(SUM('附表4-项目间分摊信息采集表'!$H$5)/SUMPRODUCT(SUMIFS('附表4-项目间分摊信息采集表'!$H:$H,'附表4-项目间分摊信息采集表'!$B:$B,S27:AB27)),20),IF(L27="手工填写分摊比例","请填写分摊比例",100%))))),IF(COUNTA(S27:AB27)&gt;=1,0%,100%)),100%)</f>
        <v>1</v>
      </c>
      <c r="N27" s="72">
        <f>SUMIFS('附表7-扣除项目明细采集底稿'!$R:$R,'附表7-扣除项目明细采集底稿'!$G:$G,B27)</f>
        <v>30517.43</v>
      </c>
      <c r="O27" s="70" t="s">
        <v>1407</v>
      </c>
      <c r="P27" s="73">
        <f>SUMIFS('附表7-扣除项目明细采集底稿'!$T:$T,'附表7-扣除项目明细采集底稿'!$G:$G,$B27)</f>
        <v>30517.43</v>
      </c>
      <c r="Q27" s="74">
        <f t="shared" si="0"/>
        <v>0</v>
      </c>
      <c r="R27" s="75"/>
      <c r="S27" s="70"/>
      <c r="T27" s="70"/>
      <c r="U27" s="70"/>
      <c r="V27" s="70"/>
      <c r="W27" s="70"/>
      <c r="X27" s="70"/>
      <c r="Y27" s="70"/>
      <c r="Z27" s="70"/>
      <c r="AA27" s="70"/>
      <c r="AB27" s="70"/>
    </row>
    <row r="28" s="49" customFormat="1" ht="24" customHeight="1" spans="1:28">
      <c r="A28" s="63">
        <v>23</v>
      </c>
      <c r="B28" s="64" t="s">
        <v>1215</v>
      </c>
      <c r="C28" s="64" t="s">
        <v>1454</v>
      </c>
      <c r="D28" s="65" t="s">
        <v>1416</v>
      </c>
      <c r="E28" s="77" t="s">
        <v>1455</v>
      </c>
      <c r="F28" s="67">
        <v>44265</v>
      </c>
      <c r="G28" s="76">
        <v>435767</v>
      </c>
      <c r="H28" s="72">
        <f>G28/1.09</f>
        <v>399786.23853211</v>
      </c>
      <c r="I28" s="70" t="s">
        <v>271</v>
      </c>
      <c r="J28" s="70" t="s">
        <v>271</v>
      </c>
      <c r="K28" s="70" t="s">
        <v>271</v>
      </c>
      <c r="L28" s="70"/>
      <c r="M28" s="71">
        <f>IFERROR(IF(COUNTIFS(S28:AB28,清算项目基本情况表!$D$6)&gt;=1,IF(L28="占地面积法",ROUND(SUM('附表4-项目间分摊信息采集表'!$E$5)/SUMPRODUCT(SUMIFS('附表4-项目间分摊信息采集表'!$E:$E,'附表4-项目间分摊信息采集表'!$B:$B,S28:AB28)),20),IF(L28="测绘总建筑面积法",ROUND(SUM('附表4-项目间分摊信息采集表'!$F$5)/SUMPRODUCT(SUMIFS('附表4-项目间分摊信息采集表'!$F:$F,'附表4-项目间分摊信息采集表'!$B:$B,S28:AB28)),20),IF(L28="可售建筑面积法",ROUND(SUM('附表4-项目间分摊信息采集表'!$G$5)/SUMPRODUCT(SUMIFS('附表4-项目间分摊信息采集表'!$G:$G,'附表4-项目间分摊信息采集表'!$B:$B,S28:AB28)),20),IF(L28="其他分摊方法",ROUND(SUM('附表4-项目间分摊信息采集表'!$H$5)/SUMPRODUCT(SUMIFS('附表4-项目间分摊信息采集表'!$H:$H,'附表4-项目间分摊信息采集表'!$B:$B,S28:AB28)),20),IF(L28="手工填写分摊比例","请填写分摊比例",100%))))),IF(COUNTA(S28:AB28)&gt;=1,0%,100%)),100%)</f>
        <v>1</v>
      </c>
      <c r="N28" s="72">
        <f>SUMIFS('附表7-扣除项目明细采集底稿'!$R:$R,'附表7-扣除项目明细采集底稿'!$G:$G,B28)</f>
        <v>303834.44</v>
      </c>
      <c r="O28" s="70" t="s">
        <v>1407</v>
      </c>
      <c r="P28" s="73">
        <f>SUMIFS('附表7-扣除项目明细采集底稿'!$T:$T,'附表7-扣除项目明细采集底稿'!$G:$G,$B28)</f>
        <v>303834.44</v>
      </c>
      <c r="Q28" s="74">
        <f t="shared" si="0"/>
        <v>0</v>
      </c>
      <c r="R28" s="75"/>
      <c r="S28" s="70"/>
      <c r="T28" s="70"/>
      <c r="U28" s="70"/>
      <c r="V28" s="70"/>
      <c r="W28" s="70"/>
      <c r="X28" s="70"/>
      <c r="Y28" s="70"/>
      <c r="Z28" s="70"/>
      <c r="AA28" s="70"/>
      <c r="AB28" s="70"/>
    </row>
    <row r="29" s="49" customFormat="1" ht="24" customHeight="1" spans="1:28">
      <c r="A29" s="63">
        <v>24</v>
      </c>
      <c r="B29" s="64" t="s">
        <v>1264</v>
      </c>
      <c r="C29" s="64" t="s">
        <v>1456</v>
      </c>
      <c r="D29" s="65" t="s">
        <v>1416</v>
      </c>
      <c r="E29" s="65" t="s">
        <v>1068</v>
      </c>
      <c r="F29" s="79">
        <v>44470</v>
      </c>
      <c r="G29" s="76">
        <v>200000</v>
      </c>
      <c r="H29" s="72">
        <v>198019.801980198</v>
      </c>
      <c r="I29" s="70" t="s">
        <v>271</v>
      </c>
      <c r="J29" s="70" t="s">
        <v>271</v>
      </c>
      <c r="K29" s="70" t="s">
        <v>271</v>
      </c>
      <c r="L29" s="70"/>
      <c r="M29" s="71">
        <f>IFERROR(IF(COUNTIFS(S29:AB29,清算项目基本情况表!$D$6)&gt;=1,IF(L29="占地面积法",ROUND(SUM('附表4-项目间分摊信息采集表'!$E$5)/SUMPRODUCT(SUMIFS('附表4-项目间分摊信息采集表'!$E:$E,'附表4-项目间分摊信息采集表'!$B:$B,S29:AB29)),20),IF(L29="测绘总建筑面积法",ROUND(SUM('附表4-项目间分摊信息采集表'!$F$5)/SUMPRODUCT(SUMIFS('附表4-项目间分摊信息采集表'!$F:$F,'附表4-项目间分摊信息采集表'!$B:$B,S29:AB29)),20),IF(L29="可售建筑面积法",ROUND(SUM('附表4-项目间分摊信息采集表'!$G$5)/SUMPRODUCT(SUMIFS('附表4-项目间分摊信息采集表'!$G:$G,'附表4-项目间分摊信息采集表'!$B:$B,S29:AB29)),20),IF(L29="其他分摊方法",ROUND(SUM('附表4-项目间分摊信息采集表'!$H$5)/SUMPRODUCT(SUMIFS('附表4-项目间分摊信息采集表'!$H:$H,'附表4-项目间分摊信息采集表'!$B:$B,S29:AB29)),20),IF(L29="手工填写分摊比例","请填写分摊比例",100%))))),IF(COUNTA(S29:AB29)&gt;=1,0%,100%)),100%)</f>
        <v>1</v>
      </c>
      <c r="N29" s="72">
        <f>SUMIFS('附表7-扣除项目明细采集底稿'!$R:$R,'附表7-扣除项目明细采集底稿'!$G:$G,B29)</f>
        <v>198019.8</v>
      </c>
      <c r="O29" s="70" t="s">
        <v>1407</v>
      </c>
      <c r="P29" s="73">
        <f>SUMIFS('附表7-扣除项目明细采集底稿'!$T:$T,'附表7-扣除项目明细采集底稿'!$G:$G,$B29)</f>
        <v>198019.8</v>
      </c>
      <c r="Q29" s="74">
        <f t="shared" si="0"/>
        <v>0</v>
      </c>
      <c r="R29" s="75"/>
      <c r="S29" s="70"/>
      <c r="T29" s="70"/>
      <c r="U29" s="70"/>
      <c r="V29" s="70"/>
      <c r="W29" s="70"/>
      <c r="X29" s="70"/>
      <c r="Y29" s="70"/>
      <c r="Z29" s="70"/>
      <c r="AA29" s="70"/>
      <c r="AB29" s="70"/>
    </row>
    <row r="30" s="49" customFormat="1" ht="24" customHeight="1" spans="1:28">
      <c r="A30" s="63">
        <v>25</v>
      </c>
      <c r="B30" s="64" t="s">
        <v>1248</v>
      </c>
      <c r="C30" s="64" t="s">
        <v>1457</v>
      </c>
      <c r="D30" s="65" t="s">
        <v>1416</v>
      </c>
      <c r="E30" s="77" t="s">
        <v>1444</v>
      </c>
      <c r="F30" s="67">
        <v>44467</v>
      </c>
      <c r="G30" s="76">
        <v>199343</v>
      </c>
      <c r="H30" s="72">
        <v>197369.306930693</v>
      </c>
      <c r="I30" s="70" t="s">
        <v>271</v>
      </c>
      <c r="J30" s="70" t="s">
        <v>271</v>
      </c>
      <c r="K30" s="70" t="s">
        <v>16</v>
      </c>
      <c r="L30" s="70"/>
      <c r="M30" s="71">
        <f>IFERROR(IF(COUNTIFS(S30:AB30,清算项目基本情况表!$D$6)&gt;=1,IF(L30="占地面积法",ROUND(SUM('附表4-项目间分摊信息采集表'!$E$5)/SUMPRODUCT(SUMIFS('附表4-项目间分摊信息采集表'!$E:$E,'附表4-项目间分摊信息采集表'!$B:$B,S30:AB30)),20),IF(L30="测绘总建筑面积法",ROUND(SUM('附表4-项目间分摊信息采集表'!$F$5)/SUMPRODUCT(SUMIFS('附表4-项目间分摊信息采集表'!$F:$F,'附表4-项目间分摊信息采集表'!$B:$B,S30:AB30)),20),IF(L30="可售建筑面积法",ROUND(SUM('附表4-项目间分摊信息采集表'!$G$5)/SUMPRODUCT(SUMIFS('附表4-项目间分摊信息采集表'!$G:$G,'附表4-项目间分摊信息采集表'!$B:$B,S30:AB30)),20),IF(L30="其他分摊方法",ROUND(SUM('附表4-项目间分摊信息采集表'!$H$5)/SUMPRODUCT(SUMIFS('附表4-项目间分摊信息采集表'!$H:$H,'附表4-项目间分摊信息采集表'!$B:$B,S30:AB30)),20),IF(L30="手工填写分摊比例","请填写分摊比例",100%))))),IF(COUNTA(S30:AB30)&gt;=1,0%,100%)),100%)</f>
        <v>1</v>
      </c>
      <c r="N30" s="72">
        <f>SUMIFS('附表7-扣除项目明细采集底稿'!$R:$R,'附表7-扣除项目明细采集底稿'!$G:$G,B30)</f>
        <v>197369.3</v>
      </c>
      <c r="O30" s="70" t="s">
        <v>1407</v>
      </c>
      <c r="P30" s="73">
        <f>SUMIFS('附表7-扣除项目明细采集底稿'!$T:$T,'附表7-扣除项目明细采集底稿'!$G:$G,$B30)</f>
        <v>197369.3</v>
      </c>
      <c r="Q30" s="74">
        <f t="shared" si="0"/>
        <v>0</v>
      </c>
      <c r="R30" s="75"/>
      <c r="S30" s="70" t="s">
        <v>12</v>
      </c>
      <c r="T30" s="70" t="s">
        <v>273</v>
      </c>
      <c r="U30" s="70"/>
      <c r="V30" s="70"/>
      <c r="W30" s="70"/>
      <c r="X30" s="70"/>
      <c r="Y30" s="70"/>
      <c r="Z30" s="70"/>
      <c r="AA30" s="70"/>
      <c r="AB30" s="70"/>
    </row>
    <row r="31" s="49" customFormat="1" ht="24" customHeight="1" spans="1:28">
      <c r="A31" s="63">
        <v>26</v>
      </c>
      <c r="B31" s="64" t="s">
        <v>1225</v>
      </c>
      <c r="C31" s="64" t="s">
        <v>1458</v>
      </c>
      <c r="D31" s="65" t="s">
        <v>1416</v>
      </c>
      <c r="E31" s="77" t="s">
        <v>1459</v>
      </c>
      <c r="F31" s="67">
        <v>44470</v>
      </c>
      <c r="G31" s="76">
        <v>460000</v>
      </c>
      <c r="H31" s="72">
        <v>422018.348623853</v>
      </c>
      <c r="I31" s="70" t="s">
        <v>271</v>
      </c>
      <c r="J31" s="70" t="s">
        <v>271</v>
      </c>
      <c r="K31" s="70" t="s">
        <v>271</v>
      </c>
      <c r="L31" s="70"/>
      <c r="M31" s="71">
        <f>IFERROR(IF(COUNTIFS(S31:AB31,清算项目基本情况表!$D$6)&gt;=1,IF(L31="占地面积法",ROUND(SUM('附表4-项目间分摊信息采集表'!$E$5)/SUMPRODUCT(SUMIFS('附表4-项目间分摊信息采集表'!$E:$E,'附表4-项目间分摊信息采集表'!$B:$B,S31:AB31)),20),IF(L31="测绘总建筑面积法",ROUND(SUM('附表4-项目间分摊信息采集表'!$F$5)/SUMPRODUCT(SUMIFS('附表4-项目间分摊信息采集表'!$F:$F,'附表4-项目间分摊信息采集表'!$B:$B,S31:AB31)),20),IF(L31="可售建筑面积法",ROUND(SUM('附表4-项目间分摊信息采集表'!$G$5)/SUMPRODUCT(SUMIFS('附表4-项目间分摊信息采集表'!$G:$G,'附表4-项目间分摊信息采集表'!$B:$B,S31:AB31)),20),IF(L31="其他分摊方法",ROUND(SUM('附表4-项目间分摊信息采集表'!$H$5)/SUMPRODUCT(SUMIFS('附表4-项目间分摊信息采集表'!$H:$H,'附表4-项目间分摊信息采集表'!$B:$B,S31:AB31)),20),IF(L31="手工填写分摊比例","请填写分摊比例",100%))))),IF(COUNTA(S31:AB31)&gt;=1,0%,100%)),100%)</f>
        <v>1</v>
      </c>
      <c r="N31" s="72">
        <f>SUMIFS('附表7-扣除项目明细采集底稿'!$R:$R,'附表7-扣除项目明细采集底稿'!$G:$G,B31)</f>
        <v>422018.36</v>
      </c>
      <c r="O31" s="70" t="s">
        <v>1407</v>
      </c>
      <c r="P31" s="73">
        <f>SUMIFS('附表7-扣除项目明细采集底稿'!$T:$T,'附表7-扣除项目明细采集底稿'!$G:$G,$B31)</f>
        <v>422018.36</v>
      </c>
      <c r="Q31" s="74">
        <f t="shared" si="0"/>
        <v>0</v>
      </c>
      <c r="R31" s="75"/>
      <c r="S31" s="70"/>
      <c r="T31" s="70"/>
      <c r="U31" s="70"/>
      <c r="V31" s="70"/>
      <c r="W31" s="70"/>
      <c r="X31" s="70"/>
      <c r="Y31" s="70"/>
      <c r="Z31" s="70"/>
      <c r="AA31" s="70"/>
      <c r="AB31" s="70"/>
    </row>
    <row r="32" s="49" customFormat="1" ht="24" customHeight="1" spans="1:28">
      <c r="A32" s="63">
        <v>27</v>
      </c>
      <c r="B32" s="64" t="s">
        <v>1275</v>
      </c>
      <c r="C32" s="64" t="s">
        <v>1460</v>
      </c>
      <c r="D32" s="65" t="s">
        <v>1416</v>
      </c>
      <c r="E32" s="65" t="s">
        <v>1424</v>
      </c>
      <c r="F32" s="79">
        <v>44308</v>
      </c>
      <c r="G32" s="76">
        <v>14301.77</v>
      </c>
      <c r="H32" s="72">
        <v>13120.8899082569</v>
      </c>
      <c r="I32" s="70" t="s">
        <v>271</v>
      </c>
      <c r="J32" s="70" t="s">
        <v>271</v>
      </c>
      <c r="K32" s="70" t="s">
        <v>271</v>
      </c>
      <c r="L32" s="70" t="s">
        <v>1410</v>
      </c>
      <c r="M32" s="71">
        <f>IFERROR(IF(COUNTIFS(S32:AB32,清算项目基本情况表!$D$6)&gt;=1,IF(L32="占地面积法",ROUND(SUM('附表4-项目间分摊信息采集表'!$E$5)/SUMPRODUCT(SUMIFS('附表4-项目间分摊信息采集表'!$E:$E,'附表4-项目间分摊信息采集表'!$B:$B,S32:AB32)),20),IF(L32="测绘总建筑面积法",ROUND(SUM('附表4-项目间分摊信息采集表'!$F$5)/SUMPRODUCT(SUMIFS('附表4-项目间分摊信息采集表'!$F:$F,'附表4-项目间分摊信息采集表'!$B:$B,S32:AB32)),20),IF(L32="可售建筑面积法",ROUND(SUM('附表4-项目间分摊信息采集表'!$G$5)/SUMPRODUCT(SUMIFS('附表4-项目间分摊信息采集表'!$G:$G,'附表4-项目间分摊信息采集表'!$B:$B,S32:AB32)),20),IF(L32="其他分摊方法",ROUND(SUM('附表4-项目间分摊信息采集表'!$H$5)/SUMPRODUCT(SUMIFS('附表4-项目间分摊信息采集表'!$H:$H,'附表4-项目间分摊信息采集表'!$B:$B,S32:AB32)),20),IF(L32="手工填写分摊比例","请填写分摊比例",100%))))),IF(COUNTA(S32:AB32)&gt;=1,0%,100%)),100%)</f>
        <v>0.725945981401044</v>
      </c>
      <c r="N32" s="72">
        <f>SUMIFS('附表7-扣除项目明细采集底稿'!$R:$R,'附表7-扣除项目明细采集底稿'!$G:$G,B32)</f>
        <v>13120.89</v>
      </c>
      <c r="O32" s="70" t="s">
        <v>1407</v>
      </c>
      <c r="P32" s="73">
        <f>SUMIFS('附表7-扣除项目明细采集底稿'!$T:$T,'附表7-扣除项目明细采集底稿'!$G:$G,$B32)</f>
        <v>9525.06</v>
      </c>
      <c r="Q32" s="74">
        <f t="shared" si="0"/>
        <v>3595.83</v>
      </c>
      <c r="R32" s="75"/>
      <c r="S32" s="70" t="s">
        <v>12</v>
      </c>
      <c r="T32" s="70" t="s">
        <v>273</v>
      </c>
      <c r="U32" s="70"/>
      <c r="V32" s="70"/>
      <c r="W32" s="70"/>
      <c r="X32" s="70"/>
      <c r="Y32" s="70"/>
      <c r="Z32" s="70"/>
      <c r="AA32" s="70"/>
      <c r="AB32" s="70"/>
    </row>
    <row r="33" s="49" customFormat="1" ht="24" customHeight="1" spans="1:28">
      <c r="A33" s="63">
        <v>28</v>
      </c>
      <c r="B33" s="64" t="s">
        <v>1317</v>
      </c>
      <c r="C33" s="64" t="s">
        <v>1461</v>
      </c>
      <c r="D33" s="65" t="s">
        <v>1430</v>
      </c>
      <c r="E33" s="65" t="s">
        <v>1462</v>
      </c>
      <c r="F33" s="79">
        <v>44501</v>
      </c>
      <c r="G33" s="76">
        <v>73000</v>
      </c>
      <c r="H33" s="72">
        <v>64601.7699115044</v>
      </c>
      <c r="I33" s="70" t="s">
        <v>271</v>
      </c>
      <c r="J33" s="70" t="s">
        <v>271</v>
      </c>
      <c r="K33" s="70" t="s">
        <v>16</v>
      </c>
      <c r="L33" s="70" t="s">
        <v>1410</v>
      </c>
      <c r="M33" s="71">
        <f>IFERROR(IF(COUNTIFS(S33:AB33,清算项目基本情况表!$D$6)&gt;=1,IF(L33="占地面积法",ROUND(SUM('附表4-项目间分摊信息采集表'!$E$5)/SUMPRODUCT(SUMIFS('附表4-项目间分摊信息采集表'!$E:$E,'附表4-项目间分摊信息采集表'!$B:$B,S33:AB33)),20),IF(L33="测绘总建筑面积法",ROUND(SUM('附表4-项目间分摊信息采集表'!$F$5)/SUMPRODUCT(SUMIFS('附表4-项目间分摊信息采集表'!$F:$F,'附表4-项目间分摊信息采集表'!$B:$B,S33:AB33)),20),IF(L33="可售建筑面积法",ROUND(SUM('附表4-项目间分摊信息采集表'!$G$5)/SUMPRODUCT(SUMIFS('附表4-项目间分摊信息采集表'!$G:$G,'附表4-项目间分摊信息采集表'!$B:$B,S33:AB33)),20),IF(L33="其他分摊方法",ROUND(SUM('附表4-项目间分摊信息采集表'!$H$5)/SUMPRODUCT(SUMIFS('附表4-项目间分摊信息采集表'!$H:$H,'附表4-项目间分摊信息采集表'!$B:$B,S33:AB33)),20),IF(L33="手工填写分摊比例","请填写分摊比例",100%))))),IF(COUNTA(S33:AB33)&gt;=1,0%,100%)),100%)</f>
        <v>0.725945981401044</v>
      </c>
      <c r="N33" s="72">
        <f>SUMIFS('附表7-扣除项目明细采集底稿'!$R:$R,'附表7-扣除项目明细采集底稿'!$G:$G,B33)</f>
        <v>64601.77</v>
      </c>
      <c r="O33" s="70" t="s">
        <v>1407</v>
      </c>
      <c r="P33" s="73">
        <f>SUMIFS('附表7-扣除项目明细采集底稿'!$T:$T,'附表7-扣除项目明细采集底稿'!$G:$G,$B33)</f>
        <v>46897.4</v>
      </c>
      <c r="Q33" s="74">
        <f t="shared" si="0"/>
        <v>17704.37</v>
      </c>
      <c r="R33" s="75"/>
      <c r="S33" s="70" t="s">
        <v>12</v>
      </c>
      <c r="T33" s="70" t="s">
        <v>273</v>
      </c>
      <c r="U33" s="70"/>
      <c r="V33" s="70"/>
      <c r="W33" s="70"/>
      <c r="X33" s="70"/>
      <c r="Y33" s="70"/>
      <c r="Z33" s="70"/>
      <c r="AA33" s="70"/>
      <c r="AB33" s="70"/>
    </row>
    <row r="34" s="49" customFormat="1" ht="24" customHeight="1" spans="1:28">
      <c r="A34" s="63">
        <v>29</v>
      </c>
      <c r="B34" s="64" t="s">
        <v>1241</v>
      </c>
      <c r="C34" s="64" t="s">
        <v>1463</v>
      </c>
      <c r="D34" s="65" t="s">
        <v>1416</v>
      </c>
      <c r="E34" s="65" t="s">
        <v>1464</v>
      </c>
      <c r="F34" s="79">
        <v>44501</v>
      </c>
      <c r="G34" s="76">
        <v>11820</v>
      </c>
      <c r="H34" s="72">
        <v>10460.1769911504</v>
      </c>
      <c r="I34" s="70" t="s">
        <v>271</v>
      </c>
      <c r="J34" s="70" t="s">
        <v>271</v>
      </c>
      <c r="K34" s="70" t="s">
        <v>271</v>
      </c>
      <c r="L34" s="70"/>
      <c r="M34" s="71">
        <f>IFERROR(IF(COUNTIFS(S34:AB34,清算项目基本情况表!$D$6)&gt;=1,IF(L34="占地面积法",ROUND(SUM('附表4-项目间分摊信息采集表'!$E$5)/SUMPRODUCT(SUMIFS('附表4-项目间分摊信息采集表'!$E:$E,'附表4-项目间分摊信息采集表'!$B:$B,S34:AB34)),20),IF(L34="测绘总建筑面积法",ROUND(SUM('附表4-项目间分摊信息采集表'!$F$5)/SUMPRODUCT(SUMIFS('附表4-项目间分摊信息采集表'!$F:$F,'附表4-项目间分摊信息采集表'!$B:$B,S34:AB34)),20),IF(L34="可售建筑面积法",ROUND(SUM('附表4-项目间分摊信息采集表'!$G$5)/SUMPRODUCT(SUMIFS('附表4-项目间分摊信息采集表'!$G:$G,'附表4-项目间分摊信息采集表'!$B:$B,S34:AB34)),20),IF(L34="其他分摊方法",ROUND(SUM('附表4-项目间分摊信息采集表'!$H$5)/SUMPRODUCT(SUMIFS('附表4-项目间分摊信息采集表'!$H:$H,'附表4-项目间分摊信息采集表'!$B:$B,S34:AB34)),20),IF(L34="手工填写分摊比例","请填写分摊比例",100%))))),IF(COUNTA(S34:AB34)&gt;=1,0%,100%)),100%)</f>
        <v>1</v>
      </c>
      <c r="N34" s="72">
        <f>SUMIFS('附表7-扣除项目明细采集底稿'!$R:$R,'附表7-扣除项目明细采集底稿'!$G:$G,B34)</f>
        <v>9937.19</v>
      </c>
      <c r="O34" s="70" t="s">
        <v>1407</v>
      </c>
      <c r="P34" s="73">
        <f>SUMIFS('附表7-扣除项目明细采集底稿'!$T:$T,'附表7-扣除项目明细采集底稿'!$G:$G,$B34)</f>
        <v>9937.19</v>
      </c>
      <c r="Q34" s="74">
        <f t="shared" si="0"/>
        <v>0</v>
      </c>
      <c r="R34" s="75"/>
      <c r="S34" s="70"/>
      <c r="T34" s="70"/>
      <c r="U34" s="70"/>
      <c r="V34" s="70"/>
      <c r="W34" s="70"/>
      <c r="X34" s="70"/>
      <c r="Y34" s="70"/>
      <c r="Z34" s="70"/>
      <c r="AA34" s="70"/>
      <c r="AB34" s="70"/>
    </row>
    <row r="35" s="49" customFormat="1" ht="24" customHeight="1" spans="1:28">
      <c r="A35" s="63">
        <v>30</v>
      </c>
      <c r="B35" s="93" t="s">
        <v>1360</v>
      </c>
      <c r="C35" s="64" t="s">
        <v>1465</v>
      </c>
      <c r="D35" s="65" t="s">
        <v>1416</v>
      </c>
      <c r="E35" s="65" t="s">
        <v>1466</v>
      </c>
      <c r="F35" s="94">
        <v>43650</v>
      </c>
      <c r="G35" s="76">
        <v>4606188.45</v>
      </c>
      <c r="H35" s="72">
        <v>4225860.97</v>
      </c>
      <c r="I35" s="70" t="s">
        <v>271</v>
      </c>
      <c r="J35" s="70" t="s">
        <v>271</v>
      </c>
      <c r="K35" s="70" t="s">
        <v>271</v>
      </c>
      <c r="L35" s="70" t="s">
        <v>1410</v>
      </c>
      <c r="M35" s="71">
        <f>IFERROR(IF(COUNTIFS(S35:AB35,清算项目基本情况表!$D$6)&gt;=1,IF(L35="占地面积法",ROUND(SUM('附表4-项目间分摊信息采集表'!$E$5)/SUMPRODUCT(SUMIFS('附表4-项目间分摊信息采集表'!$E:$E,'附表4-项目间分摊信息采集表'!$B:$B,S35:AB35)),20),IF(L35="测绘总建筑面积法",ROUND(SUM('附表4-项目间分摊信息采集表'!$F$5)/SUMPRODUCT(SUMIFS('附表4-项目间分摊信息采集表'!$F:$F,'附表4-项目间分摊信息采集表'!$B:$B,S35:AB35)),20),IF(L35="可售建筑面积法",ROUND(SUM('附表4-项目间分摊信息采集表'!$G$5)/SUMPRODUCT(SUMIFS('附表4-项目间分摊信息采集表'!$G:$G,'附表4-项目间分摊信息采集表'!$B:$B,S35:AB35)),20),IF(L35="其他分摊方法",ROUND(SUM('附表4-项目间分摊信息采集表'!$H$5)/SUMPRODUCT(SUMIFS('附表4-项目间分摊信息采集表'!$H:$H,'附表4-项目间分摊信息采集表'!$B:$B,S35:AB35)),20),IF(L35="手工填写分摊比例","请填写分摊比例",100%))))),IF(COUNTA(S35:AB35)&gt;=1,0%,100%)),100%)</f>
        <v>0.725945981401044</v>
      </c>
      <c r="N35" s="72">
        <f>SUMIFS('附表7-扣除项目明细采集底稿'!$R:$R,'附表7-扣除项目明细采集底稿'!$G:$G,B35)</f>
        <v>4225860.96</v>
      </c>
      <c r="O35" s="70" t="s">
        <v>1407</v>
      </c>
      <c r="P35" s="73">
        <f>SUMIFS('附表7-扣除项目明细采集底稿'!$T:$T,'附表7-扣除项目明细采集底稿'!$G:$G,$B35)</f>
        <v>4101149.55</v>
      </c>
      <c r="Q35" s="74">
        <f t="shared" si="0"/>
        <v>124711.41</v>
      </c>
      <c r="R35" s="75"/>
      <c r="S35" s="70" t="s">
        <v>12</v>
      </c>
      <c r="T35" s="70" t="s">
        <v>273</v>
      </c>
      <c r="U35" s="70"/>
      <c r="V35" s="70"/>
      <c r="W35" s="70"/>
      <c r="X35" s="70"/>
      <c r="Y35" s="70"/>
      <c r="Z35" s="70"/>
      <c r="AA35" s="70"/>
      <c r="AB35" s="70"/>
    </row>
    <row r="36" s="49" customFormat="1" ht="24" customHeight="1" spans="1:28">
      <c r="A36" s="63">
        <v>31</v>
      </c>
      <c r="B36" s="93" t="s">
        <v>1103</v>
      </c>
      <c r="C36" s="64" t="s">
        <v>1467</v>
      </c>
      <c r="D36" s="65" t="s">
        <v>1416</v>
      </c>
      <c r="E36" s="95" t="s">
        <v>1468</v>
      </c>
      <c r="F36" s="94">
        <v>44314</v>
      </c>
      <c r="G36" s="76">
        <v>399600</v>
      </c>
      <c r="H36" s="72">
        <f>400000/1.01</f>
        <v>396039.603960396</v>
      </c>
      <c r="I36" s="70" t="s">
        <v>271</v>
      </c>
      <c r="J36" s="70" t="s">
        <v>271</v>
      </c>
      <c r="K36" s="70" t="s">
        <v>271</v>
      </c>
      <c r="L36" s="70"/>
      <c r="M36" s="71">
        <f>IFERROR(IF(COUNTIFS(S36:AB36,清算项目基本情况表!$D$6)&gt;=1,IF(L36="占地面积法",ROUND(SUM('附表4-项目间分摊信息采集表'!$E$5)/SUMPRODUCT(SUMIFS('附表4-项目间分摊信息采集表'!$E:$E,'附表4-项目间分摊信息采集表'!$B:$B,S36:AB36)),20),IF(L36="测绘总建筑面积法",ROUND(SUM('附表4-项目间分摊信息采集表'!$F$5)/SUMPRODUCT(SUMIFS('附表4-项目间分摊信息采集表'!$F:$F,'附表4-项目间分摊信息采集表'!$B:$B,S36:AB36)),20),IF(L36="可售建筑面积法",ROUND(SUM('附表4-项目间分摊信息采集表'!$G$5)/SUMPRODUCT(SUMIFS('附表4-项目间分摊信息采集表'!$G:$G,'附表4-项目间分摊信息采集表'!$B:$B,S36:AB36)),20),IF(L36="其他分摊方法",ROUND(SUM('附表4-项目间分摊信息采集表'!$H$5)/SUMPRODUCT(SUMIFS('附表4-项目间分摊信息采集表'!$H:$H,'附表4-项目间分摊信息采集表'!$B:$B,S36:AB36)),20),IF(L36="手工填写分摊比例","请填写分摊比例",100%))))),IF(COUNTA(S36:AB36)&gt;=1,0%,100%)),100%)</f>
        <v>1</v>
      </c>
      <c r="N36" s="72">
        <f>SUMIFS('附表7-扣除项目明细采集底稿'!$R:$R,'附表7-扣除项目明细采集底稿'!$G:$G,B36)</f>
        <v>0</v>
      </c>
      <c r="O36" s="70" t="s">
        <v>1407</v>
      </c>
      <c r="P36" s="73">
        <f>SUMIFS('附表7-扣除项目明细采集底稿'!$T:$T,'附表7-扣除项目明细采集底稿'!$G:$G,$B36)</f>
        <v>0</v>
      </c>
      <c r="Q36" s="74">
        <f t="shared" si="0"/>
        <v>0</v>
      </c>
      <c r="R36" s="75"/>
      <c r="S36" s="70"/>
      <c r="T36" s="70"/>
      <c r="U36" s="70"/>
      <c r="V36" s="70"/>
      <c r="W36" s="70"/>
      <c r="X36" s="70"/>
      <c r="Y36" s="70"/>
      <c r="Z36" s="70"/>
      <c r="AA36" s="70"/>
      <c r="AB36" s="70"/>
    </row>
    <row r="37" s="49" customFormat="1" ht="24" customHeight="1" spans="1:28">
      <c r="A37" s="63">
        <v>32</v>
      </c>
      <c r="B37" s="93" t="s">
        <v>1179</v>
      </c>
      <c r="C37" s="64" t="s">
        <v>1467</v>
      </c>
      <c r="D37" s="65" t="s">
        <v>1416</v>
      </c>
      <c r="E37" s="95" t="s">
        <v>1469</v>
      </c>
      <c r="F37" s="94">
        <v>44314</v>
      </c>
      <c r="G37" s="76">
        <v>48600</v>
      </c>
      <c r="H37" s="72">
        <f>50000/1.01</f>
        <v>49504.9504950495</v>
      </c>
      <c r="I37" s="70" t="s">
        <v>271</v>
      </c>
      <c r="J37" s="70" t="s">
        <v>271</v>
      </c>
      <c r="K37" s="70" t="s">
        <v>271</v>
      </c>
      <c r="L37" s="70"/>
      <c r="M37" s="71">
        <f>IFERROR(IF(COUNTIFS(S37:AB37,清算项目基本情况表!$D$6)&gt;=1,IF(L37="占地面积法",ROUND(SUM('附表4-项目间分摊信息采集表'!$E$5)/SUMPRODUCT(SUMIFS('附表4-项目间分摊信息采集表'!$E:$E,'附表4-项目间分摊信息采集表'!$B:$B,S37:AB37)),20),IF(L37="测绘总建筑面积法",ROUND(SUM('附表4-项目间分摊信息采集表'!$F$5)/SUMPRODUCT(SUMIFS('附表4-项目间分摊信息采集表'!$F:$F,'附表4-项目间分摊信息采集表'!$B:$B,S37:AB37)),20),IF(L37="可售建筑面积法",ROUND(SUM('附表4-项目间分摊信息采集表'!$G$5)/SUMPRODUCT(SUMIFS('附表4-项目间分摊信息采集表'!$G:$G,'附表4-项目间分摊信息采集表'!$B:$B,S37:AB37)),20),IF(L37="其他分摊方法",ROUND(SUM('附表4-项目间分摊信息采集表'!$H$5)/SUMPRODUCT(SUMIFS('附表4-项目间分摊信息采集表'!$H:$H,'附表4-项目间分摊信息采集表'!$B:$B,S37:AB37)),20),IF(L37="手工填写分摊比例","请填写分摊比例",100%))))),IF(COUNTA(S37:AB37)&gt;=1,0%,100%)),100%)</f>
        <v>1</v>
      </c>
      <c r="N37" s="72">
        <f>SUMIFS('附表7-扣除项目明细采集底稿'!$R:$R,'附表7-扣除项目明细采集底稿'!$G:$G,B37)</f>
        <v>0</v>
      </c>
      <c r="O37" s="70" t="s">
        <v>1407</v>
      </c>
      <c r="P37" s="73">
        <f>SUMIFS('附表7-扣除项目明细采集底稿'!$T:$T,'附表7-扣除项目明细采集底稿'!$G:$G,$B37)</f>
        <v>0</v>
      </c>
      <c r="Q37" s="74">
        <f t="shared" si="0"/>
        <v>0</v>
      </c>
      <c r="R37" s="75"/>
      <c r="S37" s="70"/>
      <c r="T37" s="70"/>
      <c r="U37" s="70"/>
      <c r="V37" s="70"/>
      <c r="W37" s="70"/>
      <c r="X37" s="70"/>
      <c r="Y37" s="70"/>
      <c r="Z37" s="70"/>
      <c r="AA37" s="70"/>
      <c r="AB37" s="70"/>
    </row>
    <row r="38" s="49" customFormat="1" ht="24" customHeight="1" spans="1:28">
      <c r="A38" s="63">
        <v>33</v>
      </c>
      <c r="B38" s="93" t="s">
        <v>1326</v>
      </c>
      <c r="C38" s="64" t="s">
        <v>1470</v>
      </c>
      <c r="D38" s="65" t="s">
        <v>1416</v>
      </c>
      <c r="E38" s="95" t="s">
        <v>1471</v>
      </c>
      <c r="F38" s="94">
        <v>44712</v>
      </c>
      <c r="G38" s="76">
        <f>51555+3220</f>
        <v>54775</v>
      </c>
      <c r="H38" s="72">
        <f>G38/1.13</f>
        <v>48473.4513274336</v>
      </c>
      <c r="I38" s="70" t="s">
        <v>271</v>
      </c>
      <c r="J38" s="70" t="s">
        <v>271</v>
      </c>
      <c r="K38" s="70" t="s">
        <v>271</v>
      </c>
      <c r="L38" s="70"/>
      <c r="M38" s="71">
        <f>IFERROR(IF(COUNTIFS(S38:AB38,清算项目基本情况表!$D$6)&gt;=1,IF(L38="占地面积法",ROUND(SUM('附表4-项目间分摊信息采集表'!$E$5)/SUMPRODUCT(SUMIFS('附表4-项目间分摊信息采集表'!$E:$E,'附表4-项目间分摊信息采集表'!$B:$B,S38:AB38)),20),IF(L38="测绘总建筑面积法",ROUND(SUM('附表4-项目间分摊信息采集表'!$F$5)/SUMPRODUCT(SUMIFS('附表4-项目间分摊信息采集表'!$F:$F,'附表4-项目间分摊信息采集表'!$B:$B,S38:AB38)),20),IF(L38="可售建筑面积法",ROUND(SUM('附表4-项目间分摊信息采集表'!$G$5)/SUMPRODUCT(SUMIFS('附表4-项目间分摊信息采集表'!$G:$G,'附表4-项目间分摊信息采集表'!$B:$B,S38:AB38)),20),IF(L38="其他分摊方法",ROUND(SUM('附表4-项目间分摊信息采集表'!$H$5)/SUMPRODUCT(SUMIFS('附表4-项目间分摊信息采集表'!$H:$H,'附表4-项目间分摊信息采集表'!$B:$B,S38:AB38)),20),IF(L38="手工填写分摊比例","请填写分摊比例",100%))))),IF(COUNTA(S38:AB38)&gt;=1,0%,100%)),100%)</f>
        <v>1</v>
      </c>
      <c r="N38" s="72">
        <f>SUMIFS('附表7-扣除项目明细采集底稿'!$R:$R,'附表7-扣除项目明细采集底稿'!$G:$G,B38)</f>
        <v>48473.45</v>
      </c>
      <c r="O38" s="70" t="s">
        <v>1407</v>
      </c>
      <c r="P38" s="73">
        <f>SUMIFS('附表7-扣除项目明细采集底稿'!$T:$T,'附表7-扣除项目明细采集底稿'!$G:$G,$B38)</f>
        <v>48473.45</v>
      </c>
      <c r="Q38" s="74">
        <f t="shared" si="0"/>
        <v>0</v>
      </c>
      <c r="R38" s="75"/>
      <c r="S38" s="70"/>
      <c r="T38" s="70"/>
      <c r="U38" s="70"/>
      <c r="V38" s="70"/>
      <c r="W38" s="70"/>
      <c r="X38" s="70"/>
      <c r="Y38" s="70"/>
      <c r="Z38" s="70"/>
      <c r="AA38" s="70"/>
      <c r="AB38" s="70"/>
    </row>
    <row r="39" s="49" customFormat="1" ht="24" customHeight="1" spans="1:28">
      <c r="A39" s="63">
        <v>34</v>
      </c>
      <c r="B39" s="93" t="s">
        <v>1369</v>
      </c>
      <c r="C39" s="64" t="s">
        <v>1472</v>
      </c>
      <c r="D39" s="65" t="s">
        <v>1416</v>
      </c>
      <c r="E39" s="65" t="s">
        <v>1466</v>
      </c>
      <c r="F39" s="94">
        <v>43971</v>
      </c>
      <c r="G39" s="76">
        <v>552403.38</v>
      </c>
      <c r="H39" s="72">
        <f>G39/1.09</f>
        <v>506792.091743119</v>
      </c>
      <c r="I39" s="70" t="s">
        <v>271</v>
      </c>
      <c r="J39" s="70" t="s">
        <v>271</v>
      </c>
      <c r="K39" s="70" t="s">
        <v>16</v>
      </c>
      <c r="L39" s="70" t="s">
        <v>1410</v>
      </c>
      <c r="M39" s="71">
        <f>IFERROR(IF(COUNTIFS(S39:AB39,清算项目基本情况表!$D$6)&gt;=1,IF(L39="占地面积法",ROUND(SUM('附表4-项目间分摊信息采集表'!$E$5)/SUMPRODUCT(SUMIFS('附表4-项目间分摊信息采集表'!$E:$E,'附表4-项目间分摊信息采集表'!$B:$B,S39:AB39)),20),IF(L39="测绘总建筑面积法",ROUND(SUM('附表4-项目间分摊信息采集表'!$F$5)/SUMPRODUCT(SUMIFS('附表4-项目间分摊信息采集表'!$F:$F,'附表4-项目间分摊信息采集表'!$B:$B,S39:AB39)),20),IF(L39="可售建筑面积法",ROUND(SUM('附表4-项目间分摊信息采集表'!$G$5)/SUMPRODUCT(SUMIFS('附表4-项目间分摊信息采集表'!$G:$G,'附表4-项目间分摊信息采集表'!$B:$B,S39:AB39)),20),IF(L39="其他分摊方法",ROUND(SUM('附表4-项目间分摊信息采集表'!$H$5)/SUMPRODUCT(SUMIFS('附表4-项目间分摊信息采集表'!$H:$H,'附表4-项目间分摊信息采集表'!$B:$B,S39:AB39)),20),IF(L39="手工填写分摊比例","请填写分摊比例",100%))))),IF(COUNTA(S39:AB39)&gt;=1,0%,100%)),100%)</f>
        <v>0.725945981401044</v>
      </c>
      <c r="N39" s="72">
        <f>SUMIFS('附表7-扣除项目明细采集底稿'!$R:$R,'附表7-扣除项目明细采集底稿'!$G:$G,B39)</f>
        <v>506792.09</v>
      </c>
      <c r="O39" s="70" t="s">
        <v>1407</v>
      </c>
      <c r="P39" s="73">
        <f>SUMIFS('附表7-扣除项目明细采集底稿'!$T:$T,'附表7-扣除项目明细采集底稿'!$G:$G,$B39)</f>
        <v>367903.68</v>
      </c>
      <c r="Q39" s="74">
        <f t="shared" si="0"/>
        <v>138888.41</v>
      </c>
      <c r="R39" s="75"/>
      <c r="S39" s="70" t="s">
        <v>12</v>
      </c>
      <c r="T39" s="70" t="s">
        <v>273</v>
      </c>
      <c r="U39" s="70"/>
      <c r="V39" s="70"/>
      <c r="W39" s="70"/>
      <c r="X39" s="70"/>
      <c r="Y39" s="70"/>
      <c r="Z39" s="70"/>
      <c r="AA39" s="70"/>
      <c r="AB39" s="70"/>
    </row>
    <row r="40" s="50" customFormat="1" ht="24" customHeight="1" spans="1:28">
      <c r="A40" s="80">
        <v>35</v>
      </c>
      <c r="B40" s="81" t="s">
        <v>1061</v>
      </c>
      <c r="C40" s="81" t="s">
        <v>1473</v>
      </c>
      <c r="D40" s="82" t="s">
        <v>1416</v>
      </c>
      <c r="E40" s="83" t="s">
        <v>1474</v>
      </c>
      <c r="F40" s="96">
        <v>44501</v>
      </c>
      <c r="G40" s="85">
        <v>211815</v>
      </c>
      <c r="H40" s="86">
        <f>(399115.81-381020+211815)/1.09</f>
        <v>210927.348623853</v>
      </c>
      <c r="I40" s="87" t="s">
        <v>271</v>
      </c>
      <c r="J40" s="87" t="s">
        <v>271</v>
      </c>
      <c r="K40" s="87" t="s">
        <v>16</v>
      </c>
      <c r="L40" s="87"/>
      <c r="M40" s="88">
        <f>IFERROR(IF(COUNTIFS(S40:AB40,清算项目基本情况表!$D$6)&gt;=1,IF(L40="占地面积法",ROUND(SUM('附表4-项目间分摊信息采集表'!$E$5)/SUMPRODUCT(SUMIFS('附表4-项目间分摊信息采集表'!$E:$E,'附表4-项目间分摊信息采集表'!$B:$B,S40:AB40)),20),IF(L40="测绘总建筑面积法",ROUND(SUM('附表4-项目间分摊信息采集表'!$F$5)/SUMPRODUCT(SUMIFS('附表4-项目间分摊信息采集表'!$F:$F,'附表4-项目间分摊信息采集表'!$B:$B,S40:AB40)),20),IF(L40="可售建筑面积法",ROUND(SUM('附表4-项目间分摊信息采集表'!$G$5)/SUMPRODUCT(SUMIFS('附表4-项目间分摊信息采集表'!$G:$G,'附表4-项目间分摊信息采集表'!$B:$B,S40:AB40)),20),IF(L40="其他分摊方法",ROUND(SUM('附表4-项目间分摊信息采集表'!$H$5)/SUMPRODUCT(SUMIFS('附表4-项目间分摊信息采集表'!$H:$H,'附表4-项目间分摊信息采集表'!$B:$B,S40:AB40)),20),IF(L40="手工填写分摊比例","请填写分摊比例",100%))))),IF(COUNTA(S40:AB40)&gt;=1,0%,100%)),100%)</f>
        <v>1</v>
      </c>
      <c r="N40" s="86">
        <f>SUMIFS('附表7-扣除项目明细采集底稿'!$R:$R,'附表7-扣除项目明细采集底稿'!$G:$G,B40)</f>
        <v>210927.348623853</v>
      </c>
      <c r="O40" s="87" t="s">
        <v>1407</v>
      </c>
      <c r="P40" s="89">
        <f>SUMIFS('附表7-扣除项目明细采集底稿'!$T:$T,'附表7-扣除项目明细采集底稿'!$G:$G,$B40)</f>
        <v>210927.35</v>
      </c>
      <c r="Q40" s="90">
        <f t="shared" si="0"/>
        <v>0</v>
      </c>
      <c r="R40" s="91"/>
      <c r="S40" s="87" t="s">
        <v>12</v>
      </c>
      <c r="T40" s="87" t="s">
        <v>273</v>
      </c>
      <c r="U40" s="87"/>
      <c r="V40" s="87"/>
      <c r="W40" s="87"/>
      <c r="X40" s="87"/>
      <c r="Y40" s="87"/>
      <c r="Z40" s="87"/>
      <c r="AA40" s="87"/>
      <c r="AB40" s="87"/>
    </row>
    <row r="41" s="49" customFormat="1" ht="24" customHeight="1" spans="1:28">
      <c r="A41" s="63">
        <v>36</v>
      </c>
      <c r="B41" s="93" t="s">
        <v>925</v>
      </c>
      <c r="C41" s="66" t="s">
        <v>1475</v>
      </c>
      <c r="D41" s="65" t="s">
        <v>1416</v>
      </c>
      <c r="E41" s="66" t="s">
        <v>1475</v>
      </c>
      <c r="F41" s="79">
        <v>44501</v>
      </c>
      <c r="G41" s="68">
        <v>14109</v>
      </c>
      <c r="H41" s="72">
        <v>13310.3773584906</v>
      </c>
      <c r="I41" s="70" t="s">
        <v>271</v>
      </c>
      <c r="J41" s="70" t="s">
        <v>271</v>
      </c>
      <c r="K41" s="70" t="s">
        <v>271</v>
      </c>
      <c r="L41" s="70"/>
      <c r="M41" s="71">
        <f>IFERROR(IF(COUNTIFS(S41:AB41,清算项目基本情况表!$D$6)&gt;=1,IF(L41="占地面积法",ROUND(SUM('附表4-项目间分摊信息采集表'!$E$5)/SUMPRODUCT(SUMIFS('附表4-项目间分摊信息采集表'!$E:$E,'附表4-项目间分摊信息采集表'!$B:$B,S41:AB41)),20),IF(L41="测绘总建筑面积法",ROUND(SUM('附表4-项目间分摊信息采集表'!$F$5)/SUMPRODUCT(SUMIFS('附表4-项目间分摊信息采集表'!$F:$F,'附表4-项目间分摊信息采集表'!$B:$B,S41:AB41)),20),IF(L41="可售建筑面积法",ROUND(SUM('附表4-项目间分摊信息采集表'!$G$5)/SUMPRODUCT(SUMIFS('附表4-项目间分摊信息采集表'!$G:$G,'附表4-项目间分摊信息采集表'!$B:$B,S41:AB41)),20),IF(L41="其他分摊方法",ROUND(SUM('附表4-项目间分摊信息采集表'!$H$5)/SUMPRODUCT(SUMIFS('附表4-项目间分摊信息采集表'!$H:$H,'附表4-项目间分摊信息采集表'!$B:$B,S41:AB41)),20),IF(L41="手工填写分摊比例","请填写分摊比例",100%))))),IF(COUNTA(S41:AB41)&gt;=1,0%,100%)),100%)</f>
        <v>1</v>
      </c>
      <c r="N41" s="72">
        <f>SUMIFS('附表7-扣除项目明细采集底稿'!$R:$R,'附表7-扣除项目明细采集底稿'!$G:$G,B41)</f>
        <v>13310.38</v>
      </c>
      <c r="O41" s="70" t="s">
        <v>1407</v>
      </c>
      <c r="P41" s="73">
        <f>SUMIFS('附表7-扣除项目明细采集底稿'!$T:$T,'附表7-扣除项目明细采集底稿'!$G:$G,$B41)</f>
        <v>13310.38</v>
      </c>
      <c r="Q41" s="74">
        <f t="shared" si="0"/>
        <v>0</v>
      </c>
      <c r="R41" s="75"/>
      <c r="S41" s="70"/>
      <c r="T41" s="70"/>
      <c r="U41" s="70"/>
      <c r="V41" s="70"/>
      <c r="W41" s="70"/>
      <c r="X41" s="70"/>
      <c r="Y41" s="70"/>
      <c r="Z41" s="70"/>
      <c r="AA41" s="70"/>
      <c r="AB41" s="70"/>
    </row>
    <row r="42" s="49" customFormat="1" ht="26" customHeight="1" spans="1:28">
      <c r="A42" s="63">
        <v>37</v>
      </c>
      <c r="B42" s="93" t="s">
        <v>1357</v>
      </c>
      <c r="C42" s="97" t="s">
        <v>1476</v>
      </c>
      <c r="D42" s="65" t="s">
        <v>1416</v>
      </c>
      <c r="E42" s="77" t="s">
        <v>1477</v>
      </c>
      <c r="F42" s="98">
        <v>44428</v>
      </c>
      <c r="G42" s="68">
        <v>20000</v>
      </c>
      <c r="H42" s="72">
        <v>19801.98</v>
      </c>
      <c r="I42" s="70" t="s">
        <v>271</v>
      </c>
      <c r="J42" s="70" t="s">
        <v>271</v>
      </c>
      <c r="K42" s="70" t="s">
        <v>271</v>
      </c>
      <c r="L42" s="70"/>
      <c r="M42" s="71">
        <f>IFERROR(IF(COUNTIFS(S42:AB42,清算项目基本情况表!$D$6)&gt;=1,IF(L42="占地面积法",ROUND(SUM('附表4-项目间分摊信息采集表'!$E$5)/SUMPRODUCT(SUMIFS('附表4-项目间分摊信息采集表'!$E:$E,'附表4-项目间分摊信息采集表'!$B:$B,S42:AB42)),20),IF(L42="测绘总建筑面积法",ROUND(SUM('附表4-项目间分摊信息采集表'!$F$5)/SUMPRODUCT(SUMIFS('附表4-项目间分摊信息采集表'!$F:$F,'附表4-项目间分摊信息采集表'!$B:$B,S42:AB42)),20),IF(L42="可售建筑面积法",ROUND(SUM('附表4-项目间分摊信息采集表'!$G$5)/SUMPRODUCT(SUMIFS('附表4-项目间分摊信息采集表'!$G:$G,'附表4-项目间分摊信息采集表'!$B:$B,S42:AB42)),20),IF(L42="其他分摊方法",ROUND(SUM('附表4-项目间分摊信息采集表'!$H$5)/SUMPRODUCT(SUMIFS('附表4-项目间分摊信息采集表'!$H:$H,'附表4-项目间分摊信息采集表'!$B:$B,S42:AB42)),20),IF(L42="手工填写分摊比例","请填写分摊比例",100%))))),IF(COUNTA(S42:AB42)&gt;=1,0%,100%)),100%)</f>
        <v>1</v>
      </c>
      <c r="N42" s="72">
        <f>SUMIFS('附表7-扣除项目明细采集底稿'!$R:$R,'附表7-扣除项目明细采集底稿'!$G:$G,B42)</f>
        <v>19801.98</v>
      </c>
      <c r="O42" s="70" t="s">
        <v>1407</v>
      </c>
      <c r="P42" s="73">
        <f>SUMIFS('附表7-扣除项目明细采集底稿'!$T:$T,'附表7-扣除项目明细采集底稿'!$G:$G,$B42)</f>
        <v>19801.98</v>
      </c>
      <c r="Q42" s="74">
        <f t="shared" si="0"/>
        <v>0</v>
      </c>
      <c r="R42" s="75"/>
      <c r="S42" s="70"/>
      <c r="T42" s="70"/>
      <c r="U42" s="70"/>
      <c r="V42" s="70"/>
      <c r="W42" s="70"/>
      <c r="X42" s="70"/>
      <c r="Y42" s="70"/>
      <c r="Z42" s="70"/>
      <c r="AA42" s="70"/>
      <c r="AB42" s="70"/>
    </row>
    <row r="43" s="49" customFormat="1" spans="1:28">
      <c r="A43" s="63">
        <v>38</v>
      </c>
      <c r="B43" s="93" t="s">
        <v>1137</v>
      </c>
      <c r="C43" s="64" t="s">
        <v>1478</v>
      </c>
      <c r="D43" s="65" t="s">
        <v>1430</v>
      </c>
      <c r="E43" s="95" t="s">
        <v>1479</v>
      </c>
      <c r="F43" s="94">
        <v>44379</v>
      </c>
      <c r="G43" s="76">
        <v>150000</v>
      </c>
      <c r="H43" s="76">
        <v>150000</v>
      </c>
      <c r="I43" s="70" t="s">
        <v>271</v>
      </c>
      <c r="J43" s="70" t="s">
        <v>271</v>
      </c>
      <c r="K43" s="70" t="s">
        <v>271</v>
      </c>
      <c r="L43" s="70"/>
      <c r="M43" s="71">
        <f>IFERROR(IF(COUNTIFS(S43:AB43,清算项目基本情况表!$D$6)&gt;=1,IF(L43="占地面积法",ROUND(SUM('附表4-项目间分摊信息采集表'!$E$5)/SUMPRODUCT(SUMIFS('附表4-项目间分摊信息采集表'!$E:$E,'附表4-项目间分摊信息采集表'!$B:$B,S43:AB43)),20),IF(L43="测绘总建筑面积法",ROUND(SUM('附表4-项目间分摊信息采集表'!$F$5)/SUMPRODUCT(SUMIFS('附表4-项目间分摊信息采集表'!$F:$F,'附表4-项目间分摊信息采集表'!$B:$B,S43:AB43)),20),IF(L43="可售建筑面积法",ROUND(SUM('附表4-项目间分摊信息采集表'!$G$5)/SUMPRODUCT(SUMIFS('附表4-项目间分摊信息采集表'!$G:$G,'附表4-项目间分摊信息采集表'!$B:$B,S43:AB43)),20),IF(L43="其他分摊方法",ROUND(SUM('附表4-项目间分摊信息采集表'!$H$5)/SUMPRODUCT(SUMIFS('附表4-项目间分摊信息采集表'!$H:$H,'附表4-项目间分摊信息采集表'!$B:$B,S43:AB43)),20),IF(L43="手工填写分摊比例","请填写分摊比例",100%))))),IF(COUNTA(S43:AB43)&gt;=1,0%,100%)),100%)</f>
        <v>1</v>
      </c>
      <c r="N43" s="72">
        <f>SUMIFS('附表7-扣除项目明细采集底稿'!$R:$R,'附表7-扣除项目明细采集底稿'!$G:$G,B43)</f>
        <v>0</v>
      </c>
      <c r="O43" s="70" t="s">
        <v>1407</v>
      </c>
      <c r="P43" s="73">
        <f>SUMIFS('附表7-扣除项目明细采集底稿'!$T:$T,'附表7-扣除项目明细采集底稿'!$G:$G,$B43)</f>
        <v>0</v>
      </c>
      <c r="Q43" s="74">
        <f t="shared" si="0"/>
        <v>0</v>
      </c>
      <c r="R43" s="75"/>
      <c r="S43" s="70"/>
      <c r="T43" s="70"/>
      <c r="U43" s="70"/>
      <c r="V43" s="70"/>
      <c r="W43" s="70"/>
      <c r="X43" s="70"/>
      <c r="Y43" s="70"/>
      <c r="Z43" s="70"/>
      <c r="AA43" s="70"/>
      <c r="AB43" s="70"/>
    </row>
    <row r="44" s="49" customFormat="1" spans="1:28">
      <c r="A44" s="63">
        <v>39</v>
      </c>
      <c r="B44" s="93" t="s">
        <v>1146</v>
      </c>
      <c r="C44" s="64" t="s">
        <v>1478</v>
      </c>
      <c r="D44" s="65" t="s">
        <v>1430</v>
      </c>
      <c r="E44" s="95" t="s">
        <v>1480</v>
      </c>
      <c r="F44" s="94">
        <v>44379</v>
      </c>
      <c r="G44" s="76">
        <v>150000</v>
      </c>
      <c r="H44" s="76">
        <v>150000</v>
      </c>
      <c r="I44" s="70" t="s">
        <v>271</v>
      </c>
      <c r="J44" s="70" t="s">
        <v>271</v>
      </c>
      <c r="K44" s="70" t="s">
        <v>271</v>
      </c>
      <c r="L44" s="70"/>
      <c r="M44" s="71">
        <f>IFERROR(IF(COUNTIFS(S44:AB44,清算项目基本情况表!$D$6)&gt;=1,IF(L44="占地面积法",ROUND(SUM('附表4-项目间分摊信息采集表'!$E$5)/SUMPRODUCT(SUMIFS('附表4-项目间分摊信息采集表'!$E:$E,'附表4-项目间分摊信息采集表'!$B:$B,S44:AB44)),20),IF(L44="测绘总建筑面积法",ROUND(SUM('附表4-项目间分摊信息采集表'!$F$5)/SUMPRODUCT(SUMIFS('附表4-项目间分摊信息采集表'!$F:$F,'附表4-项目间分摊信息采集表'!$B:$B,S44:AB44)),20),IF(L44="可售建筑面积法",ROUND(SUM('附表4-项目间分摊信息采集表'!$G$5)/SUMPRODUCT(SUMIFS('附表4-项目间分摊信息采集表'!$G:$G,'附表4-项目间分摊信息采集表'!$B:$B,S44:AB44)),20),IF(L44="其他分摊方法",ROUND(SUM('附表4-项目间分摊信息采集表'!$H$5)/SUMPRODUCT(SUMIFS('附表4-项目间分摊信息采集表'!$H:$H,'附表4-项目间分摊信息采集表'!$B:$B,S44:AB44)),20),IF(L44="手工填写分摊比例","请填写分摊比例",100%))))),IF(COUNTA(S44:AB44)&gt;=1,0%,100%)),100%)</f>
        <v>1</v>
      </c>
      <c r="N44" s="72">
        <f>SUMIFS('附表7-扣除项目明细采集底稿'!$R:$R,'附表7-扣除项目明细采集底稿'!$G:$G,B44)</f>
        <v>0</v>
      </c>
      <c r="O44" s="70" t="s">
        <v>1407</v>
      </c>
      <c r="P44" s="73">
        <f>SUMIFS('附表7-扣除项目明细采集底稿'!$T:$T,'附表7-扣除项目明细采集底稿'!$G:$G,$B44)</f>
        <v>0</v>
      </c>
      <c r="Q44" s="74">
        <f t="shared" si="0"/>
        <v>0</v>
      </c>
      <c r="R44" s="75"/>
      <c r="S44" s="70"/>
      <c r="T44" s="70"/>
      <c r="U44" s="70"/>
      <c r="V44" s="70"/>
      <c r="W44" s="70"/>
      <c r="X44" s="70"/>
      <c r="Y44" s="70"/>
      <c r="Z44" s="70"/>
      <c r="AA44" s="70"/>
      <c r="AB44" s="70"/>
    </row>
    <row r="45" spans="1:28">
      <c r="B45" s="99"/>
    </row>
    <row r="46" spans="1:28">
      <c r="B46" s="100"/>
    </row>
    <row r="47" spans="1:28">
      <c r="B47" s="99"/>
    </row>
    <row r="48" spans="1:28">
      <c r="B48" s="99"/>
    </row>
    <row r="49" spans="2:7">
      <c r="B49" s="99"/>
    </row>
    <row r="50" spans="2:7">
      <c r="B50" s="100"/>
    </row>
    <row r="51" spans="2:7">
      <c r="B51" s="99"/>
    </row>
    <row r="52" ht="17.55" spans="2:7">
      <c r="B52" s="99"/>
      <c r="E52" t="s">
        <v>1481</v>
      </c>
      <c r="G52">
        <v>5400</v>
      </c>
    </row>
    <row r="53" ht="17.55" spans="2:7">
      <c r="B53" s="99"/>
      <c r="E53" t="s">
        <v>1482</v>
      </c>
      <c r="G53">
        <v>45000</v>
      </c>
    </row>
    <row r="54" ht="17.55" spans="2:7">
      <c r="B54" s="99"/>
      <c r="E54" t="s">
        <v>1483</v>
      </c>
      <c r="G54">
        <f>5000+2000+12000+26551.8</f>
        <v>45551.8</v>
      </c>
    </row>
    <row r="55" spans="2:7">
      <c r="B55" s="99"/>
    </row>
    <row r="56" spans="2:7">
      <c r="B56" s="99"/>
    </row>
    <row r="57" spans="2:7">
      <c r="B57" s="99"/>
    </row>
    <row r="58" spans="2:7">
      <c r="B58" s="99"/>
    </row>
    <row r="59" spans="2:7">
      <c r="B59" s="99"/>
      <c r="G59">
        <f>68148.21+159299.49+44785.91+120320.76</f>
        <v>392554.37</v>
      </c>
    </row>
    <row r="60" spans="2:7">
      <c r="B60" s="101"/>
    </row>
    <row r="61" spans="2:7">
      <c r="B61" s="99"/>
    </row>
  </sheetData>
  <autoFilter xmlns:etc="http://www.wps.cn/officeDocument/2017/etCustomData" ref="A5:AB61" etc:filterBottomFollowUsedRange="0">
    <extLst/>
  </autoFilter>
  <mergeCells count="15">
    <mergeCell ref="A1:AB1"/>
    <mergeCell ref="A2:AB2"/>
    <mergeCell ref="L3:AB3"/>
    <mergeCell ref="S4:AB4"/>
    <mergeCell ref="A3:A5"/>
    <mergeCell ref="B3:B4"/>
    <mergeCell ref="C3:C4"/>
    <mergeCell ref="D3:D4"/>
    <mergeCell ref="E3:E4"/>
    <mergeCell ref="F3:F4"/>
    <mergeCell ref="G3:G4"/>
    <mergeCell ref="H3:H4"/>
    <mergeCell ref="I3:I4"/>
    <mergeCell ref="J3:J4"/>
    <mergeCell ref="K3:K4"/>
  </mergeCells>
  <conditionalFormatting sqref="L17:AB17">
    <cfRule type="expression" dxfId="1" priority="73">
      <formula>OR($K17="否",$K17="")</formula>
    </cfRule>
  </conditionalFormatting>
  <conditionalFormatting sqref="L21:AB21">
    <cfRule type="expression" dxfId="1" priority="69">
      <formula>OR($K21="否",$K21="")</formula>
    </cfRule>
  </conditionalFormatting>
  <conditionalFormatting sqref="L22:AB22">
    <cfRule type="expression" dxfId="1" priority="68">
      <formula>OR($K22="否",$K22="")</formula>
    </cfRule>
  </conditionalFormatting>
  <conditionalFormatting sqref="L25:AB25">
    <cfRule type="expression" dxfId="1" priority="65">
      <formula>OR($K25="否",$K25="")</formula>
    </cfRule>
  </conditionalFormatting>
  <conditionalFormatting sqref="L26">
    <cfRule type="expression" dxfId="1" priority="13">
      <formula>OR($K26="否",$K26="")</formula>
    </cfRule>
  </conditionalFormatting>
  <conditionalFormatting sqref="S26:T26">
    <cfRule type="expression" dxfId="1" priority="6">
      <formula>OR($K26="否",$K26="")</formula>
    </cfRule>
  </conditionalFormatting>
  <conditionalFormatting sqref="L27:AB27">
    <cfRule type="expression" dxfId="1" priority="63">
      <formula>OR($K27="否",$K27="")</formula>
    </cfRule>
  </conditionalFormatting>
  <conditionalFormatting sqref="L28:AB28">
    <cfRule type="expression" dxfId="1" priority="62">
      <formula>OR($K28="否",$K28="")</formula>
    </cfRule>
  </conditionalFormatting>
  <conditionalFormatting sqref="L29:AB29">
    <cfRule type="expression" dxfId="1" priority="61">
      <formula>OR($K29="否",$K29="")</formula>
    </cfRule>
  </conditionalFormatting>
  <conditionalFormatting sqref="L30">
    <cfRule type="expression" dxfId="1" priority="12">
      <formula>OR($K30="否",$K30="")</formula>
    </cfRule>
  </conditionalFormatting>
  <conditionalFormatting sqref="S30:T30">
    <cfRule type="expression" dxfId="1" priority="5">
      <formula>OR($K30="否",$K30="")</formula>
    </cfRule>
  </conditionalFormatting>
  <conditionalFormatting sqref="L31:AB31">
    <cfRule type="expression" dxfId="1" priority="59">
      <formula>OR($K31="否",$K31="")</formula>
    </cfRule>
  </conditionalFormatting>
  <conditionalFormatting sqref="L32">
    <cfRule type="expression" dxfId="1" priority="2">
      <formula>OR($K32="否",$K32="")</formula>
    </cfRule>
  </conditionalFormatting>
  <conditionalFormatting sqref="S32:T32">
    <cfRule type="expression" dxfId="1" priority="1">
      <formula>OR($K32="否",$K32="")</formula>
    </cfRule>
  </conditionalFormatting>
  <conditionalFormatting sqref="L33">
    <cfRule type="expression" dxfId="1" priority="11">
      <formula>OR($K33="否",$K33="")</formula>
    </cfRule>
  </conditionalFormatting>
  <conditionalFormatting sqref="S33:T33">
    <cfRule type="expression" dxfId="1" priority="4">
      <formula>OR($K33="否",$K33="")</formula>
    </cfRule>
  </conditionalFormatting>
  <conditionalFormatting sqref="L34:AB34">
    <cfRule type="expression" dxfId="1" priority="56">
      <formula>OR($K34="否",$K34="")</formula>
    </cfRule>
  </conditionalFormatting>
  <conditionalFormatting sqref="L35:AB35">
    <cfRule type="expression" dxfId="1" priority="55">
      <formula>OR($K35="否",$K35="")</formula>
    </cfRule>
  </conditionalFormatting>
  <conditionalFormatting sqref="L36:AB36">
    <cfRule type="expression" dxfId="1" priority="54">
      <formula>OR($K36="否",$K36="")</formula>
    </cfRule>
  </conditionalFormatting>
  <conditionalFormatting sqref="L37:AB37">
    <cfRule type="expression" dxfId="1" priority="53">
      <formula>OR($K37="否",$K37="")</formula>
    </cfRule>
  </conditionalFormatting>
  <conditionalFormatting sqref="L38:AB38">
    <cfRule type="expression" dxfId="1" priority="52">
      <formula>OR($K38="否",$K38="")</formula>
    </cfRule>
  </conditionalFormatting>
  <conditionalFormatting sqref="L41:AB41">
    <cfRule type="expression" dxfId="1" priority="49">
      <formula>OR($K41="否",$K41="")</formula>
    </cfRule>
  </conditionalFormatting>
  <conditionalFormatting sqref="L42:AB42">
    <cfRule type="expression" dxfId="1" priority="48">
      <formula>OR($K42="否",$K42="")</formula>
    </cfRule>
  </conditionalFormatting>
  <conditionalFormatting sqref="L43:AB43">
    <cfRule type="expression" dxfId="1" priority="47">
      <formula>OR($K43="否",$K43="")</formula>
    </cfRule>
  </conditionalFormatting>
  <conditionalFormatting sqref="L44:AB44">
    <cfRule type="expression" dxfId="1" priority="46">
      <formula>OR($K44="否",$K44="")</formula>
    </cfRule>
  </conditionalFormatting>
  <conditionalFormatting sqref="B6:B61">
    <cfRule type="duplicateValues" dxfId="0" priority="75"/>
  </conditionalFormatting>
  <conditionalFormatting sqref="L14:L15">
    <cfRule type="expression" dxfId="1" priority="16">
      <formula>OR($K14="否",$K14="")</formula>
    </cfRule>
  </conditionalFormatting>
  <conditionalFormatting sqref="L18:L20">
    <cfRule type="expression" dxfId="1" priority="15">
      <formula>OR($K18="否",$K18="")</formula>
    </cfRule>
  </conditionalFormatting>
  <conditionalFormatting sqref="L23:L24">
    <cfRule type="expression" dxfId="1" priority="14">
      <formula>OR($K23="否",$K23="")</formula>
    </cfRule>
  </conditionalFormatting>
  <conditionalFormatting sqref="L39:L40">
    <cfRule type="expression" dxfId="1" priority="10">
      <formula>OR($K39="否",$K39="")</formula>
    </cfRule>
  </conditionalFormatting>
  <conditionalFormatting sqref="L6:AB13 M14:R15 U14:AB15 L16:AB16">
    <cfRule type="expression" dxfId="1" priority="74">
      <formula>OR($K6="否",$K6="")</formula>
    </cfRule>
  </conditionalFormatting>
  <conditionalFormatting sqref="S14:T15">
    <cfRule type="expression" dxfId="1" priority="9">
      <formula>OR($K14="否",$K14="")</formula>
    </cfRule>
  </conditionalFormatting>
  <conditionalFormatting sqref="M18:R18 U18:AB18">
    <cfRule type="expression" dxfId="1" priority="72">
      <formula>OR($K18="否",$K18="")</formula>
    </cfRule>
  </conditionalFormatting>
  <conditionalFormatting sqref="S18:T20">
    <cfRule type="expression" dxfId="1" priority="8">
      <formula>OR($K18="否",$K18="")</formula>
    </cfRule>
  </conditionalFormatting>
  <conditionalFormatting sqref="M19:R19 U19:AB19">
    <cfRule type="expression" dxfId="1" priority="71">
      <formula>OR($K19="否",$K19="")</formula>
    </cfRule>
  </conditionalFormatting>
  <conditionalFormatting sqref="M20:R20 U20:AB20">
    <cfRule type="expression" dxfId="1" priority="70">
      <formula>OR($K20="否",$K20="")</formula>
    </cfRule>
  </conditionalFormatting>
  <conditionalFormatting sqref="M23:R23 U23:AB23">
    <cfRule type="expression" dxfId="1" priority="67">
      <formula>OR($K23="否",$K23="")</formula>
    </cfRule>
  </conditionalFormatting>
  <conditionalFormatting sqref="S23:T24">
    <cfRule type="expression" dxfId="1" priority="7">
      <formula>OR($K23="否",$K23="")</formula>
    </cfRule>
  </conditionalFormatting>
  <conditionalFormatting sqref="M24:R24 U24:AB24">
    <cfRule type="expression" dxfId="1" priority="66">
      <formula>OR($K24="否",$K24="")</formula>
    </cfRule>
  </conditionalFormatting>
  <conditionalFormatting sqref="M26:R26 U26:AB26">
    <cfRule type="expression" dxfId="1" priority="64">
      <formula>OR($K26="否",$K26="")</formula>
    </cfRule>
  </conditionalFormatting>
  <conditionalFormatting sqref="M30:R30 U30:AB30">
    <cfRule type="expression" dxfId="1" priority="60">
      <formula>OR($K30="否",$K30="")</formula>
    </cfRule>
  </conditionalFormatting>
  <conditionalFormatting sqref="M32:R32 U32:AB32">
    <cfRule type="expression" dxfId="1" priority="58">
      <formula>OR($K32="否",$K32="")</formula>
    </cfRule>
  </conditionalFormatting>
  <conditionalFormatting sqref="M33:R33 U33:AB33">
    <cfRule type="expression" dxfId="1" priority="57">
      <formula>OR($K33="否",$K33="")</formula>
    </cfRule>
  </conditionalFormatting>
  <conditionalFormatting sqref="M39:R39 U39:AB39">
    <cfRule type="expression" dxfId="1" priority="51">
      <formula>OR($K39="否",$K39="")</formula>
    </cfRule>
  </conditionalFormatting>
  <conditionalFormatting sqref="S39:T40">
    <cfRule type="expression" dxfId="1" priority="3">
      <formula>OR($K39="否",$K39="")</formula>
    </cfRule>
  </conditionalFormatting>
  <conditionalFormatting sqref="M40:R40 U40:AB40">
    <cfRule type="expression" dxfId="1" priority="50">
      <formula>OR($K40="否",$K40="")</formula>
    </cfRule>
  </conditionalFormatting>
  <dataValidations count="6">
    <dataValidation type="list" allowBlank="1" showInputMessage="1" showErrorMessage="1" sqref="H6 G42:H42">
      <formula1>核算项目</formula1>
    </dataValidation>
    <dataValidation type="list" allowBlank="1" showInputMessage="1" showErrorMessage="1" sqref="D1:D2 D45:D1048576">
      <formula1>OFFSET(数据对照表!$U$2,,,COUNTA(数据对照表!$U:$U)-1,1)</formula1>
    </dataValidation>
    <dataValidation allowBlank="1" showInputMessage="1" sqref="E36:E38 E43:E44"/>
    <dataValidation type="list" allowBlank="1" showInputMessage="1" showErrorMessage="1" sqref="L1:L2 L6:L1048576">
      <formula1>OFFSET(数据对照表!$AE$2,,,COUNTA(数据对照表!$AE:$AE)-1,1)</formula1>
    </dataValidation>
    <dataValidation type="list" allowBlank="1" showInputMessage="1" showErrorMessage="1" sqref="S1:AB2 S6:AB1048576">
      <formula1>OFFSET('附表4-项目间分摊信息采集表'!$B$5,,,COUNTA('附表4-项目间分摊信息采集表'!$B:$B)-2,1)</formula1>
    </dataValidation>
    <dataValidation type="list" allowBlank="1" showInputMessage="1" showErrorMessage="1" sqref="I1:K2 I6:K1048576">
      <formula1>"是,否"</formula1>
    </dataValidation>
  </dataValidations>
  <printOptions horizontalCentered="1"/>
  <pageMargins left="0.747916666666667" right="0.747916666666667" top="0.984027777777778" bottom="0.984027777777778" header="0.511805555555556" footer="0.511805555555556"/>
  <pageSetup paperSize="9" fitToHeight="0" orientation="landscape"/>
  <headerFooter>
    <oddFooter>&amp;C第 &amp;P 页，共 &amp;N 页</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6"/>
  <sheetViews>
    <sheetView zoomScale="85" zoomScaleNormal="85" workbookViewId="0">
      <selection activeCell="N126" sqref="N126:O126"/>
    </sheetView>
  </sheetViews>
  <sheetFormatPr defaultColWidth="7" defaultRowHeight="15.65"/>
  <cols>
    <col min="1" max="1" width="8.88405797101449" style="16" customWidth="1" collapsed="1"/>
    <col min="2" max="2" width="14.1231884057971" style="16" customWidth="1" collapsed="1"/>
    <col min="3" max="10" width="9.6231884057971" style="12" customWidth="1" collapsed="1"/>
    <col min="11" max="11" width="11.3840579710145" style="12" customWidth="1" collapsed="1"/>
    <col min="12" max="17" width="9.6231884057971" style="16" customWidth="1" collapsed="1"/>
    <col min="18" max="19" width="9.6231884057971" style="12" customWidth="1" collapsed="1"/>
    <col min="20" max="20" width="9.6231884057971" style="18" customWidth="1" collapsed="1"/>
    <col min="21" max="21" width="9.6231884057971" style="19" customWidth="1" collapsed="1"/>
    <col min="22" max="16384" width="7" style="20" collapsed="1"/>
  </cols>
  <sheetData>
    <row r="1" s="12" customFormat="1" ht="24" customHeight="1" spans="1:21">
      <c r="A1" s="21" t="s">
        <v>1484</v>
      </c>
      <c r="B1" s="21"/>
      <c r="C1" s="21"/>
      <c r="D1" s="21"/>
      <c r="E1" s="21"/>
      <c r="F1" s="21"/>
      <c r="G1" s="21"/>
      <c r="H1" s="21"/>
      <c r="I1" s="21"/>
      <c r="J1" s="21"/>
      <c r="K1" s="21"/>
      <c r="L1" s="21"/>
      <c r="M1" s="21"/>
      <c r="N1" s="21"/>
      <c r="O1" s="21"/>
      <c r="P1" s="21"/>
      <c r="Q1" s="21"/>
      <c r="R1" s="21"/>
      <c r="S1" s="21"/>
      <c r="T1" s="21"/>
      <c r="U1" s="21"/>
    </row>
    <row r="2" s="12" customFormat="1" ht="24" customHeight="1" spans="1:21">
      <c r="A2" s="22" t="str">
        <f>土地增值税税源明细表!F5&amp;"："&amp;土地增值税税源明细表!H5&amp;"          "&amp;土地增值税税源明细表!A5&amp;"："&amp;土地增值税税源明细表!B5</f>
        <v>项目编码：Z65280120200013          项目名称：春和景苑</v>
      </c>
      <c r="B2" s="22"/>
      <c r="C2" s="22"/>
      <c r="D2" s="22"/>
      <c r="E2" s="22"/>
      <c r="F2" s="22"/>
      <c r="G2" s="22"/>
      <c r="H2" s="22"/>
      <c r="I2" s="22"/>
      <c r="J2" s="22"/>
      <c r="K2" s="22"/>
      <c r="L2" s="22"/>
      <c r="M2" s="22"/>
      <c r="N2" s="22"/>
      <c r="O2" s="22"/>
      <c r="P2" s="22"/>
      <c r="Q2" s="22"/>
      <c r="R2" s="22"/>
      <c r="S2" s="22"/>
      <c r="T2" s="22"/>
      <c r="U2" s="22"/>
    </row>
    <row r="3" s="13" customFormat="1" ht="24" customHeight="1" spans="1:21">
      <c r="A3" s="23" t="s">
        <v>1485</v>
      </c>
      <c r="B3" s="24"/>
      <c r="C3" s="24"/>
      <c r="D3" s="24"/>
      <c r="E3" s="24"/>
      <c r="F3" s="24"/>
      <c r="G3" s="24"/>
      <c r="H3" s="24"/>
      <c r="I3" s="24"/>
      <c r="J3" s="24"/>
      <c r="K3" s="24"/>
      <c r="L3" s="24"/>
      <c r="M3" s="24"/>
      <c r="N3" s="24"/>
      <c r="O3" s="24"/>
      <c r="P3" s="24"/>
      <c r="Q3" s="24"/>
      <c r="R3" s="24"/>
      <c r="S3" s="24"/>
      <c r="T3" s="24"/>
      <c r="U3" s="24"/>
    </row>
    <row r="4" s="14" customFormat="1" ht="24" customHeight="1" spans="1:21">
      <c r="A4" s="25" t="s">
        <v>1486</v>
      </c>
      <c r="B4" s="25" t="s">
        <v>1487</v>
      </c>
      <c r="C4" s="26" t="str">
        <f>"*"&amp;数据对照表!E2</f>
        <v>*桩基础工程费用</v>
      </c>
      <c r="D4" s="27" t="str">
        <f>"*"&amp;数据对照表!E3</f>
        <v>*地下室工程费用</v>
      </c>
      <c r="E4" s="27" t="str">
        <f>"*"&amp;数据对照表!E4</f>
        <v>*地上建筑工程费用</v>
      </c>
      <c r="F4" s="27" t="str">
        <f>"*"&amp;数据对照表!E5</f>
        <v>*户内装修费用</v>
      </c>
      <c r="G4" s="27" t="str">
        <f>"*"&amp;数据对照表!E6</f>
        <v>*高档外立面工程费用</v>
      </c>
      <c r="H4" s="27" t="str">
        <f>"*"&amp;数据对照表!F11</f>
        <v>*绿化费用</v>
      </c>
      <c r="I4" s="27" t="str">
        <f>"*"&amp;数据对照表!D3</f>
        <v>*设计费用</v>
      </c>
      <c r="J4" s="27" t="str">
        <f>数据对照表!F2</f>
        <v>开发小区内道路工程支出</v>
      </c>
      <c r="K4" s="27" t="s">
        <v>1488</v>
      </c>
      <c r="L4" s="27" t="s">
        <v>1489</v>
      </c>
      <c r="M4" s="27" t="s">
        <v>1490</v>
      </c>
      <c r="N4" s="27" t="s">
        <v>1491</v>
      </c>
      <c r="O4" s="28" t="s">
        <v>1492</v>
      </c>
      <c r="P4" s="27" t="s">
        <v>1493</v>
      </c>
      <c r="Q4" s="27" t="s">
        <v>1494</v>
      </c>
      <c r="R4" s="28" t="s">
        <v>1495</v>
      </c>
      <c r="S4" s="27" t="s">
        <v>1496</v>
      </c>
      <c r="T4" s="27" t="s">
        <v>1497</v>
      </c>
      <c r="U4" s="27" t="s">
        <v>1498</v>
      </c>
    </row>
    <row r="5" s="15" customFormat="1" ht="24" customHeight="1" spans="1:21">
      <c r="A5" s="25"/>
      <c r="B5" s="25"/>
      <c r="C5" s="29"/>
      <c r="D5" s="27"/>
      <c r="E5" s="27"/>
      <c r="F5" s="27"/>
      <c r="G5" s="27"/>
      <c r="H5" s="27"/>
      <c r="I5" s="27"/>
      <c r="J5" s="27"/>
      <c r="K5" s="27"/>
      <c r="L5" s="27"/>
      <c r="M5" s="27"/>
      <c r="N5" s="27"/>
      <c r="O5" s="28"/>
      <c r="P5" s="27"/>
      <c r="Q5" s="27"/>
      <c r="R5" s="28"/>
      <c r="S5" s="27"/>
      <c r="T5" s="27"/>
      <c r="U5" s="27"/>
    </row>
    <row r="6" s="15" customFormat="1" ht="39" customHeight="1" spans="1:21">
      <c r="A6" s="25"/>
      <c r="B6" s="25"/>
      <c r="C6" s="30"/>
      <c r="D6" s="27"/>
      <c r="E6" s="27"/>
      <c r="F6" s="27"/>
      <c r="G6" s="27"/>
      <c r="H6" s="27"/>
      <c r="I6" s="27"/>
      <c r="J6" s="27"/>
      <c r="K6" s="27"/>
      <c r="L6" s="27"/>
      <c r="M6" s="27"/>
      <c r="N6" s="27"/>
      <c r="O6" s="28"/>
      <c r="P6" s="27"/>
      <c r="Q6" s="27"/>
      <c r="R6" s="28"/>
      <c r="S6" s="27"/>
      <c r="T6" s="27"/>
      <c r="U6" s="27"/>
    </row>
    <row r="7" s="15" customFormat="1" ht="24" customHeight="1" spans="1:21">
      <c r="A7" s="25"/>
      <c r="B7" s="25"/>
      <c r="C7" s="526" t="s">
        <v>42</v>
      </c>
      <c r="D7" s="526" t="s">
        <v>80</v>
      </c>
      <c r="E7" s="526" t="s">
        <v>83</v>
      </c>
      <c r="F7" s="526" t="s">
        <v>213</v>
      </c>
      <c r="G7" s="526" t="s">
        <v>244</v>
      </c>
      <c r="H7" s="526" t="s">
        <v>215</v>
      </c>
      <c r="I7" s="526" t="s">
        <v>216</v>
      </c>
      <c r="J7" s="526" t="s">
        <v>217</v>
      </c>
      <c r="K7" s="526" t="s">
        <v>224</v>
      </c>
      <c r="L7" s="526" t="s">
        <v>225</v>
      </c>
      <c r="M7" s="526" t="s">
        <v>253</v>
      </c>
      <c r="N7" s="526" t="s">
        <v>227</v>
      </c>
      <c r="O7" s="526" t="s">
        <v>228</v>
      </c>
      <c r="P7" s="526" t="s">
        <v>229</v>
      </c>
      <c r="Q7" s="526" t="s">
        <v>230</v>
      </c>
      <c r="R7" s="526" t="s">
        <v>257</v>
      </c>
      <c r="S7" s="526" t="s">
        <v>258</v>
      </c>
      <c r="T7" s="526" t="s">
        <v>259</v>
      </c>
      <c r="U7" s="526" t="s">
        <v>261</v>
      </c>
    </row>
    <row r="8" s="16" customFormat="1" ht="24" customHeight="1" spans="1:21">
      <c r="A8" s="31" t="s">
        <v>1499</v>
      </c>
      <c r="B8" s="32" t="s">
        <v>1500</v>
      </c>
      <c r="C8" s="33" t="s">
        <v>1501</v>
      </c>
      <c r="D8" s="33" t="s">
        <v>1501</v>
      </c>
      <c r="E8" s="33" t="s">
        <v>1501</v>
      </c>
      <c r="F8" s="33" t="s">
        <v>1501</v>
      </c>
      <c r="G8" s="33" t="s">
        <v>1501</v>
      </c>
      <c r="H8" s="33" t="s">
        <v>1501</v>
      </c>
      <c r="I8" s="33" t="s">
        <v>1501</v>
      </c>
      <c r="J8" s="33" t="s">
        <v>1501</v>
      </c>
      <c r="K8" s="33" t="s">
        <v>1407</v>
      </c>
      <c r="L8" s="33" t="s">
        <v>1407</v>
      </c>
      <c r="M8" s="33" t="s">
        <v>1407</v>
      </c>
      <c r="N8" s="33" t="s">
        <v>1407</v>
      </c>
      <c r="O8" s="33" t="s">
        <v>1407</v>
      </c>
      <c r="P8" s="33" t="s">
        <v>1407</v>
      </c>
      <c r="Q8" s="33" t="s">
        <v>1407</v>
      </c>
      <c r="R8" s="33" t="s">
        <v>1407</v>
      </c>
      <c r="S8" s="33" t="s">
        <v>1407</v>
      </c>
      <c r="T8" s="33" t="s">
        <v>1407</v>
      </c>
      <c r="U8" s="33" t="s">
        <v>1407</v>
      </c>
    </row>
    <row r="9" s="17" customFormat="1" ht="24" customHeight="1" spans="1:21">
      <c r="A9" s="31"/>
      <c r="B9" s="34" t="s">
        <v>1502</v>
      </c>
      <c r="C9" s="35">
        <f>'附表1-面积统计表'!D29</f>
        <v>14176.14</v>
      </c>
      <c r="D9" s="35">
        <f>SUMIFS('附表6-收入明细采集底稿'!P:P,'附表6-收入明细采集底稿'!D:D,"&lt;0")</f>
        <v>0</v>
      </c>
      <c r="E9" s="35">
        <f>SUMIFS('附表6-收入明细采集底稿'!P:P,'附表6-收入明细采集底稿'!D:D,"&gt;0")</f>
        <v>0</v>
      </c>
      <c r="F9" s="35" t="s">
        <v>1407</v>
      </c>
      <c r="G9" s="35" t="s">
        <v>1407</v>
      </c>
      <c r="H9" s="33">
        <f>SUM(清算项目基本情况表!D9)*SUM(清算项目基本情况表!D10)</f>
        <v>5759.6175</v>
      </c>
      <c r="I9" s="33">
        <f>'附表1-面积统计表'!D29</f>
        <v>14176.14</v>
      </c>
      <c r="J9" s="33" t="s">
        <v>1407</v>
      </c>
      <c r="K9" s="33" t="s">
        <v>1407</v>
      </c>
      <c r="L9" s="33" t="s">
        <v>1407</v>
      </c>
      <c r="M9" s="33" t="s">
        <v>1407</v>
      </c>
      <c r="N9" s="33" t="s">
        <v>1407</v>
      </c>
      <c r="O9" s="33" t="s">
        <v>1407</v>
      </c>
      <c r="P9" s="33" t="s">
        <v>1407</v>
      </c>
      <c r="Q9" s="33" t="s">
        <v>1407</v>
      </c>
      <c r="R9" s="33" t="s">
        <v>1407</v>
      </c>
      <c r="S9" s="33" t="s">
        <v>1407</v>
      </c>
      <c r="T9" s="33" t="s">
        <v>1407</v>
      </c>
      <c r="U9" s="33" t="s">
        <v>1407</v>
      </c>
    </row>
    <row r="10" s="17" customFormat="1" ht="24" customHeight="1" spans="1:21">
      <c r="A10" s="31"/>
      <c r="B10" s="34" t="s">
        <v>1503</v>
      </c>
      <c r="C10" s="35">
        <f>'附表5-扣除项目统计表'!M30</f>
        <v>0</v>
      </c>
      <c r="D10" s="35">
        <f>'附表5-扣除项目统计表'!M31</f>
        <v>0</v>
      </c>
      <c r="E10" s="35">
        <f>'附表5-扣除项目统计表'!M32</f>
        <v>19790140.26</v>
      </c>
      <c r="F10" s="35">
        <f>'附表5-扣除项目统计表'!M33</f>
        <v>303834.44</v>
      </c>
      <c r="G10" s="35">
        <f>'附表5-扣除项目统计表'!M34</f>
        <v>0</v>
      </c>
      <c r="H10" s="33">
        <f>'附表5-扣除项目统计表'!M46</f>
        <v>2111750.91</v>
      </c>
      <c r="I10" s="33">
        <f>'附表5-扣除项目统计表'!M21</f>
        <v>123329.54</v>
      </c>
      <c r="J10" s="33">
        <f>'附表5-扣除项目统计表'!M37</f>
        <v>0</v>
      </c>
      <c r="K10" s="33" t="s">
        <v>1407</v>
      </c>
      <c r="L10" s="33" t="s">
        <v>1407</v>
      </c>
      <c r="M10" s="33" t="s">
        <v>1407</v>
      </c>
      <c r="N10" s="33" t="s">
        <v>1407</v>
      </c>
      <c r="O10" s="33" t="s">
        <v>1407</v>
      </c>
      <c r="P10" s="33" t="s">
        <v>1407</v>
      </c>
      <c r="Q10" s="33" t="s">
        <v>1407</v>
      </c>
      <c r="R10" s="33" t="s">
        <v>1407</v>
      </c>
      <c r="S10" s="33" t="s">
        <v>1407</v>
      </c>
      <c r="T10" s="33" t="s">
        <v>1407</v>
      </c>
      <c r="U10" s="33" t="s">
        <v>1407</v>
      </c>
    </row>
    <row r="11" s="17" customFormat="1" ht="24" customHeight="1" spans="1:21">
      <c r="A11" s="31"/>
      <c r="B11" s="34" t="s">
        <v>1504</v>
      </c>
      <c r="C11" s="35">
        <f t="shared" ref="C11:U11" si="0">IF(SUM(C9)=0,"",ROUND((SUM(C10)/SUM(C9)),2))</f>
        <v>0</v>
      </c>
      <c r="D11" s="35" t="str">
        <f t="shared" si="0"/>
        <v/>
      </c>
      <c r="E11" s="35" t="str">
        <f t="shared" si="0"/>
        <v/>
      </c>
      <c r="F11" s="35" t="str">
        <f t="shared" si="0"/>
        <v/>
      </c>
      <c r="G11" s="35" t="str">
        <f t="shared" si="0"/>
        <v/>
      </c>
      <c r="H11" s="35">
        <f t="shared" si="0"/>
        <v>366.65</v>
      </c>
      <c r="I11" s="35">
        <f t="shared" si="0"/>
        <v>8.7</v>
      </c>
      <c r="J11" s="35" t="str">
        <f t="shared" si="0"/>
        <v/>
      </c>
      <c r="K11" s="35" t="str">
        <f t="shared" si="0"/>
        <v/>
      </c>
      <c r="L11" s="35" t="str">
        <f t="shared" si="0"/>
        <v/>
      </c>
      <c r="M11" s="35" t="str">
        <f t="shared" si="0"/>
        <v/>
      </c>
      <c r="N11" s="35" t="str">
        <f t="shared" si="0"/>
        <v/>
      </c>
      <c r="O11" s="35" t="str">
        <f t="shared" si="0"/>
        <v/>
      </c>
      <c r="P11" s="35" t="str">
        <f t="shared" si="0"/>
        <v/>
      </c>
      <c r="Q11" s="35" t="str">
        <f t="shared" si="0"/>
        <v/>
      </c>
      <c r="R11" s="35" t="str">
        <f t="shared" si="0"/>
        <v/>
      </c>
      <c r="S11" s="35" t="str">
        <f t="shared" si="0"/>
        <v/>
      </c>
      <c r="T11" s="35" t="str">
        <f t="shared" si="0"/>
        <v/>
      </c>
      <c r="U11" s="35" t="str">
        <f t="shared" si="0"/>
        <v/>
      </c>
    </row>
    <row r="12" s="15" customFormat="1" ht="24" customHeight="1" spans="1:21">
      <c r="A12" s="36" t="s">
        <v>1505</v>
      </c>
      <c r="B12" s="36"/>
      <c r="C12" s="36"/>
      <c r="D12" s="36"/>
      <c r="E12" s="36"/>
      <c r="F12" s="36"/>
      <c r="G12" s="36"/>
      <c r="H12" s="36"/>
      <c r="I12" s="36"/>
      <c r="J12" s="36"/>
      <c r="K12" s="36"/>
      <c r="L12" s="36"/>
      <c r="M12" s="36"/>
      <c r="N12" s="36"/>
      <c r="O12" s="36"/>
      <c r="P12" s="36"/>
      <c r="Q12" s="36"/>
      <c r="R12" s="36"/>
      <c r="S12" s="36"/>
      <c r="T12" s="36"/>
      <c r="U12" s="36"/>
    </row>
    <row r="13" s="13" customFormat="1" ht="24" customHeight="1" spans="1:21">
      <c r="A13" s="36" t="s">
        <v>37</v>
      </c>
      <c r="B13" s="36" t="s">
        <v>292</v>
      </c>
      <c r="C13" s="36" t="s">
        <v>1506</v>
      </c>
      <c r="D13" s="36" t="s">
        <v>1507</v>
      </c>
      <c r="E13" s="36" t="s">
        <v>1508</v>
      </c>
      <c r="F13" s="37" t="s">
        <v>1509</v>
      </c>
      <c r="G13" s="36" t="s">
        <v>1510</v>
      </c>
      <c r="H13" s="36" t="s">
        <v>1511</v>
      </c>
      <c r="I13" s="36" t="s">
        <v>1512</v>
      </c>
      <c r="J13" s="36" t="s">
        <v>1513</v>
      </c>
      <c r="K13" s="36" t="s">
        <v>1514</v>
      </c>
      <c r="L13" s="36" t="s">
        <v>1515</v>
      </c>
      <c r="M13" s="36"/>
      <c r="N13" s="36"/>
      <c r="O13" s="36" t="s">
        <v>1516</v>
      </c>
      <c r="P13" s="36"/>
      <c r="Q13" s="36"/>
      <c r="R13" s="38" t="s">
        <v>1517</v>
      </c>
      <c r="S13" s="36" t="s">
        <v>1518</v>
      </c>
      <c r="T13" s="39" t="s">
        <v>1519</v>
      </c>
      <c r="U13" s="39" t="s">
        <v>1520</v>
      </c>
    </row>
    <row r="14" s="13" customFormat="1" ht="24" customHeight="1" spans="1:21">
      <c r="A14" s="36"/>
      <c r="B14" s="36"/>
      <c r="C14" s="36"/>
      <c r="D14" s="36"/>
      <c r="E14" s="36"/>
      <c r="F14" s="37"/>
      <c r="G14" s="36"/>
      <c r="H14" s="36"/>
      <c r="I14" s="36"/>
      <c r="J14" s="36"/>
      <c r="K14" s="36"/>
      <c r="L14" s="527" t="s">
        <v>1521</v>
      </c>
      <c r="M14" s="527" t="s">
        <v>1522</v>
      </c>
      <c r="N14" s="527" t="s">
        <v>1523</v>
      </c>
      <c r="O14" s="527" t="s">
        <v>1521</v>
      </c>
      <c r="P14" s="527" t="s">
        <v>1522</v>
      </c>
      <c r="Q14" s="527" t="s">
        <v>1523</v>
      </c>
      <c r="R14" s="41"/>
      <c r="S14" s="36"/>
      <c r="T14" s="39"/>
      <c r="U14" s="39"/>
    </row>
    <row r="15" s="13" customFormat="1" ht="24" customHeight="1" spans="1:21">
      <c r="A15" s="36"/>
      <c r="B15" s="528" t="s">
        <v>263</v>
      </c>
      <c r="C15" s="528" t="s">
        <v>322</v>
      </c>
      <c r="D15" s="528" t="s">
        <v>265</v>
      </c>
      <c r="E15" s="528" t="s">
        <v>324</v>
      </c>
      <c r="F15" s="528" t="s">
        <v>406</v>
      </c>
      <c r="G15" s="528" t="s">
        <v>326</v>
      </c>
      <c r="H15" s="528" t="s">
        <v>413</v>
      </c>
      <c r="I15" s="528" t="s">
        <v>417</v>
      </c>
      <c r="J15" s="528" t="s">
        <v>421</v>
      </c>
      <c r="K15" s="528" t="s">
        <v>425</v>
      </c>
      <c r="L15" s="528" t="s">
        <v>429</v>
      </c>
      <c r="M15" s="528" t="s">
        <v>433</v>
      </c>
      <c r="N15" s="528" t="s">
        <v>436</v>
      </c>
      <c r="O15" s="528" t="s">
        <v>440</v>
      </c>
      <c r="P15" s="528" t="s">
        <v>444</v>
      </c>
      <c r="Q15" s="528" t="s">
        <v>447</v>
      </c>
      <c r="R15" s="528" t="s">
        <v>451</v>
      </c>
      <c r="S15" s="528" t="s">
        <v>455</v>
      </c>
      <c r="T15" s="528" t="s">
        <v>460</v>
      </c>
      <c r="U15" s="528" t="s">
        <v>462</v>
      </c>
    </row>
    <row r="16" s="12" customFormat="1" ht="24" customHeight="1" spans="1:21">
      <c r="A16" s="32"/>
      <c r="B16" s="42" t="s">
        <v>1407</v>
      </c>
      <c r="C16" s="43"/>
      <c r="D16" s="44"/>
      <c r="E16" s="44"/>
      <c r="F16" s="45"/>
      <c r="G16" s="32"/>
      <c r="H16" s="32"/>
      <c r="I16" s="46">
        <f>IF(_xlfn.MAXIFS('附表6-收入明细采集底稿'!D:D,'附表6-收入明细采集底稿'!B:B,B16)&gt;0,_xlfn.MAXIFS('附表6-收入明细采集底稿'!D:D,'附表6-收入明细采集底稿'!B:B,B16),0)</f>
        <v>0</v>
      </c>
      <c r="J16" s="46">
        <f>IF(_xlfn.MINIFS('附表6-收入明细采集底稿'!D:D,'附表6-收入明细采集底稿'!B:B,B16)&lt;0,ABS(_xlfn.MINIFS('附表6-收入明细采集底稿'!D:D,'附表6-收入明细采集底稿'!B:B,B16)),0)</f>
        <v>0</v>
      </c>
      <c r="K16" s="33">
        <f>SUMIFS('附表6-收入明细采集底稿'!P:P,'附表6-收入明细采集底稿'!B:B,B16,'附表6-收入明细采集底稿'!D:D,"&gt;0")</f>
        <v>0</v>
      </c>
      <c r="L16" s="33">
        <f>SUMIFS('附表6-收入明细采集底稿'!P:P,'附表6-收入明细采集底稿'!B:B,B16,'附表6-收入明细采集底稿'!D:D,"=-1")</f>
        <v>0</v>
      </c>
      <c r="M16" s="33">
        <f>SUMIFS('附表6-收入明细采集底稿'!P:P,'附表6-收入明细采集底稿'!B:B,B16,'附表6-收入明细采集底稿'!D:D,"=-2")</f>
        <v>0</v>
      </c>
      <c r="N16" s="33">
        <f>SUMIFS('附表6-收入明细采集底稿'!P:P,'附表6-收入明细采集底稿'!B:B,B16,'附表6-收入明细采集底稿'!D:D,"&lt;-2")</f>
        <v>0</v>
      </c>
      <c r="O16" s="33">
        <f>SUMIFS('附表6-收入明细采集底稿'!P:P,'附表6-收入明细采集底稿'!B:B,B16,'附表6-收入明细采集底稿'!D:D,"-1",'附表6-收入明细采集底稿'!G:G,数据对照表!$A$12)</f>
        <v>0</v>
      </c>
      <c r="P16" s="33">
        <f>SUMIFS('附表6-收入明细采集底稿'!P:P,'附表6-收入明细采集底稿'!B:B,B16,'附表6-收入明细采集底稿'!D:D,"-2",'附表6-收入明细采集底稿'!G:G,数据对照表!$A$12)</f>
        <v>0</v>
      </c>
      <c r="Q16" s="33">
        <f>SUMIFS('附表6-收入明细采集底稿'!P:P,'附表6-收入明细采集底稿'!B:B,B16,'附表6-收入明细采集底稿'!D:D,"&lt;-2",'附表6-收入明细采集底稿'!G:G,数据对照表!$A$12)</f>
        <v>0</v>
      </c>
      <c r="R16" s="33">
        <f>SUMIFS('附表6-收入明细采集底稿'!P:P,'附表6-收入明细采集底稿'!B:B,B16)</f>
        <v>0</v>
      </c>
      <c r="S16" s="35" t="s">
        <v>1407</v>
      </c>
      <c r="T16" s="47"/>
      <c r="U16" s="47"/>
    </row>
    <row r="17" s="12" customFormat="1" ht="24" customHeight="1" spans="1:21">
      <c r="A17" s="32"/>
      <c r="B17" s="42"/>
      <c r="C17" s="48"/>
      <c r="D17" s="44"/>
      <c r="E17" s="44"/>
      <c r="F17" s="47"/>
      <c r="G17" s="32"/>
      <c r="H17" s="32"/>
      <c r="I17" s="46">
        <f>IF(_xlfn.MAXIFS('附表6-收入明细采集底稿'!D:D,'附表6-收入明细采集底稿'!B:B,B17)&gt;0,_xlfn.MAXIFS('附表6-收入明细采集底稿'!D:D,'附表6-收入明细采集底稿'!B:B,B17),0)</f>
        <v>0</v>
      </c>
      <c r="J17" s="46">
        <f>IF(_xlfn.MINIFS('附表6-收入明细采集底稿'!D:D,'附表6-收入明细采集底稿'!B:B,B17)&lt;0,ABS(_xlfn.MINIFS('附表6-收入明细采集底稿'!D:D,'附表6-收入明细采集底稿'!B:B,B17)),0)</f>
        <v>0</v>
      </c>
      <c r="K17" s="33">
        <f>SUMIFS('附表6-收入明细采集底稿'!P:P,'附表6-收入明细采集底稿'!B:B,B17,'附表6-收入明细采集底稿'!D:D,"&gt;0")</f>
        <v>0</v>
      </c>
      <c r="L17" s="33">
        <f>SUMIFS('附表6-收入明细采集底稿'!P:P,'附表6-收入明细采集底稿'!B:B,B17,'附表6-收入明细采集底稿'!D:D,"=-1")</f>
        <v>0</v>
      </c>
      <c r="M17" s="33">
        <f>SUMIFS('附表6-收入明细采集底稿'!P:P,'附表6-收入明细采集底稿'!B:B,B17,'附表6-收入明细采集底稿'!D:D,"=-2")</f>
        <v>0</v>
      </c>
      <c r="N17" s="33">
        <f>SUMIFS('附表6-收入明细采集底稿'!P:P,'附表6-收入明细采集底稿'!B:B,B17,'附表6-收入明细采集底稿'!D:D,"&lt;-2")</f>
        <v>0</v>
      </c>
      <c r="O17" s="33">
        <f>SUMIFS('附表6-收入明细采集底稿'!P:P,'附表6-收入明细采集底稿'!B:B,B17,'附表6-收入明细采集底稿'!D:D,"-1",'附表6-收入明细采集底稿'!G:G,数据对照表!$A$12)</f>
        <v>0</v>
      </c>
      <c r="P17" s="33">
        <f>SUMIFS('附表6-收入明细采集底稿'!P:P,'附表6-收入明细采集底稿'!B:B,B17,'附表6-收入明细采集底稿'!D:D,"-2",'附表6-收入明细采集底稿'!G:G,数据对照表!$A$12)</f>
        <v>0</v>
      </c>
      <c r="Q17" s="33">
        <f>SUMIFS('附表6-收入明细采集底稿'!P:P,'附表6-收入明细采集底稿'!B:B,B17,'附表6-收入明细采集底稿'!D:D,"&lt;-2",'附表6-收入明细采集底稿'!G:G,数据对照表!$A$12)</f>
        <v>0</v>
      </c>
      <c r="R17" s="33">
        <f>SUMIFS('附表6-收入明细采集底稿'!P:P,'附表6-收入明细采集底稿'!B:B,B17)</f>
        <v>0</v>
      </c>
      <c r="S17" s="35"/>
      <c r="T17" s="47"/>
      <c r="U17" s="47"/>
    </row>
    <row r="18" s="12" customFormat="1" ht="24" customHeight="1" spans="1:21">
      <c r="A18" s="32"/>
      <c r="B18" s="42"/>
      <c r="C18" s="48"/>
      <c r="D18" s="44"/>
      <c r="E18" s="44"/>
      <c r="F18" s="47"/>
      <c r="G18" s="32"/>
      <c r="H18" s="32"/>
      <c r="I18" s="46">
        <f>IF(_xlfn.MAXIFS('附表6-收入明细采集底稿'!D:D,'附表6-收入明细采集底稿'!B:B,B18)&gt;0,_xlfn.MAXIFS('附表6-收入明细采集底稿'!D:D,'附表6-收入明细采集底稿'!B:B,B18),0)</f>
        <v>0</v>
      </c>
      <c r="J18" s="46">
        <f>IF(_xlfn.MINIFS('附表6-收入明细采集底稿'!D:D,'附表6-收入明细采集底稿'!B:B,B18)&lt;0,ABS(_xlfn.MINIFS('附表6-收入明细采集底稿'!D:D,'附表6-收入明细采集底稿'!B:B,B18)),0)</f>
        <v>0</v>
      </c>
      <c r="K18" s="33">
        <f>SUMIFS('附表6-收入明细采集底稿'!P:P,'附表6-收入明细采集底稿'!B:B,B18,'附表6-收入明细采集底稿'!D:D,"&gt;0")</f>
        <v>0</v>
      </c>
      <c r="L18" s="33">
        <f>SUMIFS('附表6-收入明细采集底稿'!P:P,'附表6-收入明细采集底稿'!B:B,B18,'附表6-收入明细采集底稿'!D:D,"=-1")</f>
        <v>0</v>
      </c>
      <c r="M18" s="33">
        <f>SUMIFS('附表6-收入明细采集底稿'!P:P,'附表6-收入明细采集底稿'!B:B,B18,'附表6-收入明细采集底稿'!D:D,"=-2")</f>
        <v>0</v>
      </c>
      <c r="N18" s="33">
        <f>SUMIFS('附表6-收入明细采集底稿'!P:P,'附表6-收入明细采集底稿'!B:B,B18,'附表6-收入明细采集底稿'!D:D,"&lt;-2")</f>
        <v>0</v>
      </c>
      <c r="O18" s="33">
        <f>SUMIFS('附表6-收入明细采集底稿'!P:P,'附表6-收入明细采集底稿'!B:B,B18,'附表6-收入明细采集底稿'!D:D,"-1",'附表6-收入明细采集底稿'!G:G,数据对照表!$A$12)</f>
        <v>0</v>
      </c>
      <c r="P18" s="33">
        <f>SUMIFS('附表6-收入明细采集底稿'!P:P,'附表6-收入明细采集底稿'!B:B,B18,'附表6-收入明细采集底稿'!D:D,"-2",'附表6-收入明细采集底稿'!G:G,数据对照表!$A$12)</f>
        <v>0</v>
      </c>
      <c r="Q18" s="33">
        <f>SUMIFS('附表6-收入明细采集底稿'!P:P,'附表6-收入明细采集底稿'!B:B,B18,'附表6-收入明细采集底稿'!D:D,"&lt;-2",'附表6-收入明细采集底稿'!G:G,数据对照表!$A$12)</f>
        <v>0</v>
      </c>
      <c r="R18" s="33">
        <f>SUMIFS('附表6-收入明细采集底稿'!P:P,'附表6-收入明细采集底稿'!B:B,B18)</f>
        <v>0</v>
      </c>
      <c r="S18" s="35"/>
      <c r="T18" s="47"/>
      <c r="U18" s="47"/>
    </row>
    <row r="19" s="12" customFormat="1" ht="24" customHeight="1" spans="1:21">
      <c r="A19" s="32"/>
      <c r="B19" s="42"/>
      <c r="C19" s="48"/>
      <c r="D19" s="44"/>
      <c r="E19" s="44"/>
      <c r="F19" s="47"/>
      <c r="G19" s="32"/>
      <c r="H19" s="32"/>
      <c r="I19" s="46">
        <f>IF(_xlfn.MAXIFS('附表6-收入明细采集底稿'!D:D,'附表6-收入明细采集底稿'!B:B,B19)&gt;0,_xlfn.MAXIFS('附表6-收入明细采集底稿'!D:D,'附表6-收入明细采集底稿'!B:B,B19),0)</f>
        <v>0</v>
      </c>
      <c r="J19" s="46">
        <f>IF(_xlfn.MINIFS('附表6-收入明细采集底稿'!D:D,'附表6-收入明细采集底稿'!B:B,B19)&lt;0,ABS(_xlfn.MINIFS('附表6-收入明细采集底稿'!D:D,'附表6-收入明细采集底稿'!B:B,B19)),0)</f>
        <v>0</v>
      </c>
      <c r="K19" s="33">
        <f>SUMIFS('附表6-收入明细采集底稿'!P:P,'附表6-收入明细采集底稿'!B:B,B19,'附表6-收入明细采集底稿'!D:D,"&gt;0")</f>
        <v>0</v>
      </c>
      <c r="L19" s="33">
        <f>SUMIFS('附表6-收入明细采集底稿'!P:P,'附表6-收入明细采集底稿'!B:B,B19,'附表6-收入明细采集底稿'!D:D,"=-1")</f>
        <v>0</v>
      </c>
      <c r="M19" s="33">
        <f>SUMIFS('附表6-收入明细采集底稿'!P:P,'附表6-收入明细采集底稿'!B:B,B19,'附表6-收入明细采集底稿'!D:D,"=-2")</f>
        <v>0</v>
      </c>
      <c r="N19" s="33">
        <f>SUMIFS('附表6-收入明细采集底稿'!P:P,'附表6-收入明细采集底稿'!B:B,B19,'附表6-收入明细采集底稿'!D:D,"&lt;-2")</f>
        <v>0</v>
      </c>
      <c r="O19" s="33">
        <f>SUMIFS('附表6-收入明细采集底稿'!P:P,'附表6-收入明细采集底稿'!B:B,B19,'附表6-收入明细采集底稿'!D:D,"-1",'附表6-收入明细采集底稿'!G:G,数据对照表!$A$12)</f>
        <v>0</v>
      </c>
      <c r="P19" s="33">
        <f>SUMIFS('附表6-收入明细采集底稿'!P:P,'附表6-收入明细采集底稿'!B:B,B19,'附表6-收入明细采集底稿'!D:D,"-2",'附表6-收入明细采集底稿'!G:G,数据对照表!$A$12)</f>
        <v>0</v>
      </c>
      <c r="Q19" s="33">
        <f>SUMIFS('附表6-收入明细采集底稿'!P:P,'附表6-收入明细采集底稿'!B:B,B19,'附表6-收入明细采集底稿'!D:D,"&lt;-2",'附表6-收入明细采集底稿'!G:G,数据对照表!$A$12)</f>
        <v>0</v>
      </c>
      <c r="R19" s="33">
        <f>SUMIFS('附表6-收入明细采集底稿'!P:P,'附表6-收入明细采集底稿'!B:B,B19)</f>
        <v>0</v>
      </c>
      <c r="S19" s="35"/>
      <c r="T19" s="47"/>
      <c r="U19" s="47"/>
    </row>
    <row r="20" s="12" customFormat="1" ht="24" customHeight="1" spans="1:21">
      <c r="A20" s="32"/>
      <c r="B20" s="42"/>
      <c r="C20" s="48"/>
      <c r="D20" s="44"/>
      <c r="E20" s="44"/>
      <c r="F20" s="47"/>
      <c r="G20" s="32"/>
      <c r="H20" s="32"/>
      <c r="I20" s="46">
        <f>IF(_xlfn.MAXIFS('附表6-收入明细采集底稿'!D:D,'附表6-收入明细采集底稿'!B:B,B20)&gt;0,_xlfn.MAXIFS('附表6-收入明细采集底稿'!D:D,'附表6-收入明细采集底稿'!B:B,B20),0)</f>
        <v>0</v>
      </c>
      <c r="J20" s="46">
        <f>IF(_xlfn.MINIFS('附表6-收入明细采集底稿'!D:D,'附表6-收入明细采集底稿'!B:B,B20)&lt;0,ABS(_xlfn.MINIFS('附表6-收入明细采集底稿'!D:D,'附表6-收入明细采集底稿'!B:B,B20)),0)</f>
        <v>0</v>
      </c>
      <c r="K20" s="33">
        <f>SUMIFS('附表6-收入明细采集底稿'!P:P,'附表6-收入明细采集底稿'!B:B,B20,'附表6-收入明细采集底稿'!D:D,"&gt;0")</f>
        <v>0</v>
      </c>
      <c r="L20" s="33">
        <f>SUMIFS('附表6-收入明细采集底稿'!P:P,'附表6-收入明细采集底稿'!B:B,B20,'附表6-收入明细采集底稿'!D:D,"=-1")</f>
        <v>0</v>
      </c>
      <c r="M20" s="33">
        <f>SUMIFS('附表6-收入明细采集底稿'!P:P,'附表6-收入明细采集底稿'!B:B,B20,'附表6-收入明细采集底稿'!D:D,"=-2")</f>
        <v>0</v>
      </c>
      <c r="N20" s="33">
        <f>SUMIFS('附表6-收入明细采集底稿'!P:P,'附表6-收入明细采集底稿'!B:B,B20,'附表6-收入明细采集底稿'!D:D,"&lt;-2")</f>
        <v>0</v>
      </c>
      <c r="O20" s="33">
        <f>SUMIFS('附表6-收入明细采集底稿'!P:P,'附表6-收入明细采集底稿'!B:B,B20,'附表6-收入明细采集底稿'!D:D,"-1",'附表6-收入明细采集底稿'!G:G,数据对照表!$A$12)</f>
        <v>0</v>
      </c>
      <c r="P20" s="33">
        <f>SUMIFS('附表6-收入明细采集底稿'!P:P,'附表6-收入明细采集底稿'!B:B,B20,'附表6-收入明细采集底稿'!D:D,"-2",'附表6-收入明细采集底稿'!G:G,数据对照表!$A$12)</f>
        <v>0</v>
      </c>
      <c r="Q20" s="33">
        <f>SUMIFS('附表6-收入明细采集底稿'!P:P,'附表6-收入明细采集底稿'!B:B,B20,'附表6-收入明细采集底稿'!D:D,"&lt;-2",'附表6-收入明细采集底稿'!G:G,数据对照表!$A$12)</f>
        <v>0</v>
      </c>
      <c r="R20" s="33">
        <f>SUMIFS('附表6-收入明细采集底稿'!P:P,'附表6-收入明细采集底稿'!B:B,B20)</f>
        <v>0</v>
      </c>
      <c r="S20" s="35"/>
      <c r="T20" s="47"/>
      <c r="U20" s="47"/>
    </row>
    <row r="21" s="12" customFormat="1" ht="24" customHeight="1" spans="1:21">
      <c r="A21" s="32"/>
      <c r="B21" s="42"/>
      <c r="C21" s="48"/>
      <c r="D21" s="44"/>
      <c r="E21" s="44"/>
      <c r="F21" s="47"/>
      <c r="G21" s="32"/>
      <c r="H21" s="32"/>
      <c r="I21" s="46">
        <f>IF(_xlfn.MAXIFS('附表6-收入明细采集底稿'!D:D,'附表6-收入明细采集底稿'!B:B,B21)&gt;0,_xlfn.MAXIFS('附表6-收入明细采集底稿'!D:D,'附表6-收入明细采集底稿'!B:B,B21),0)</f>
        <v>0</v>
      </c>
      <c r="J21" s="46">
        <f>IF(_xlfn.MINIFS('附表6-收入明细采集底稿'!D:D,'附表6-收入明细采集底稿'!B:B,B21)&lt;0,ABS(_xlfn.MINIFS('附表6-收入明细采集底稿'!D:D,'附表6-收入明细采集底稿'!B:B,B21)),0)</f>
        <v>0</v>
      </c>
      <c r="K21" s="33">
        <f>SUMIFS('附表6-收入明细采集底稿'!P:P,'附表6-收入明细采集底稿'!B:B,B21,'附表6-收入明细采集底稿'!D:D,"&gt;0")</f>
        <v>0</v>
      </c>
      <c r="L21" s="33">
        <f>SUMIFS('附表6-收入明细采集底稿'!P:P,'附表6-收入明细采集底稿'!B:B,B21,'附表6-收入明细采集底稿'!D:D,"=-1")</f>
        <v>0</v>
      </c>
      <c r="M21" s="33">
        <f>SUMIFS('附表6-收入明细采集底稿'!P:P,'附表6-收入明细采集底稿'!B:B,B21,'附表6-收入明细采集底稿'!D:D,"=-2")</f>
        <v>0</v>
      </c>
      <c r="N21" s="33">
        <f>SUMIFS('附表6-收入明细采集底稿'!P:P,'附表6-收入明细采集底稿'!B:B,B21,'附表6-收入明细采集底稿'!D:D,"&lt;-2")</f>
        <v>0</v>
      </c>
      <c r="O21" s="33">
        <f>SUMIFS('附表6-收入明细采集底稿'!P:P,'附表6-收入明细采集底稿'!B:B,B21,'附表6-收入明细采集底稿'!D:D,"-1",'附表6-收入明细采集底稿'!G:G,数据对照表!$A$12)</f>
        <v>0</v>
      </c>
      <c r="P21" s="33">
        <f>SUMIFS('附表6-收入明细采集底稿'!P:P,'附表6-收入明细采集底稿'!B:B,B21,'附表6-收入明细采集底稿'!D:D,"-2",'附表6-收入明细采集底稿'!G:G,数据对照表!$A$12)</f>
        <v>0</v>
      </c>
      <c r="Q21" s="33">
        <f>SUMIFS('附表6-收入明细采集底稿'!P:P,'附表6-收入明细采集底稿'!B:B,B21,'附表6-收入明细采集底稿'!D:D,"&lt;-2",'附表6-收入明细采集底稿'!G:G,数据对照表!$A$12)</f>
        <v>0</v>
      </c>
      <c r="R21" s="33">
        <f>SUMIFS('附表6-收入明细采集底稿'!P:P,'附表6-收入明细采集底稿'!B:B,B21)</f>
        <v>0</v>
      </c>
      <c r="S21" s="35"/>
      <c r="T21" s="47"/>
      <c r="U21" s="47"/>
    </row>
    <row r="22" s="12" customFormat="1" ht="24" customHeight="1" spans="1:21">
      <c r="A22" s="32"/>
      <c r="B22" s="42"/>
      <c r="C22" s="48"/>
      <c r="D22" s="44"/>
      <c r="E22" s="44"/>
      <c r="F22" s="47"/>
      <c r="G22" s="32"/>
      <c r="H22" s="32"/>
      <c r="I22" s="46">
        <f>IF(_xlfn.MAXIFS('附表6-收入明细采集底稿'!D:D,'附表6-收入明细采集底稿'!B:B,B22)&gt;0,_xlfn.MAXIFS('附表6-收入明细采集底稿'!D:D,'附表6-收入明细采集底稿'!B:B,B22),0)</f>
        <v>0</v>
      </c>
      <c r="J22" s="46">
        <f>IF(_xlfn.MINIFS('附表6-收入明细采集底稿'!D:D,'附表6-收入明细采集底稿'!B:B,B22)&lt;0,ABS(_xlfn.MINIFS('附表6-收入明细采集底稿'!D:D,'附表6-收入明细采集底稿'!B:B,B22)),0)</f>
        <v>0</v>
      </c>
      <c r="K22" s="33">
        <f>SUMIFS('附表6-收入明细采集底稿'!P:P,'附表6-收入明细采集底稿'!B:B,B22,'附表6-收入明细采集底稿'!D:D,"&gt;0")</f>
        <v>0</v>
      </c>
      <c r="L22" s="33">
        <f>SUMIFS('附表6-收入明细采集底稿'!P:P,'附表6-收入明细采集底稿'!B:B,B22,'附表6-收入明细采集底稿'!D:D,"=-1")</f>
        <v>0</v>
      </c>
      <c r="M22" s="33">
        <f>SUMIFS('附表6-收入明细采集底稿'!P:P,'附表6-收入明细采集底稿'!B:B,B22,'附表6-收入明细采集底稿'!D:D,"=-2")</f>
        <v>0</v>
      </c>
      <c r="N22" s="33">
        <f>SUMIFS('附表6-收入明细采集底稿'!P:P,'附表6-收入明细采集底稿'!B:B,B22,'附表6-收入明细采集底稿'!D:D,"&lt;-2")</f>
        <v>0</v>
      </c>
      <c r="O22" s="33">
        <f>SUMIFS('附表6-收入明细采集底稿'!P:P,'附表6-收入明细采集底稿'!B:B,B22,'附表6-收入明细采集底稿'!D:D,"-1",'附表6-收入明细采集底稿'!G:G,数据对照表!$A$12)</f>
        <v>0</v>
      </c>
      <c r="P22" s="33">
        <f>SUMIFS('附表6-收入明细采集底稿'!P:P,'附表6-收入明细采集底稿'!B:B,B22,'附表6-收入明细采集底稿'!D:D,"-2",'附表6-收入明细采集底稿'!G:G,数据对照表!$A$12)</f>
        <v>0</v>
      </c>
      <c r="Q22" s="33">
        <f>SUMIFS('附表6-收入明细采集底稿'!P:P,'附表6-收入明细采集底稿'!B:B,B22,'附表6-收入明细采集底稿'!D:D,"&lt;-2",'附表6-收入明细采集底稿'!G:G,数据对照表!$A$12)</f>
        <v>0</v>
      </c>
      <c r="R22" s="33">
        <f>SUMIFS('附表6-收入明细采集底稿'!P:P,'附表6-收入明细采集底稿'!B:B,B22)</f>
        <v>0</v>
      </c>
      <c r="S22" s="35"/>
      <c r="T22" s="47"/>
      <c r="U22" s="47"/>
    </row>
    <row r="23" s="12" customFormat="1" ht="24" customHeight="1" spans="1:21">
      <c r="A23" s="32"/>
      <c r="B23" s="42"/>
      <c r="C23" s="48"/>
      <c r="D23" s="44"/>
      <c r="E23" s="44"/>
      <c r="F23" s="47"/>
      <c r="G23" s="32"/>
      <c r="H23" s="32"/>
      <c r="I23" s="46">
        <f>IF(_xlfn.MAXIFS('附表6-收入明细采集底稿'!D:D,'附表6-收入明细采集底稿'!B:B,B23)&gt;0,_xlfn.MAXIFS('附表6-收入明细采集底稿'!D:D,'附表6-收入明细采集底稿'!B:B,B23),0)</f>
        <v>0</v>
      </c>
      <c r="J23" s="46">
        <f>IF(_xlfn.MINIFS('附表6-收入明细采集底稿'!D:D,'附表6-收入明细采集底稿'!B:B,B23)&lt;0,ABS(_xlfn.MINIFS('附表6-收入明细采集底稿'!D:D,'附表6-收入明细采集底稿'!B:B,B23)),0)</f>
        <v>0</v>
      </c>
      <c r="K23" s="33">
        <f>SUMIFS('附表6-收入明细采集底稿'!P:P,'附表6-收入明细采集底稿'!B:B,B23,'附表6-收入明细采集底稿'!D:D,"&gt;0")</f>
        <v>0</v>
      </c>
      <c r="L23" s="33">
        <f>SUMIFS('附表6-收入明细采集底稿'!P:P,'附表6-收入明细采集底稿'!B:B,B23,'附表6-收入明细采集底稿'!D:D,"=-1")</f>
        <v>0</v>
      </c>
      <c r="M23" s="33">
        <f>SUMIFS('附表6-收入明细采集底稿'!P:P,'附表6-收入明细采集底稿'!B:B,B23,'附表6-收入明细采集底稿'!D:D,"=-2")</f>
        <v>0</v>
      </c>
      <c r="N23" s="33">
        <f>SUMIFS('附表6-收入明细采集底稿'!P:P,'附表6-收入明细采集底稿'!B:B,B23,'附表6-收入明细采集底稿'!D:D,"&lt;-2")</f>
        <v>0</v>
      </c>
      <c r="O23" s="33">
        <f>SUMIFS('附表6-收入明细采集底稿'!P:P,'附表6-收入明细采集底稿'!B:B,B23,'附表6-收入明细采集底稿'!D:D,"-1",'附表6-收入明细采集底稿'!G:G,数据对照表!$A$12)</f>
        <v>0</v>
      </c>
      <c r="P23" s="33">
        <f>SUMIFS('附表6-收入明细采集底稿'!P:P,'附表6-收入明细采集底稿'!B:B,B23,'附表6-收入明细采集底稿'!D:D,"-2",'附表6-收入明细采集底稿'!G:G,数据对照表!$A$12)</f>
        <v>0</v>
      </c>
      <c r="Q23" s="33">
        <f>SUMIFS('附表6-收入明细采集底稿'!P:P,'附表6-收入明细采集底稿'!B:B,B23,'附表6-收入明细采集底稿'!D:D,"&lt;-2",'附表6-收入明细采集底稿'!G:G,数据对照表!$A$12)</f>
        <v>0</v>
      </c>
      <c r="R23" s="33">
        <f>SUMIFS('附表6-收入明细采集底稿'!P:P,'附表6-收入明细采集底稿'!B:B,B23)</f>
        <v>0</v>
      </c>
      <c r="S23" s="35"/>
      <c r="T23" s="47"/>
      <c r="U23" s="47"/>
    </row>
    <row r="24" s="12" customFormat="1" ht="24" customHeight="1" spans="1:21">
      <c r="A24" s="32"/>
      <c r="B24" s="42"/>
      <c r="C24" s="48"/>
      <c r="D24" s="44"/>
      <c r="E24" s="44"/>
      <c r="F24" s="47"/>
      <c r="G24" s="32"/>
      <c r="H24" s="32"/>
      <c r="I24" s="46">
        <f>IF(_xlfn.MAXIFS('附表6-收入明细采集底稿'!D:D,'附表6-收入明细采集底稿'!B:B,B24)&gt;0,_xlfn.MAXIFS('附表6-收入明细采集底稿'!D:D,'附表6-收入明细采集底稿'!B:B,B24),0)</f>
        <v>0</v>
      </c>
      <c r="J24" s="46">
        <f>IF(_xlfn.MINIFS('附表6-收入明细采集底稿'!D:D,'附表6-收入明细采集底稿'!B:B,B24)&lt;0,ABS(_xlfn.MINIFS('附表6-收入明细采集底稿'!D:D,'附表6-收入明细采集底稿'!B:B,B24)),0)</f>
        <v>0</v>
      </c>
      <c r="K24" s="33">
        <f>SUMIFS('附表6-收入明细采集底稿'!P:P,'附表6-收入明细采集底稿'!B:B,B24,'附表6-收入明细采集底稿'!D:D,"&gt;0")</f>
        <v>0</v>
      </c>
      <c r="L24" s="33">
        <f>SUMIFS('附表6-收入明细采集底稿'!P:P,'附表6-收入明细采集底稿'!B:B,B24,'附表6-收入明细采集底稿'!D:D,"=-1")</f>
        <v>0</v>
      </c>
      <c r="M24" s="33">
        <f>SUMIFS('附表6-收入明细采集底稿'!P:P,'附表6-收入明细采集底稿'!B:B,B24,'附表6-收入明细采集底稿'!D:D,"=-2")</f>
        <v>0</v>
      </c>
      <c r="N24" s="33">
        <f>SUMIFS('附表6-收入明细采集底稿'!P:P,'附表6-收入明细采集底稿'!B:B,B24,'附表6-收入明细采集底稿'!D:D,"&lt;-2")</f>
        <v>0</v>
      </c>
      <c r="O24" s="33">
        <f>SUMIFS('附表6-收入明细采集底稿'!P:P,'附表6-收入明细采集底稿'!B:B,B24,'附表6-收入明细采集底稿'!D:D,"-1",'附表6-收入明细采集底稿'!G:G,数据对照表!$A$12)</f>
        <v>0</v>
      </c>
      <c r="P24" s="33">
        <f>SUMIFS('附表6-收入明细采集底稿'!P:P,'附表6-收入明细采集底稿'!B:B,B24,'附表6-收入明细采集底稿'!D:D,"-2",'附表6-收入明细采集底稿'!G:G,数据对照表!$A$12)</f>
        <v>0</v>
      </c>
      <c r="Q24" s="33">
        <f>SUMIFS('附表6-收入明细采集底稿'!P:P,'附表6-收入明细采集底稿'!B:B,B24,'附表6-收入明细采集底稿'!D:D,"&lt;-2",'附表6-收入明细采集底稿'!G:G,数据对照表!$A$12)</f>
        <v>0</v>
      </c>
      <c r="R24" s="33">
        <f>SUMIFS('附表6-收入明细采集底稿'!P:P,'附表6-收入明细采集底稿'!B:B,B24)</f>
        <v>0</v>
      </c>
      <c r="S24" s="35"/>
      <c r="T24" s="47"/>
      <c r="U24" s="47"/>
    </row>
    <row r="25" s="12" customFormat="1" ht="24" customHeight="1" spans="1:21">
      <c r="A25" s="32"/>
      <c r="B25" s="42"/>
      <c r="C25" s="48"/>
      <c r="D25" s="44"/>
      <c r="E25" s="44"/>
      <c r="F25" s="47"/>
      <c r="G25" s="32"/>
      <c r="H25" s="32"/>
      <c r="I25" s="46">
        <f>IF(_xlfn.MAXIFS('附表6-收入明细采集底稿'!D:D,'附表6-收入明细采集底稿'!B:B,B25)&gt;0,_xlfn.MAXIFS('附表6-收入明细采集底稿'!D:D,'附表6-收入明细采集底稿'!B:B,B25),0)</f>
        <v>0</v>
      </c>
      <c r="J25" s="46">
        <f>IF(_xlfn.MINIFS('附表6-收入明细采集底稿'!D:D,'附表6-收入明细采集底稿'!B:B,B25)&lt;0,ABS(_xlfn.MINIFS('附表6-收入明细采集底稿'!D:D,'附表6-收入明细采集底稿'!B:B,B25)),0)</f>
        <v>0</v>
      </c>
      <c r="K25" s="33">
        <f>SUMIFS('附表6-收入明细采集底稿'!P:P,'附表6-收入明细采集底稿'!B:B,B25,'附表6-收入明细采集底稿'!D:D,"&gt;0")</f>
        <v>0</v>
      </c>
      <c r="L25" s="33">
        <f>SUMIFS('附表6-收入明细采集底稿'!P:P,'附表6-收入明细采集底稿'!B:B,B25,'附表6-收入明细采集底稿'!D:D,"=-1")</f>
        <v>0</v>
      </c>
      <c r="M25" s="33">
        <f>SUMIFS('附表6-收入明细采集底稿'!P:P,'附表6-收入明细采集底稿'!B:B,B25,'附表6-收入明细采集底稿'!D:D,"=-2")</f>
        <v>0</v>
      </c>
      <c r="N25" s="33">
        <f>SUMIFS('附表6-收入明细采集底稿'!P:P,'附表6-收入明细采集底稿'!B:B,B25,'附表6-收入明细采集底稿'!D:D,"&lt;-2")</f>
        <v>0</v>
      </c>
      <c r="O25" s="33">
        <f>SUMIFS('附表6-收入明细采集底稿'!P:P,'附表6-收入明细采集底稿'!B:B,B25,'附表6-收入明细采集底稿'!D:D,"-1",'附表6-收入明细采集底稿'!G:G,数据对照表!$A$12)</f>
        <v>0</v>
      </c>
      <c r="P25" s="33">
        <f>SUMIFS('附表6-收入明细采集底稿'!P:P,'附表6-收入明细采集底稿'!B:B,B25,'附表6-收入明细采集底稿'!D:D,"-2",'附表6-收入明细采集底稿'!G:G,数据对照表!$A$12)</f>
        <v>0</v>
      </c>
      <c r="Q25" s="33">
        <f>SUMIFS('附表6-收入明细采集底稿'!P:P,'附表6-收入明细采集底稿'!B:B,B25,'附表6-收入明细采集底稿'!D:D,"&lt;-2",'附表6-收入明细采集底稿'!G:G,数据对照表!$A$12)</f>
        <v>0</v>
      </c>
      <c r="R25" s="33">
        <f>SUMIFS('附表6-收入明细采集底稿'!P:P,'附表6-收入明细采集底稿'!B:B,B25)</f>
        <v>0</v>
      </c>
      <c r="S25" s="35"/>
      <c r="T25" s="47"/>
      <c r="U25" s="47"/>
    </row>
    <row r="26" s="12" customFormat="1" ht="24" customHeight="1" spans="1:21">
      <c r="A26" s="32"/>
      <c r="B26" s="42"/>
      <c r="C26" s="48"/>
      <c r="D26" s="44"/>
      <c r="E26" s="44"/>
      <c r="F26" s="47"/>
      <c r="G26" s="32"/>
      <c r="H26" s="32"/>
      <c r="I26" s="46">
        <f>IF(_xlfn.MAXIFS('附表6-收入明细采集底稿'!D:D,'附表6-收入明细采集底稿'!B:B,B26)&gt;0,_xlfn.MAXIFS('附表6-收入明细采集底稿'!D:D,'附表6-收入明细采集底稿'!B:B,B26),0)</f>
        <v>0</v>
      </c>
      <c r="J26" s="46">
        <f>IF(_xlfn.MINIFS('附表6-收入明细采集底稿'!D:D,'附表6-收入明细采集底稿'!B:B,B26)&lt;0,ABS(_xlfn.MINIFS('附表6-收入明细采集底稿'!D:D,'附表6-收入明细采集底稿'!B:B,B26)),0)</f>
        <v>0</v>
      </c>
      <c r="K26" s="33">
        <f>SUMIFS('附表6-收入明细采集底稿'!P:P,'附表6-收入明细采集底稿'!B:B,B26,'附表6-收入明细采集底稿'!D:D,"&gt;0")</f>
        <v>0</v>
      </c>
      <c r="L26" s="33">
        <f>SUMIFS('附表6-收入明细采集底稿'!P:P,'附表6-收入明细采集底稿'!B:B,B26,'附表6-收入明细采集底稿'!D:D,"=-1")</f>
        <v>0</v>
      </c>
      <c r="M26" s="33">
        <f>SUMIFS('附表6-收入明细采集底稿'!P:P,'附表6-收入明细采集底稿'!B:B,B26,'附表6-收入明细采集底稿'!D:D,"=-2")</f>
        <v>0</v>
      </c>
      <c r="N26" s="33">
        <f>SUMIFS('附表6-收入明细采集底稿'!P:P,'附表6-收入明细采集底稿'!B:B,B26,'附表6-收入明细采集底稿'!D:D,"&lt;-2")</f>
        <v>0</v>
      </c>
      <c r="O26" s="33">
        <f>SUMIFS('附表6-收入明细采集底稿'!P:P,'附表6-收入明细采集底稿'!B:B,B26,'附表6-收入明细采集底稿'!D:D,"-1",'附表6-收入明细采集底稿'!G:G,数据对照表!$A$12)</f>
        <v>0</v>
      </c>
      <c r="P26" s="33">
        <f>SUMIFS('附表6-收入明细采集底稿'!P:P,'附表6-收入明细采集底稿'!B:B,B26,'附表6-收入明细采集底稿'!D:D,"-2",'附表6-收入明细采集底稿'!G:G,数据对照表!$A$12)</f>
        <v>0</v>
      </c>
      <c r="Q26" s="33">
        <f>SUMIFS('附表6-收入明细采集底稿'!P:P,'附表6-收入明细采集底稿'!B:B,B26,'附表6-收入明细采集底稿'!D:D,"&lt;-2",'附表6-收入明细采集底稿'!G:G,数据对照表!$A$12)</f>
        <v>0</v>
      </c>
      <c r="R26" s="33">
        <f>SUMIFS('附表6-收入明细采集底稿'!P:P,'附表6-收入明细采集底稿'!B:B,B26)</f>
        <v>0</v>
      </c>
      <c r="S26" s="35"/>
      <c r="T26" s="47"/>
      <c r="U26" s="47"/>
    </row>
  </sheetData>
  <mergeCells count="43">
    <mergeCell ref="A1:U1"/>
    <mergeCell ref="A2:U2"/>
    <mergeCell ref="A3:U3"/>
    <mergeCell ref="A12:U12"/>
    <mergeCell ref="L13:N13"/>
    <mergeCell ref="O13:Q13"/>
    <mergeCell ref="A4:A7"/>
    <mergeCell ref="A8:A11"/>
    <mergeCell ref="A13:A15"/>
    <mergeCell ref="B4:B7"/>
    <mergeCell ref="B13:B14"/>
    <mergeCell ref="C4:C6"/>
    <mergeCell ref="C13:C14"/>
    <mergeCell ref="D4:D6"/>
    <mergeCell ref="D13:D14"/>
    <mergeCell ref="E4:E6"/>
    <mergeCell ref="E13:E14"/>
    <mergeCell ref="F4:F6"/>
    <mergeCell ref="F13:F14"/>
    <mergeCell ref="G4:G6"/>
    <mergeCell ref="G13:G14"/>
    <mergeCell ref="H4:H6"/>
    <mergeCell ref="H13:H14"/>
    <mergeCell ref="I4:I6"/>
    <mergeCell ref="I13:I14"/>
    <mergeCell ref="J4:J6"/>
    <mergeCell ref="J13:J14"/>
    <mergeCell ref="K4:K6"/>
    <mergeCell ref="K13:K14"/>
    <mergeCell ref="L4:L6"/>
    <mergeCell ref="M4:M6"/>
    <mergeCell ref="N4:N6"/>
    <mergeCell ref="O4:O6"/>
    <mergeCell ref="P4:P6"/>
    <mergeCell ref="Q4:Q6"/>
    <mergeCell ref="R4:R6"/>
    <mergeCell ref="R13:R14"/>
    <mergeCell ref="S4:S6"/>
    <mergeCell ref="S13:S14"/>
    <mergeCell ref="T4:T6"/>
    <mergeCell ref="T13:T14"/>
    <mergeCell ref="U4:U6"/>
    <mergeCell ref="U13:U14"/>
  </mergeCells>
  <dataValidations count="7">
    <dataValidation type="list" allowBlank="1" showInputMessage="1" showErrorMessage="1" sqref="C16:C26">
      <formula1>OFFSET(数据对照表!$V$2,,,COUNTA(数据对照表!$V:$V)-1,1)</formula1>
    </dataValidation>
    <dataValidation type="list" allowBlank="1" showInputMessage="1" showErrorMessage="1" sqref="D16:D26">
      <formula1>OFFSET(数据对照表!$W$2,,,COUNTA(数据对照表!$W:$W)-1,1)</formula1>
    </dataValidation>
    <dataValidation type="list" allowBlank="1" showInputMessage="1" showErrorMessage="1" sqref="E16:E26">
      <formula1>OFFSET(数据对照表!$X$2,,,COUNTA(数据对照表!$X:$X)-1,1)</formula1>
    </dataValidation>
    <dataValidation type="list" allowBlank="1" showInputMessage="1" showErrorMessage="1" sqref="F16:F26">
      <formula1>OFFSET(数据对照表!$Y$2,,,COUNTA(数据对照表!$Y:$Y)-1,1)</formula1>
    </dataValidation>
    <dataValidation type="list" allowBlank="1" showInputMessage="1" showErrorMessage="1" sqref="G16:G26">
      <formula1>OFFSET(数据对照表!$Z$2,,,COUNTA(数据对照表!$Z:$Z)-1,1)</formula1>
    </dataValidation>
    <dataValidation type="list" allowBlank="1" showInputMessage="1" showErrorMessage="1" sqref="H16:H26">
      <formula1>OFFSET(数据对照表!$AA$2,,,COUNTA(数据对照表!$AA:$AA)-1,1)</formula1>
    </dataValidation>
    <dataValidation allowBlank="1" showInputMessage="1" showErrorMessage="1" sqref="T16:U26"/>
  </dataValidations>
  <pageMargins left="0.747916666666667" right="0.747916666666667" top="0.984027777777778" bottom="0.984027777777778" header="0.511805555555556" footer="0.511805555555556"/>
  <pageSetup paperSize="9" scale="96"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3"/>
  <sheetViews>
    <sheetView topLeftCell="E1" workbookViewId="0">
      <selection activeCell="N126" sqref="N126:O126"/>
    </sheetView>
  </sheetViews>
  <sheetFormatPr defaultColWidth="15.6231884057971" defaultRowHeight="11.85"/>
  <cols>
    <col min="1" max="1" width="15" style="1" customWidth="1"/>
    <col min="2" max="2" width="29.3840579710145" style="1" customWidth="1"/>
    <col min="3" max="3" width="22.6231884057971" style="1" customWidth="1"/>
    <col min="4" max="4" width="15.6231884057971" style="1" customWidth="1"/>
    <col min="5" max="6" width="15.6231884057971" style="1"/>
    <col min="7" max="7" width="19.1231884057971" style="1" customWidth="1"/>
    <col min="8" max="24" width="15.6231884057971" style="1"/>
    <col min="25" max="27" width="15.6231884057971" style="2"/>
    <col min="28" max="28" width="13.7536231884058" style="1" customWidth="1"/>
    <col min="29" max="29" width="23.2536231884058" style="1" customWidth="1"/>
    <col min="30" max="16384" width="15.6231884057971" style="1"/>
  </cols>
  <sheetData>
    <row r="1" ht="24.95" customHeight="1" spans="1:31">
      <c r="A1" s="3" t="s">
        <v>203</v>
      </c>
      <c r="B1" s="3" t="s">
        <v>1524</v>
      </c>
      <c r="C1" s="3" t="s">
        <v>1525</v>
      </c>
      <c r="D1" s="3" t="s">
        <v>898</v>
      </c>
      <c r="E1" s="3" t="s">
        <v>966</v>
      </c>
      <c r="F1" s="3" t="s">
        <v>945</v>
      </c>
      <c r="G1" s="3" t="s">
        <v>1526</v>
      </c>
      <c r="H1" s="3" t="s">
        <v>1527</v>
      </c>
      <c r="I1" s="3" t="s">
        <v>1528</v>
      </c>
      <c r="J1" s="3" t="s">
        <v>1529</v>
      </c>
      <c r="K1" s="3" t="s">
        <v>275</v>
      </c>
      <c r="L1" s="3" t="s">
        <v>276</v>
      </c>
      <c r="M1" s="3" t="s">
        <v>1524</v>
      </c>
      <c r="N1" s="3" t="s">
        <v>1525</v>
      </c>
      <c r="O1" s="3" t="s">
        <v>898</v>
      </c>
      <c r="P1" s="3" t="s">
        <v>966</v>
      </c>
      <c r="Q1" s="3" t="s">
        <v>945</v>
      </c>
      <c r="R1" s="3" t="s">
        <v>1526</v>
      </c>
      <c r="S1" s="3" t="s">
        <v>1527</v>
      </c>
      <c r="T1" s="3" t="s">
        <v>1528</v>
      </c>
      <c r="U1" s="3" t="s">
        <v>875</v>
      </c>
      <c r="V1" s="3" t="s">
        <v>1506</v>
      </c>
      <c r="W1" s="3" t="s">
        <v>1507</v>
      </c>
      <c r="X1" s="3" t="s">
        <v>1508</v>
      </c>
      <c r="Y1" s="3" t="s">
        <v>1509</v>
      </c>
      <c r="Z1" s="3" t="s">
        <v>1510</v>
      </c>
      <c r="AA1" s="3" t="s">
        <v>1511</v>
      </c>
      <c r="AB1" s="3" t="s">
        <v>132</v>
      </c>
      <c r="AC1" s="3" t="s">
        <v>1530</v>
      </c>
      <c r="AD1" s="4" t="s">
        <v>1531</v>
      </c>
      <c r="AE1" s="4" t="s">
        <v>1386</v>
      </c>
    </row>
    <row r="2" ht="24.95" customHeight="1" spans="1:31">
      <c r="A2" s="5" t="s">
        <v>145</v>
      </c>
      <c r="B2" s="5" t="s">
        <v>1532</v>
      </c>
      <c r="C2" s="6" t="s">
        <v>1533</v>
      </c>
      <c r="D2" s="6" t="s">
        <v>1534</v>
      </c>
      <c r="E2" s="6" t="s">
        <v>1535</v>
      </c>
      <c r="F2" s="6" t="s">
        <v>1536</v>
      </c>
      <c r="G2" s="6" t="s">
        <v>1537</v>
      </c>
      <c r="H2" s="6" t="s">
        <v>1538</v>
      </c>
      <c r="I2" s="7" t="s">
        <v>1539</v>
      </c>
      <c r="J2" s="7" t="s">
        <v>986</v>
      </c>
      <c r="K2" s="7" t="s">
        <v>1540</v>
      </c>
      <c r="L2" s="7" t="s">
        <v>1541</v>
      </c>
      <c r="M2" s="7" t="s">
        <v>905</v>
      </c>
      <c r="N2" s="7" t="s">
        <v>905</v>
      </c>
      <c r="O2" s="7" t="s">
        <v>905</v>
      </c>
      <c r="P2" s="7" t="s">
        <v>905</v>
      </c>
      <c r="Q2" s="7" t="s">
        <v>905</v>
      </c>
      <c r="R2" s="7" t="s">
        <v>905</v>
      </c>
      <c r="S2" s="7" t="s">
        <v>905</v>
      </c>
      <c r="T2" s="7" t="s">
        <v>1540</v>
      </c>
      <c r="U2" s="7" t="s">
        <v>1416</v>
      </c>
      <c r="V2" s="8" t="s">
        <v>1542</v>
      </c>
      <c r="W2" s="6" t="s">
        <v>1543</v>
      </c>
      <c r="X2" s="6" t="s">
        <v>1544</v>
      </c>
      <c r="Y2" s="6" t="s">
        <v>1545</v>
      </c>
      <c r="Z2" s="6" t="s">
        <v>1546</v>
      </c>
      <c r="AA2" s="6" t="s">
        <v>1547</v>
      </c>
      <c r="AB2" s="9" t="s">
        <v>251</v>
      </c>
      <c r="AC2" s="9" t="s">
        <v>251</v>
      </c>
      <c r="AD2" s="10" t="s">
        <v>255</v>
      </c>
      <c r="AE2" s="9" t="s">
        <v>1541</v>
      </c>
    </row>
    <row r="3" ht="24.95" customHeight="1" spans="1:31">
      <c r="A3" s="5" t="s">
        <v>146</v>
      </c>
      <c r="B3" s="5" t="s">
        <v>1548</v>
      </c>
      <c r="C3" s="6" t="s">
        <v>1549</v>
      </c>
      <c r="D3" s="6" t="s">
        <v>899</v>
      </c>
      <c r="E3" s="6" t="s">
        <v>1550</v>
      </c>
      <c r="F3" s="6" t="s">
        <v>946</v>
      </c>
      <c r="G3" s="6" t="s">
        <v>1551</v>
      </c>
      <c r="H3" s="6" t="s">
        <v>1552</v>
      </c>
      <c r="J3" s="7" t="s">
        <v>902</v>
      </c>
      <c r="L3" s="7" t="s">
        <v>1553</v>
      </c>
      <c r="M3" s="7" t="s">
        <v>1554</v>
      </c>
      <c r="N3" s="7" t="s">
        <v>1554</v>
      </c>
      <c r="O3" s="7" t="s">
        <v>1554</v>
      </c>
      <c r="P3" s="7" t="s">
        <v>1554</v>
      </c>
      <c r="Q3" s="7" t="s">
        <v>1554</v>
      </c>
      <c r="R3" s="7" t="s">
        <v>1554</v>
      </c>
      <c r="S3" s="7" t="s">
        <v>1554</v>
      </c>
      <c r="U3" s="7" t="s">
        <v>1430</v>
      </c>
      <c r="V3" s="8" t="s">
        <v>1555</v>
      </c>
      <c r="W3" s="6" t="s">
        <v>1556</v>
      </c>
      <c r="X3" s="6" t="s">
        <v>1557</v>
      </c>
      <c r="Y3" s="6" t="s">
        <v>1558</v>
      </c>
      <c r="Z3" s="6" t="s">
        <v>1559</v>
      </c>
      <c r="AA3" s="6" t="s">
        <v>1560</v>
      </c>
      <c r="AB3" s="9" t="s">
        <v>1561</v>
      </c>
      <c r="AC3" s="9" t="s">
        <v>1562</v>
      </c>
      <c r="AD3" s="9" t="s">
        <v>1563</v>
      </c>
      <c r="AE3" s="9" t="s">
        <v>1564</v>
      </c>
    </row>
    <row r="4" ht="24.95" customHeight="1" spans="1:31">
      <c r="A4" s="5" t="s">
        <v>105</v>
      </c>
      <c r="B4" s="5" t="s">
        <v>1565</v>
      </c>
      <c r="C4" s="6" t="s">
        <v>1566</v>
      </c>
      <c r="D4" s="6" t="s">
        <v>1567</v>
      </c>
      <c r="E4" s="6" t="s">
        <v>980</v>
      </c>
      <c r="F4" s="6" t="s">
        <v>1052</v>
      </c>
      <c r="G4" s="6" t="s">
        <v>1568</v>
      </c>
      <c r="H4" s="6" t="s">
        <v>1569</v>
      </c>
      <c r="J4" s="7" t="s">
        <v>930</v>
      </c>
      <c r="L4" s="7" t="s">
        <v>251</v>
      </c>
      <c r="U4" s="7" t="s">
        <v>1570</v>
      </c>
      <c r="V4" s="8" t="s">
        <v>1571</v>
      </c>
      <c r="W4" s="9" t="s">
        <v>1572</v>
      </c>
      <c r="X4" s="6" t="s">
        <v>1573</v>
      </c>
      <c r="Y4" s="6" t="s">
        <v>1574</v>
      </c>
      <c r="Z4" s="6" t="s">
        <v>1575</v>
      </c>
      <c r="AA4" s="6" t="s">
        <v>1576</v>
      </c>
      <c r="AC4" s="9" t="s">
        <v>1561</v>
      </c>
      <c r="AE4" s="9" t="s">
        <v>251</v>
      </c>
    </row>
    <row r="5" ht="24.95" customHeight="1" spans="1:31">
      <c r="A5" s="5" t="s">
        <v>106</v>
      </c>
      <c r="C5" s="6" t="s">
        <v>1577</v>
      </c>
      <c r="D5" s="6" t="s">
        <v>1578</v>
      </c>
      <c r="E5" s="6" t="s">
        <v>1213</v>
      </c>
      <c r="F5" s="6" t="s">
        <v>1183</v>
      </c>
      <c r="G5" s="6" t="s">
        <v>1579</v>
      </c>
      <c r="H5" s="6" t="s">
        <v>1580</v>
      </c>
      <c r="J5" s="7" t="s">
        <v>1581</v>
      </c>
      <c r="L5" s="7" t="s">
        <v>1582</v>
      </c>
      <c r="U5" s="7" t="s">
        <v>1583</v>
      </c>
      <c r="V5" s="8" t="s">
        <v>1584</v>
      </c>
      <c r="W5" s="6" t="s">
        <v>1585</v>
      </c>
      <c r="X5" s="9" t="s">
        <v>1586</v>
      </c>
      <c r="Y5" s="6" t="s">
        <v>1587</v>
      </c>
      <c r="Z5" s="1"/>
      <c r="AA5" s="6" t="s">
        <v>1588</v>
      </c>
      <c r="AE5" s="9" t="s">
        <v>1410</v>
      </c>
    </row>
    <row r="6" ht="24.95" customHeight="1" spans="1:31">
      <c r="A6" s="5" t="s">
        <v>107</v>
      </c>
      <c r="C6" s="6" t="s">
        <v>1589</v>
      </c>
      <c r="D6" s="6" t="s">
        <v>1590</v>
      </c>
      <c r="E6" s="6" t="s">
        <v>1591</v>
      </c>
      <c r="F6" s="6" t="s">
        <v>1115</v>
      </c>
      <c r="G6" s="6" t="s">
        <v>1592</v>
      </c>
      <c r="H6" s="6" t="s">
        <v>1593</v>
      </c>
      <c r="J6" s="7" t="s">
        <v>1594</v>
      </c>
      <c r="L6" s="7" t="s">
        <v>1595</v>
      </c>
      <c r="U6" s="7" t="s">
        <v>1405</v>
      </c>
      <c r="V6" s="8" t="s">
        <v>1596</v>
      </c>
      <c r="W6" s="6" t="s">
        <v>1597</v>
      </c>
      <c r="Y6" s="9" t="s">
        <v>1598</v>
      </c>
      <c r="Z6" s="1"/>
      <c r="AA6" s="11"/>
      <c r="AE6" s="9" t="s">
        <v>1599</v>
      </c>
    </row>
    <row r="7" ht="24.95" customHeight="1" spans="1:31">
      <c r="A7" s="5" t="s">
        <v>458</v>
      </c>
      <c r="C7" s="6" t="s">
        <v>1600</v>
      </c>
      <c r="D7" s="6" t="s">
        <v>975</v>
      </c>
      <c r="E7" s="6" t="s">
        <v>967</v>
      </c>
      <c r="F7" s="6" t="s">
        <v>1601</v>
      </c>
      <c r="G7" s="6" t="s">
        <v>1602</v>
      </c>
      <c r="H7" s="6" t="s">
        <v>1603</v>
      </c>
      <c r="J7" s="7" t="s">
        <v>958</v>
      </c>
      <c r="L7" s="7" t="s">
        <v>1561</v>
      </c>
      <c r="U7" s="7" t="s">
        <v>1604</v>
      </c>
      <c r="V7" s="8" t="s">
        <v>1605</v>
      </c>
      <c r="W7" s="9" t="s">
        <v>1606</v>
      </c>
      <c r="Y7" s="1"/>
      <c r="Z7" s="1"/>
      <c r="AA7" s="11"/>
    </row>
    <row r="8" ht="24.95" customHeight="1" spans="1:31">
      <c r="A8" s="5" t="s">
        <v>1607</v>
      </c>
      <c r="D8" s="6" t="s">
        <v>960</v>
      </c>
      <c r="F8" s="6" t="s">
        <v>1019</v>
      </c>
      <c r="G8" s="6" t="s">
        <v>1608</v>
      </c>
      <c r="H8" s="6" t="s">
        <v>1609</v>
      </c>
      <c r="J8" s="7" t="s">
        <v>1610</v>
      </c>
      <c r="U8" s="7" t="s">
        <v>1611</v>
      </c>
      <c r="V8" s="8" t="s">
        <v>1612</v>
      </c>
      <c r="W8" s="9" t="s">
        <v>108</v>
      </c>
      <c r="Y8" s="1"/>
      <c r="Z8" s="1"/>
      <c r="AA8" s="1"/>
    </row>
    <row r="9" ht="24.95" customHeight="1" spans="1:31">
      <c r="A9" s="5" t="s">
        <v>1613</v>
      </c>
      <c r="D9" s="6" t="s">
        <v>1101</v>
      </c>
      <c r="F9" s="6" t="s">
        <v>1262</v>
      </c>
      <c r="G9" s="6" t="s">
        <v>1614</v>
      </c>
      <c r="H9" s="6" t="s">
        <v>1615</v>
      </c>
      <c r="U9" s="7" t="s">
        <v>1616</v>
      </c>
      <c r="Y9" s="1"/>
      <c r="Z9" s="1"/>
      <c r="AA9" s="1"/>
    </row>
    <row r="10" ht="24.95" customHeight="1" spans="1:31">
      <c r="A10" s="5" t="s">
        <v>1617</v>
      </c>
      <c r="D10" s="6" t="s">
        <v>913</v>
      </c>
      <c r="F10" s="6" t="s">
        <v>1618</v>
      </c>
      <c r="G10" s="6" t="s">
        <v>1619</v>
      </c>
      <c r="H10" s="6" t="s">
        <v>1620</v>
      </c>
      <c r="U10" s="7" t="s">
        <v>1621</v>
      </c>
      <c r="Y10" s="1"/>
      <c r="Z10" s="1"/>
      <c r="AA10" s="1"/>
    </row>
    <row r="11" ht="24.95" customHeight="1" spans="1:31">
      <c r="A11" s="5" t="s">
        <v>1622</v>
      </c>
      <c r="F11" s="6" t="s">
        <v>1093</v>
      </c>
      <c r="G11" s="6" t="s">
        <v>1623</v>
      </c>
      <c r="U11" s="7" t="s">
        <v>1624</v>
      </c>
      <c r="Y11" s="1"/>
      <c r="Z11" s="1"/>
      <c r="AA11" s="1"/>
    </row>
    <row r="12" ht="24.95" customHeight="1" spans="1:31">
      <c r="A12" s="5" t="s">
        <v>1625</v>
      </c>
      <c r="F12" s="6" t="s">
        <v>1066</v>
      </c>
      <c r="G12" s="6" t="s">
        <v>1626</v>
      </c>
      <c r="U12" s="7" t="s">
        <v>1627</v>
      </c>
      <c r="Y12" s="1"/>
      <c r="Z12" s="1"/>
      <c r="AA12" s="1"/>
    </row>
    <row r="13" ht="24.95" customHeight="1" spans="1:31">
      <c r="A13" s="5" t="s">
        <v>1628</v>
      </c>
      <c r="G13" s="6" t="s">
        <v>1629</v>
      </c>
      <c r="U13" s="7" t="s">
        <v>1630</v>
      </c>
      <c r="Y13" s="1"/>
      <c r="Z13" s="1"/>
      <c r="AA13" s="1"/>
    </row>
    <row r="14" ht="24.95" customHeight="1" spans="1:31">
      <c r="A14" s="5" t="s">
        <v>1631</v>
      </c>
      <c r="G14" s="6" t="s">
        <v>1632</v>
      </c>
      <c r="U14" s="7" t="s">
        <v>1633</v>
      </c>
      <c r="Y14" s="1"/>
      <c r="Z14" s="1"/>
      <c r="AA14" s="1"/>
    </row>
    <row r="15" ht="24.95" customHeight="1" spans="1:31">
      <c r="A15" s="5" t="s">
        <v>1634</v>
      </c>
      <c r="G15" s="6" t="s">
        <v>1635</v>
      </c>
      <c r="Y15" s="1"/>
      <c r="Z15" s="1"/>
      <c r="AA15" s="1"/>
    </row>
    <row r="16" ht="24.95" customHeight="1" spans="1:31">
      <c r="A16" s="5" t="s">
        <v>1636</v>
      </c>
      <c r="G16" s="6" t="s">
        <v>1637</v>
      </c>
      <c r="Y16" s="1"/>
      <c r="Z16" s="1"/>
      <c r="AA16" s="1"/>
    </row>
    <row r="17" ht="24.95" customHeight="1" spans="1:27">
      <c r="A17" s="5" t="s">
        <v>1638</v>
      </c>
      <c r="G17" s="6" t="s">
        <v>1639</v>
      </c>
      <c r="Y17" s="1"/>
      <c r="Z17" s="1"/>
      <c r="AA17" s="1"/>
    </row>
    <row r="18" ht="24.95" customHeight="1" spans="1:27">
      <c r="A18" s="5" t="s">
        <v>1640</v>
      </c>
      <c r="Y18" s="1"/>
      <c r="Z18" s="1"/>
      <c r="AA18" s="1"/>
    </row>
    <row r="19" ht="24.95" customHeight="1" spans="1:27">
      <c r="A19" s="5" t="s">
        <v>1641</v>
      </c>
      <c r="Y19" s="1"/>
      <c r="Z19" s="1"/>
      <c r="AA19" s="1"/>
    </row>
    <row r="20" ht="24.95" customHeight="1" spans="1:27">
      <c r="A20" s="5" t="s">
        <v>1642</v>
      </c>
      <c r="Y20" s="1"/>
      <c r="Z20" s="1"/>
      <c r="AA20" s="1"/>
    </row>
    <row r="21" ht="24.95" customHeight="1" spans="1:27">
      <c r="A21" s="5" t="s">
        <v>1643</v>
      </c>
      <c r="Y21" s="1"/>
      <c r="Z21" s="1"/>
      <c r="AA21" s="1"/>
    </row>
    <row r="22" ht="24.95" customHeight="1" spans="1:27">
      <c r="A22" s="5" t="s">
        <v>1644</v>
      </c>
      <c r="Y22" s="1"/>
      <c r="Z22" s="1"/>
      <c r="AA22" s="1"/>
    </row>
    <row r="23" ht="24.95" customHeight="1" spans="1:27">
      <c r="A23" s="5" t="s">
        <v>1645</v>
      </c>
      <c r="Y23" s="1"/>
      <c r="Z23" s="1"/>
      <c r="AA23" s="1"/>
    </row>
  </sheetData>
  <dataValidations count="1">
    <dataValidation type="list" allowBlank="1" showInputMessage="1" showErrorMessage="1" sqref="I2">
      <formula1>"利息支出"</formula1>
    </dataValidation>
  </dataValidations>
  <pageMargins left="0.75" right="0.75" top="1" bottom="1" header="0.511805555555556" footer="0.511805555555556"/>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9" master="" otherUserPermission="visible">
    <arrUserId title="A6:AI17" rangeCreator="" othersAccessPermission="edit"/>
  </rangeList>
  <rangeList sheetStid="5" master="" otherUserPermission="visible"/>
  <rangeList sheetStid="32" master="" otherUserPermission="visible"/>
  <rangeList sheetStid="8" master="" otherUserPermission="visible"/>
  <rangeList sheetStid="6" master="" otherUserPermission="visible"/>
  <rangeList sheetStid="38" master="" otherUserPermission="visible"/>
  <rangeList sheetStid="30" master="" otherUserPermission="visible"/>
  <rangeList sheetStid="9" master="" otherUserPermission="visible"/>
  <rangeList sheetStid="31" master="" otherUserPermission="visible"/>
  <rangeList sheetStid="37" master="" otherUserPermission="visible"/>
  <rangeList sheetStid="42" master="" otherUserPermission="visible"/>
  <rangeList sheetStid="39"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清算项目基本情况表</vt:lpstr>
      <vt:lpstr>土地增值税税源明细表</vt:lpstr>
      <vt:lpstr>附表1-面积统计表</vt:lpstr>
      <vt:lpstr>附表2-收入统计表</vt:lpstr>
      <vt:lpstr>附表3-扣除项目分摊表</vt:lpstr>
      <vt:lpstr>附表4-项目间分摊信息采集表</vt:lpstr>
      <vt:lpstr>附表5-扣除项目统计表</vt:lpstr>
      <vt:lpstr>附表6-收入明细采集底稿</vt:lpstr>
      <vt:lpstr>附表7-扣除项目明细采集底稿</vt:lpstr>
      <vt:lpstr>附表8-合同明细采集底稿</vt:lpstr>
      <vt:lpstr>工程造价采集表</vt:lpstr>
      <vt:lpstr>数据对照表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香水百合</cp:lastModifiedBy>
  <dcterms:created xsi:type="dcterms:W3CDTF">2016-12-14T00:54:00Z</dcterms:created>
  <cp:lastPrinted>2021-07-06T13:57:00Z</cp:lastPrinted>
  <dcterms:modified xsi:type="dcterms:W3CDTF">2025-12-09T08:57:02Z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4381C9B9C6AC4053939701FE5A4F5253_13</vt:lpwstr>
  </property>
  <property fmtid="{D5CDD505-2E9C-101B-9397-08002B2CF9AE}" pid="4" name="KSOReadingLayout">
    <vt:bool>true</vt:bool>
  </property>
  <property fmtid="{D5CDD505-2E9C-101B-9397-08002B2CF9AE}" pid="5" name="CalculationRule">
    <vt:i4>0</vt:i4>
  </property>
</Properties>
</file>