
<file path=[Content_Types].xml><?xml version="1.0" encoding="utf-8"?>
<Types xmlns="http://schemas.openxmlformats.org/package/2006/content-types">
  <Default Extension="xml" ContentType="application/xml"/>
  <Default Extension="vml" ContentType="application/vnd.openxmlformats-officedocument.vmlDrawing"/>
  <Default Extension="rels" ContentType="application/vnd.openxmlformats-package.relationships+xml"/>
  <Override PartName="/customXml/itemProps1.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ustomStorage/customStorage.xml" ContentType="application/vnd.wps-officedocument.customStorage+xml"/>
  <Override PartName="/xl/externalLinks/externalLink1.xml" ContentType="application/vnd.openxmlformats-officedocument.spreadsheetml.externalLink+xml"/>
  <Override PartName="/xl/metadata.xml" ContentType="application/vnd.openxmlformats-officedocument.spreadsheetml.sheetMetadata+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3215" windowHeight="9829" tabRatio="823" activeTab="1"/>
  </bookViews>
  <sheets>
    <sheet name="清算项目基本情况表" sheetId="29" r:id="rId1"/>
    <sheet name="土地增值税税源明细表" sheetId="5" r:id="rId2"/>
    <sheet name="附表1-面积统计表" sheetId="32" r:id="rId3"/>
    <sheet name="附表2-收入统计表" sheetId="8" r:id="rId4"/>
    <sheet name="附表3-扣除项目分摊表" sheetId="6" r:id="rId5"/>
    <sheet name="附表4-项目间分摊信息采集表" sheetId="38" r:id="rId6"/>
    <sheet name="附表5-扣除项目统计表" sheetId="30" r:id="rId7"/>
    <sheet name="附表6-收入明细采集底稿" sheetId="9" r:id="rId8"/>
    <sheet name="附表7-扣除项目明细采集底稿" sheetId="31" r:id="rId9"/>
    <sheet name="附表8-合同明细采集底稿" sheetId="37" r:id="rId10"/>
    <sheet name="工程造价采集表" sheetId="42" r:id="rId11"/>
    <sheet name="成本分摊比例" sheetId="43" r:id="rId12"/>
    <sheet name="数据对照表" sheetId="39" r:id="rId13"/>
  </sheets>
  <externalReferences>
    <externalReference r:id="rId15"/>
  </externalReferences>
  <definedNames>
    <definedName name="_xlnm._FilterDatabase" localSheetId="8" hidden="1">'附表7-扣除项目明细采集底稿'!$A$6:$XEK$469</definedName>
    <definedName name="_xlnm._FilterDatabase" localSheetId="9" hidden="1">'附表8-合同明细采集底稿'!$A$5:$AD$128</definedName>
    <definedName name="_xlnm._FilterDatabase" localSheetId="7" hidden="1">'附表6-收入明细采集底稿'!$A$6:$Z$607</definedName>
    <definedName name="_xlnm.Print_Area" localSheetId="2">'附表1-面积统计表'!$A$1:$K$35</definedName>
    <definedName name="_xlnm.Print_Area" localSheetId="3">'附表2-收入统计表'!$A$1:$F$13</definedName>
    <definedName name="_xlnm.Print_Area" localSheetId="4">'附表3-扣除项目分摊表'!$A$1:$N$27</definedName>
    <definedName name="_xlnm.Print_Area" localSheetId="6">'附表5-扣除项目统计表'!$1:$87</definedName>
    <definedName name="_xlnm.Print_Area" localSheetId="7">'附表6-收入明细采集底稿'!$A$1:$Z$41</definedName>
    <definedName name="_xlnm.Print_Area" localSheetId="8">'附表7-扣除项目明细采集底稿'!$A:$AB</definedName>
    <definedName name="_xlnm.Print_Area" localSheetId="0">清算项目基本情况表!$A$1:$AI$62</definedName>
    <definedName name="_xlnm.Print_Area" localSheetId="1">土地增值税税源明细表!$A$1:$L$48</definedName>
    <definedName name="_xlnm.Print_Titles" localSheetId="4">'附表3-扣除项目分摊表'!$3:$5</definedName>
    <definedName name="_xlnm.Print_Titles" localSheetId="6">'附表5-扣除项目统计表'!$3:$5</definedName>
    <definedName name="_xlnm.Print_Titles" localSheetId="7">'附表6-收入明细采集底稿'!$3:$4</definedName>
    <definedName name="_xlnm.Print_Titles" localSheetId="8">'附表7-扣除项目明细采集底稿'!$3:$4</definedName>
    <definedName name="_xlnm.Print_Titles" localSheetId="1">土地增值税税源明细表!$10:$10</definedName>
    <definedName name="前期费用">[1]不合规发票!$L$2:$L$11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aa</author>
  </authors>
  <commentList>
    <comment ref="U301" authorId="0">
      <text>
        <r>
          <rPr>
            <b/>
            <sz val="9"/>
            <rFont val="宋体"/>
            <charset val="134"/>
          </rPr>
          <t>aa:</t>
        </r>
        <r>
          <rPr>
            <sz val="9"/>
            <rFont val="宋体"/>
            <charset val="134"/>
          </rPr>
          <t xml:space="preserve">
原总价1172964</t>
        </r>
      </text>
    </comment>
  </commentList>
</comments>
</file>

<file path=xl/comments2.xml><?xml version="1.0" encoding="utf-8"?>
<comments xmlns="http://schemas.openxmlformats.org/spreadsheetml/2006/main">
  <authors>
    <author>Administrator</author>
  </authors>
  <commentList>
    <comment ref="Q128" authorId="0">
      <text>
        <r>
          <rPr>
            <b/>
            <sz val="9"/>
            <rFont val="宋体"/>
            <charset val="134"/>
          </rPr>
          <t>Administrator:</t>
        </r>
        <r>
          <rPr>
            <sz val="9"/>
            <rFont val="宋体"/>
            <charset val="134"/>
          </rPr>
          <t xml:space="preserve">
同一个合同，同时开票，和主合同一起开票</t>
        </r>
      </text>
    </comment>
    <comment ref="Q408" authorId="0">
      <text>
        <r>
          <rPr>
            <b/>
            <sz val="9"/>
            <rFont val="宋体"/>
            <charset val="134"/>
          </rPr>
          <t>Administrator:</t>
        </r>
        <r>
          <rPr>
            <sz val="9"/>
            <rFont val="宋体"/>
            <charset val="134"/>
          </rPr>
          <t xml:space="preserve">
同一个合同，同时开票，和主合同一起开票
</t>
        </r>
      </text>
    </comment>
    <comment ref="Q419" authorId="0">
      <text>
        <r>
          <rPr>
            <b/>
            <sz val="9"/>
            <rFont val="宋体"/>
            <charset val="134"/>
          </rPr>
          <t>Administrator:</t>
        </r>
        <r>
          <rPr>
            <sz val="9"/>
            <rFont val="宋体"/>
            <charset val="134"/>
          </rPr>
          <t xml:space="preserve">
最终确实是发票比结算大，多开了22748.39元</t>
        </r>
      </text>
    </comment>
  </commentList>
</comments>
</file>

<file path=xl/comments3.xml><?xml version="1.0" encoding="utf-8"?>
<comments xmlns="http://schemas.openxmlformats.org/spreadsheetml/2006/main">
  <authors>
    <author>dengd</author>
  </authors>
  <commentList>
    <comment ref="H78" authorId="0">
      <text>
        <r>
          <rPr>
            <b/>
            <sz val="9"/>
            <rFont val="宋体"/>
            <charset val="134"/>
          </rPr>
          <t>dengd:</t>
        </r>
        <r>
          <rPr>
            <sz val="9"/>
            <rFont val="宋体"/>
            <charset val="134"/>
          </rPr>
          <t xml:space="preserve">
结算金额5784346.49</t>
        </r>
      </text>
    </comment>
    <comment ref="H87" authorId="0">
      <text>
        <r>
          <rPr>
            <b/>
            <sz val="9"/>
            <rFont val="宋体"/>
            <charset val="134"/>
          </rPr>
          <t>dengd:</t>
        </r>
        <r>
          <rPr>
            <sz val="9"/>
            <rFont val="宋体"/>
            <charset val="134"/>
          </rPr>
          <t xml:space="preserve">
4-11.16.17,2.3.36#</t>
        </r>
      </text>
    </comment>
    <comment ref="H97" authorId="0">
      <text>
        <r>
          <rPr>
            <b/>
            <sz val="9"/>
            <rFont val="宋体"/>
            <charset val="134"/>
          </rPr>
          <t>dengd:</t>
        </r>
        <r>
          <rPr>
            <sz val="9"/>
            <rFont val="宋体"/>
            <charset val="134"/>
          </rPr>
          <t xml:space="preserve">
</t>
        </r>
      </text>
    </comment>
  </commentList>
</comments>
</file>

<file path=xl/comments4.xml><?xml version="1.0" encoding="utf-8"?>
<comments xmlns="http://schemas.openxmlformats.org/spreadsheetml/2006/main">
  <authors>
    <author>Di-wen</author>
    <author>Administrator</author>
  </authors>
  <commentList>
    <comment ref="Y3" authorId="0">
      <text>
        <r>
          <rPr>
            <b/>
            <sz val="9"/>
            <rFont val="宋体"/>
            <charset val="134"/>
          </rPr>
          <t>Di-wen:</t>
        </r>
        <r>
          <rPr>
            <sz val="9"/>
            <rFont val="宋体"/>
            <charset val="134"/>
          </rPr>
          <t xml:space="preserve">
</t>
        </r>
      </text>
    </comment>
    <comment ref="P44" authorId="1">
      <text>
        <r>
          <rPr>
            <b/>
            <sz val="9"/>
            <rFont val="宋体"/>
            <charset val="134"/>
          </rPr>
          <t>Administrator:</t>
        </r>
        <r>
          <rPr>
            <sz val="9"/>
            <rFont val="宋体"/>
            <charset val="134"/>
          </rPr>
          <t xml:space="preserve">
顶层水箱</t>
        </r>
      </text>
    </comment>
  </commentList>
</comments>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<sst xmlns="http://schemas.openxmlformats.org/spreadsheetml/2006/main" count="18265" uniqueCount="3436">
  <si>
    <r>
      <rPr>
        <sz val="26"/>
        <color theme="1"/>
        <rFont val="方正小标宋简体"/>
        <charset val="134"/>
      </rPr>
      <t>T10000</t>
    </r>
    <r>
      <rPr>
        <sz val="26"/>
        <color theme="1"/>
        <rFont val="微软雅黑"/>
        <charset val="134"/>
      </rPr>
      <t>清算项目基本情况表</t>
    </r>
  </si>
  <si>
    <t>（从事房地产开发的纳税人适用）</t>
  </si>
  <si>
    <t>纳税人识别号：</t>
  </si>
  <si>
    <t>91652801576209018D</t>
  </si>
  <si>
    <t>纳税人名称：</t>
  </si>
  <si>
    <t>新疆通力房地产开发有限公司库尔勒分公司</t>
  </si>
  <si>
    <t>*填表日期：</t>
  </si>
  <si>
    <t>2024-10-08</t>
  </si>
  <si>
    <t>金额单位:人民币元(列至角分)</t>
  </si>
  <si>
    <t>面积单位:平方米</t>
  </si>
  <si>
    <t>项目基本情况</t>
  </si>
  <si>
    <t>*项目名称</t>
  </si>
  <si>
    <t>沁春锦苑二期</t>
  </si>
  <si>
    <t>*项目编码</t>
  </si>
  <si>
    <t>Z65280120200027</t>
  </si>
  <si>
    <t>*是否属于分期开发项目</t>
  </si>
  <si>
    <t>是</t>
  </si>
  <si>
    <t>*项目地址</t>
  </si>
  <si>
    <t>库尔勒市新城辖区杜鹃路79号</t>
  </si>
  <si>
    <t>*总预算成本</t>
  </si>
  <si>
    <t>*项目所在地主管税务机关</t>
  </si>
  <si>
    <t>国家税务总局库尔勒市税务局</t>
  </si>
  <si>
    <t>*项目所在地主管税务所（科/分局）</t>
  </si>
  <si>
    <t>库尔勒市税务局税源管理一股</t>
  </si>
  <si>
    <t>*土地使用权出（转）让合同签订日期</t>
  </si>
  <si>
    <t>*开发土地总面积</t>
  </si>
  <si>
    <t>*开发建筑总面积</t>
  </si>
  <si>
    <t>*项目总地价款</t>
  </si>
  <si>
    <t>*容积率</t>
  </si>
  <si>
    <t>*绿地率</t>
  </si>
  <si>
    <t>项目开工日期</t>
  </si>
  <si>
    <t>2020-04-20</t>
  </si>
  <si>
    <t>整体竣工日期</t>
  </si>
  <si>
    <t>2022-04-06</t>
  </si>
  <si>
    <t>最后一个销（预）售证取得时间</t>
  </si>
  <si>
    <t>2020-11-15</t>
  </si>
  <si>
    <t>发改部门立项信息</t>
  </si>
  <si>
    <t>序号</t>
  </si>
  <si>
    <t>投资项目代码</t>
  </si>
  <si>
    <t>项目名称</t>
  </si>
  <si>
    <t>项目总投资</t>
  </si>
  <si>
    <t>建筑面积</t>
  </si>
  <si>
    <t>1</t>
  </si>
  <si>
    <t>2020009</t>
  </si>
  <si>
    <t>沁春锦苑2号、3号、11号、17号、36号楼</t>
  </si>
  <si>
    <t>2</t>
  </si>
  <si>
    <t>201995</t>
  </si>
  <si>
    <t>沁春锦苑4号、5号、7号、9号楼</t>
  </si>
  <si>
    <t>3</t>
  </si>
  <si>
    <t>201996</t>
  </si>
  <si>
    <t>沁春锦苑6号、8号、10号、16号楼</t>
  </si>
  <si>
    <t>土地使用权信息</t>
  </si>
  <si>
    <t>不动产权证号</t>
  </si>
  <si>
    <t>不动产单元号</t>
  </si>
  <si>
    <t>权利类型</t>
  </si>
  <si>
    <t>权利性质</t>
  </si>
  <si>
    <t>用途</t>
  </si>
  <si>
    <t>面积</t>
  </si>
  <si>
    <t>使用期限</t>
  </si>
  <si>
    <t>土地使用权证发证日期</t>
  </si>
  <si>
    <t>新（2019）库尔勒市不动产权证第00014238号</t>
  </si>
  <si>
    <t>652801005064GB00045W0000000</t>
  </si>
  <si>
    <t>国有建设用地使用权</t>
  </si>
  <si>
    <t>出让</t>
  </si>
  <si>
    <t>房地产开发企业的开发用地</t>
  </si>
  <si>
    <t>2010-07-22</t>
  </si>
  <si>
    <t>建设用地规划许可信息</t>
  </si>
  <si>
    <t>建设用地规划许可证编号</t>
  </si>
  <si>
    <t>用地项目名称</t>
  </si>
  <si>
    <t>用地位置</t>
  </si>
  <si>
    <t>用地面积</t>
  </si>
  <si>
    <t>建设规模</t>
  </si>
  <si>
    <t>发证日期</t>
  </si>
  <si>
    <t>地字第652800201100127号</t>
  </si>
  <si>
    <t>住宅楼</t>
  </si>
  <si>
    <t>64号小区</t>
  </si>
  <si>
    <t>2011-08-01</t>
  </si>
  <si>
    <t>建设工程规划许可信息</t>
  </si>
  <si>
    <t>建设工程规划许可证编号</t>
  </si>
  <si>
    <t>建设项目名称</t>
  </si>
  <si>
    <t>建设位置</t>
  </si>
  <si>
    <t>*发证日期</t>
  </si>
  <si>
    <t>建字第652801201900472号</t>
  </si>
  <si>
    <t>7#住宅楼</t>
  </si>
  <si>
    <t>库尔勒市64号小区、延安路北侧</t>
  </si>
  <si>
    <t>2019-12-10</t>
  </si>
  <si>
    <t>建字第652801201900470号</t>
  </si>
  <si>
    <t>5#住宅楼</t>
  </si>
  <si>
    <t>建字第652801202000040号</t>
  </si>
  <si>
    <t>沁春锦苑11#住宅楼</t>
  </si>
  <si>
    <t>库尔勒市64#小区、幸福路北侧</t>
  </si>
  <si>
    <t>2020-03-09</t>
  </si>
  <si>
    <t>4</t>
  </si>
  <si>
    <t>建字第652801201900473号</t>
  </si>
  <si>
    <t>8#住宅楼</t>
  </si>
  <si>
    <t>5</t>
  </si>
  <si>
    <t>建字第652801201900469号</t>
  </si>
  <si>
    <t>4#住宅楼</t>
  </si>
  <si>
    <t>2019-12-06</t>
  </si>
  <si>
    <t>6</t>
  </si>
  <si>
    <t>建字第652801201900474号</t>
  </si>
  <si>
    <t>9#住宅楼</t>
  </si>
  <si>
    <t>7</t>
  </si>
  <si>
    <t>建字第652801202000039号</t>
  </si>
  <si>
    <t>沁春锦苑17#住宅楼</t>
  </si>
  <si>
    <t>8</t>
  </si>
  <si>
    <t>建字第652801202000042号</t>
  </si>
  <si>
    <t>沁春锦苑2#商业楼</t>
  </si>
  <si>
    <t>库尔勒市64号小区、幸福路北侧</t>
  </si>
  <si>
    <t>2020-03-12</t>
  </si>
  <si>
    <t>9</t>
  </si>
  <si>
    <t>建字第652801202000043号</t>
  </si>
  <si>
    <t>沁春锦苑3#商业楼</t>
  </si>
  <si>
    <t>10</t>
  </si>
  <si>
    <t>建字第652801201900476号</t>
  </si>
  <si>
    <t>16#住宅楼</t>
  </si>
  <si>
    <t>2019-12-11</t>
  </si>
  <si>
    <t>11</t>
  </si>
  <si>
    <t>建字第652801201900475号</t>
  </si>
  <si>
    <t>10#住宅楼</t>
  </si>
  <si>
    <t>12</t>
  </si>
  <si>
    <t>建字第652801201900471号</t>
  </si>
  <si>
    <t>6#住宅楼</t>
  </si>
  <si>
    <t>13</t>
  </si>
  <si>
    <t>建字第652801202000041</t>
  </si>
  <si>
    <t>36#商业楼</t>
  </si>
  <si>
    <t>64号小区、幸福路北侧</t>
  </si>
  <si>
    <t>2020-03-22</t>
  </si>
  <si>
    <t>建筑工程施工许可信息</t>
  </si>
  <si>
    <t>建筑工程施工许可证编号</t>
  </si>
  <si>
    <t>工程名称</t>
  </si>
  <si>
    <t>建设地址</t>
  </si>
  <si>
    <t>合同价格</t>
  </si>
  <si>
    <t>施工单位名称</t>
  </si>
  <si>
    <t>合同开工日期</t>
  </si>
  <si>
    <t>合同竣工日期</t>
  </si>
  <si>
    <t>652801202004300101</t>
  </si>
  <si>
    <t>沁春锦苑4#-11#、16#17#住宅楼、2#3#36#商业楼</t>
  </si>
  <si>
    <t>库尔勒市新城辖区石化大道南侧、杜鹃河东侧</t>
  </si>
  <si>
    <t>新疆通力建设集团股份有限公司</t>
  </si>
  <si>
    <t>2020-11-20</t>
  </si>
  <si>
    <t>2020-04-30</t>
  </si>
  <si>
    <t>预售许可信息</t>
  </si>
  <si>
    <t>预售许可证编号</t>
  </si>
  <si>
    <r>
      <rPr>
        <sz val="14"/>
        <color theme="1"/>
        <rFont val="宋体"/>
        <charset val="134"/>
      </rPr>
      <t>预售款专用帐户网点、帐号</t>
    </r>
    <r>
      <rPr>
        <sz val="14"/>
        <color theme="1"/>
        <rFont val="Times New Roman"/>
        <charset val="134"/>
      </rPr>
      <t> </t>
    </r>
  </si>
  <si>
    <t>预售房屋建筑面积</t>
  </si>
  <si>
    <t>预售套数</t>
  </si>
  <si>
    <t>住宅</t>
  </si>
  <si>
    <t>商业用房</t>
  </si>
  <si>
    <t>办公用房</t>
  </si>
  <si>
    <t>车位车库</t>
  </si>
  <si>
    <t>其他</t>
  </si>
  <si>
    <t>合计</t>
  </si>
  <si>
    <r>
      <rPr>
        <sz val="14"/>
        <color theme="1"/>
        <rFont val="宋体"/>
        <charset val="134"/>
      </rPr>
      <t>车位车库</t>
    </r>
    <r>
      <rPr>
        <sz val="14"/>
        <color theme="1"/>
        <rFont val="Times New Roman"/>
        <charset val="134"/>
      </rPr>
      <t> </t>
    </r>
  </si>
  <si>
    <t>新建房许字（2020）129号-库尔勒</t>
  </si>
  <si>
    <t>沁春锦苑2#楼</t>
  </si>
  <si>
    <t/>
  </si>
  <si>
    <t>2020-11-13</t>
  </si>
  <si>
    <t>新建房许字（2020）064号-库尔勒</t>
  </si>
  <si>
    <t>沁春锦苑17#楼</t>
  </si>
  <si>
    <t>2020-07-23</t>
  </si>
  <si>
    <t>新建房许字（2020）072号-库尔勒</t>
  </si>
  <si>
    <t>沁春锦苑5#楼</t>
  </si>
  <si>
    <t>新建房许字（2020）066号-库尔勒</t>
  </si>
  <si>
    <t>沁春锦苑11#楼</t>
  </si>
  <si>
    <t>新建房许字（2020）070号-库尔勒</t>
  </si>
  <si>
    <t>沁春锦苑7#楼</t>
  </si>
  <si>
    <t>新建房许字（2020）065号-库尔勒</t>
  </si>
  <si>
    <t>沁春锦苑16#楼</t>
  </si>
  <si>
    <t>新建房许字（2020）067号-库尔勒</t>
  </si>
  <si>
    <t>沁春锦苑10#楼</t>
  </si>
  <si>
    <t>新建房许字（2020）073号-库尔勒</t>
  </si>
  <si>
    <t>沁春锦苑4#楼</t>
  </si>
  <si>
    <t>新建房许字（2020）128号-库尔勒</t>
  </si>
  <si>
    <t>沁春锦苑3#楼</t>
  </si>
  <si>
    <t>新建房许字（2020）069号-库尔勒</t>
  </si>
  <si>
    <t>沁春锦苑8#楼</t>
  </si>
  <si>
    <t>新建房许字（2020）126号-库尔勒</t>
  </si>
  <si>
    <t>沁春锦苑36#楼</t>
  </si>
  <si>
    <t>新建房许字（2020）071号-库尔勒</t>
  </si>
  <si>
    <t>沁春锦苑6#楼</t>
  </si>
  <si>
    <t>新建房许字（2020）068号-库尔勒</t>
  </si>
  <si>
    <t>沁春锦苑9#楼</t>
  </si>
  <si>
    <t xml:space="preserve">现售备案信息 </t>
  </si>
  <si>
    <t>现售备案证书编号</t>
  </si>
  <si>
    <t>现售房屋建筑面积</t>
  </si>
  <si>
    <t>建设工程竣工验收信息</t>
  </si>
  <si>
    <t>竣工的建筑工程施工许可证编号</t>
  </si>
  <si>
    <t>验收日期</t>
  </si>
  <si>
    <t>*备案日期</t>
  </si>
  <si>
    <t>竣工工程造价</t>
  </si>
  <si>
    <t>竣工面积</t>
  </si>
  <si>
    <t>2022-03-15</t>
  </si>
  <si>
    <r>
      <rPr>
        <sz val="20"/>
        <rFont val="方正小标宋简体"/>
        <charset val="134"/>
      </rPr>
      <t>T20000</t>
    </r>
    <r>
      <rPr>
        <sz val="20"/>
        <rFont val="微软雅黑"/>
        <charset val="134"/>
      </rPr>
      <t>土地增值税税源明细表</t>
    </r>
  </si>
  <si>
    <t>税款所属期间：</t>
  </si>
  <si>
    <t xml:space="preserve">      2020年 7月 23日 至 2024年12月31日</t>
  </si>
  <si>
    <t>纳税人识别号(统一社会信用代码):</t>
  </si>
  <si>
    <t xml:space="preserve">纳税人名称: </t>
  </si>
  <si>
    <t>项目编码</t>
  </si>
  <si>
    <t>项目地址</t>
  </si>
  <si>
    <t>分配方法</t>
  </si>
  <si>
    <t>三分法</t>
  </si>
  <si>
    <t>项目总可售面积</t>
  </si>
  <si>
    <t>自用和出租面积</t>
  </si>
  <si>
    <t>已售面积</t>
  </si>
  <si>
    <t>其中:普通住宅已售面积</t>
  </si>
  <si>
    <t>其中:非普通住宅已售面积</t>
  </si>
  <si>
    <t>其中:其他类型房地产已售面积</t>
  </si>
  <si>
    <t>清算后剩余可售面积</t>
  </si>
  <si>
    <t>其中:普通住宅剩余可售面积</t>
  </si>
  <si>
    <t>其中:非普通住宅剩余可售面积</t>
  </si>
  <si>
    <t>其中:其他类型房地产剩余可售面积</t>
  </si>
  <si>
    <t>项目</t>
  </si>
  <si>
    <t>行次</t>
  </si>
  <si>
    <t>普通住宅</t>
  </si>
  <si>
    <t>非普通住宅</t>
  </si>
  <si>
    <t>其他类型房产</t>
  </si>
  <si>
    <t>总额</t>
  </si>
  <si>
    <t>一、转让房地产收入总额</t>
  </si>
  <si>
    <t>1=2+3+4</t>
  </si>
  <si>
    <t>1.货币收入</t>
  </si>
  <si>
    <t>2.实物收入及其他收入</t>
  </si>
  <si>
    <t>3.视同销售收入</t>
  </si>
  <si>
    <t>二、扣除项目金额合计</t>
  </si>
  <si>
    <t>5=6+7+14+17+21+22</t>
  </si>
  <si>
    <t>1.取得土地使用权所支付的金额</t>
  </si>
  <si>
    <t>其中：不可加计扣除金额</t>
  </si>
  <si>
    <t>6-1</t>
  </si>
  <si>
    <t>2.房地产开发成本</t>
  </si>
  <si>
    <t>7=8+9+10+11+12+13</t>
  </si>
  <si>
    <t>其中：土地征用及拆迁补偿费</t>
  </si>
  <si>
    <t xml:space="preserve">      前期工程费</t>
  </si>
  <si>
    <t xml:space="preserve">      建筑安装工程费</t>
  </si>
  <si>
    <t xml:space="preserve">      基础设施费</t>
  </si>
  <si>
    <t xml:space="preserve">      公共配套设施费</t>
  </si>
  <si>
    <t xml:space="preserve">      开发间接费用</t>
  </si>
  <si>
    <t>7-1</t>
  </si>
  <si>
    <t>3.房地产开发费用</t>
  </si>
  <si>
    <t>14=15+16</t>
  </si>
  <si>
    <t>其中：利息支出</t>
  </si>
  <si>
    <t xml:space="preserve">      其他房地产开发费用</t>
  </si>
  <si>
    <t>4.与转让房地产有关的税金等</t>
  </si>
  <si>
    <t>17=18+19+20</t>
  </si>
  <si>
    <t>其中：营业税</t>
  </si>
  <si>
    <t xml:space="preserve">      城市维护建设税</t>
  </si>
  <si>
    <t xml:space="preserve">      教育费附加</t>
  </si>
  <si>
    <t>5.财政部规定的其他扣除项目</t>
  </si>
  <si>
    <t>6.代收费用</t>
  </si>
  <si>
    <t>三、增值额</t>
  </si>
  <si>
    <t>23=1-5</t>
  </si>
  <si>
    <t>四、增值额与扣除项目金额之比（%）</t>
  </si>
  <si>
    <t>24=23÷5</t>
  </si>
  <si>
    <t>五、适用税率（%）</t>
  </si>
  <si>
    <t>六、速算扣除系数（%）</t>
  </si>
  <si>
    <t>七、应缴土地增值税税额</t>
  </si>
  <si>
    <t>27=23*25-5*26</t>
  </si>
  <si>
    <t>八、减免税额</t>
  </si>
  <si>
    <t>28=30+32+34</t>
  </si>
  <si>
    <t>其中：减免税（1）</t>
  </si>
  <si>
    <t>减免性质代码和项目名称(1)</t>
  </si>
  <si>
    <t>减免税额(1)</t>
  </si>
  <si>
    <t xml:space="preserve">      减免税（2）</t>
  </si>
  <si>
    <t>减免性质代码和项目名称(2)</t>
  </si>
  <si>
    <t>减免税额(2)</t>
  </si>
  <si>
    <t xml:space="preserve">      减免税（3）</t>
  </si>
  <si>
    <t>减免性质代码和项目名称(3)</t>
  </si>
  <si>
    <t>减免税额(3)</t>
  </si>
  <si>
    <t>九、已缴土地增值税税额</t>
  </si>
  <si>
    <t>十、应补（退）土地增值税税额</t>
  </si>
  <si>
    <t>36=27-28-35</t>
  </si>
  <si>
    <r>
      <rPr>
        <sz val="16"/>
        <rFont val="方正小标宋简体"/>
        <charset val="134"/>
      </rPr>
      <t>T21000</t>
    </r>
    <r>
      <rPr>
        <sz val="16"/>
        <rFont val="微软雅黑"/>
        <charset val="134"/>
      </rPr>
      <t>附表</t>
    </r>
    <r>
      <rPr>
        <sz val="16"/>
        <rFont val="方正小标宋简体"/>
        <charset val="134"/>
      </rPr>
      <t>1-</t>
    </r>
    <r>
      <rPr>
        <sz val="16"/>
        <rFont val="微软雅黑"/>
        <charset val="134"/>
      </rPr>
      <t>面积统计表</t>
    </r>
  </si>
  <si>
    <t xml:space="preserve">面积基本信息  </t>
  </si>
  <si>
    <t>房屋类型</t>
  </si>
  <si>
    <t>测绘总建筑面积</t>
  </si>
  <si>
    <t>不可销售建筑面积</t>
  </si>
  <si>
    <t>总可售建筑面积</t>
  </si>
  <si>
    <t>已售建筑面积</t>
  </si>
  <si>
    <t>剩余可售建筑面积</t>
  </si>
  <si>
    <t>自用建筑面积</t>
  </si>
  <si>
    <t>出租建筑面积</t>
  </si>
  <si>
    <t>说明</t>
  </si>
  <si>
    <t>1=2+3</t>
  </si>
  <si>
    <t>5=3-4
5≥6+7</t>
  </si>
  <si>
    <t>面积比例信息</t>
  </si>
  <si>
    <t>可售面积</t>
  </si>
  <si>
    <t>销售比例</t>
  </si>
  <si>
    <t>自用比例</t>
  </si>
  <si>
    <t>出租比例</t>
  </si>
  <si>
    <t>销售、出租、自用比例</t>
  </si>
  <si>
    <t>11=10÷9</t>
  </si>
  <si>
    <t>14</t>
  </si>
  <si>
    <t>15</t>
  </si>
  <si>
    <r>
      <rPr>
        <sz val="16"/>
        <color indexed="8"/>
        <rFont val="方正小标宋简体"/>
        <charset val="134"/>
      </rPr>
      <t>T22000</t>
    </r>
    <r>
      <rPr>
        <sz val="16"/>
        <color rgb="FF000000"/>
        <rFont val="微软雅黑"/>
        <charset val="134"/>
      </rPr>
      <t>附表</t>
    </r>
    <r>
      <rPr>
        <sz val="16"/>
        <color indexed="8"/>
        <rFont val="方正小标宋简体"/>
        <charset val="134"/>
      </rPr>
      <t>2-</t>
    </r>
    <r>
      <rPr>
        <sz val="16"/>
        <color rgb="FF000000"/>
        <rFont val="微软雅黑"/>
        <charset val="134"/>
      </rPr>
      <t>收入统计表</t>
    </r>
  </si>
  <si>
    <t>清算类别</t>
  </si>
  <si>
    <t>货币收入</t>
  </si>
  <si>
    <t>实物收入及其他收入</t>
  </si>
  <si>
    <t>视同销售收入</t>
  </si>
  <si>
    <t>小计</t>
  </si>
  <si>
    <t>4=1+2+3</t>
  </si>
  <si>
    <r>
      <rPr>
        <sz val="16"/>
        <color rgb="FF000000"/>
        <rFont val="方正小标宋简体"/>
        <charset val="134"/>
      </rPr>
      <t>T23000</t>
    </r>
    <r>
      <rPr>
        <sz val="16"/>
        <color rgb="FF000000"/>
        <rFont val="微软雅黑"/>
        <charset val="134"/>
      </rPr>
      <t>附表</t>
    </r>
    <r>
      <rPr>
        <sz val="16"/>
        <color rgb="FF000000"/>
        <rFont val="方正小标宋简体"/>
        <charset val="134"/>
      </rPr>
      <t>3-</t>
    </r>
    <r>
      <rPr>
        <sz val="16"/>
        <color rgb="FF000000"/>
        <rFont val="微软雅黑"/>
        <charset val="134"/>
      </rPr>
      <t>扣除项目分摊表</t>
    </r>
  </si>
  <si>
    <t>科目名称</t>
  </si>
  <si>
    <t>总扣除金额</t>
  </si>
  <si>
    <t>本次扣除比例</t>
  </si>
  <si>
    <t>本次扣除金额</t>
  </si>
  <si>
    <t>分摊方法</t>
  </si>
  <si>
    <t>9=1*6</t>
  </si>
  <si>
    <t>10=2*7</t>
  </si>
  <si>
    <t>11=3*8</t>
  </si>
  <si>
    <t>12=9+10+11</t>
  </si>
  <si>
    <t>扣除项目金额合计</t>
  </si>
  <si>
    <t>1=2+4+12+15+21+22</t>
  </si>
  <si>
    <t>可售建筑面积法</t>
  </si>
  <si>
    <t>4=5+6+7+8+9+10</t>
  </si>
  <si>
    <t>12=13+14</t>
  </si>
  <si>
    <t>与加计扣除一致</t>
  </si>
  <si>
    <t>15=16+17+18+19+20</t>
  </si>
  <si>
    <t>16</t>
  </si>
  <si>
    <t>17</t>
  </si>
  <si>
    <t>18</t>
  </si>
  <si>
    <t xml:space="preserve">      地方教育附加</t>
  </si>
  <si>
    <t>19</t>
  </si>
  <si>
    <t xml:space="preserve">      其他税（费）</t>
  </si>
  <si>
    <t>20</t>
  </si>
  <si>
    <t>21=[(2-3)+(4-11)]*20%</t>
  </si>
  <si>
    <t>22</t>
  </si>
  <si>
    <t>附表4-项目间分摊信息采集表</t>
  </si>
  <si>
    <t>*是否已办理项目报告</t>
  </si>
  <si>
    <t>开发土地总面积</t>
  </si>
  <si>
    <t>其他分摊方法数额</t>
  </si>
  <si>
    <t>备注</t>
  </si>
  <si>
    <t>本次清算项目</t>
  </si>
  <si>
    <t>沁春锦苑19#、20#、23#、24#楼</t>
  </si>
  <si>
    <t>否</t>
  </si>
  <si>
    <t>沁春锦苑三期</t>
  </si>
  <si>
    <r>
      <rPr>
        <sz val="14"/>
        <rFont val="方正小标宋简体"/>
        <charset val="134"/>
      </rPr>
      <t>T23200</t>
    </r>
    <r>
      <rPr>
        <sz val="14"/>
        <rFont val="微软雅黑"/>
        <charset val="134"/>
      </rPr>
      <t>附表</t>
    </r>
    <r>
      <rPr>
        <sz val="14"/>
        <rFont val="方正小标宋简体"/>
        <charset val="134"/>
      </rPr>
      <t>5-</t>
    </r>
    <r>
      <rPr>
        <sz val="14"/>
        <rFont val="微软雅黑"/>
        <charset val="134"/>
      </rPr>
      <t>扣除项目统计表</t>
    </r>
  </si>
  <si>
    <t>直接归集成本费用</t>
  </si>
  <si>
    <t>共同成本费用</t>
  </si>
  <si>
    <t>8=5+6+7</t>
  </si>
  <si>
    <t>9=4+8</t>
  </si>
  <si>
    <t>其中</t>
  </si>
  <si>
    <t>房地产开发成本</t>
  </si>
  <si>
    <t>计算扣除</t>
  </si>
  <si>
    <t>其它房地产开发费用</t>
  </si>
  <si>
    <t>与转让房地产有关的税金</t>
  </si>
  <si>
    <t>营业税</t>
  </si>
  <si>
    <t>城市维护建设税</t>
  </si>
  <si>
    <t>教育费附加</t>
  </si>
  <si>
    <t>地方教育费附加</t>
  </si>
  <si>
    <t>其他税（费）</t>
  </si>
  <si>
    <t>财政部规定的其他扣除项目</t>
  </si>
  <si>
    <t>代收费用</t>
  </si>
  <si>
    <r>
      <rPr>
        <sz val="16"/>
        <color rgb="FF000000"/>
        <rFont val="方正小标宋简体"/>
        <charset val="134"/>
      </rPr>
      <t>T22100</t>
    </r>
    <r>
      <rPr>
        <sz val="16"/>
        <color rgb="FF000000"/>
        <rFont val="微软雅黑"/>
        <charset val="134"/>
      </rPr>
      <t>附表</t>
    </r>
    <r>
      <rPr>
        <sz val="16"/>
        <color rgb="FF000000"/>
        <rFont val="方正小标宋简体"/>
        <charset val="134"/>
      </rPr>
      <t>6-</t>
    </r>
    <r>
      <rPr>
        <sz val="16"/>
        <color rgb="FF000000"/>
        <rFont val="微软雅黑"/>
        <charset val="134"/>
      </rPr>
      <t>收入明细采集底稿</t>
    </r>
  </si>
  <si>
    <t>幢号</t>
  </si>
  <si>
    <t>单元号</t>
  </si>
  <si>
    <t>*楼层</t>
  </si>
  <si>
    <t>*房号</t>
  </si>
  <si>
    <t>*房屋类型</t>
  </si>
  <si>
    <t>*房屋状态</t>
  </si>
  <si>
    <t>*收入类型</t>
  </si>
  <si>
    <t>（网签）合同编号</t>
  </si>
  <si>
    <t>*合同签订时间</t>
  </si>
  <si>
    <t>合同金额</t>
  </si>
  <si>
    <t>购房人姓名</t>
  </si>
  <si>
    <t>合同建筑面积（㎡）</t>
  </si>
  <si>
    <t>合同套内面积（㎡）</t>
  </si>
  <si>
    <t>*实测建筑面积（㎡）</t>
  </si>
  <si>
    <t>实测套内面积（㎡）</t>
  </si>
  <si>
    <t>朝向</t>
  </si>
  <si>
    <t>发票代码</t>
  </si>
  <si>
    <t>发票号码</t>
  </si>
  <si>
    <t>发票金额</t>
  </si>
  <si>
    <t>发票税额</t>
  </si>
  <si>
    <t>发票价税合计</t>
  </si>
  <si>
    <t>*土地增值税应税收入</t>
  </si>
  <si>
    <t>土地增值税应税单价</t>
  </si>
  <si>
    <t>情况说明</t>
  </si>
  <si>
    <t>总计</t>
  </si>
  <si>
    <t>*</t>
  </si>
  <si>
    <t>筛选小计</t>
  </si>
  <si>
    <t>列次</t>
  </si>
  <si>
    <t>13≥14</t>
  </si>
  <si>
    <t>15≥16</t>
  </si>
  <si>
    <t>21</t>
  </si>
  <si>
    <t>22=20+21</t>
  </si>
  <si>
    <t>23</t>
  </si>
  <si>
    <t>24=23÷15</t>
  </si>
  <si>
    <t>25</t>
  </si>
  <si>
    <t>266</t>
  </si>
  <si>
    <t>101</t>
  </si>
  <si>
    <t>已售</t>
  </si>
  <si>
    <t>2021-10-27</t>
  </si>
  <si>
    <t>唐文华、孙正强</t>
  </si>
  <si>
    <t>065002100105</t>
  </si>
  <si>
    <t>01913657</t>
  </si>
  <si>
    <t>267</t>
  </si>
  <si>
    <t>102</t>
  </si>
  <si>
    <t>2022-02-21</t>
  </si>
  <si>
    <t>蒋小军、魏福碧</t>
  </si>
  <si>
    <t>01928577</t>
  </si>
  <si>
    <t>282</t>
  </si>
  <si>
    <t>201</t>
  </si>
  <si>
    <t>2020-10-05</t>
  </si>
  <si>
    <t>焦慧馨</t>
  </si>
  <si>
    <t>01496821</t>
  </si>
  <si>
    <t>283</t>
  </si>
  <si>
    <t>202</t>
  </si>
  <si>
    <t>2020-09-12</t>
  </si>
  <si>
    <t>王金山、辛小琴</t>
  </si>
  <si>
    <t>01928512</t>
  </si>
  <si>
    <t>284</t>
  </si>
  <si>
    <t>301</t>
  </si>
  <si>
    <t>2021-01-22</t>
  </si>
  <si>
    <t>任香君、汪涛</t>
  </si>
  <si>
    <t>01928633</t>
  </si>
  <si>
    <t>285</t>
  </si>
  <si>
    <t>302</t>
  </si>
  <si>
    <t>2021-01-29</t>
  </si>
  <si>
    <t>耿攀银、赵美玲</t>
  </si>
  <si>
    <t>01496834</t>
  </si>
  <si>
    <t>286</t>
  </si>
  <si>
    <t>401</t>
  </si>
  <si>
    <t>2020-10-04</t>
  </si>
  <si>
    <t>刘秀秀</t>
  </si>
  <si>
    <t>01928572</t>
  </si>
  <si>
    <t>287</t>
  </si>
  <si>
    <t>402</t>
  </si>
  <si>
    <t>2021-01-18</t>
  </si>
  <si>
    <t>贾殿锐</t>
  </si>
  <si>
    <t>01496835</t>
  </si>
  <si>
    <t>288</t>
  </si>
  <si>
    <t>501</t>
  </si>
  <si>
    <t>2020-10-15</t>
  </si>
  <si>
    <t>罗通</t>
  </si>
  <si>
    <t>01928524</t>
  </si>
  <si>
    <t>289</t>
  </si>
  <si>
    <t>502</t>
  </si>
  <si>
    <t>2020-09-08</t>
  </si>
  <si>
    <t>邢为春、汪红</t>
  </si>
  <si>
    <t>01496794</t>
  </si>
  <si>
    <t>290</t>
  </si>
  <si>
    <t>601</t>
  </si>
  <si>
    <t>郭小铠</t>
  </si>
  <si>
    <t>01496833</t>
  </si>
  <si>
    <t>291</t>
  </si>
  <si>
    <t>602</t>
  </si>
  <si>
    <t>黄国洋</t>
  </si>
  <si>
    <t>01496832</t>
  </si>
  <si>
    <t>292</t>
  </si>
  <si>
    <t>701（上下层）</t>
  </si>
  <si>
    <t>杨涛</t>
  </si>
  <si>
    <t>01928569</t>
  </si>
  <si>
    <t>293</t>
  </si>
  <si>
    <t>702（上下层）</t>
  </si>
  <si>
    <t>2020-09-21</t>
  </si>
  <si>
    <t>马继茹、李祖兵</t>
  </si>
  <si>
    <t>01496831</t>
  </si>
  <si>
    <t>294</t>
  </si>
  <si>
    <t>2021-08-12</t>
  </si>
  <si>
    <t>道不冬、娜琴</t>
  </si>
  <si>
    <t>01928567</t>
  </si>
  <si>
    <t>295</t>
  </si>
  <si>
    <t>2021-11-04</t>
  </si>
  <si>
    <t>唐毅</t>
  </si>
  <si>
    <t>01913681</t>
  </si>
  <si>
    <t>310</t>
  </si>
  <si>
    <t>2020-09-13</t>
  </si>
  <si>
    <t>李四龙、李嘉琦</t>
  </si>
  <si>
    <t>01928539</t>
  </si>
  <si>
    <t>311</t>
  </si>
  <si>
    <t>2021-02-22</t>
  </si>
  <si>
    <t>余晓川</t>
  </si>
  <si>
    <t>01496792</t>
  </si>
  <si>
    <t>312</t>
  </si>
  <si>
    <t>2020-12-24</t>
  </si>
  <si>
    <t>秦乐</t>
  </si>
  <si>
    <t>01496830</t>
  </si>
  <si>
    <t>313</t>
  </si>
  <si>
    <t>王涛</t>
  </si>
  <si>
    <t>01496953</t>
  </si>
  <si>
    <t>314</t>
  </si>
  <si>
    <t>2020-09-14</t>
  </si>
  <si>
    <t>林明娟</t>
  </si>
  <si>
    <t>01496829</t>
  </si>
  <si>
    <t>315</t>
  </si>
  <si>
    <t>2020-12-07</t>
  </si>
  <si>
    <t>陈海燕、张永新</t>
  </si>
  <si>
    <t>01913744</t>
  </si>
  <si>
    <t>316</t>
  </si>
  <si>
    <t>2020-10-07</t>
  </si>
  <si>
    <t>朱浩然</t>
  </si>
  <si>
    <t>01496828</t>
  </si>
  <si>
    <t>317</t>
  </si>
  <si>
    <t>2020-09-11</t>
  </si>
  <si>
    <t>冯江民、刘万春</t>
  </si>
  <si>
    <t>01496827</t>
  </si>
  <si>
    <t>318</t>
  </si>
  <si>
    <t>马阳山</t>
  </si>
  <si>
    <t>01496823</t>
  </si>
  <si>
    <t>319</t>
  </si>
  <si>
    <t>2020-09-07</t>
  </si>
  <si>
    <t>张磊磊</t>
  </si>
  <si>
    <t>01496806</t>
  </si>
  <si>
    <t>320</t>
  </si>
  <si>
    <t>2021-01-03</t>
  </si>
  <si>
    <t>杨斌、权莉娟</t>
  </si>
  <si>
    <t>01928575</t>
  </si>
  <si>
    <t>321</t>
  </si>
  <si>
    <t>2021-01-20</t>
  </si>
  <si>
    <t>张春英、李良</t>
  </si>
  <si>
    <t>01496822</t>
  </si>
  <si>
    <t>566</t>
  </si>
  <si>
    <t>-1</t>
  </si>
  <si>
    <t>-101</t>
  </si>
  <si>
    <t>其他营业性房产</t>
  </si>
  <si>
    <t>未售</t>
  </si>
  <si>
    <t>171</t>
  </si>
  <si>
    <t>-102</t>
  </si>
  <si>
    <t>243</t>
  </si>
  <si>
    <t>-103</t>
  </si>
  <si>
    <t>495</t>
  </si>
  <si>
    <t>-104</t>
  </si>
  <si>
    <t>278</t>
  </si>
  <si>
    <t>-105</t>
  </si>
  <si>
    <t>212</t>
  </si>
  <si>
    <t>-106</t>
  </si>
  <si>
    <t>596</t>
  </si>
  <si>
    <t>-107</t>
  </si>
  <si>
    <t>297</t>
  </si>
  <si>
    <t>-108</t>
  </si>
  <si>
    <t>-109</t>
  </si>
  <si>
    <t>536</t>
  </si>
  <si>
    <t>-110</t>
  </si>
  <si>
    <t>43</t>
  </si>
  <si>
    <t>-111</t>
  </si>
  <si>
    <t>256</t>
  </si>
  <si>
    <t>-112</t>
  </si>
  <si>
    <t>97</t>
  </si>
  <si>
    <t>-113</t>
  </si>
  <si>
    <t>550</t>
  </si>
  <si>
    <t>-114</t>
  </si>
  <si>
    <t>296</t>
  </si>
  <si>
    <t>-201</t>
  </si>
  <si>
    <t>-202</t>
  </si>
  <si>
    <t>298</t>
  </si>
  <si>
    <t>-203</t>
  </si>
  <si>
    <t>299</t>
  </si>
  <si>
    <t>-204</t>
  </si>
  <si>
    <t>300</t>
  </si>
  <si>
    <t>-205</t>
  </si>
  <si>
    <t>-206</t>
  </si>
  <si>
    <t>-207</t>
  </si>
  <si>
    <t>303</t>
  </si>
  <si>
    <t>-208</t>
  </si>
  <si>
    <t>304</t>
  </si>
  <si>
    <t>-209</t>
  </si>
  <si>
    <t>305</t>
  </si>
  <si>
    <t>-210</t>
  </si>
  <si>
    <t>306</t>
  </si>
  <si>
    <t>-211</t>
  </si>
  <si>
    <t>307</t>
  </si>
  <si>
    <t>-212</t>
  </si>
  <si>
    <t>308</t>
  </si>
  <si>
    <t>-213</t>
  </si>
  <si>
    <t>309</t>
  </si>
  <si>
    <t>-214</t>
  </si>
  <si>
    <t>322</t>
  </si>
  <si>
    <t>2021-09-11</t>
  </si>
  <si>
    <t>陈晓荣</t>
  </si>
  <si>
    <t>01913615</t>
  </si>
  <si>
    <t>323</t>
  </si>
  <si>
    <t>2023-02-06</t>
  </si>
  <si>
    <t>安登明</t>
  </si>
  <si>
    <t>01500552</t>
  </si>
  <si>
    <t>338</t>
  </si>
  <si>
    <t>雷捷</t>
  </si>
  <si>
    <t>01496836</t>
  </si>
  <si>
    <t>339</t>
  </si>
  <si>
    <t>贺天宇</t>
  </si>
  <si>
    <t>01928495</t>
  </si>
  <si>
    <t>340</t>
  </si>
  <si>
    <t>2020-09-19</t>
  </si>
  <si>
    <t>牛永东</t>
  </si>
  <si>
    <t>01496841</t>
  </si>
  <si>
    <t>341</t>
  </si>
  <si>
    <t>刘华兵</t>
  </si>
  <si>
    <t>01496842</t>
  </si>
  <si>
    <t>342</t>
  </si>
  <si>
    <t>2020-10-21</t>
  </si>
  <si>
    <t>王国栋</t>
  </si>
  <si>
    <t>01928526</t>
  </si>
  <si>
    <t>343</t>
  </si>
  <si>
    <t>2020-09-16</t>
  </si>
  <si>
    <t>曾雯娟、况新英</t>
  </si>
  <si>
    <t>01496954</t>
  </si>
  <si>
    <t>344</t>
  </si>
  <si>
    <t>2020-11-25</t>
  </si>
  <si>
    <t>张秀环、申子龙</t>
  </si>
  <si>
    <t>01928504</t>
  </si>
  <si>
    <t>345</t>
  </si>
  <si>
    <t>徐红、郭频</t>
  </si>
  <si>
    <t>01496840</t>
  </si>
  <si>
    <t>346</t>
  </si>
  <si>
    <t>徐爱玲、吴富堂</t>
  </si>
  <si>
    <t>01928507</t>
  </si>
  <si>
    <t>347</t>
  </si>
  <si>
    <t>2020-10-16</t>
  </si>
  <si>
    <t>徐素玲、李凤翔</t>
  </si>
  <si>
    <t>01496839</t>
  </si>
  <si>
    <t>348</t>
  </si>
  <si>
    <t>2021-01-28</t>
  </si>
  <si>
    <t>李丽娜、宋路</t>
  </si>
  <si>
    <t>01496837</t>
  </si>
  <si>
    <t>349</t>
  </si>
  <si>
    <t>2021-07-16</t>
  </si>
  <si>
    <t>毕晓华、李海涛</t>
  </si>
  <si>
    <t>09204287</t>
  </si>
  <si>
    <t>350</t>
  </si>
  <si>
    <t>2021-08-30</t>
  </si>
  <si>
    <t>肖冬清、吴小静</t>
  </si>
  <si>
    <t>01496846</t>
  </si>
  <si>
    <t>351</t>
  </si>
  <si>
    <t>2021-10-17</t>
  </si>
  <si>
    <t>常付伟</t>
  </si>
  <si>
    <t>09204252</t>
  </si>
  <si>
    <t>366</t>
  </si>
  <si>
    <t>2021-05-20</t>
  </si>
  <si>
    <t>陈洋</t>
  </si>
  <si>
    <t>01928603</t>
  </si>
  <si>
    <t>367</t>
  </si>
  <si>
    <t>2020-09-10</t>
  </si>
  <si>
    <t>朗树龙</t>
  </si>
  <si>
    <t>01928593</t>
  </si>
  <si>
    <t>368</t>
  </si>
  <si>
    <t>2021-01-08</t>
  </si>
  <si>
    <t>王洪、陈海荣</t>
  </si>
  <si>
    <t>01913745</t>
  </si>
  <si>
    <t>369</t>
  </si>
  <si>
    <t>2020-09-15</t>
  </si>
  <si>
    <t>王国宾、侯小红</t>
  </si>
  <si>
    <t>01496845</t>
  </si>
  <si>
    <t>370</t>
  </si>
  <si>
    <t>陈涛</t>
  </si>
  <si>
    <t>01496844</t>
  </si>
  <si>
    <t>371</t>
  </si>
  <si>
    <t>刘佳伟、胡智敏</t>
  </si>
  <si>
    <t>01496843</t>
  </si>
  <si>
    <t>372</t>
  </si>
  <si>
    <t>郑学良</t>
  </si>
  <si>
    <t>01928530</t>
  </si>
  <si>
    <t>373</t>
  </si>
  <si>
    <t>申傲霜</t>
  </si>
  <si>
    <t>01928506</t>
  </si>
  <si>
    <t>374</t>
  </si>
  <si>
    <t>2020-12-05</t>
  </si>
  <si>
    <t>张永毅、徐一冰</t>
  </si>
  <si>
    <t>01928605</t>
  </si>
  <si>
    <t>375</t>
  </si>
  <si>
    <t>2020-11-19</t>
  </si>
  <si>
    <t>柯澳杰、赵秀莲</t>
  </si>
  <si>
    <t>01928627</t>
  </si>
  <si>
    <t>376</t>
  </si>
  <si>
    <t>2021-03-01</t>
  </si>
  <si>
    <t>栗汝峰、朱玲</t>
  </si>
  <si>
    <t>01928523</t>
  </si>
  <si>
    <t>377</t>
  </si>
  <si>
    <t>2021-01-10</t>
  </si>
  <si>
    <t>李小宁</t>
  </si>
  <si>
    <t>01928583</t>
  </si>
  <si>
    <t>500</t>
  </si>
  <si>
    <t>241</t>
  </si>
  <si>
    <t>464</t>
  </si>
  <si>
    <t>34</t>
  </si>
  <si>
    <t>324</t>
  </si>
  <si>
    <t>150</t>
  </si>
  <si>
    <t>472</t>
  </si>
  <si>
    <t>248</t>
  </si>
  <si>
    <t>556</t>
  </si>
  <si>
    <t>188</t>
  </si>
  <si>
    <t>194</t>
  </si>
  <si>
    <t>37</t>
  </si>
  <si>
    <t>352</t>
  </si>
  <si>
    <t>353</t>
  </si>
  <si>
    <t>354</t>
  </si>
  <si>
    <t>355</t>
  </si>
  <si>
    <t>356</t>
  </si>
  <si>
    <t>357</t>
  </si>
  <si>
    <t>358</t>
  </si>
  <si>
    <t>359</t>
  </si>
  <si>
    <t>360</t>
  </si>
  <si>
    <t>361</t>
  </si>
  <si>
    <t>362</t>
  </si>
  <si>
    <t>363</t>
  </si>
  <si>
    <t>364</t>
  </si>
  <si>
    <t>365</t>
  </si>
  <si>
    <t>378</t>
  </si>
  <si>
    <t>2022-07-22</t>
  </si>
  <si>
    <t>刘顺顺</t>
  </si>
  <si>
    <t>01500513</t>
  </si>
  <si>
    <t>379</t>
  </si>
  <si>
    <t>2023-02-21</t>
  </si>
  <si>
    <t>黄亚娥</t>
  </si>
  <si>
    <t>01500567</t>
  </si>
  <si>
    <t>394</t>
  </si>
  <si>
    <t>2020-10-06</t>
  </si>
  <si>
    <t>王新萍</t>
  </si>
  <si>
    <t>01496945</t>
  </si>
  <si>
    <t>395</t>
  </si>
  <si>
    <t>霍爱华、吴世友</t>
  </si>
  <si>
    <t>01496793</t>
  </si>
  <si>
    <t>396</t>
  </si>
  <si>
    <t>张珂舟、肖英莲</t>
  </si>
  <si>
    <t>01928576</t>
  </si>
  <si>
    <t>397</t>
  </si>
  <si>
    <t>2020-09-18</t>
  </si>
  <si>
    <t>张勇慧</t>
  </si>
  <si>
    <t>01928488</t>
  </si>
  <si>
    <t>398</t>
  </si>
  <si>
    <t>2020-09-26</t>
  </si>
  <si>
    <t>和柱</t>
  </si>
  <si>
    <t>01496847</t>
  </si>
  <si>
    <t>399</t>
  </si>
  <si>
    <t>任强</t>
  </si>
  <si>
    <t>01928517</t>
  </si>
  <si>
    <t>400</t>
  </si>
  <si>
    <t>霍庆军、曹彩霞</t>
  </si>
  <si>
    <t>01496854</t>
  </si>
  <si>
    <t>贾江云</t>
  </si>
  <si>
    <t>01496946</t>
  </si>
  <si>
    <t>2020-10-24</t>
  </si>
  <si>
    <t>牛李娜、曹松山</t>
  </si>
  <si>
    <t>01496855</t>
  </si>
  <si>
    <t>403</t>
  </si>
  <si>
    <t>2020-09-25</t>
  </si>
  <si>
    <t>杨渤</t>
  </si>
  <si>
    <t>01496891</t>
  </si>
  <si>
    <t>404</t>
  </si>
  <si>
    <t>莫兵、郭云霞</t>
  </si>
  <si>
    <t>01928570</t>
  </si>
  <si>
    <t>405</t>
  </si>
  <si>
    <t>唐发军、叶静</t>
  </si>
  <si>
    <t>01928490</t>
  </si>
  <si>
    <t>406</t>
  </si>
  <si>
    <t>2022-06-14</t>
  </si>
  <si>
    <t>黄淑娟</t>
  </si>
  <si>
    <t>01496896</t>
  </si>
  <si>
    <t>407</t>
  </si>
  <si>
    <t>2021-06-16</t>
  </si>
  <si>
    <t>师斌、王园园</t>
  </si>
  <si>
    <t>01496947</t>
  </si>
  <si>
    <t>422</t>
  </si>
  <si>
    <t>周小琴</t>
  </si>
  <si>
    <t>01496848</t>
  </si>
  <si>
    <t>423</t>
  </si>
  <si>
    <t>李志会、陈素华</t>
  </si>
  <si>
    <t>01496856</t>
  </si>
  <si>
    <t>424</t>
  </si>
  <si>
    <t>2020-10-27</t>
  </si>
  <si>
    <t>史彬杰</t>
  </si>
  <si>
    <t>01496849</t>
  </si>
  <si>
    <t>425</t>
  </si>
  <si>
    <t>陈刚</t>
  </si>
  <si>
    <t>01928574</t>
  </si>
  <si>
    <t>426</t>
  </si>
  <si>
    <t>王辉</t>
  </si>
  <si>
    <t>01928491</t>
  </si>
  <si>
    <t>427</t>
  </si>
  <si>
    <t>齐兵</t>
  </si>
  <si>
    <t>01928497</t>
  </si>
  <si>
    <t>428</t>
  </si>
  <si>
    <t>王尧</t>
  </si>
  <si>
    <t>01496850</t>
  </si>
  <si>
    <t>429</t>
  </si>
  <si>
    <t>2020-09-28</t>
  </si>
  <si>
    <t>梁云</t>
  </si>
  <si>
    <t>01496857</t>
  </si>
  <si>
    <t>430</t>
  </si>
  <si>
    <t>夏薪博</t>
  </si>
  <si>
    <t>01496851</t>
  </si>
  <si>
    <t>431</t>
  </si>
  <si>
    <t>周晓红</t>
  </si>
  <si>
    <t>01928562</t>
  </si>
  <si>
    <t>432</t>
  </si>
  <si>
    <t>2020-11-06</t>
  </si>
  <si>
    <t>颉美晨、郭瑶</t>
  </si>
  <si>
    <t>01496852</t>
  </si>
  <si>
    <t>433</t>
  </si>
  <si>
    <t>2020-11-28</t>
  </si>
  <si>
    <t>张征、高淑琴</t>
  </si>
  <si>
    <t>01928582</t>
  </si>
  <si>
    <t>534</t>
  </si>
  <si>
    <t>262</t>
  </si>
  <si>
    <t>51</t>
  </si>
  <si>
    <t>219</t>
  </si>
  <si>
    <t>147</t>
  </si>
  <si>
    <t>218</t>
  </si>
  <si>
    <t>206</t>
  </si>
  <si>
    <t>233</t>
  </si>
  <si>
    <t>99</t>
  </si>
  <si>
    <t>332</t>
  </si>
  <si>
    <t>174</t>
  </si>
  <si>
    <t>110</t>
  </si>
  <si>
    <t>408</t>
  </si>
  <si>
    <t>409</t>
  </si>
  <si>
    <t>410</t>
  </si>
  <si>
    <t>411</t>
  </si>
  <si>
    <t>412</t>
  </si>
  <si>
    <t>413</t>
  </si>
  <si>
    <t>414</t>
  </si>
  <si>
    <t>415</t>
  </si>
  <si>
    <t>416</t>
  </si>
  <si>
    <t>417</t>
  </si>
  <si>
    <t>418</t>
  </si>
  <si>
    <t>419</t>
  </si>
  <si>
    <t>420</t>
  </si>
  <si>
    <t>421</t>
  </si>
  <si>
    <t>434</t>
  </si>
  <si>
    <t>2022-06-05</t>
  </si>
  <si>
    <t>帅剑峰、谢知珈</t>
  </si>
  <si>
    <t>01496812</t>
  </si>
  <si>
    <t>435</t>
  </si>
  <si>
    <t>2021-09-23</t>
  </si>
  <si>
    <t>司呈杰、朱珊珊</t>
  </si>
  <si>
    <t>09204236</t>
  </si>
  <si>
    <t>450</t>
  </si>
  <si>
    <t>2020-10-11</t>
  </si>
  <si>
    <t>廖振涛、钟燕</t>
  </si>
  <si>
    <t>01496859</t>
  </si>
  <si>
    <t>451</t>
  </si>
  <si>
    <t>2021-03-16</t>
  </si>
  <si>
    <t>窦月</t>
  </si>
  <si>
    <t>01496861</t>
  </si>
  <si>
    <t>452</t>
  </si>
  <si>
    <t>2020-09-06</t>
  </si>
  <si>
    <t>杜文业</t>
  </si>
  <si>
    <t>01496815</t>
  </si>
  <si>
    <t>453</t>
  </si>
  <si>
    <t>2020-10-10</t>
  </si>
  <si>
    <t>张宇、杨林</t>
  </si>
  <si>
    <t>01496807</t>
  </si>
  <si>
    <t>454</t>
  </si>
  <si>
    <t>2020-11-10</t>
  </si>
  <si>
    <t>陈浩浩、李静文</t>
  </si>
  <si>
    <t>01496860</t>
  </si>
  <si>
    <t>455</t>
  </si>
  <si>
    <t>2021-05-27</t>
  </si>
  <si>
    <t>李伟</t>
  </si>
  <si>
    <t>01496797</t>
  </si>
  <si>
    <t>456</t>
  </si>
  <si>
    <t>赵洪雁、刘娟</t>
  </si>
  <si>
    <t>01928509</t>
  </si>
  <si>
    <t>457</t>
  </si>
  <si>
    <t>潘建伟</t>
  </si>
  <si>
    <t>01496798</t>
  </si>
  <si>
    <t>458</t>
  </si>
  <si>
    <t>2021-01-05</t>
  </si>
  <si>
    <t>葛凯龙</t>
  </si>
  <si>
    <t>01496858</t>
  </si>
  <si>
    <t>459</t>
  </si>
  <si>
    <t>2021-01-07</t>
  </si>
  <si>
    <t>黄建莉</t>
  </si>
  <si>
    <t>01496862</t>
  </si>
  <si>
    <t>460</t>
  </si>
  <si>
    <t>2021-04-13</t>
  </si>
  <si>
    <t>谢嗣芳、冯正义</t>
  </si>
  <si>
    <t>01928616</t>
  </si>
  <si>
    <t>461</t>
  </si>
  <si>
    <t>王凯、苑兵</t>
  </si>
  <si>
    <t>01496869</t>
  </si>
  <si>
    <t>462</t>
  </si>
  <si>
    <t>2021-06-15</t>
  </si>
  <si>
    <t>王新源、李荣</t>
  </si>
  <si>
    <t>01496868</t>
  </si>
  <si>
    <t>463</t>
  </si>
  <si>
    <t>2022-05-26</t>
  </si>
  <si>
    <t>杨雪萍</t>
  </si>
  <si>
    <t>01496817</t>
  </si>
  <si>
    <t>478</t>
  </si>
  <si>
    <t>2020-12-18</t>
  </si>
  <si>
    <t>马玉功</t>
  </si>
  <si>
    <t>01928632</t>
  </si>
  <si>
    <t>479</t>
  </si>
  <si>
    <t>李永振</t>
  </si>
  <si>
    <t>01496936</t>
  </si>
  <si>
    <t>480</t>
  </si>
  <si>
    <t>2020-09-17</t>
  </si>
  <si>
    <t>杨晓辉</t>
  </si>
  <si>
    <t>01496863</t>
  </si>
  <si>
    <t>481</t>
  </si>
  <si>
    <t>2020-10-22</t>
  </si>
  <si>
    <t>郭意恒</t>
  </si>
  <si>
    <t>01496866</t>
  </si>
  <si>
    <t>482</t>
  </si>
  <si>
    <t>藏天新、于秀珍</t>
  </si>
  <si>
    <t>01928591</t>
  </si>
  <si>
    <t>483</t>
  </si>
  <si>
    <t>2020-10-09</t>
  </si>
  <si>
    <t>吕云晨、李鹏</t>
  </si>
  <si>
    <t>01496867</t>
  </si>
  <si>
    <t>484</t>
  </si>
  <si>
    <t>潘国剑</t>
  </si>
  <si>
    <t>01928594</t>
  </si>
  <si>
    <t>485</t>
  </si>
  <si>
    <t>2020-09-20</t>
  </si>
  <si>
    <t>韩晓滢</t>
  </si>
  <si>
    <t>01928503</t>
  </si>
  <si>
    <t>486</t>
  </si>
  <si>
    <t>2020-10-18</t>
  </si>
  <si>
    <t>段永红、江姣娥</t>
  </si>
  <si>
    <t>01496864</t>
  </si>
  <si>
    <t>487</t>
  </si>
  <si>
    <t>2020-09-27</t>
  </si>
  <si>
    <t>张孟飞</t>
  </si>
  <si>
    <t>01928630</t>
  </si>
  <si>
    <t>488</t>
  </si>
  <si>
    <t>王胜、齐亚文</t>
  </si>
  <si>
    <t>01928520</t>
  </si>
  <si>
    <t>489</t>
  </si>
  <si>
    <t>2020-09-24</t>
  </si>
  <si>
    <t>张雪</t>
  </si>
  <si>
    <t>01928629</t>
  </si>
  <si>
    <t>118</t>
  </si>
  <si>
    <t>465</t>
  </si>
  <si>
    <t>181</t>
  </si>
  <si>
    <t>250</t>
  </si>
  <si>
    <t>280</t>
  </si>
  <si>
    <t>45</t>
  </si>
  <si>
    <t>220</t>
  </si>
  <si>
    <t>236</t>
  </si>
  <si>
    <t>166</t>
  </si>
  <si>
    <t>33</t>
  </si>
  <si>
    <t>466</t>
  </si>
  <si>
    <t>467</t>
  </si>
  <si>
    <t>468</t>
  </si>
  <si>
    <t>469</t>
  </si>
  <si>
    <t>470</t>
  </si>
  <si>
    <t>471</t>
  </si>
  <si>
    <t>473</t>
  </si>
  <si>
    <t>474</t>
  </si>
  <si>
    <t>475</t>
  </si>
  <si>
    <t>476</t>
  </si>
  <si>
    <t>477</t>
  </si>
  <si>
    <t>490</t>
  </si>
  <si>
    <t>李运、杨惠临</t>
  </si>
  <si>
    <t>01496942-01496943</t>
  </si>
  <si>
    <t>491</t>
  </si>
  <si>
    <t>2023-11-28</t>
  </si>
  <si>
    <t>王卡丽</t>
  </si>
  <si>
    <t>03022261-03022262</t>
  </si>
  <si>
    <t>506</t>
  </si>
  <si>
    <t>王玲、贾宇辉</t>
  </si>
  <si>
    <t>01496872</t>
  </si>
  <si>
    <t>507</t>
  </si>
  <si>
    <t>田猛、胡海红</t>
  </si>
  <si>
    <t>01928560</t>
  </si>
  <si>
    <t>508</t>
  </si>
  <si>
    <t>2020-12-01</t>
  </si>
  <si>
    <t>王文慧</t>
  </si>
  <si>
    <t>01928637</t>
  </si>
  <si>
    <t>509</t>
  </si>
  <si>
    <t>白云飞、周元容</t>
  </si>
  <si>
    <t>01496944</t>
  </si>
  <si>
    <t>510</t>
  </si>
  <si>
    <t>2020-10-08</t>
  </si>
  <si>
    <t>岳良军、陈楠楠</t>
  </si>
  <si>
    <t>01928635</t>
  </si>
  <si>
    <t>511</t>
  </si>
  <si>
    <t>杨钊</t>
  </si>
  <si>
    <t>01496795</t>
  </si>
  <si>
    <t>512</t>
  </si>
  <si>
    <t>马中鑫</t>
  </si>
  <si>
    <t>01928615</t>
  </si>
  <si>
    <t>513</t>
  </si>
  <si>
    <t>王刚、孙艳</t>
  </si>
  <si>
    <t>01496874</t>
  </si>
  <si>
    <t>514</t>
  </si>
  <si>
    <t>毕双</t>
  </si>
  <si>
    <t>01496811</t>
  </si>
  <si>
    <t>515</t>
  </si>
  <si>
    <t>2020-11-30</t>
  </si>
  <si>
    <t>王鹏德</t>
  </si>
  <si>
    <t>01496873</t>
  </si>
  <si>
    <t>516</t>
  </si>
  <si>
    <t>2021-02-05</t>
  </si>
  <si>
    <t>徐军、胡晓丽</t>
  </si>
  <si>
    <t>01913731</t>
  </si>
  <si>
    <t>517</t>
  </si>
  <si>
    <t>2021-01-25</t>
  </si>
  <si>
    <t>黄凤喜</t>
  </si>
  <si>
    <t>01928623</t>
  </si>
  <si>
    <t>518</t>
  </si>
  <si>
    <t>赖天纯</t>
  </si>
  <si>
    <t>24652000000078699122</t>
  </si>
  <si>
    <t>519</t>
  </si>
  <si>
    <t>2022-05-14</t>
  </si>
  <si>
    <t>姜鹏</t>
  </si>
  <si>
    <t>01928601-01928602</t>
  </si>
  <si>
    <t>2020-10-26</t>
  </si>
  <si>
    <t>孔丁</t>
  </si>
  <si>
    <t>01928590</t>
  </si>
  <si>
    <t>535</t>
  </si>
  <si>
    <t>师东娟</t>
  </si>
  <si>
    <t>01496816</t>
  </si>
  <si>
    <t>王晓</t>
  </si>
  <si>
    <t>01928551</t>
  </si>
  <si>
    <t>537</t>
  </si>
  <si>
    <t>2021-11-15</t>
  </si>
  <si>
    <t>刘德香</t>
  </si>
  <si>
    <t>01928638</t>
  </si>
  <si>
    <t>538</t>
  </si>
  <si>
    <t>2020-09-23</t>
  </si>
  <si>
    <t>陈凯、曾雯娟</t>
  </si>
  <si>
    <t>01928592</t>
  </si>
  <si>
    <t>539</t>
  </si>
  <si>
    <t>邓霄</t>
  </si>
  <si>
    <t>01496871</t>
  </si>
  <si>
    <t>540</t>
  </si>
  <si>
    <t>余浩、刘鑫</t>
  </si>
  <si>
    <t>01496870</t>
  </si>
  <si>
    <t>541</t>
  </si>
  <si>
    <t>2021-04-25</t>
  </si>
  <si>
    <t>宋丽娜、张军涛</t>
  </si>
  <si>
    <t>01928636</t>
  </si>
  <si>
    <t>542</t>
  </si>
  <si>
    <t>毛占杰</t>
  </si>
  <si>
    <t>01928496</t>
  </si>
  <si>
    <t>543</t>
  </si>
  <si>
    <t>2021-02-19</t>
  </si>
  <si>
    <t>范大丽、陈成坤</t>
  </si>
  <si>
    <t>01496955</t>
  </si>
  <si>
    <t>544</t>
  </si>
  <si>
    <t>施灵莉</t>
  </si>
  <si>
    <t>24652000000078717617</t>
  </si>
  <si>
    <t>545</t>
  </si>
  <si>
    <t>张国熙</t>
  </si>
  <si>
    <t>01928634</t>
  </si>
  <si>
    <t>177</t>
  </si>
  <si>
    <t>497</t>
  </si>
  <si>
    <t>29</t>
  </si>
  <si>
    <t>187</t>
  </si>
  <si>
    <t>161</t>
  </si>
  <si>
    <t>95</t>
  </si>
  <si>
    <t>132</t>
  </si>
  <si>
    <t>172</t>
  </si>
  <si>
    <t>553</t>
  </si>
  <si>
    <t>520</t>
  </si>
  <si>
    <t>521</t>
  </si>
  <si>
    <t>522</t>
  </si>
  <si>
    <t>523</t>
  </si>
  <si>
    <t>524</t>
  </si>
  <si>
    <t>525</t>
  </si>
  <si>
    <t>526</t>
  </si>
  <si>
    <t>527</t>
  </si>
  <si>
    <t>528</t>
  </si>
  <si>
    <t>529</t>
  </si>
  <si>
    <t>530</t>
  </si>
  <si>
    <t>531</t>
  </si>
  <si>
    <t>532</t>
  </si>
  <si>
    <t>533</t>
  </si>
  <si>
    <t>546</t>
  </si>
  <si>
    <t>2021-04-05</t>
  </si>
  <si>
    <t>周大力、黄婧</t>
  </si>
  <si>
    <t>01928552-01928553</t>
  </si>
  <si>
    <t>547</t>
  </si>
  <si>
    <t>2022-06-23</t>
  </si>
  <si>
    <t>刘莉娜</t>
  </si>
  <si>
    <t>01496951-01496952</t>
  </si>
  <si>
    <t>562</t>
  </si>
  <si>
    <t>2020-12-21</t>
  </si>
  <si>
    <t>季国征、刘会敏</t>
  </si>
  <si>
    <t>01928644</t>
  </si>
  <si>
    <t>563</t>
  </si>
  <si>
    <t>2020-10-31</t>
  </si>
  <si>
    <t>赵励胆、张素微</t>
  </si>
  <si>
    <t>01928639</t>
  </si>
  <si>
    <t>564</t>
  </si>
  <si>
    <t>赵鹏博</t>
  </si>
  <si>
    <t>01928549</t>
  </si>
  <si>
    <t>565</t>
  </si>
  <si>
    <t>张钰鑫、张鸿健</t>
  </si>
  <si>
    <t>01496875</t>
  </si>
  <si>
    <t>张雪莹</t>
  </si>
  <si>
    <t>01496884</t>
  </si>
  <si>
    <t>567</t>
  </si>
  <si>
    <t>2020-12-12</t>
  </si>
  <si>
    <t>侯红超、李丽娜</t>
  </si>
  <si>
    <t>01496876</t>
  </si>
  <si>
    <t>568</t>
  </si>
  <si>
    <t>吴敏</t>
  </si>
  <si>
    <t>01496805</t>
  </si>
  <si>
    <t>569</t>
  </si>
  <si>
    <t>李志鹏</t>
  </si>
  <si>
    <t>01496877</t>
  </si>
  <si>
    <t>570</t>
  </si>
  <si>
    <t>严达、张晓蕊</t>
  </si>
  <si>
    <t>01496880</t>
  </si>
  <si>
    <t>571</t>
  </si>
  <si>
    <t>廖东</t>
  </si>
  <si>
    <t>01928536</t>
  </si>
  <si>
    <t>572</t>
  </si>
  <si>
    <t>2023-08-09</t>
  </si>
  <si>
    <t>王玉慧</t>
  </si>
  <si>
    <t>01537180-01537181</t>
  </si>
  <si>
    <t>573</t>
  </si>
  <si>
    <t>2021-03-22</t>
  </si>
  <si>
    <t>肖滨、伊娜</t>
  </si>
  <si>
    <t>01496881</t>
  </si>
  <si>
    <t>574</t>
  </si>
  <si>
    <t>拓娟娟</t>
  </si>
  <si>
    <t>01500507-01500508</t>
  </si>
  <si>
    <t>575</t>
  </si>
  <si>
    <t>2022-05-23</t>
  </si>
  <si>
    <t>程子阳</t>
  </si>
  <si>
    <t>01928621-01928622</t>
  </si>
  <si>
    <t>590</t>
  </si>
  <si>
    <t>阿·地理太、曹力曼</t>
  </si>
  <si>
    <t>01496878</t>
  </si>
  <si>
    <t>591</t>
  </si>
  <si>
    <t>2020-10-23</t>
  </si>
  <si>
    <t>张晨晨</t>
  </si>
  <si>
    <t>01496838</t>
  </si>
  <si>
    <t>592</t>
  </si>
  <si>
    <t>2020-11-29</t>
  </si>
  <si>
    <t>刘鑫、付俐</t>
  </si>
  <si>
    <t>01928487</t>
  </si>
  <si>
    <t>593</t>
  </si>
  <si>
    <t>2020-10-17</t>
  </si>
  <si>
    <t>李鹏</t>
  </si>
  <si>
    <t>01496941</t>
  </si>
  <si>
    <t>594</t>
  </si>
  <si>
    <t>2020-10-25</t>
  </si>
  <si>
    <t>吴敏、刘子樊</t>
  </si>
  <si>
    <t>01928492</t>
  </si>
  <si>
    <t>595</t>
  </si>
  <si>
    <t>马秋乐、宋晓丹</t>
  </si>
  <si>
    <t>01928619</t>
  </si>
  <si>
    <t>2020-10-20</t>
  </si>
  <si>
    <t>陈冬冬</t>
  </si>
  <si>
    <t>01496879</t>
  </si>
  <si>
    <t>597</t>
  </si>
  <si>
    <t>刘平、田小燕</t>
  </si>
  <si>
    <t>01496883</t>
  </si>
  <si>
    <t>598</t>
  </si>
  <si>
    <t>2021-01-01</t>
  </si>
  <si>
    <t>梁德善</t>
  </si>
  <si>
    <t>09204261</t>
  </si>
  <si>
    <t>599</t>
  </si>
  <si>
    <t>2020-10-13</t>
  </si>
  <si>
    <t>王宇</t>
  </si>
  <si>
    <t>01496882</t>
  </si>
  <si>
    <t>600</t>
  </si>
  <si>
    <t>张龙成</t>
  </si>
  <si>
    <t>01913592-01913593</t>
  </si>
  <si>
    <t>吴建萍</t>
  </si>
  <si>
    <t>01928547</t>
  </si>
  <si>
    <t>40</t>
  </si>
  <si>
    <t>170</t>
  </si>
  <si>
    <t>120</t>
  </si>
  <si>
    <t>52</t>
  </si>
  <si>
    <t>190</t>
  </si>
  <si>
    <t>447</t>
  </si>
  <si>
    <t>576</t>
  </si>
  <si>
    <t>577</t>
  </si>
  <si>
    <t>578</t>
  </si>
  <si>
    <t>579</t>
  </si>
  <si>
    <t>580</t>
  </si>
  <si>
    <t>581</t>
  </si>
  <si>
    <t>582</t>
  </si>
  <si>
    <t>583</t>
  </si>
  <si>
    <t>584</t>
  </si>
  <si>
    <t>585</t>
  </si>
  <si>
    <t>586</t>
  </si>
  <si>
    <t>587</t>
  </si>
  <si>
    <t>588</t>
  </si>
  <si>
    <t>589</t>
  </si>
  <si>
    <t>2023-06-01</t>
  </si>
  <si>
    <t>徐飞</t>
  </si>
  <si>
    <t>01537153</t>
  </si>
  <si>
    <t>陈亮</t>
  </si>
  <si>
    <t>01913610</t>
  </si>
  <si>
    <t>2020-09-09</t>
  </si>
  <si>
    <t>刘正、李芸霞</t>
  </si>
  <si>
    <t>01928548</t>
  </si>
  <si>
    <t>2021-01-30</t>
  </si>
  <si>
    <t>陈琦、颜哲</t>
  </si>
  <si>
    <t>01928641</t>
  </si>
  <si>
    <t>张尧</t>
  </si>
  <si>
    <t>01496912</t>
  </si>
  <si>
    <t>申艳峰、于凤</t>
  </si>
  <si>
    <t>01928604</t>
  </si>
  <si>
    <t>茅海东</t>
  </si>
  <si>
    <t>01928571</t>
  </si>
  <si>
    <t>柳西奇、张娟</t>
  </si>
  <si>
    <t>01928596</t>
  </si>
  <si>
    <t>马世聪</t>
  </si>
  <si>
    <t>01928640</t>
  </si>
  <si>
    <t>24</t>
  </si>
  <si>
    <t>朱宾强</t>
  </si>
  <si>
    <t>01496808</t>
  </si>
  <si>
    <t>2020-12-02</t>
  </si>
  <si>
    <t>岱力开</t>
  </si>
  <si>
    <t>01928620</t>
  </si>
  <si>
    <t>26</t>
  </si>
  <si>
    <t>2021-09-17</t>
  </si>
  <si>
    <t>李平、薛育霞</t>
  </si>
  <si>
    <t>09204267</t>
  </si>
  <si>
    <t>27</t>
  </si>
  <si>
    <t>董治春</t>
  </si>
  <si>
    <t>01496917</t>
  </si>
  <si>
    <t>28</t>
  </si>
  <si>
    <t>陈耀</t>
  </si>
  <si>
    <t>01496914</t>
  </si>
  <si>
    <t>2021-12-04</t>
  </si>
  <si>
    <t>徐城、张春磊</t>
  </si>
  <si>
    <t>01913635</t>
  </si>
  <si>
    <t>30</t>
  </si>
  <si>
    <t>2023-01-05</t>
  </si>
  <si>
    <t>陈杰、马莹</t>
  </si>
  <si>
    <t>01500553</t>
  </si>
  <si>
    <t>郑筱琳</t>
  </si>
  <si>
    <t>01496819</t>
  </si>
  <si>
    <t>46</t>
  </si>
  <si>
    <t>2020-09-22</t>
  </si>
  <si>
    <t>周小东</t>
  </si>
  <si>
    <t>01496911</t>
  </si>
  <si>
    <t>47</t>
  </si>
  <si>
    <t>赵建凯、张婷</t>
  </si>
  <si>
    <t>01496940</t>
  </si>
  <si>
    <t>48</t>
  </si>
  <si>
    <t>代春秀、李方青</t>
  </si>
  <si>
    <t>01928534</t>
  </si>
  <si>
    <t>49</t>
  </si>
  <si>
    <t>2021-08-03</t>
  </si>
  <si>
    <t>张斌</t>
  </si>
  <si>
    <t>09204277</t>
  </si>
  <si>
    <t>50</t>
  </si>
  <si>
    <t>肖永旺、闫婷婷</t>
  </si>
  <si>
    <t>01496918</t>
  </si>
  <si>
    <t>鲁军</t>
  </si>
  <si>
    <t>01928494</t>
  </si>
  <si>
    <t>米亮</t>
  </si>
  <si>
    <t>01496937</t>
  </si>
  <si>
    <t>53</t>
  </si>
  <si>
    <t>龙涛</t>
  </si>
  <si>
    <t>01928519</t>
  </si>
  <si>
    <t>54</t>
  </si>
  <si>
    <t>李玲</t>
  </si>
  <si>
    <t>01496916</t>
  </si>
  <si>
    <t>55</t>
  </si>
  <si>
    <t>邹国民、李芸霞</t>
  </si>
  <si>
    <t>01496915</t>
  </si>
  <si>
    <t>56</t>
  </si>
  <si>
    <t>王廷国</t>
  </si>
  <si>
    <t>01500543（01496913）</t>
  </si>
  <si>
    <t>31</t>
  </si>
  <si>
    <t>32</t>
  </si>
  <si>
    <t>35</t>
  </si>
  <si>
    <t>36</t>
  </si>
  <si>
    <t>38</t>
  </si>
  <si>
    <t>39</t>
  </si>
  <si>
    <t>41</t>
  </si>
  <si>
    <t>42</t>
  </si>
  <si>
    <t>44</t>
  </si>
  <si>
    <t>57</t>
  </si>
  <si>
    <t>2020-12-14</t>
  </si>
  <si>
    <t>魏彦昊</t>
  </si>
  <si>
    <t>01496938-01496939</t>
  </si>
  <si>
    <t>58</t>
  </si>
  <si>
    <t>2023-04-10</t>
  </si>
  <si>
    <t>韩双曼</t>
  </si>
  <si>
    <t>01537128</t>
  </si>
  <si>
    <t>73</t>
  </si>
  <si>
    <t>2021-03-09</t>
  </si>
  <si>
    <t>钱佳琪</t>
  </si>
  <si>
    <t>01496901</t>
  </si>
  <si>
    <t>74</t>
  </si>
  <si>
    <t>2020-11-24</t>
  </si>
  <si>
    <t>李占良、蔡秀珍</t>
  </si>
  <si>
    <t>01496887</t>
  </si>
  <si>
    <t>75</t>
  </si>
  <si>
    <t>柳勇、李颖</t>
  </si>
  <si>
    <t>01496899</t>
  </si>
  <si>
    <t>76</t>
  </si>
  <si>
    <t>牛东娟、刘家城</t>
  </si>
  <si>
    <t>01928525</t>
  </si>
  <si>
    <t>77</t>
  </si>
  <si>
    <t>樊庆江、徐兰荣</t>
  </si>
  <si>
    <t>01496900</t>
  </si>
  <si>
    <t>78</t>
  </si>
  <si>
    <t>和坤、王建强</t>
  </si>
  <si>
    <t>01496928</t>
  </si>
  <si>
    <t>79</t>
  </si>
  <si>
    <t>2020-10-12</t>
  </si>
  <si>
    <t>赵凯</t>
  </si>
  <si>
    <t>01496897</t>
  </si>
  <si>
    <t>80</t>
  </si>
  <si>
    <t>2021-01-12</t>
  </si>
  <si>
    <t>孙旭辉</t>
  </si>
  <si>
    <t>01928642</t>
  </si>
  <si>
    <t>81</t>
  </si>
  <si>
    <t>祝万春</t>
  </si>
  <si>
    <t>01496898</t>
  </si>
  <si>
    <t>82</t>
  </si>
  <si>
    <t>王强、向琴</t>
  </si>
  <si>
    <t>01496889</t>
  </si>
  <si>
    <t>83</t>
  </si>
  <si>
    <t>雷蕾、郭靖</t>
  </si>
  <si>
    <t>01496894-01496895</t>
  </si>
  <si>
    <t>84</t>
  </si>
  <si>
    <t>2021-08-18</t>
  </si>
  <si>
    <t>龚培培</t>
  </si>
  <si>
    <t>01913697-01913698</t>
  </si>
  <si>
    <t>85</t>
  </si>
  <si>
    <t>2023-02-10</t>
  </si>
  <si>
    <t>那意太、特力木杰</t>
  </si>
  <si>
    <t>01537123</t>
  </si>
  <si>
    <t>86</t>
  </si>
  <si>
    <t>2021-09-25</t>
  </si>
  <si>
    <t>赵秀花</t>
  </si>
  <si>
    <t>01913604-01913605</t>
  </si>
  <si>
    <t>2021-02-08</t>
  </si>
  <si>
    <t>刘疆明、华敏</t>
  </si>
  <si>
    <t>01496890</t>
  </si>
  <si>
    <t>2023-04-12</t>
  </si>
  <si>
    <t>王晓东</t>
  </si>
  <si>
    <t>01537132</t>
  </si>
  <si>
    <t>103</t>
  </si>
  <si>
    <t>2020-10-19</t>
  </si>
  <si>
    <t>巴图那生</t>
  </si>
  <si>
    <t>01928563</t>
  </si>
  <si>
    <t>104</t>
  </si>
  <si>
    <t>2020-12-13</t>
  </si>
  <si>
    <t>吕化民、陈秋霞</t>
  </si>
  <si>
    <t>01496796</t>
  </si>
  <si>
    <t>105</t>
  </si>
  <si>
    <t>2021-03-23</t>
  </si>
  <si>
    <t>苏磊君、赵晨玥</t>
  </si>
  <si>
    <t>01496888</t>
  </si>
  <si>
    <t>106</t>
  </si>
  <si>
    <t>2021-03-15</t>
  </si>
  <si>
    <t>王娜、贺明永</t>
  </si>
  <si>
    <t>01496818</t>
  </si>
  <si>
    <t>107</t>
  </si>
  <si>
    <t>满志峰、宋秋梅</t>
  </si>
  <si>
    <t>01496886</t>
  </si>
  <si>
    <t>108</t>
  </si>
  <si>
    <t>2022-01-22</t>
  </si>
  <si>
    <t>张婷、何刚</t>
  </si>
  <si>
    <t>01913743</t>
  </si>
  <si>
    <t>109</t>
  </si>
  <si>
    <t>2020-12-04</t>
  </si>
  <si>
    <t>齐勇、范金梅</t>
  </si>
  <si>
    <t>01928578</t>
  </si>
  <si>
    <t>林绍东、陶馨研</t>
  </si>
  <si>
    <t>01928528</t>
  </si>
  <si>
    <t>111</t>
  </si>
  <si>
    <t>2021-05-09</t>
  </si>
  <si>
    <t>刘朵、魏广新</t>
  </si>
  <si>
    <t>01928511</t>
  </si>
  <si>
    <t>112</t>
  </si>
  <si>
    <t>2021-08-25</t>
  </si>
  <si>
    <t>项莉</t>
  </si>
  <si>
    <t>01496802-01496803</t>
  </si>
  <si>
    <t>167</t>
  </si>
  <si>
    <t>72</t>
  </si>
  <si>
    <t>-1-01</t>
  </si>
  <si>
    <t>277</t>
  </si>
  <si>
    <t>137</t>
  </si>
  <si>
    <t>-1-02</t>
  </si>
  <si>
    <t>440</t>
  </si>
  <si>
    <t>208</t>
  </si>
  <si>
    <t>158</t>
  </si>
  <si>
    <t>335</t>
  </si>
  <si>
    <t>213</t>
  </si>
  <si>
    <t>126</t>
  </si>
  <si>
    <t>139</t>
  </si>
  <si>
    <t>87</t>
  </si>
  <si>
    <t>88</t>
  </si>
  <si>
    <t>-2-01</t>
  </si>
  <si>
    <t>89</t>
  </si>
  <si>
    <t>90</t>
  </si>
  <si>
    <t>-2-02</t>
  </si>
  <si>
    <t>91</t>
  </si>
  <si>
    <t>92</t>
  </si>
  <si>
    <t>93</t>
  </si>
  <si>
    <t>94</t>
  </si>
  <si>
    <t>96</t>
  </si>
  <si>
    <t>98</t>
  </si>
  <si>
    <t>100</t>
  </si>
  <si>
    <t>113</t>
  </si>
  <si>
    <t>2021-08-31</t>
  </si>
  <si>
    <t>魏婧</t>
  </si>
  <si>
    <t>01913597</t>
  </si>
  <si>
    <t>114</t>
  </si>
  <si>
    <t>2022-05-25</t>
  </si>
  <si>
    <t>张莹</t>
  </si>
  <si>
    <t>01496908</t>
  </si>
  <si>
    <t>129</t>
  </si>
  <si>
    <t>周晓辉</t>
  </si>
  <si>
    <t>01928538</t>
  </si>
  <si>
    <t>130</t>
  </si>
  <si>
    <t>樊涛</t>
  </si>
  <si>
    <t>01496906</t>
  </si>
  <si>
    <t>131</t>
  </si>
  <si>
    <t>01928546</t>
  </si>
  <si>
    <t>罗超</t>
  </si>
  <si>
    <t>01496905</t>
  </si>
  <si>
    <t>133</t>
  </si>
  <si>
    <t>2020-12-10</t>
  </si>
  <si>
    <t>朱亮</t>
  </si>
  <si>
    <t>01496907</t>
  </si>
  <si>
    <t>134</t>
  </si>
  <si>
    <t>彭梦</t>
  </si>
  <si>
    <t>01496904</t>
  </si>
  <si>
    <t>135</t>
  </si>
  <si>
    <t>魏帆</t>
  </si>
  <si>
    <t>01928573</t>
  </si>
  <si>
    <t>136</t>
  </si>
  <si>
    <t>张红梅、廖成坤</t>
  </si>
  <si>
    <t>01496903</t>
  </si>
  <si>
    <t>2021-02-16</t>
  </si>
  <si>
    <t>刘致昆、靳余霞</t>
  </si>
  <si>
    <t>01928585</t>
  </si>
  <si>
    <t>138</t>
  </si>
  <si>
    <t>马瑞琪</t>
  </si>
  <si>
    <t>01928612</t>
  </si>
  <si>
    <t>2020-11-12</t>
  </si>
  <si>
    <t>杜娟、伍建华</t>
  </si>
  <si>
    <t>01496909</t>
  </si>
  <si>
    <t>140</t>
  </si>
  <si>
    <t>何世军、徐子凡</t>
  </si>
  <si>
    <t>01928600</t>
  </si>
  <si>
    <t>141</t>
  </si>
  <si>
    <t>2021-06-11</t>
  </si>
  <si>
    <t>张文晖</t>
  </si>
  <si>
    <t>01496810</t>
  </si>
  <si>
    <t>142</t>
  </si>
  <si>
    <t>朱世红</t>
  </si>
  <si>
    <t>01496809</t>
  </si>
  <si>
    <t>157</t>
  </si>
  <si>
    <t>张子旋</t>
  </si>
  <si>
    <t>01496804</t>
  </si>
  <si>
    <t>李万福</t>
  </si>
  <si>
    <t>01928568</t>
  </si>
  <si>
    <t>159</t>
  </si>
  <si>
    <t>张金望、王焕玲</t>
  </si>
  <si>
    <t>01928586</t>
  </si>
  <si>
    <t>160</t>
  </si>
  <si>
    <t>2021-06-30</t>
  </si>
  <si>
    <t>闫洁、杨玉玺</t>
  </si>
  <si>
    <t>09204262</t>
  </si>
  <si>
    <t>裴朕</t>
  </si>
  <si>
    <t>01928545</t>
  </si>
  <si>
    <t>162</t>
  </si>
  <si>
    <t>杜长顺</t>
  </si>
  <si>
    <t>01928505</t>
  </si>
  <si>
    <t>163</t>
  </si>
  <si>
    <t>2021-01-19</t>
  </si>
  <si>
    <t>吴海英、刘美荣</t>
  </si>
  <si>
    <t>01928584</t>
  </si>
  <si>
    <t>164</t>
  </si>
  <si>
    <t>2020-11-26</t>
  </si>
  <si>
    <t>杨亚君、李星</t>
  </si>
  <si>
    <t>01928489</t>
  </si>
  <si>
    <t>165</t>
  </si>
  <si>
    <t>任越国</t>
  </si>
  <si>
    <t>01496902</t>
  </si>
  <si>
    <t>刘娟、李涛</t>
  </si>
  <si>
    <t>01928502</t>
  </si>
  <si>
    <t>2020-11-23</t>
  </si>
  <si>
    <t>吴薇、孙正潼</t>
  </si>
  <si>
    <t>01496910</t>
  </si>
  <si>
    <t>168</t>
  </si>
  <si>
    <t>黑永利、凌艳辉</t>
  </si>
  <si>
    <t>01928595</t>
  </si>
  <si>
    <t>449</t>
  </si>
  <si>
    <t>388</t>
  </si>
  <si>
    <t>66</t>
  </si>
  <si>
    <t>505</t>
  </si>
  <si>
    <t>281</t>
  </si>
  <si>
    <t>253</t>
  </si>
  <si>
    <t>143</t>
  </si>
  <si>
    <t>144</t>
  </si>
  <si>
    <t>145</t>
  </si>
  <si>
    <t>146</t>
  </si>
  <si>
    <t>148</t>
  </si>
  <si>
    <t>149</t>
  </si>
  <si>
    <t>151</t>
  </si>
  <si>
    <t>152</t>
  </si>
  <si>
    <t>153</t>
  </si>
  <si>
    <t>154</t>
  </si>
  <si>
    <t>155</t>
  </si>
  <si>
    <t>156</t>
  </si>
  <si>
    <t>169</t>
  </si>
  <si>
    <t>2023-02-23</t>
  </si>
  <si>
    <t>曾浩峰</t>
  </si>
  <si>
    <t>01500569-01500570</t>
  </si>
  <si>
    <t>2023-03-01</t>
  </si>
  <si>
    <t>丁建华</t>
  </si>
  <si>
    <t>01500574-01500575</t>
  </si>
  <si>
    <t>185</t>
  </si>
  <si>
    <t>2021-03-10</t>
  </si>
  <si>
    <t>崔登峰</t>
  </si>
  <si>
    <t>09204237</t>
  </si>
  <si>
    <t>186</t>
  </si>
  <si>
    <t>闹格来、功其长甫</t>
  </si>
  <si>
    <t>01496919</t>
  </si>
  <si>
    <t>欧尔格勒</t>
  </si>
  <si>
    <t>01496923</t>
  </si>
  <si>
    <t>2020-12-15</t>
  </si>
  <si>
    <t>01928486</t>
  </si>
  <si>
    <t>189</t>
  </si>
  <si>
    <t>2021-04-07</t>
  </si>
  <si>
    <t>甘雪云、崔小芸</t>
  </si>
  <si>
    <t>01496924</t>
  </si>
  <si>
    <t>胡伟</t>
  </si>
  <si>
    <t>01496920</t>
  </si>
  <si>
    <t>191</t>
  </si>
  <si>
    <t>2022-07-05</t>
  </si>
  <si>
    <t>杨辉</t>
  </si>
  <si>
    <t>01500504</t>
  </si>
  <si>
    <t>192</t>
  </si>
  <si>
    <t>曹瑜、杜欣萍</t>
  </si>
  <si>
    <t>01496921</t>
  </si>
  <si>
    <t>193</t>
  </si>
  <si>
    <t>兰洪亮、宋昕洁</t>
  </si>
  <si>
    <t>01928537</t>
  </si>
  <si>
    <t>唐玉林、余添</t>
  </si>
  <si>
    <t>01496799</t>
  </si>
  <si>
    <t>195</t>
  </si>
  <si>
    <t>米乐、陈怡竹</t>
  </si>
  <si>
    <t>01496933-01496934</t>
  </si>
  <si>
    <t>196</t>
  </si>
  <si>
    <t>2021-05-06</t>
  </si>
  <si>
    <t>李泽庄</t>
  </si>
  <si>
    <t>01928500-01928501</t>
  </si>
  <si>
    <t>197</t>
  </si>
  <si>
    <t>2024-05-13</t>
  </si>
  <si>
    <t>王华</t>
  </si>
  <si>
    <t>24652000000024330096</t>
  </si>
  <si>
    <t>198</t>
  </si>
  <si>
    <t>2023-04-23</t>
  </si>
  <si>
    <t>王一奇</t>
  </si>
  <si>
    <t>01537135-01537136</t>
  </si>
  <si>
    <t>李欣静</t>
  </si>
  <si>
    <t>09178454</t>
  </si>
  <si>
    <t>214</t>
  </si>
  <si>
    <t>2021-03-24</t>
  </si>
  <si>
    <t>贾淑彬、谢婷婷</t>
  </si>
  <si>
    <t>01928543</t>
  </si>
  <si>
    <t>215</t>
  </si>
  <si>
    <t>2022-07-31</t>
  </si>
  <si>
    <t>杜天刚</t>
  </si>
  <si>
    <t>01500519</t>
  </si>
  <si>
    <t>216</t>
  </si>
  <si>
    <t>2020-11-17</t>
  </si>
  <si>
    <t>范琪</t>
  </si>
  <si>
    <t>01928643</t>
  </si>
  <si>
    <t>217</t>
  </si>
  <si>
    <t>2021-03-29</t>
  </si>
  <si>
    <t>李英</t>
  </si>
  <si>
    <t>01496814</t>
  </si>
  <si>
    <t>2021-01-26</t>
  </si>
  <si>
    <t>袁小路、金晶</t>
  </si>
  <si>
    <t>01496935</t>
  </si>
  <si>
    <t>胡明</t>
  </si>
  <si>
    <t>01928550</t>
  </si>
  <si>
    <t>2021-02-06</t>
  </si>
  <si>
    <t>王晋东</t>
  </si>
  <si>
    <t>01496925</t>
  </si>
  <si>
    <t>221</t>
  </si>
  <si>
    <t>杨杭</t>
  </si>
  <si>
    <t>01496922</t>
  </si>
  <si>
    <t>222</t>
  </si>
  <si>
    <t>2020-12-08</t>
  </si>
  <si>
    <t>蒋浩然、窦雅馨</t>
  </si>
  <si>
    <t>01496926</t>
  </si>
  <si>
    <t>223</t>
  </si>
  <si>
    <t>潘云鹏</t>
  </si>
  <si>
    <t>01496927</t>
  </si>
  <si>
    <t>224</t>
  </si>
  <si>
    <t>2021-04-09</t>
  </si>
  <si>
    <t>朱丽丽、王彤</t>
  </si>
  <si>
    <t>01928606-01928607</t>
  </si>
  <si>
    <t>173</t>
  </si>
  <si>
    <t>175</t>
  </si>
  <si>
    <t>176</t>
  </si>
  <si>
    <t>178</t>
  </si>
  <si>
    <t>179</t>
  </si>
  <si>
    <t>180</t>
  </si>
  <si>
    <t>182</t>
  </si>
  <si>
    <t>183</t>
  </si>
  <si>
    <t>184</t>
  </si>
  <si>
    <t>199</t>
  </si>
  <si>
    <t>200</t>
  </si>
  <si>
    <t>203</t>
  </si>
  <si>
    <t>204</t>
  </si>
  <si>
    <t>205</t>
  </si>
  <si>
    <t>207</t>
  </si>
  <si>
    <t>209</t>
  </si>
  <si>
    <t>210</t>
  </si>
  <si>
    <t>211</t>
  </si>
  <si>
    <t>225</t>
  </si>
  <si>
    <t>01</t>
  </si>
  <si>
    <t>226</t>
  </si>
  <si>
    <t>02</t>
  </si>
  <si>
    <t>227</t>
  </si>
  <si>
    <t>03</t>
  </si>
  <si>
    <t>228</t>
  </si>
  <si>
    <t>04</t>
  </si>
  <si>
    <t>2024-03-06</t>
  </si>
  <si>
    <t>巩红卫</t>
  </si>
  <si>
    <t>03022268-03022269</t>
  </si>
  <si>
    <t>229</t>
  </si>
  <si>
    <t>05</t>
  </si>
  <si>
    <t>03022270-03022271</t>
  </si>
  <si>
    <t>230</t>
  </si>
  <si>
    <t>06</t>
  </si>
  <si>
    <t>231</t>
  </si>
  <si>
    <t>07</t>
  </si>
  <si>
    <t>新疆好居筑新型建材有限公司</t>
  </si>
  <si>
    <t>24652000000069040603</t>
  </si>
  <si>
    <t>232</t>
  </si>
  <si>
    <t>08</t>
  </si>
  <si>
    <t>24652000000069061060</t>
  </si>
  <si>
    <t>09</t>
  </si>
  <si>
    <t>234</t>
  </si>
  <si>
    <t>235</t>
  </si>
  <si>
    <t>237</t>
  </si>
  <si>
    <t>238</t>
  </si>
  <si>
    <t>239</t>
  </si>
  <si>
    <t>2021-07-03</t>
  </si>
  <si>
    <t>王梓萌</t>
  </si>
  <si>
    <t>01913617-01913618</t>
  </si>
  <si>
    <t>240</t>
  </si>
  <si>
    <t>242</t>
  </si>
  <si>
    <t>244</t>
  </si>
  <si>
    <t>245</t>
  </si>
  <si>
    <t>246</t>
  </si>
  <si>
    <t>247</t>
  </si>
  <si>
    <t>249</t>
  </si>
  <si>
    <t>消防控制室</t>
  </si>
  <si>
    <t>不可售</t>
  </si>
  <si>
    <t>251</t>
  </si>
  <si>
    <t>252</t>
  </si>
  <si>
    <t>254</t>
  </si>
  <si>
    <t>255</t>
  </si>
  <si>
    <t>558</t>
  </si>
  <si>
    <t>2023-04-11</t>
  </si>
  <si>
    <t>新疆盛祥投资管理有限公司</t>
  </si>
  <si>
    <t>01537129-01537131</t>
  </si>
  <si>
    <r>
      <rPr>
        <sz val="16"/>
        <rFont val="方正小标宋简体"/>
        <charset val="134"/>
      </rPr>
      <t>T23210</t>
    </r>
    <r>
      <rPr>
        <sz val="16"/>
        <rFont val="微软雅黑"/>
        <charset val="134"/>
      </rPr>
      <t>附表</t>
    </r>
    <r>
      <rPr>
        <sz val="16"/>
        <rFont val="方正小标宋简体"/>
        <charset val="134"/>
      </rPr>
      <t>7-</t>
    </r>
    <r>
      <rPr>
        <sz val="16"/>
        <rFont val="微软雅黑"/>
        <charset val="134"/>
      </rPr>
      <t>扣除项目明细采集底稿</t>
    </r>
  </si>
  <si>
    <t>*记账日期</t>
  </si>
  <si>
    <t>*记账凭证号码</t>
  </si>
  <si>
    <t>*科目名称</t>
  </si>
  <si>
    <t>*二级科目名称</t>
  </si>
  <si>
    <t>内容摘要</t>
  </si>
  <si>
    <t>合同编号</t>
  </si>
  <si>
    <t>合同名称</t>
  </si>
  <si>
    <t>合同类别</t>
  </si>
  <si>
    <t>收款单位</t>
  </si>
  <si>
    <t>*凭据类型</t>
  </si>
  <si>
    <t>发票(凭据)代码</t>
  </si>
  <si>
    <t>发票(凭据)号码</t>
  </si>
  <si>
    <t>*发票(凭据)金额</t>
  </si>
  <si>
    <t>*付款金额</t>
  </si>
  <si>
    <t>*记账金额</t>
  </si>
  <si>
    <t>申报调整金额</t>
  </si>
  <si>
    <t>*申报扣除的记账金额</t>
  </si>
  <si>
    <t>分摊至本项目比例</t>
  </si>
  <si>
    <t>*本项目扣除金额</t>
  </si>
  <si>
    <t>*成本对象类型</t>
  </si>
  <si>
    <t>*普通住宅分摊金额</t>
  </si>
  <si>
    <t>*非普通住宅分摊金额</t>
  </si>
  <si>
    <t>*其他类型房产分摊金额</t>
  </si>
  <si>
    <t>*分摊方法</t>
  </si>
  <si>
    <t>分摊方法说明</t>
  </si>
  <si>
    <t>*是否可加计扣除</t>
  </si>
  <si>
    <t>17=15+16</t>
  </si>
  <si>
    <t>19=17*18</t>
  </si>
  <si>
    <t>23=19-22-24</t>
  </si>
  <si>
    <t>0066</t>
  </si>
  <si>
    <t>土地征用及拆迁补偿费</t>
  </si>
  <si>
    <t>土地征用费用</t>
  </si>
  <si>
    <t>调2014年3月42#凭证</t>
  </si>
  <si>
    <t>CQ-001</t>
  </si>
  <si>
    <t>其他凭据</t>
  </si>
  <si>
    <t>可加计</t>
  </si>
  <si>
    <t>调2014年8月56#凭证</t>
  </si>
  <si>
    <t>毛拉</t>
  </si>
  <si>
    <t>调2014年8月84#凭证</t>
  </si>
  <si>
    <t>调2014年8月111#凭证</t>
  </si>
  <si>
    <t>陈高</t>
  </si>
  <si>
    <t>调2014年8月156#凭证</t>
  </si>
  <si>
    <t>调2014年9月60#凭证</t>
  </si>
  <si>
    <t>调2014年9月126#凭证</t>
  </si>
  <si>
    <t>其他土地征用及拆迁补偿费</t>
  </si>
  <si>
    <t>调2015年6月87#凭证</t>
  </si>
  <si>
    <t>开发间接费用</t>
  </si>
  <si>
    <t>完税凭证</t>
  </si>
  <si>
    <t>0009</t>
  </si>
  <si>
    <t>公共配套设施费</t>
  </si>
  <si>
    <t>派出所用房费用</t>
  </si>
  <si>
    <t>警务室劳务费</t>
  </si>
  <si>
    <t>崔红卫</t>
  </si>
  <si>
    <t>增值税普通发票</t>
  </si>
  <si>
    <t>065002100111</t>
  </si>
  <si>
    <t>03791310</t>
  </si>
  <si>
    <t>前期工程费</t>
  </si>
  <si>
    <t>设计费用</t>
  </si>
  <si>
    <t>沁春锦苑设计费</t>
  </si>
  <si>
    <t>其他合同-36</t>
  </si>
  <si>
    <t>增值税专用发票</t>
  </si>
  <si>
    <t>00436471</t>
  </si>
  <si>
    <t>00436472</t>
  </si>
  <si>
    <t>00436473</t>
  </si>
  <si>
    <t>00436474</t>
  </si>
  <si>
    <t>00436475</t>
  </si>
  <si>
    <t>00436476</t>
  </si>
  <si>
    <t>0006</t>
  </si>
  <si>
    <t>杜鹃河道路设计费</t>
  </si>
  <si>
    <t>其他合同-41</t>
  </si>
  <si>
    <t>3400182130</t>
  </si>
  <si>
    <t>10976811</t>
  </si>
  <si>
    <t>0023</t>
  </si>
  <si>
    <t>规划费用</t>
  </si>
  <si>
    <t>预付设计费</t>
  </si>
  <si>
    <t>JC-GW-01</t>
  </si>
  <si>
    <t>6500182130</t>
  </si>
  <si>
    <t>02900087</t>
  </si>
  <si>
    <t>0065</t>
  </si>
  <si>
    <t>6500162130</t>
  </si>
  <si>
    <t>03888084;00054906;00054904;00054903</t>
  </si>
  <si>
    <t>0060</t>
  </si>
  <si>
    <t>00302867;00302866</t>
  </si>
  <si>
    <t>0002</t>
  </si>
  <si>
    <t>44#小区土地评估费</t>
  </si>
  <si>
    <t>新疆兆新房产土地评估有限公司巴州分公司</t>
  </si>
  <si>
    <t>05192668</t>
  </si>
  <si>
    <t>0036</t>
  </si>
  <si>
    <t>基础设施费</t>
  </si>
  <si>
    <t>供水工程支出</t>
  </si>
  <si>
    <t>沁春锦苑自来水接口</t>
  </si>
  <si>
    <t>其他合同-29</t>
  </si>
  <si>
    <t>6500191130</t>
  </si>
  <si>
    <t>01532016</t>
  </si>
  <si>
    <t>绿化费用</t>
  </si>
  <si>
    <t>沁春锦苑景观廊架</t>
  </si>
  <si>
    <t>JC-LH-20</t>
  </si>
  <si>
    <t>01958676</t>
  </si>
  <si>
    <t>0078</t>
  </si>
  <si>
    <t>景观石材</t>
  </si>
  <si>
    <t>其他合同-65</t>
  </si>
  <si>
    <t>03755481</t>
  </si>
  <si>
    <t>0102</t>
  </si>
  <si>
    <t>原发票作废重新开具</t>
  </si>
  <si>
    <t>JC-LH-04</t>
  </si>
  <si>
    <t>6500181130</t>
  </si>
  <si>
    <t>00125673</t>
  </si>
  <si>
    <t>00125671</t>
  </si>
  <si>
    <t>00125672</t>
  </si>
  <si>
    <t>01282186</t>
  </si>
  <si>
    <t>0027</t>
  </si>
  <si>
    <t>景观亮华</t>
  </si>
  <si>
    <t>JC-LH-17</t>
  </si>
  <si>
    <t>07341165</t>
  </si>
  <si>
    <t>0048</t>
  </si>
  <si>
    <t>石材雕刻</t>
  </si>
  <si>
    <t>JC-LH-05</t>
  </si>
  <si>
    <t>0085</t>
  </si>
  <si>
    <t>沁春锦苑大门景观防水</t>
  </si>
  <si>
    <t>巴州坤霸商贸有限公司</t>
  </si>
  <si>
    <t>00067027</t>
  </si>
  <si>
    <t>开发小区内道路工程支出</t>
  </si>
  <si>
    <t>材料</t>
  </si>
  <si>
    <t>库尔勒四季红五金胶业批发部</t>
  </si>
  <si>
    <t>0109</t>
  </si>
  <si>
    <t>景观瓷砖</t>
  </si>
  <si>
    <t>库尔勒经济技术开发区罗马利奥瓷砖专卖店</t>
  </si>
  <si>
    <t>0046</t>
  </si>
  <si>
    <t>廊架</t>
  </si>
  <si>
    <t>01684501</t>
  </si>
  <si>
    <t>0062</t>
  </si>
  <si>
    <t>黑冰花石材</t>
  </si>
  <si>
    <t>库尔勒新聚石材经销部</t>
  </si>
  <si>
    <t>02217356</t>
  </si>
  <si>
    <t>0064</t>
  </si>
  <si>
    <t>水下彩灯</t>
  </si>
  <si>
    <t>乌鲁木齐市双龙园林喷泉水景艺术有限公司</t>
  </si>
  <si>
    <t>其他设施工程发生的支出</t>
  </si>
  <si>
    <t>沁春锦苑围栏维修</t>
  </si>
  <si>
    <t>0094</t>
  </si>
  <si>
    <t>JC-LH-06</t>
  </si>
  <si>
    <t>2020-03-31</t>
  </si>
  <si>
    <t>记 - 54</t>
  </si>
  <si>
    <t>照明工程支出</t>
  </si>
  <si>
    <t>3-23付巴州青橄榄沁春锦苑围栏维修款</t>
  </si>
  <si>
    <t>记 - 169</t>
  </si>
  <si>
    <t>4-28大漠林海发票到</t>
  </si>
  <si>
    <t>03285814</t>
  </si>
  <si>
    <t>2020-06-10</t>
  </si>
  <si>
    <t>记 - 66</t>
  </si>
  <si>
    <t>6-9付益诚沁春锦苑交通分析规划图</t>
  </si>
  <si>
    <t>新疆益诚开拓空间规划建设设计院有限公司</t>
  </si>
  <si>
    <t>03815930</t>
  </si>
  <si>
    <t>2020-06-19</t>
  </si>
  <si>
    <t>记 - 158</t>
  </si>
  <si>
    <t>6-23预付安徽宏泰杜鹃路设计费</t>
  </si>
  <si>
    <t>2020-06-30</t>
  </si>
  <si>
    <t>记 - 195</t>
  </si>
  <si>
    <t>6-30付昌源水务供水管道安装</t>
  </si>
  <si>
    <t>03744204</t>
  </si>
  <si>
    <t>2020-07-07</t>
  </si>
  <si>
    <t>记 - 30</t>
  </si>
  <si>
    <t>地下人防设施费用</t>
  </si>
  <si>
    <t>7-7预付河南省人防沁春锦苑三期人防设计费</t>
  </si>
  <si>
    <t>GG-RFCK-03</t>
  </si>
  <si>
    <t>05921547</t>
  </si>
  <si>
    <t>2020-07-15</t>
  </si>
  <si>
    <t>记 - 68</t>
  </si>
  <si>
    <t>排污工程支出</t>
  </si>
  <si>
    <t>7-14付河北阔龙泵款</t>
  </si>
  <si>
    <t>JC-QT-15</t>
  </si>
  <si>
    <t>2020-07-21</t>
  </si>
  <si>
    <t>记 - 97</t>
  </si>
  <si>
    <t>7-20付成都锦胜雾森喷雾设备款</t>
  </si>
  <si>
    <t>JC-LH-01</t>
  </si>
  <si>
    <t>09828941</t>
  </si>
  <si>
    <t>记 - 113</t>
  </si>
  <si>
    <t>7-22付坚乐美工程款（大门钢架）</t>
  </si>
  <si>
    <t>其他合同-61</t>
  </si>
  <si>
    <t>03794661</t>
  </si>
  <si>
    <t>记 - 121</t>
  </si>
  <si>
    <t>7-23f付李林购沁春锦苑景观雾化装置使用电缆</t>
  </si>
  <si>
    <t>其他合同-14</t>
  </si>
  <si>
    <t>2020-09-30</t>
  </si>
  <si>
    <t>记 - 464</t>
  </si>
  <si>
    <t>9-28巴州四通沁春锦苑大门人员通行系统发票到</t>
  </si>
  <si>
    <t>JC-QT-07</t>
  </si>
  <si>
    <t>01594493</t>
  </si>
  <si>
    <t>记 - 33</t>
  </si>
  <si>
    <t>10-9预付新疆新城建工程设计三期人防审图费</t>
  </si>
  <si>
    <t>其他合同-08</t>
  </si>
  <si>
    <t>07695805-07695806</t>
  </si>
  <si>
    <t>记 - 73</t>
  </si>
  <si>
    <t>10-15付沁春锦苑一期壁画款</t>
  </si>
  <si>
    <t>库尔勒金凤凰艺术培训中心</t>
  </si>
  <si>
    <t>记 - 189</t>
  </si>
  <si>
    <t>10-26付库尔勒市金凤凰艺术培训中心样板房装修壁画款</t>
  </si>
  <si>
    <t>记 - 242</t>
  </si>
  <si>
    <t>10-20和禹源生态水土保持方案服务费发票到</t>
  </si>
  <si>
    <t>Q-ST-01</t>
  </si>
  <si>
    <t>07542535</t>
  </si>
  <si>
    <t>记 - 31</t>
  </si>
  <si>
    <t>11-05支付库尔勒市金凤凰壁画款（样板房装修）</t>
  </si>
  <si>
    <t>2020-11-18</t>
  </si>
  <si>
    <t>记 - 99</t>
  </si>
  <si>
    <t>11-16预付河南省人防沁春锦苑地下室设计费</t>
  </si>
  <si>
    <t>00430004</t>
  </si>
  <si>
    <t>2020-11-27</t>
  </si>
  <si>
    <t>记 - 202</t>
  </si>
  <si>
    <t>七通一平支出</t>
  </si>
  <si>
    <t>11-27支付巴州永诚环境检测费</t>
  </si>
  <si>
    <t>其他合同-60</t>
  </si>
  <si>
    <t>记 - 79</t>
  </si>
  <si>
    <t>勘探费用</t>
  </si>
  <si>
    <t>12-07核工业二一六大队技术发票到</t>
  </si>
  <si>
    <t>JC-LS-02</t>
  </si>
  <si>
    <t>05989691</t>
  </si>
  <si>
    <t>2020-12-17</t>
  </si>
  <si>
    <t>记 - 182</t>
  </si>
  <si>
    <t>12-08上海坤喆项目咨询发票到</t>
  </si>
  <si>
    <t>JC-LS-04</t>
  </si>
  <si>
    <t>57133767-57133774</t>
  </si>
  <si>
    <t>住宅楼之前分摊</t>
  </si>
  <si>
    <t>记 - 183</t>
  </si>
  <si>
    <t>幼儿园费用</t>
  </si>
  <si>
    <t>12-14新疆佳联筑创沁春景苑技术服务发票到</t>
  </si>
  <si>
    <t>JC-LS-03</t>
  </si>
  <si>
    <t>00925937</t>
  </si>
  <si>
    <t>记 - 206</t>
  </si>
  <si>
    <t>其他非营业性房产费用</t>
  </si>
  <si>
    <t>1-13库尔勒天业钢结构停车棚发票到</t>
  </si>
  <si>
    <t>JC-CP-02</t>
  </si>
  <si>
    <t>00034793</t>
  </si>
  <si>
    <t>2021-02-27</t>
  </si>
  <si>
    <t>记 - 164</t>
  </si>
  <si>
    <t>2-27通力幼儿园、36#楼工程款发票到</t>
  </si>
  <si>
    <t>JZ-ZT-03-01</t>
  </si>
  <si>
    <t>09713904</t>
  </si>
  <si>
    <t>公共配套-幼儿园</t>
  </si>
  <si>
    <t>2021-03-17</t>
  </si>
  <si>
    <t>记 - 109</t>
  </si>
  <si>
    <t>水文费用</t>
  </si>
  <si>
    <t>3-17补记1月8号中城科发票到</t>
  </si>
  <si>
    <t>JC-LS-01</t>
  </si>
  <si>
    <t>2021-04-14</t>
  </si>
  <si>
    <t>记 - 89</t>
  </si>
  <si>
    <t>4-13预付新疆巨安人防门款</t>
  </si>
  <si>
    <t>GG-RFCK-02</t>
  </si>
  <si>
    <t>03640081</t>
  </si>
  <si>
    <t>2021-04-29</t>
  </si>
  <si>
    <t>记 - 244</t>
  </si>
  <si>
    <t>4-29预付通力31#及36#楼工程款</t>
  </si>
  <si>
    <t>00479443</t>
  </si>
  <si>
    <t>2021-07-19</t>
  </si>
  <si>
    <t>记 - 131</t>
  </si>
  <si>
    <t>7-15预付新疆益诚设计费</t>
  </si>
  <si>
    <t>00577641</t>
  </si>
  <si>
    <t>2021-09-03</t>
  </si>
  <si>
    <t>记 - 12</t>
  </si>
  <si>
    <t>9-1收到和硕县兴隆石材发票</t>
  </si>
  <si>
    <t>JC-DL-01</t>
  </si>
  <si>
    <t>05628544-05628547</t>
  </si>
  <si>
    <t>2021-09-16</t>
  </si>
  <si>
    <t>记 - 118</t>
  </si>
  <si>
    <t>9-14坚乐美景观廊架发票到</t>
  </si>
  <si>
    <t>00740294-00740295</t>
  </si>
  <si>
    <t>记 - 135</t>
  </si>
  <si>
    <t>非机动车库（场）费用</t>
  </si>
  <si>
    <t>9-17支付坚乐美35#楼东侧停车棚工程款</t>
  </si>
  <si>
    <t>JC-CP-01</t>
  </si>
  <si>
    <t>00740293</t>
  </si>
  <si>
    <t>2021-11-08</t>
  </si>
  <si>
    <t>记 - 39</t>
  </si>
  <si>
    <t>11-08大漠林海10月18日开具沁春锦苑设计发票到</t>
  </si>
  <si>
    <t>01939602</t>
  </si>
  <si>
    <t>2021-11-29</t>
  </si>
  <si>
    <t>记 - 170</t>
  </si>
  <si>
    <t>居委会用房费用</t>
  </si>
  <si>
    <t>11-25泰丰线缆发票到</t>
  </si>
  <si>
    <t>JC-DL-03</t>
  </si>
  <si>
    <t>1300203130</t>
  </si>
  <si>
    <t>08919735</t>
  </si>
  <si>
    <t>2021-12-03</t>
  </si>
  <si>
    <t>记 - 22</t>
  </si>
  <si>
    <t>12-02南天城建35#楼、31、36#楼天然气安装工程款发票到</t>
  </si>
  <si>
    <t>JC-Q-5-01</t>
  </si>
  <si>
    <t>05858994</t>
  </si>
  <si>
    <t>2021-12-07</t>
  </si>
  <si>
    <t>记 - 50</t>
  </si>
  <si>
    <t>12-07预付佳联筑创沁春锦苑IBM服务费</t>
  </si>
  <si>
    <t>6500201160</t>
  </si>
  <si>
    <t>00560762</t>
  </si>
  <si>
    <t>2021-12-28</t>
  </si>
  <si>
    <t>记 - 216</t>
  </si>
  <si>
    <t>12-28泰丰电缆发票开具</t>
  </si>
  <si>
    <t>16286243</t>
  </si>
  <si>
    <t>2021-12-29</t>
  </si>
  <si>
    <t>记 - 218</t>
  </si>
  <si>
    <t>12-29通力股份4-11、16、17#楼及幼儿园景观绿化工程发票到</t>
  </si>
  <si>
    <t>JC-LH-16-1</t>
  </si>
  <si>
    <t>02506981</t>
  </si>
  <si>
    <t>2022/1/13</t>
  </si>
  <si>
    <t>记 - 45</t>
  </si>
  <si>
    <t>11-13华汇春和景苑幼儿园电梯安装发票到</t>
  </si>
  <si>
    <t>JZ-DT-04</t>
  </si>
  <si>
    <t>05931754</t>
  </si>
  <si>
    <t>记 - 100</t>
  </si>
  <si>
    <t>1-15大漠林海设计费发票到</t>
  </si>
  <si>
    <t>03939615</t>
  </si>
  <si>
    <t>2022-01-25</t>
  </si>
  <si>
    <t>记 - 115</t>
  </si>
  <si>
    <t>1-21支付昌源水务水表安装款</t>
  </si>
  <si>
    <t>05882025</t>
  </si>
  <si>
    <t>2022-01-31</t>
  </si>
  <si>
    <t>记 - 150</t>
  </si>
  <si>
    <t>1-28支付杨志德运费</t>
  </si>
  <si>
    <t>杨志德</t>
  </si>
  <si>
    <t>01886461</t>
  </si>
  <si>
    <t>2022-02-25</t>
  </si>
  <si>
    <t>2-25支付方程视亮化款及广告费</t>
  </si>
  <si>
    <t>00644541</t>
  </si>
  <si>
    <t>记 - 126</t>
  </si>
  <si>
    <t>5-25冠华沁春锦苑大门、1-4#箱变、19-24#楼增加量、4#-17#楼围栏发票到</t>
  </si>
  <si>
    <t>JC-XF-03</t>
  </si>
  <si>
    <t>02557902</t>
  </si>
  <si>
    <t>记 - 111</t>
  </si>
  <si>
    <t>4-21付沁春锦苑幼儿园审图费</t>
  </si>
  <si>
    <t>其他合同-58</t>
  </si>
  <si>
    <t>03743406</t>
  </si>
  <si>
    <t>记 - 32</t>
  </si>
  <si>
    <t>4-8支付沁春锦苑幼儿园红蓝线图</t>
  </si>
  <si>
    <t>新疆天拓空间信息测绘院有限公司</t>
  </si>
  <si>
    <t>03708964</t>
  </si>
  <si>
    <t>记 - 214</t>
  </si>
  <si>
    <t>11-28通力股份工程款发票到</t>
  </si>
  <si>
    <t>09522734</t>
  </si>
  <si>
    <t>2021-05-21</t>
  </si>
  <si>
    <t>记 - 137</t>
  </si>
  <si>
    <t>5-20/21支付天拓沁春锦苑社区用房拔地定桩及红线测绘费</t>
  </si>
  <si>
    <t>00533506;00533505</t>
  </si>
  <si>
    <t>2021-06-29</t>
  </si>
  <si>
    <t>记 - 205</t>
  </si>
  <si>
    <t>6-28幼儿园电梯发票到</t>
  </si>
  <si>
    <t>00571212</t>
  </si>
  <si>
    <t>记 - 125</t>
  </si>
  <si>
    <t>7-19预付明德竟业污水处理设备款</t>
  </si>
  <si>
    <t>其他合同-09</t>
  </si>
  <si>
    <t>00017395-00017397;00827652-00827653</t>
  </si>
  <si>
    <t>GG-YEY-02</t>
  </si>
  <si>
    <t>00577637</t>
  </si>
  <si>
    <t>2021-07-27</t>
  </si>
  <si>
    <t>记 - 159</t>
  </si>
  <si>
    <t>7-26支付江苏中义幼儿园消防工程款</t>
  </si>
  <si>
    <t>JC-XF-01-04</t>
  </si>
  <si>
    <t>00509963</t>
  </si>
  <si>
    <t>2021-07-31</t>
  </si>
  <si>
    <t>记 - 196</t>
  </si>
  <si>
    <t>7-30通力集团中水土建工程发票到（曾）</t>
  </si>
  <si>
    <t>JC-LS-05</t>
  </si>
  <si>
    <t>00685692</t>
  </si>
  <si>
    <t>2021-09-15</t>
  </si>
  <si>
    <t>记 - 93</t>
  </si>
  <si>
    <t>9-14支付明德竟业污水处理设备款</t>
  </si>
  <si>
    <t>00827656-00827662</t>
  </si>
  <si>
    <t>2021-09-26</t>
  </si>
  <si>
    <t>记 - 184</t>
  </si>
  <si>
    <t>9-25通力股份工程款发票开具</t>
  </si>
  <si>
    <t>05721746</t>
  </si>
  <si>
    <t>2021-09-27</t>
  </si>
  <si>
    <t>记 - 201</t>
  </si>
  <si>
    <t>9-27预付通力中水处理土建工程款</t>
  </si>
  <si>
    <t>05721749</t>
  </si>
  <si>
    <t>2021-10-23</t>
  </si>
  <si>
    <t>10-22支付新疆天拓商业竣工测</t>
  </si>
  <si>
    <t>其他合同-51-6</t>
  </si>
  <si>
    <t>05820821</t>
  </si>
  <si>
    <t>记 - 90</t>
  </si>
  <si>
    <t>11-10通力股份18、21、22#楼工程款发票开具（高）</t>
  </si>
  <si>
    <t>JZ-ZT-04-02</t>
  </si>
  <si>
    <t>05821701</t>
  </si>
  <si>
    <t>公共配套-人防</t>
  </si>
  <si>
    <t>2021-11-19</t>
  </si>
  <si>
    <t>记 - 123</t>
  </si>
  <si>
    <t>11-19预付智明沁春锦苑幼儿园大门亮化自行车棚工程款</t>
  </si>
  <si>
    <t>GG-YEY-01</t>
  </si>
  <si>
    <t>05847795-05847796;05847797;05925836</t>
  </si>
  <si>
    <t>2021-11-25</t>
  </si>
  <si>
    <t>记 - 153</t>
  </si>
  <si>
    <t>11-03新疆巨安人防门发票到</t>
  </si>
  <si>
    <t>04161089</t>
  </si>
  <si>
    <t>2021-11-30</t>
  </si>
  <si>
    <t>记 - 172</t>
  </si>
  <si>
    <t>11-30通力18#21#22#楼工程款发票到（高）</t>
  </si>
  <si>
    <t>05863191</t>
  </si>
  <si>
    <t>2021-12-16</t>
  </si>
  <si>
    <t>记 - 122</t>
  </si>
  <si>
    <t>12-15支付智明沁春锦苑幼儿园大门、亮化、自行车棚工程款</t>
  </si>
  <si>
    <t>05871052</t>
  </si>
  <si>
    <t>记 - 207</t>
  </si>
  <si>
    <t>12-27智明幼儿园大门、亮化、自行车棚工程发票到</t>
  </si>
  <si>
    <t>02474033;02474034</t>
  </si>
  <si>
    <t>记 - 217</t>
  </si>
  <si>
    <t>12-29通力股份18、21、22#楼地下人防工程发票到（高）</t>
  </si>
  <si>
    <t>05978828</t>
  </si>
  <si>
    <t>记 - 219</t>
  </si>
  <si>
    <t>12-29通力股份（曾）中水处理土建工程款发票到</t>
  </si>
  <si>
    <t>05978829</t>
  </si>
  <si>
    <t>2022-05-21</t>
  </si>
  <si>
    <t>记 - 96</t>
  </si>
  <si>
    <t>5-19新疆云景环保春和、沁春锦苑地埋式垃圾站发票到</t>
  </si>
  <si>
    <t>JC-QT-33-02</t>
  </si>
  <si>
    <t>03624382-03624384</t>
  </si>
  <si>
    <t>2022-05-24</t>
  </si>
  <si>
    <t>5-24智明幼儿园决算新增工程量发票到</t>
  </si>
  <si>
    <t>02474052</t>
  </si>
  <si>
    <t>2022-06-13</t>
  </si>
  <si>
    <t>6-13通力股份中水处理土建工程发票到冲2021年12月238#凭证暂估入账</t>
  </si>
  <si>
    <t>05060216</t>
  </si>
  <si>
    <t>记 - 81</t>
  </si>
  <si>
    <t>6-13通力股份地下人防工程款发票到冲2021年4月217#凭证暂估成本入账</t>
  </si>
  <si>
    <t>05060220</t>
  </si>
  <si>
    <t>记 - 82</t>
  </si>
  <si>
    <t>6-13通力股份31#楼（幼儿园）36#楼工程款发票到冲2021年4月216#凭证暂估成本入账</t>
  </si>
  <si>
    <t>05060221</t>
  </si>
  <si>
    <t>2022-06-16</t>
  </si>
  <si>
    <t>6-15预付唐山通宝停车设备有限公司机械式停车设备款</t>
  </si>
  <si>
    <t>JC-TCC-04</t>
  </si>
  <si>
    <t>05766493</t>
  </si>
  <si>
    <t>2022-07-27</t>
  </si>
  <si>
    <t>记 - 47</t>
  </si>
  <si>
    <t>7-27通力18、21、22#楼工程款发票开具（高）</t>
  </si>
  <si>
    <t>05060231</t>
  </si>
  <si>
    <t>2022-09-30</t>
  </si>
  <si>
    <t>记 - 20</t>
  </si>
  <si>
    <t>8-4沁春锦苑围栏一期发票到</t>
  </si>
  <si>
    <t>00078909</t>
  </si>
  <si>
    <t>2022-12-08</t>
  </si>
  <si>
    <t>记 - 6</t>
  </si>
  <si>
    <t>12-05正杰工程款发票到（37#楼）</t>
  </si>
  <si>
    <t>GG-SQ-01</t>
  </si>
  <si>
    <t>05010735</t>
  </si>
  <si>
    <t>2022-12-20</t>
  </si>
  <si>
    <t>记 - 38</t>
  </si>
  <si>
    <t>12-19江苏中义工程款发票到</t>
  </si>
  <si>
    <t>JC-XF-01-07</t>
  </si>
  <si>
    <t>04956892-04956897;09398001-09398006</t>
  </si>
  <si>
    <t>记 - 53</t>
  </si>
  <si>
    <t>12-21通力（高建立）地下人防工程款发票到</t>
  </si>
  <si>
    <t>05250474</t>
  </si>
  <si>
    <t>2022/12/27</t>
  </si>
  <si>
    <t>12-27青橄榄发票到开具</t>
  </si>
  <si>
    <t>JC-LH-18</t>
  </si>
  <si>
    <t>05368717</t>
  </si>
  <si>
    <t>2023/3/7</t>
  </si>
  <si>
    <t>记49</t>
  </si>
  <si>
    <t>3-7支付河北逸航新诺集成房屋有限公司折叠箱房款</t>
  </si>
  <si>
    <t>JC-QT-30</t>
  </si>
  <si>
    <t>02559576</t>
  </si>
  <si>
    <t>2023/4/8</t>
  </si>
  <si>
    <t>记26</t>
  </si>
  <si>
    <t>4-7支付巴州青橄榄沁春锦苑驻车器工程款</t>
  </si>
  <si>
    <t>JC-TCC-01</t>
  </si>
  <si>
    <t>05368721</t>
  </si>
  <si>
    <t>2023/4/14</t>
  </si>
  <si>
    <t>记46</t>
  </si>
  <si>
    <t>4-11支付中义沁春锦苑给排水、消防工程款</t>
  </si>
  <si>
    <t>09548273-09548277</t>
  </si>
  <si>
    <t>记45</t>
  </si>
  <si>
    <t>4-11支付坚乐美4#6#8#楼门窗工程款</t>
  </si>
  <si>
    <t>JZ-MC-06-01</t>
  </si>
  <si>
    <t>09418882-09418885</t>
  </si>
  <si>
    <t>2023/7/13</t>
  </si>
  <si>
    <t>记25</t>
  </si>
  <si>
    <t>7-13沁春锦苑37#楼社区用房发票到</t>
  </si>
  <si>
    <t>JZ-ZT-04-01</t>
  </si>
  <si>
    <t>06542342</t>
  </si>
  <si>
    <t>2023/7/20</t>
  </si>
  <si>
    <t>记48</t>
  </si>
  <si>
    <t>7-20支付新疆华汇沁春锦苑37#楼电梯款</t>
  </si>
  <si>
    <t>新疆华汇建安机械设备有限公司</t>
  </si>
  <si>
    <t>06583791</t>
  </si>
  <si>
    <t>2023/1/16</t>
  </si>
  <si>
    <t>记16</t>
  </si>
  <si>
    <t>1-11支付江苏中义二期三期给排水、消防工程款</t>
  </si>
  <si>
    <t>09398017-09398020</t>
  </si>
  <si>
    <t>2023/4/28</t>
  </si>
  <si>
    <t>记92</t>
  </si>
  <si>
    <t>4-28预付新疆胡杨线缆制造有限公司线缆款</t>
  </si>
  <si>
    <t>JC-DL-06</t>
  </si>
  <si>
    <t>05924655</t>
  </si>
  <si>
    <t>2023/4/30</t>
  </si>
  <si>
    <t>记96</t>
  </si>
  <si>
    <t>4-24巨安人防门发票到</t>
  </si>
  <si>
    <t>01770479-01770480</t>
  </si>
  <si>
    <t>2023/2/21</t>
  </si>
  <si>
    <t>记47</t>
  </si>
  <si>
    <t>2-16新疆通力建设中水处理土建工程款发票到</t>
  </si>
  <si>
    <t>09426918</t>
  </si>
  <si>
    <t>2023/5/18</t>
  </si>
  <si>
    <t>记44</t>
  </si>
  <si>
    <t>5-19支付唐山通宝机械停车设备款</t>
  </si>
  <si>
    <t>记24</t>
  </si>
  <si>
    <t>7-13支付通力建设集团1#、35#楼工程款</t>
  </si>
  <si>
    <t>JZ-SY-01-02</t>
  </si>
  <si>
    <t>06542340</t>
  </si>
  <si>
    <t>2023/8/15</t>
  </si>
  <si>
    <t>记28</t>
  </si>
  <si>
    <t>8-14支付拓宇人防车库移动电站设备采购安装工程款</t>
  </si>
  <si>
    <t>其他合同-62</t>
  </si>
  <si>
    <t>06518812</t>
  </si>
  <si>
    <t>2023/8/17</t>
  </si>
  <si>
    <t>记35</t>
  </si>
  <si>
    <t>8-16支付坚乐美人防车库雨棚工程款</t>
  </si>
  <si>
    <t>GG-RFCK-01</t>
  </si>
  <si>
    <t>06681399</t>
  </si>
  <si>
    <t>2023/8/19</t>
  </si>
  <si>
    <t>8-19支付巨安人防门款</t>
  </si>
  <si>
    <t>01777930</t>
  </si>
  <si>
    <t>01777929</t>
  </si>
  <si>
    <t>2023/8/24</t>
  </si>
  <si>
    <t>记57</t>
  </si>
  <si>
    <t>8-24支付天平沁春锦苑地下车库及人防策绘费</t>
  </si>
  <si>
    <t>库尔勒天平房地产价格评估事务所</t>
  </si>
  <si>
    <t>06556963</t>
  </si>
  <si>
    <t>2023/9/4</t>
  </si>
  <si>
    <t>记5</t>
  </si>
  <si>
    <t>9-1支付河南省人防沁春锦苑地下室设计费</t>
  </si>
  <si>
    <t>07677492</t>
  </si>
  <si>
    <t>2023/9/11</t>
  </si>
  <si>
    <t>记20</t>
  </si>
  <si>
    <t>9-11支付精诚所至幼儿园室外工程款</t>
  </si>
  <si>
    <t>JZ-YEY-01</t>
  </si>
  <si>
    <t>6500211130</t>
  </si>
  <si>
    <t>00055403</t>
  </si>
  <si>
    <t>2023/9/20</t>
  </si>
  <si>
    <t>记34</t>
  </si>
  <si>
    <t>9-16支付拓宇人防车库移动电站设备安装工程款</t>
  </si>
  <si>
    <t>01660133</t>
  </si>
  <si>
    <t>2023/10/18</t>
  </si>
  <si>
    <t>记31</t>
  </si>
  <si>
    <t>10-17支付通力建设社区用房（37#楼）工程款（高）</t>
  </si>
  <si>
    <t>01587005</t>
  </si>
  <si>
    <t>2023/10/19</t>
  </si>
  <si>
    <t>记39</t>
  </si>
  <si>
    <t>10-19支付新疆巨安人防门工程款</t>
  </si>
  <si>
    <t>01412494</t>
  </si>
  <si>
    <t>01412493</t>
  </si>
  <si>
    <t>记40</t>
  </si>
  <si>
    <t>10-19支付巴州方程视人防地下车库标志牌、快速门工程款</t>
  </si>
  <si>
    <t>JC-QT-17</t>
  </si>
  <si>
    <t>00703944</t>
  </si>
  <si>
    <t>2023/10/31</t>
  </si>
  <si>
    <t>记82</t>
  </si>
  <si>
    <t>10-30支付新疆天拓37#楼竣工测量费</t>
  </si>
  <si>
    <t>其他合同-51-10</t>
  </si>
  <si>
    <t>01681090</t>
  </si>
  <si>
    <t>2023/11/3</t>
  </si>
  <si>
    <t>记7</t>
  </si>
  <si>
    <t>11-2支付37#楼测绘费</t>
  </si>
  <si>
    <t>库尔勒天平房地产价格评估有限责任公司</t>
  </si>
  <si>
    <t>01661354</t>
  </si>
  <si>
    <t>2023/11/17</t>
  </si>
  <si>
    <t>记23</t>
  </si>
  <si>
    <t>11-15支付通力建设（高）社区用房工程款</t>
  </si>
  <si>
    <t>01587015</t>
  </si>
  <si>
    <t>2023/11/22</t>
  </si>
  <si>
    <t>11-22支付河南省人防沁春锦苑防空地下室建筑设计费</t>
  </si>
  <si>
    <t>6500231130</t>
  </si>
  <si>
    <t>02743338</t>
  </si>
  <si>
    <t>2023/11/23</t>
  </si>
  <si>
    <t>记42</t>
  </si>
  <si>
    <t>11-23华汇37#楼电梯安装费发票到</t>
  </si>
  <si>
    <t>00693118</t>
  </si>
  <si>
    <t>2023/11/28</t>
  </si>
  <si>
    <t>记51</t>
  </si>
  <si>
    <t>11-28调2022年1月45#凭证华汇幼儿园电梯安装发票到冲减暂估多冲减0.01元</t>
  </si>
  <si>
    <t>2023/12/15</t>
  </si>
  <si>
    <t>记22</t>
  </si>
  <si>
    <t>12-14支付通力建设（高建立）37#楼社区用房工程款</t>
  </si>
  <si>
    <t>6500233130</t>
  </si>
  <si>
    <t>00803637</t>
  </si>
  <si>
    <t>12-15支付新疆智诚37#楼及人防监理费</t>
  </si>
  <si>
    <t>JZ-JL-04-02</t>
  </si>
  <si>
    <t>23652000000009402418</t>
  </si>
  <si>
    <t>JZ-JL-04-03</t>
  </si>
  <si>
    <t>12-15支付唐山通宝机械停车设备款</t>
  </si>
  <si>
    <t>653100232130</t>
  </si>
  <si>
    <t>21920767</t>
  </si>
  <si>
    <t>12-15支付坚乐美人防玻璃雨棚工程款</t>
  </si>
  <si>
    <t>23652000000009569203</t>
  </si>
  <si>
    <t>2023/12/22</t>
  </si>
  <si>
    <t>12-27南天城建沁春锦苑社区用房37#楼天然气安装工程款发票到</t>
  </si>
  <si>
    <t>JC-Q-11</t>
  </si>
  <si>
    <t>00805610</t>
  </si>
  <si>
    <t>2023/12/26</t>
  </si>
  <si>
    <t>记37</t>
  </si>
  <si>
    <t>12-25支付大漠林海沁春锦苑设计费</t>
  </si>
  <si>
    <t>23652000000010892734</t>
  </si>
  <si>
    <t>记38</t>
  </si>
  <si>
    <t>12-22唐山通宝机械停车位发票到</t>
  </si>
  <si>
    <t>1300232130</t>
  </si>
  <si>
    <t>21931032</t>
  </si>
  <si>
    <t>2023/12/27</t>
  </si>
  <si>
    <t>12-27支付冠华12-15、38、18、21-22#楼、31#楼窗户款及后花园围栏制作款</t>
  </si>
  <si>
    <t>JC-QT-21-01</t>
  </si>
  <si>
    <t>23652000000012438975</t>
  </si>
  <si>
    <t>2023/12/28</t>
  </si>
  <si>
    <t>12-28支付中七建筑机械式停车位基础设计费</t>
  </si>
  <si>
    <t>JC-TCC-03</t>
  </si>
  <si>
    <t>00776472</t>
  </si>
  <si>
    <t>2024/1/19</t>
  </si>
  <si>
    <t>记21</t>
  </si>
  <si>
    <t>1-16支付巴州卓晟沁春锦苑地面停车线、道路标线、人防、楼梯间环氧树脂漆施工工程款</t>
  </si>
  <si>
    <t>JC-DL-04-01</t>
  </si>
  <si>
    <t>24652000000005881695</t>
  </si>
  <si>
    <t>JC-DL-04-02</t>
  </si>
  <si>
    <t>2024/1/22</t>
  </si>
  <si>
    <t>1-22支付新疆开拓设计沁春锦苑一期、二期项目设计费</t>
  </si>
  <si>
    <t>06552633</t>
  </si>
  <si>
    <t>1-22支付新疆开拓设计沁春锦苑一期、二期、三期项目设计费</t>
  </si>
  <si>
    <t>Q-SJ-3-01</t>
  </si>
  <si>
    <t>06552639-06552640</t>
  </si>
  <si>
    <t>06552636</t>
  </si>
  <si>
    <t>2024/3/15</t>
  </si>
  <si>
    <t>3-6中义工程款发票到（新增合同金额）</t>
  </si>
  <si>
    <t>24652000000012003607</t>
  </si>
  <si>
    <t>JC-XF-01-03</t>
  </si>
  <si>
    <t>2024/5/14</t>
  </si>
  <si>
    <t>5-14支付通力建设31#36#楼工程尾款（邓）</t>
  </si>
  <si>
    <t>24652000000024459746</t>
  </si>
  <si>
    <t>2024/4/28</t>
  </si>
  <si>
    <t>4-16唐山通宝停车设备有限公司安装费发票到</t>
  </si>
  <si>
    <t>24132000000043613587</t>
  </si>
  <si>
    <t>2021-05-18</t>
  </si>
  <si>
    <t>记 - 106</t>
  </si>
  <si>
    <t>5-18新疆和禹发票到</t>
  </si>
  <si>
    <t>02610011</t>
  </si>
  <si>
    <t>记41</t>
  </si>
  <si>
    <t>10-19支付方程视沁春锦苑小区围栏制作款</t>
  </si>
  <si>
    <t>JC-QT-16</t>
  </si>
  <si>
    <t>00703943</t>
  </si>
  <si>
    <t>巴州冠华商贸有限公司</t>
  </si>
  <si>
    <t>02557901</t>
  </si>
  <si>
    <t>2022-7-19</t>
  </si>
  <si>
    <t>记-19</t>
  </si>
  <si>
    <t>7-15苏尚灭蚊灯（40台）发票到</t>
  </si>
  <si>
    <t>14599473</t>
  </si>
  <si>
    <t>2022-06-10</t>
  </si>
  <si>
    <t>6-10股份4-11、16-17、31#楼园林景观、道路照明工程款发票到（杜奇志）</t>
  </si>
  <si>
    <t>JC-YL-02-01</t>
  </si>
  <si>
    <t>02581072</t>
  </si>
  <si>
    <t>记 - 204</t>
  </si>
  <si>
    <t>9-14预付巴州智诚三期监理费（12#-15#）</t>
  </si>
  <si>
    <t>JZ-JL-05-01</t>
  </si>
  <si>
    <t>00197810</t>
  </si>
  <si>
    <t>2021-05-31</t>
  </si>
  <si>
    <t>5-26泰丰线缆发票到</t>
  </si>
  <si>
    <t>08918932</t>
  </si>
  <si>
    <t>2024/5/15</t>
  </si>
  <si>
    <t>5-14支付库尔勒刘世春37#楼社区用房壁挂炉款</t>
  </si>
  <si>
    <t>GG-SQ-02</t>
  </si>
  <si>
    <t>24652000000027335492</t>
  </si>
  <si>
    <t>记 - 69</t>
  </si>
  <si>
    <t>管理人员工资</t>
  </si>
  <si>
    <t>10-12/14计提缴纳10月社保</t>
  </si>
  <si>
    <t>记 - 247</t>
  </si>
  <si>
    <t>10-31根据公司文件新通发【2019】018号文调账</t>
  </si>
  <si>
    <t>记 - 186</t>
  </si>
  <si>
    <t>11-10计提发放10月工资</t>
  </si>
  <si>
    <t>11-18计提缴纳11月社保</t>
  </si>
  <si>
    <t>12-12计提缴纳12月社保</t>
  </si>
  <si>
    <t>2020-12-22</t>
  </si>
  <si>
    <t>记 - 215</t>
  </si>
  <si>
    <t>12-21计提发放11月工资</t>
  </si>
  <si>
    <t>2020-12-31</t>
  </si>
  <si>
    <t>记 - 358</t>
  </si>
  <si>
    <t>12-31计提12月工资</t>
  </si>
  <si>
    <t>记 - 203</t>
  </si>
  <si>
    <t>1-20计提缴纳1月社保</t>
  </si>
  <si>
    <t>记 - 57</t>
  </si>
  <si>
    <t>计提发放1-2月工资</t>
  </si>
  <si>
    <t>2021-02-23</t>
  </si>
  <si>
    <t>记 - 132</t>
  </si>
  <si>
    <t>2-8计提缴纳2月社保</t>
  </si>
  <si>
    <t>记 - 63</t>
  </si>
  <si>
    <t>3-10支付张志芳工资（2.21-28）</t>
  </si>
  <si>
    <t>3-10发放汝海工资及2020年度奖金（2.20-3.10）</t>
  </si>
  <si>
    <t>2021-04-16</t>
  </si>
  <si>
    <t>4-13计提发放3月工资</t>
  </si>
  <si>
    <t>2021-04-30</t>
  </si>
  <si>
    <t>记 - 251</t>
  </si>
  <si>
    <t>4-20计提缴纳4月社保</t>
  </si>
  <si>
    <t>2021-05-15</t>
  </si>
  <si>
    <t>记 - 77</t>
  </si>
  <si>
    <t>5-14发放安有军4月份工资</t>
  </si>
  <si>
    <t>记 - 146</t>
  </si>
  <si>
    <t>5-14计提发放4月工资</t>
  </si>
  <si>
    <t>2021-05-25</t>
  </si>
  <si>
    <t>记 - 154</t>
  </si>
  <si>
    <t>5-20计提缴纳5月社保（养老）</t>
  </si>
  <si>
    <t>2021-06-04</t>
  </si>
  <si>
    <t>记 - 15</t>
  </si>
  <si>
    <t>6-4计提缴纳5月社保（医疗）</t>
  </si>
  <si>
    <t>2021-06-12</t>
  </si>
  <si>
    <t>记 - 74</t>
  </si>
  <si>
    <t>计提发放5月工资</t>
  </si>
  <si>
    <t>2021-06-24</t>
  </si>
  <si>
    <t>6-17计提缴纳6月社保</t>
  </si>
  <si>
    <t>记 - 228</t>
  </si>
  <si>
    <t>计提6月工资</t>
  </si>
  <si>
    <t>2021-07-24</t>
  </si>
  <si>
    <t>记 - 143</t>
  </si>
  <si>
    <t>7-23计提缴纳7月社保</t>
  </si>
  <si>
    <t>2021-08-20</t>
  </si>
  <si>
    <t>记 - 141</t>
  </si>
  <si>
    <t>8-17计提缴纳8月社保</t>
  </si>
  <si>
    <t>2021-09-18</t>
  </si>
  <si>
    <t>记 - 147</t>
  </si>
  <si>
    <t>9-13计提缴纳8月社保</t>
  </si>
  <si>
    <t>2021-11-24</t>
  </si>
  <si>
    <t>记 - 140</t>
  </si>
  <si>
    <t>记 - 129</t>
  </si>
  <si>
    <t>12-08计提缴纳12月社保</t>
  </si>
  <si>
    <t>2021-03-25</t>
  </si>
  <si>
    <t>记 - 176</t>
  </si>
  <si>
    <t>3-18计提缴纳3月社保</t>
  </si>
  <si>
    <t>记 - 71</t>
  </si>
  <si>
    <t>8-11计提发放7月工资</t>
  </si>
  <si>
    <t>2021-09-12</t>
  </si>
  <si>
    <t>记 - 64</t>
  </si>
  <si>
    <t>9-10计提发放8月工资</t>
  </si>
  <si>
    <t>2021-10-13</t>
  </si>
  <si>
    <t>记 - 46</t>
  </si>
  <si>
    <t>10-12计提发放9月工资</t>
  </si>
  <si>
    <t>2021-10-21</t>
  </si>
  <si>
    <t>记 - 102</t>
  </si>
  <si>
    <t>10-21计提缴纳10月社保</t>
  </si>
  <si>
    <t>2021-11-10</t>
  </si>
  <si>
    <t>记 - 58</t>
  </si>
  <si>
    <t>2021-12-11</t>
  </si>
  <si>
    <t>12-10计提发放11月工资</t>
  </si>
  <si>
    <t>2022-01-14</t>
  </si>
  <si>
    <t>1-12计提发放12月工资</t>
  </si>
  <si>
    <t>记 - 86</t>
  </si>
  <si>
    <t>1-15计提缴纳1月社保</t>
  </si>
  <si>
    <t>2022-02-14</t>
  </si>
  <si>
    <t>记 - 14</t>
  </si>
  <si>
    <t>2-14计提发放1月工资</t>
  </si>
  <si>
    <t>记 - 37</t>
  </si>
  <si>
    <t>2-16计提缴纳2月社保</t>
  </si>
  <si>
    <t>2022-03-11</t>
  </si>
  <si>
    <t>3-10计提发放2月工资</t>
  </si>
  <si>
    <t>2022-03-28</t>
  </si>
  <si>
    <t>记 - 144</t>
  </si>
  <si>
    <t>3-11计提缴纳3月社保</t>
  </si>
  <si>
    <t>2022-04-12</t>
  </si>
  <si>
    <t>记 - 28</t>
  </si>
  <si>
    <t>4-12计提3月工资</t>
  </si>
  <si>
    <t>2022-04-15</t>
  </si>
  <si>
    <t>记 - 52</t>
  </si>
  <si>
    <t>4-15计提缴纳4月社保</t>
  </si>
  <si>
    <t>2022-05-13</t>
  </si>
  <si>
    <t>5-13计提4月工资</t>
  </si>
  <si>
    <t>2022-05-16</t>
  </si>
  <si>
    <t>5-13计提缴纳5月社保</t>
  </si>
  <si>
    <t>记 - 43</t>
  </si>
  <si>
    <t>6-10计提发放5月工资</t>
  </si>
  <si>
    <t>记 - 85</t>
  </si>
  <si>
    <t>6-13计提缴纳6月社保</t>
  </si>
  <si>
    <t>2022-06-30</t>
  </si>
  <si>
    <t>记 - 197</t>
  </si>
  <si>
    <t>6-30计提6月工资</t>
  </si>
  <si>
    <t>2022-07-15</t>
  </si>
  <si>
    <t>记 - 24</t>
  </si>
  <si>
    <t>7-14计提发放6月工资</t>
  </si>
  <si>
    <t>2022-07-19</t>
  </si>
  <si>
    <t>记 - 34</t>
  </si>
  <si>
    <t>7-18计提缴纳7月社保</t>
  </si>
  <si>
    <t>8-10计提发放7月工资</t>
  </si>
  <si>
    <t>记 - 29</t>
  </si>
  <si>
    <t>8-15计提缴纳8月社保</t>
  </si>
  <si>
    <t>9-14计提发放8月工资</t>
  </si>
  <si>
    <t>记 - 40</t>
  </si>
  <si>
    <t>9-19计提缴纳9月社保</t>
  </si>
  <si>
    <t>计提9月工资</t>
  </si>
  <si>
    <t>2022-11-29</t>
  </si>
  <si>
    <t>记 - 11</t>
  </si>
  <si>
    <t>记 - 18</t>
  </si>
  <si>
    <t>11-10计提缴纳11月社保</t>
  </si>
  <si>
    <t>记 - 3</t>
  </si>
  <si>
    <t>2023/7/12</t>
  </si>
  <si>
    <t>7-11计提发放6月工资</t>
  </si>
  <si>
    <t>2023/8/10</t>
  </si>
  <si>
    <t>记15</t>
  </si>
  <si>
    <t>2023/8/26</t>
  </si>
  <si>
    <t>记59</t>
  </si>
  <si>
    <t>8-26计提发放7月工资</t>
  </si>
  <si>
    <t>全小区分摊</t>
  </si>
  <si>
    <t>公共配套-社区用房</t>
  </si>
  <si>
    <t>2024/4/24</t>
  </si>
  <si>
    <t>其他前期工程费</t>
  </si>
  <si>
    <t>4-24计提缴纳2013年3月25日缴纳的配套设施费相应契税</t>
  </si>
  <si>
    <t>365286240400066001</t>
  </si>
  <si>
    <t>公共配套设施</t>
  </si>
  <si>
    <t>公共-机械车库</t>
  </si>
  <si>
    <t>2024/5/16</t>
  </si>
  <si>
    <t>5-16基安岩土沁春锦苑勘察费发票到</t>
  </si>
  <si>
    <t>24652000000024992958</t>
  </si>
  <si>
    <t>2024/6/13</t>
  </si>
  <si>
    <t>6-11青橄榄红字发票到冲2020年5月34#凭证</t>
  </si>
  <si>
    <t>2024/7/15</t>
  </si>
  <si>
    <t>7-15河南人防设计费发票到（6月20日开具）</t>
  </si>
  <si>
    <t>24652000000032058674</t>
  </si>
  <si>
    <t>2024/10/29</t>
  </si>
  <si>
    <t>10-28沁春锦苑地面停车位、道路标线、人防楼梯间环氧树脂地坪工程款发票到</t>
  </si>
  <si>
    <t>'24652000000064089622</t>
  </si>
  <si>
    <t>10-28沁园春锦苑小区围栏制作安装工程款发票到</t>
  </si>
  <si>
    <t>24652000000064046020</t>
  </si>
  <si>
    <t>10-28银行存款日记账SGRJZ2164沁春锦苑幼儿园室外工程施工工程款发票到</t>
  </si>
  <si>
    <t>24652000000063892105</t>
  </si>
  <si>
    <t>2024/11/8</t>
  </si>
  <si>
    <t>11-8银行存款日记账SGRJZ2334沁春锦苑二期（4-11、16-17#）园林景观、道路及停车位、铺装、景观照明工程款发票到</t>
  </si>
  <si>
    <t>'24652000000067355273</t>
  </si>
  <si>
    <t>银行存款日记账SGRJZ2335沁春锦苑18#21#22#住宅楼（高建立）人防建设工程进度款发票到</t>
  </si>
  <si>
    <t>24652000000067355652</t>
  </si>
  <si>
    <t>银行存款日记账SGRJZ2337沁春锦苑中水处理土建、警务室、挡墙、铺装工程款发票到（曾建国）</t>
  </si>
  <si>
    <t>'24652000000067385221</t>
  </si>
  <si>
    <t>其他发生的间接费用</t>
  </si>
  <si>
    <t>9-18银行存款日记账SGRJZ1738沁春锦苑BIM咨询技术服务费</t>
  </si>
  <si>
    <t>24652000000052581631</t>
  </si>
  <si>
    <t>2024/11/20</t>
  </si>
  <si>
    <t>11-18联创设计费发票到</t>
  </si>
  <si>
    <t>24652000000069476961</t>
  </si>
  <si>
    <t>2024/11/27</t>
  </si>
  <si>
    <t>记 - 55</t>
  </si>
  <si>
    <t>主体建安发票到</t>
  </si>
  <si>
    <t>24652000000072918573</t>
  </si>
  <si>
    <t>建筑安装工程费</t>
  </si>
  <si>
    <t>地上建筑工程费用</t>
  </si>
  <si>
    <t>JZ-ZT-03-02</t>
  </si>
  <si>
    <t>二期商业</t>
  </si>
  <si>
    <t>不可选择</t>
  </si>
  <si>
    <t>0067</t>
  </si>
  <si>
    <t>沁园春·锦36#楼图纸审查费</t>
  </si>
  <si>
    <t>01854911</t>
  </si>
  <si>
    <t>二期分摊</t>
  </si>
  <si>
    <t>0068</t>
  </si>
  <si>
    <t>测绘费用</t>
  </si>
  <si>
    <t>沁园春·锦36#楼红线测绘费</t>
  </si>
  <si>
    <t>新疆巴州建筑工程施工图设计文件审查中心</t>
  </si>
  <si>
    <t>01933338</t>
  </si>
  <si>
    <t>0028</t>
  </si>
  <si>
    <t>沁春锦苑大门审图费</t>
  </si>
  <si>
    <t>新疆天拓空间测绘有限公司</t>
  </si>
  <si>
    <t>05058653</t>
  </si>
  <si>
    <t>沁春锦苑二期城市基础设施配套费</t>
  </si>
  <si>
    <t>库尔勒市自然资源局</t>
  </si>
  <si>
    <t>非税收入票据</t>
  </si>
  <si>
    <t>二期住宅</t>
  </si>
  <si>
    <t>记 - 70</t>
  </si>
  <si>
    <t>3-20支付新疆巴州建筑施工图审查中心</t>
  </si>
  <si>
    <t>其他合同-59</t>
  </si>
  <si>
    <t>07308125</t>
  </si>
  <si>
    <t>3-12付沁春锦苑三期新疆天拓测绘费（红线、蓝线图）</t>
  </si>
  <si>
    <t>其他合同-51-1</t>
  </si>
  <si>
    <t>01796331</t>
  </si>
  <si>
    <t>4-8新疆益诚沁春锦苑三期施工图设计费发票到</t>
  </si>
  <si>
    <t>Q-SJ-003</t>
  </si>
  <si>
    <t>07484687</t>
  </si>
  <si>
    <t>4-16付新疆益诚沁春锦苑三期设计费</t>
  </si>
  <si>
    <t>07484700</t>
  </si>
  <si>
    <t>4-16支付益诚沁春锦苑四期（2#3#11#17#36#）设计费</t>
  </si>
  <si>
    <t>Q-SJ-7</t>
  </si>
  <si>
    <t>07484699</t>
  </si>
  <si>
    <t>2020-05-31</t>
  </si>
  <si>
    <t>记 - 149</t>
  </si>
  <si>
    <t>5-22巴州智诚沁春锦苑三期监理费发票到</t>
  </si>
  <si>
    <t>JZ-JL-03</t>
  </si>
  <si>
    <t>00201067</t>
  </si>
  <si>
    <t>2020-06-11</t>
  </si>
  <si>
    <t>6-11巴州基安岩土发票到</t>
  </si>
  <si>
    <t>Q-SJ-04</t>
  </si>
  <si>
    <t>03708901</t>
  </si>
  <si>
    <t>2020-07-03</t>
  </si>
  <si>
    <t>记 - 13</t>
  </si>
  <si>
    <t>7-3新疆通力建设沁春锦苑三期工程款发票到</t>
  </si>
  <si>
    <t>JZ-ZT-02</t>
  </si>
  <si>
    <t>03893495
03893497</t>
  </si>
  <si>
    <t>记 - 92</t>
  </si>
  <si>
    <t>7-20付天平4#-11#、16#17#楼预售测绘</t>
  </si>
  <si>
    <t>Q-CH-5</t>
  </si>
  <si>
    <t>03917041</t>
  </si>
  <si>
    <t>2020-09-04</t>
  </si>
  <si>
    <t>9-3付通力股份三期工程款</t>
  </si>
  <si>
    <t>03958631</t>
  </si>
  <si>
    <t>9-4预付天拓红线图款</t>
  </si>
  <si>
    <t>03908915</t>
  </si>
  <si>
    <t>记 - 420</t>
  </si>
  <si>
    <t>9-26/27预付通力工程款（郑、顾）</t>
  </si>
  <si>
    <t>03958633
03958634</t>
  </si>
  <si>
    <t>10-20支付库尔勒天平沁春锦苑1#2#3#35#36#测绘费</t>
  </si>
  <si>
    <t>Q-CH-4-01</t>
  </si>
  <si>
    <t>07455367</t>
  </si>
  <si>
    <t>记 - 168</t>
  </si>
  <si>
    <t>11-24支付巴州德博商贸购电线、接触器</t>
  </si>
  <si>
    <t>巴州德博商贸有限公司</t>
  </si>
  <si>
    <t>03851768</t>
  </si>
  <si>
    <t>09522733
09522732</t>
  </si>
  <si>
    <t>10-29智诚三期监理费发票到</t>
  </si>
  <si>
    <t>00195448</t>
  </si>
  <si>
    <t>2-3巴州建筑工程施工图3#楼消防审图费发票到</t>
  </si>
  <si>
    <t>巴州建筑工程施工图审查咨询有限公司</t>
  </si>
  <si>
    <t>09710671</t>
  </si>
  <si>
    <t>记 - 163</t>
  </si>
  <si>
    <t>2-27通力股份4#-11#、16#17#楼2#3#楼发票到</t>
  </si>
  <si>
    <t>09713905-09713906</t>
  </si>
  <si>
    <t>记 - 59</t>
  </si>
  <si>
    <t>3-10付5#7#9#10#17#铝合金窗款</t>
  </si>
  <si>
    <t>JZ-MC-07</t>
  </si>
  <si>
    <t>00021681-00021683
00786188-0078610</t>
  </si>
  <si>
    <t>记 - 108</t>
  </si>
  <si>
    <t>3-17通力2#3#36#外墙装修发票到</t>
  </si>
  <si>
    <t>JC-SY-01</t>
  </si>
  <si>
    <t>09713908</t>
  </si>
  <si>
    <t>记 - 167</t>
  </si>
  <si>
    <t>3-22支付管丽萍报销</t>
  </si>
  <si>
    <t>新疆昌源水务集团库尔勒银泉供水有限公司</t>
  </si>
  <si>
    <t>01767627</t>
  </si>
  <si>
    <t>2021-03-26</t>
  </si>
  <si>
    <t>3-16华汇4#-17#楼电梯发票到</t>
  </si>
  <si>
    <t>JZ-DT-05</t>
  </si>
  <si>
    <t>09792429-09792431</t>
  </si>
  <si>
    <t>2021-04-08</t>
  </si>
  <si>
    <t>4-6坚乐美4#-16#楼铝合金窗发票到</t>
  </si>
  <si>
    <t>JZ-MC-06</t>
  </si>
  <si>
    <t>09696783-0966786
09817140-09817141</t>
  </si>
  <si>
    <t>4-13预付库尔勒永绍4#-11#楼防盗门款（245樘）</t>
  </si>
  <si>
    <t>JZ-MC-02</t>
  </si>
  <si>
    <t>09709054-09709057</t>
  </si>
  <si>
    <t>2021-04-21</t>
  </si>
  <si>
    <t>记 - 173</t>
  </si>
  <si>
    <t>4-20预付巴州水木堂装修款</t>
  </si>
  <si>
    <t>JZ-ZX-08</t>
  </si>
  <si>
    <t>二期商业-九重天装修</t>
  </si>
  <si>
    <t>2021-04-26</t>
  </si>
  <si>
    <t>记 - 211</t>
  </si>
  <si>
    <t>4-25通力2#3#36#楼外墙装修发票到</t>
  </si>
  <si>
    <t>00479441</t>
  </si>
  <si>
    <t>2021-04-27</t>
  </si>
  <si>
    <t>记 - 235</t>
  </si>
  <si>
    <t>4-22成华区欧朗瑞3#商业装修发票到</t>
  </si>
  <si>
    <t>成华区欧朗瑞商贸部</t>
  </si>
  <si>
    <t>36732711/36732713</t>
  </si>
  <si>
    <t>2021-05-13</t>
  </si>
  <si>
    <t>记 - 62</t>
  </si>
  <si>
    <t>5-10浙江群邦门业铸铝门发票到</t>
  </si>
  <si>
    <t>浙江群邦门业股份有限公司</t>
  </si>
  <si>
    <t>05923841</t>
  </si>
  <si>
    <t>记 - 76</t>
  </si>
  <si>
    <t>5-14付江苏中义沁春锦苑消防工程款</t>
  </si>
  <si>
    <t>JC-XF-01-05</t>
  </si>
  <si>
    <t>0583353、00509956-0050962</t>
  </si>
  <si>
    <t>记 - 112</t>
  </si>
  <si>
    <t>5-15永绍4-11#楼防盗、防火门发票到</t>
  </si>
  <si>
    <t>6500221130</t>
  </si>
  <si>
    <t>09709061-09709064</t>
  </si>
  <si>
    <t>记 - 127</t>
  </si>
  <si>
    <t>5-20支付基安岩土地勘费13#-15#</t>
  </si>
  <si>
    <t>Q-SC-03</t>
  </si>
  <si>
    <t>09822044</t>
  </si>
  <si>
    <t>记 - 139</t>
  </si>
  <si>
    <t>5-20巴州水木堂3#楼装修发票到</t>
  </si>
  <si>
    <t>59699034-59699046
19147587-19147597</t>
  </si>
  <si>
    <t>JC-DL-05-02</t>
  </si>
  <si>
    <t>JC-DL-05-01</t>
  </si>
  <si>
    <t>2021-06-17</t>
  </si>
  <si>
    <t>6-17通力建设12#-38#楼工程款发票到</t>
  </si>
  <si>
    <t>00570089</t>
  </si>
  <si>
    <t>2021-06-21</t>
  </si>
  <si>
    <t>6-21预付巴州全福门4#-17#楼铝合金窗户款</t>
  </si>
  <si>
    <t>00807821-00807823</t>
  </si>
  <si>
    <t>6-21预付库尔勒坚乐美4#-36#铝合金窗户款</t>
  </si>
  <si>
    <t>00467305-00467307</t>
  </si>
  <si>
    <t>2021-06-23</t>
  </si>
  <si>
    <t>记 - 175</t>
  </si>
  <si>
    <t>176-21巴州全福门窗4#-17#楼铝合金窗发票到</t>
  </si>
  <si>
    <t>00807824-00807828</t>
  </si>
  <si>
    <t>2021-07-05</t>
  </si>
  <si>
    <t>通讯工程支出</t>
  </si>
  <si>
    <t>7-5支付青橄榄3#楼监控款</t>
  </si>
  <si>
    <t>JC-JK-01</t>
  </si>
  <si>
    <t>00467488</t>
  </si>
  <si>
    <t>2021-07-07</t>
  </si>
  <si>
    <t>7-7预付青橄榄4#-11#17#楼宇对讲款</t>
  </si>
  <si>
    <t>JC-QT-14</t>
  </si>
  <si>
    <t>00467490</t>
  </si>
  <si>
    <t>2021-07-13</t>
  </si>
  <si>
    <t>7-12预付成都万代围栏款</t>
  </si>
  <si>
    <t>成都万代金属制品有限公司</t>
  </si>
  <si>
    <t>7-12预付刘世春款3#楼排风系统</t>
  </si>
  <si>
    <t>库尔勒刘世春电器维修部</t>
  </si>
  <si>
    <t>2021-07-17</t>
  </si>
  <si>
    <t>7-14新疆鑫宇恒三网合一工程服务发票到</t>
  </si>
  <si>
    <t>JC-WL-01-1</t>
  </si>
  <si>
    <t>00647049</t>
  </si>
  <si>
    <t>Q-SJ-4</t>
  </si>
  <si>
    <t>00577632</t>
  </si>
  <si>
    <t>2021-07-26</t>
  </si>
  <si>
    <t>记 - 152</t>
  </si>
  <si>
    <t>7-23预付坚乐美4-16#楼窗户款</t>
  </si>
  <si>
    <t>00467313;00642977-00642980</t>
  </si>
  <si>
    <t>2021-07-28</t>
  </si>
  <si>
    <t>供电工程支出</t>
  </si>
  <si>
    <t>7-27预付鑫磊机电二期箱变设备款</t>
  </si>
  <si>
    <t>JC-GD-03-6</t>
  </si>
  <si>
    <t>06464888-06464889</t>
  </si>
  <si>
    <t>7-30通力股份三期工程款发票到（顾）</t>
  </si>
  <si>
    <t>00685691</t>
  </si>
  <si>
    <t>2021-08-11</t>
  </si>
  <si>
    <t>8-10支付新疆拓宇沁春锦苑三期4#-17#高低压电力设备安装款</t>
  </si>
  <si>
    <t>JC-GD-03-5</t>
  </si>
  <si>
    <t>00530278</t>
  </si>
  <si>
    <t>2021-08-14</t>
  </si>
  <si>
    <t>8-05青橄榄3#楼监控发票到</t>
  </si>
  <si>
    <t>00467491</t>
  </si>
  <si>
    <t>2021-08-16</t>
  </si>
  <si>
    <t>8-12补缴2019年12月10日缴纳的4#-17#配套费的相应契税</t>
  </si>
  <si>
    <t>365285210800009661</t>
  </si>
  <si>
    <t>2021-08-17</t>
  </si>
  <si>
    <t>记 - 105</t>
  </si>
  <si>
    <t>8-17预付华汇3#楼电梯款</t>
  </si>
  <si>
    <t>JZ-DT-03</t>
  </si>
  <si>
    <t>00758960</t>
  </si>
  <si>
    <t>记 - 107</t>
  </si>
  <si>
    <t>8-17预付中义二期4#-17#外网给排水工程款</t>
  </si>
  <si>
    <t>00509965-00509968,00586589</t>
  </si>
  <si>
    <t>记 - 48</t>
  </si>
  <si>
    <t>9-11刘世春空调系统、供热系统、热水系统发票到</t>
  </si>
  <si>
    <t>19747060-19747062</t>
  </si>
  <si>
    <t>记 - 136</t>
  </si>
  <si>
    <t>9-17支付坚乐美3#楼刚结构款</t>
  </si>
  <si>
    <t>JZ-QT-07</t>
  </si>
  <si>
    <t>00740292</t>
  </si>
  <si>
    <t>05721743</t>
  </si>
  <si>
    <t>05721744</t>
  </si>
  <si>
    <t>05721747</t>
  </si>
  <si>
    <t>2021-10-09</t>
  </si>
  <si>
    <t>10-9成都钰家装饰3#楼装修购灯具、墙布、窗帘等发票到</t>
  </si>
  <si>
    <t>10551406,11820111-38，11898284，63516371-84</t>
  </si>
  <si>
    <t xml:space="preserve">二期商业-不可扣 </t>
  </si>
  <si>
    <t>2021-10-12</t>
  </si>
  <si>
    <t>10-08成都迪安可家政3#楼服务费发票到</t>
  </si>
  <si>
    <t>成都迪安可家政服务有限公司</t>
  </si>
  <si>
    <t>84958915</t>
  </si>
  <si>
    <t>2021-10-15</t>
  </si>
  <si>
    <t>10-15预付二期4#-17#外网消防及三期室内（12#-15#）给排水</t>
  </si>
  <si>
    <t>05772218
05772219
05772220
05772221
05772222
05772223</t>
  </si>
  <si>
    <t>其他合同-51-5</t>
  </si>
  <si>
    <t>11-13预付巴州昱人计算机服务25-30#楼数字门票信息费</t>
  </si>
  <si>
    <t>05851059</t>
  </si>
  <si>
    <t>二期分摊（已分摊给一期商业5656.21）</t>
  </si>
  <si>
    <t>11-11通力股份8-11#16#17#楼工程款发票到（郑）</t>
  </si>
  <si>
    <t>05863186</t>
  </si>
  <si>
    <t>11-11通力股份4#-7#楼工程款发票到（郑）</t>
  </si>
  <si>
    <t>05863188</t>
  </si>
  <si>
    <t>记 - 116</t>
  </si>
  <si>
    <t>11-18支付新矿1#-11#、16#17#楼勘界测绘费</t>
  </si>
  <si>
    <t>巴州新矿测绘有限责任公司</t>
  </si>
  <si>
    <t>05791696</t>
  </si>
  <si>
    <t>2021-11-22</t>
  </si>
  <si>
    <t>记 - 134</t>
  </si>
  <si>
    <t>11-22华汇4#-17#楼电梯安装发票到</t>
  </si>
  <si>
    <t>00758979</t>
  </si>
  <si>
    <t>11-30通力房产4#-7#楼工程款发票到（郑）</t>
  </si>
  <si>
    <t>05863194</t>
  </si>
  <si>
    <t>记 - 174</t>
  </si>
  <si>
    <t>11-30通力股份8#-11#、12#-15#工程款发票到（顾）</t>
  </si>
  <si>
    <t>05863192</t>
  </si>
  <si>
    <t>11-30通力股份4#楼-17#楼31#楼园林景观发票到（杜）</t>
  </si>
  <si>
    <t>JC-YL-02</t>
  </si>
  <si>
    <t>05863195</t>
  </si>
  <si>
    <t>2021-12-02</t>
  </si>
  <si>
    <t>12-02补记四川云开见天发票到（陈为胜、杨鸿鑫）</t>
  </si>
  <si>
    <t>四川云开见天劳务有限公司</t>
  </si>
  <si>
    <t>35717823</t>
  </si>
  <si>
    <t>记 - 5</t>
  </si>
  <si>
    <t>12-01支付新疆天拓二期4#-17#楼竣工测量费</t>
  </si>
  <si>
    <t>05924231</t>
  </si>
  <si>
    <t>记 - 42</t>
  </si>
  <si>
    <t>12-07巴州水木堂4#-11#16、17#楼门斗装修款发票到</t>
  </si>
  <si>
    <t>JZ-ZX-07</t>
  </si>
  <si>
    <t>00085451,00085454，00653325-00653338,</t>
  </si>
  <si>
    <t>2021-12-08</t>
  </si>
  <si>
    <t>记 - 56</t>
  </si>
  <si>
    <t>12-08沁春锦苑三网合一工程款发票到</t>
  </si>
  <si>
    <t>05860973</t>
  </si>
  <si>
    <t>记 - 60</t>
  </si>
  <si>
    <t>12-08支付绿地恢复费（3#楼边道路占用）</t>
  </si>
  <si>
    <t>库尔勒市园林绿化实务中心</t>
  </si>
  <si>
    <t>0011132197</t>
  </si>
  <si>
    <t>12-09巴州方程式春和景苑、沁春锦苑商业楼体亮化工程款发票到</t>
  </si>
  <si>
    <t>JC-LH-12</t>
  </si>
  <si>
    <t>00072271</t>
  </si>
  <si>
    <t>12-09巴州方程视4#-17#楼楼栋牌制作发票到</t>
  </si>
  <si>
    <t>JC-QT-11</t>
  </si>
  <si>
    <t>00072266</t>
  </si>
  <si>
    <t>2021-12-18</t>
  </si>
  <si>
    <t>12-17支付智诚二期4#-17#楼监理费</t>
  </si>
  <si>
    <t>01102622</t>
  </si>
  <si>
    <t>供气工程支出</t>
  </si>
  <si>
    <t>12-17南天城建天然气安装工程款发票到</t>
  </si>
  <si>
    <t>JC-Q-8</t>
  </si>
  <si>
    <t>05859156</t>
  </si>
  <si>
    <t>2021-12-23</t>
  </si>
  <si>
    <t>12-22/23支付巴州全福门2#-17#楼铝合金门窗款</t>
  </si>
  <si>
    <t>02733643</t>
  </si>
  <si>
    <t>记 - 185</t>
  </si>
  <si>
    <t>12-22预付巴州全福门沁春锦苑3#楼门窗款</t>
  </si>
  <si>
    <t>JZ-MC-01</t>
  </si>
  <si>
    <t>02733644-02733645</t>
  </si>
  <si>
    <t>JC-LH-16</t>
  </si>
  <si>
    <t>2022/12/20</t>
  </si>
  <si>
    <t>12-22永绍4#-17#楼防火门工程款发票到</t>
  </si>
  <si>
    <t>12-26通力（顾）2#楼发票到</t>
  </si>
  <si>
    <t>JZ-ZT-02-01</t>
  </si>
  <si>
    <t>05250478</t>
  </si>
  <si>
    <t>05368714</t>
  </si>
  <si>
    <t>JC-QT-12-01</t>
  </si>
  <si>
    <t>05368715</t>
  </si>
  <si>
    <t>2022-01-11</t>
  </si>
  <si>
    <t>1-8沁春锦苑4-11#16#、17#楼防火门防盗门、指纹锁发票到</t>
  </si>
  <si>
    <t>JC-Q-6</t>
  </si>
  <si>
    <t>02520032
02520033
02520035</t>
  </si>
  <si>
    <t>2022-01-12</t>
  </si>
  <si>
    <t>1-11支付沁春锦苑4#-11、16、17#楼门斗装修</t>
  </si>
  <si>
    <t>00068450</t>
  </si>
  <si>
    <t>2022-01-13</t>
  </si>
  <si>
    <t>1-12支付(库尔勒箴言五金电)任康电缆款</t>
  </si>
  <si>
    <t>库尔勒箴言五金店</t>
  </si>
  <si>
    <t>38445867</t>
  </si>
  <si>
    <t>1-12支付华汇春和及沁春锦苑一、二期、幼儿园、3#楼电梯安装款</t>
  </si>
  <si>
    <t>05931753</t>
  </si>
  <si>
    <t>1-13支付沁春锦苑二期外网设备款</t>
  </si>
  <si>
    <t>06851616</t>
  </si>
  <si>
    <t>06851617</t>
  </si>
  <si>
    <t>JC-GD-03-7</t>
  </si>
  <si>
    <t>06851621</t>
  </si>
  <si>
    <t>06851622</t>
  </si>
  <si>
    <t>1-13支付拓宇沁春锦苑电气外网设备安装款</t>
  </si>
  <si>
    <t>05961102-05961104</t>
  </si>
  <si>
    <t>JC-GD-03-1</t>
  </si>
  <si>
    <t>JC-GD-03-2</t>
  </si>
  <si>
    <t>1-13支付沁春锦苑二期、三期可视及弱电工程款</t>
  </si>
  <si>
    <t xml:space="preserve">02537985
05931670
</t>
  </si>
  <si>
    <t>巴州青橄榄电子科技有限公司</t>
  </si>
  <si>
    <t>02537992
02537991
02537989
02537988
02937987
02537990</t>
  </si>
  <si>
    <t>记 - 101</t>
  </si>
  <si>
    <t>1-22补记鉴衡造价2021年4月-5月开具发票到</t>
  </si>
  <si>
    <t>库尔勒鉴衡工程造价咨询工作室</t>
  </si>
  <si>
    <t>06831652-06831661</t>
  </si>
  <si>
    <t>记 - 84</t>
  </si>
  <si>
    <t>1-17预付巴州冠华款</t>
  </si>
  <si>
    <t>JC-QT-13</t>
  </si>
  <si>
    <t>05997183</t>
  </si>
  <si>
    <t>JC-QT-10</t>
  </si>
  <si>
    <t>06500201160</t>
  </si>
  <si>
    <t>05997184-05997185</t>
  </si>
  <si>
    <t>记 - 148</t>
  </si>
  <si>
    <t>1-27预付水木堂3#楼装修款</t>
  </si>
  <si>
    <t>38308227-38308228</t>
  </si>
  <si>
    <t>2022-05-12</t>
  </si>
  <si>
    <t>5-12南天城建4-11、17#楼、12-15、38#楼天然气工程款发票到</t>
  </si>
  <si>
    <t>JC-Q-7</t>
  </si>
  <si>
    <t>06500213130</t>
  </si>
  <si>
    <t>02593284</t>
  </si>
  <si>
    <t>5-25支付智诚4#-16、17#楼；12-15#、38号楼监理费</t>
  </si>
  <si>
    <t>00028283</t>
  </si>
  <si>
    <t>02557899,02557898,02557897</t>
  </si>
  <si>
    <t>6-10通力2#、8#-11#16-17#、12-15#38#楼工程款发票到（顾）</t>
  </si>
  <si>
    <t>02581069</t>
  </si>
  <si>
    <t>记 - 49</t>
  </si>
  <si>
    <t>6-10通力3#-7#楼工程款发票到（郑）</t>
  </si>
  <si>
    <t>02581071</t>
  </si>
  <si>
    <t>记 - 80</t>
  </si>
  <si>
    <t>6-13通力股份4#-11#16、17、12-15#38#楼景观绿化工程发票到（蔚）</t>
  </si>
  <si>
    <t>05060218</t>
  </si>
  <si>
    <t>2022-06-28</t>
  </si>
  <si>
    <t>记 - 181</t>
  </si>
  <si>
    <t>6-28通力股份2#8#9#10#等工程款发票到</t>
  </si>
  <si>
    <t>05060225</t>
  </si>
  <si>
    <t>7-27通力4-11、16、17#楼园林景观发票开具（杜）</t>
  </si>
  <si>
    <t>05060232</t>
  </si>
  <si>
    <t>7-27支付刘世春装修款</t>
  </si>
  <si>
    <t>74324292</t>
  </si>
  <si>
    <t>8-3支付巴州全福门铝合金窗款</t>
  </si>
  <si>
    <t>04799069-04799072</t>
  </si>
  <si>
    <t>7-20新疆鑫宇恒发票到</t>
  </si>
  <si>
    <t>05084906</t>
  </si>
  <si>
    <t>JC-XF-01-01</t>
  </si>
  <si>
    <t>09398017-04799020</t>
  </si>
  <si>
    <t>2023/1/30</t>
  </si>
  <si>
    <t>记30</t>
  </si>
  <si>
    <t>1-17付巴州水木堂3#楼装修工程款发票到冲2022年12月41#凭证暂估</t>
  </si>
  <si>
    <t>04983153</t>
  </si>
  <si>
    <t>2023/1/31</t>
  </si>
  <si>
    <t>记54</t>
  </si>
  <si>
    <t>1-10新疆华汇电梯刷卡设备发票到</t>
  </si>
  <si>
    <t>JZ-DT-02-3</t>
  </si>
  <si>
    <t>09470321</t>
  </si>
  <si>
    <t>竣工后的改造合同</t>
  </si>
  <si>
    <t>记29</t>
  </si>
  <si>
    <t>10-17支付新疆通力建设集团2#3#36#楼外墙装修款（倪）</t>
  </si>
  <si>
    <t>01587003</t>
  </si>
  <si>
    <t>记32</t>
  </si>
  <si>
    <t>10-18支付巴州水木堂4-11、16、17#楼门斗装修工程款</t>
  </si>
  <si>
    <t>04983157</t>
  </si>
  <si>
    <t>04983156</t>
  </si>
  <si>
    <t>11-22支付通力建设8-11#楼、16、17、2#楼工程款（顾）</t>
  </si>
  <si>
    <t>00803627</t>
  </si>
  <si>
    <t>记53</t>
  </si>
  <si>
    <t>11-28通力建设集团三期工程款发票到</t>
  </si>
  <si>
    <t>00803629-00803632</t>
  </si>
  <si>
    <t>2023/12/8</t>
  </si>
  <si>
    <t>12-08支付坚乐美三期、四期铝合金门窗款</t>
  </si>
  <si>
    <t>23562000000007329873</t>
  </si>
  <si>
    <t>2-16通力建设工程款3#-7#发票到（郑）</t>
  </si>
  <si>
    <t>09426917</t>
  </si>
  <si>
    <t>2-16通力建设沁春锦苑4-11、16-17#楼绿化工程款发票到（蔚）</t>
  </si>
  <si>
    <t>09426919</t>
  </si>
  <si>
    <t>2-16通力建设沁春锦苑31#36#楼工程款发票到（邓）</t>
  </si>
  <si>
    <t>09426920</t>
  </si>
  <si>
    <t>2023/4/12</t>
  </si>
  <si>
    <t>记36</t>
  </si>
  <si>
    <t>4-27股份3#-7#楼工程款（郑）发票到</t>
  </si>
  <si>
    <t>09616227</t>
  </si>
  <si>
    <t>JZ-MC-06-03</t>
  </si>
  <si>
    <t>094188882-094188885</t>
  </si>
  <si>
    <t>记95</t>
  </si>
  <si>
    <t>4-30调2013年3月15#凭证缴纳城市配套费4547867.58元，其中玫瑰三期冲减518829.57元，余额4029038.01元已于后期开发沁春锦苑及春和景苑项目中在缴纳配套费时逐步冲减，现补充账务处理</t>
  </si>
  <si>
    <t>6914362671</t>
  </si>
  <si>
    <t>2023/4/7</t>
  </si>
  <si>
    <t>4-1青橄榄3#楼处道闸发票到</t>
  </si>
  <si>
    <t>JC-TCC-02</t>
  </si>
  <si>
    <t>06500221130</t>
  </si>
  <si>
    <t>05368722</t>
  </si>
  <si>
    <t>5-17江苏中义二期、三期外网给排水、消防工程款发票到</t>
  </si>
  <si>
    <t>09548285-09548289</t>
  </si>
  <si>
    <t>2023/5/29</t>
  </si>
  <si>
    <t>记62</t>
  </si>
  <si>
    <t>5-27通力建设集团8-11、16、17#楼工程款发票到（顾）</t>
  </si>
  <si>
    <t>09616237</t>
  </si>
  <si>
    <t>2023/6/9</t>
  </si>
  <si>
    <t>6-13支付通力建设（顾）8-11#、16、17#楼工程款</t>
  </si>
  <si>
    <t>06500231130</t>
  </si>
  <si>
    <t>06542327</t>
  </si>
  <si>
    <t>2023/8/23</t>
  </si>
  <si>
    <t>8-23支付通力建设集团3#-7#楼工程款（郑）</t>
  </si>
  <si>
    <t>06661094</t>
  </si>
  <si>
    <t>记55</t>
  </si>
  <si>
    <t>8-23支付青橄榄3#楼监控安装款</t>
  </si>
  <si>
    <t>JC-JK-02</t>
  </si>
  <si>
    <t>05368725</t>
  </si>
  <si>
    <t>记17</t>
  </si>
  <si>
    <t>9-25青橄榄4-17#楼可视对讲工程款前期多开发票开具红字发票</t>
  </si>
  <si>
    <t>01684787</t>
  </si>
  <si>
    <t>记19</t>
  </si>
  <si>
    <t>9-25青橄榄3#楼监控系统前期多开发票（已认证）红字发票开具</t>
  </si>
  <si>
    <t>01684788</t>
  </si>
  <si>
    <t>记6</t>
  </si>
  <si>
    <t>9-4支付坚乐美4#-11#、16#；12-15#、38#楼工程款</t>
  </si>
  <si>
    <t>06681407</t>
  </si>
  <si>
    <t>06681408</t>
  </si>
  <si>
    <t>06681409</t>
  </si>
  <si>
    <t>01609648</t>
  </si>
  <si>
    <t>01609649</t>
  </si>
  <si>
    <t>06552634</t>
  </si>
  <si>
    <t>06552637-06552638</t>
  </si>
  <si>
    <t>2020-06-05</t>
  </si>
  <si>
    <t>记 - 36</t>
  </si>
  <si>
    <t>6-4付开拓空间沁春锦苑三期设计费</t>
  </si>
  <si>
    <t>Q-SJ-9</t>
  </si>
  <si>
    <t>03815927</t>
  </si>
  <si>
    <t>2020-06-28</t>
  </si>
  <si>
    <t>6-28付益诚三期设计费</t>
  </si>
  <si>
    <t>03815944</t>
  </si>
  <si>
    <t>2465200000012003607</t>
  </si>
  <si>
    <t>2024/4/22</t>
  </si>
  <si>
    <t>4-16全福门窗发票到</t>
  </si>
  <si>
    <t>24652000000019128105</t>
  </si>
  <si>
    <t>5-15永绍4-11、16、17及、18、21、22#楼发票到</t>
  </si>
  <si>
    <t>24652000000024705240</t>
  </si>
  <si>
    <t>24652000000024724812</t>
  </si>
  <si>
    <t>5-16基安岩土（11、17、13-15、18.21-22#楼）三期勘察费发票到</t>
  </si>
  <si>
    <t>2465200000004944943</t>
  </si>
  <si>
    <t>5-16巴州水木堂3#楼装修工程款发票到</t>
  </si>
  <si>
    <t>2465200000024955152</t>
  </si>
  <si>
    <t>2024/9/26</t>
  </si>
  <si>
    <t>9-29通力建设沁春锦苑2#、8#-11#、16、17#楼（顾永祥） 工程进度款发票到</t>
  </si>
  <si>
    <t>24652000000056416576</t>
  </si>
  <si>
    <t>银行存款日记账SGRJZ2336沁春锦苑3#商业楼、4、5、6、7#住宅楼建设工程款（郑）发票到</t>
  </si>
  <si>
    <t>'24652000000067404740</t>
  </si>
  <si>
    <t>2024/11/13</t>
  </si>
  <si>
    <t>11-04冠弘建筑3#楼新增石材及警卫室外墙粉刷工程款发票到</t>
  </si>
  <si>
    <t>巴州冠弘建筑装饰有限公司</t>
  </si>
  <si>
    <t>'24652000000065960920</t>
  </si>
  <si>
    <t>2024/11/14</t>
  </si>
  <si>
    <t>11-14江苏中义沁春锦苑二期、三期给排水、消防外网工程款发票到</t>
  </si>
  <si>
    <t>'24652000000066185363</t>
  </si>
  <si>
    <t>11-04水木堂3#楼内外装修工程款发票到</t>
  </si>
  <si>
    <t>坚乐美3#楼电梯井发票到</t>
  </si>
  <si>
    <t>24652000000072795958</t>
  </si>
  <si>
    <t>11-24/29沁春锦苑4#-11、16、17#楼防火门防盗门及进户门智能锁采购安装款发票到</t>
  </si>
  <si>
    <t>2465200000072637741</t>
  </si>
  <si>
    <t>11-24/29沁春锦苑4#-11、16、17#楼防火门防盗门及进户门智能锁采购安装款发票到冲2022年12月42#凭证暂估成本入账</t>
  </si>
  <si>
    <t>2465200000072657556</t>
  </si>
  <si>
    <t>11-24/29沁春锦苑4#-11、16、17#楼防火门防盗门及进户门智能锁采购安装款发票到冲2022年12月42#凭证暂估成本入账开发成本余额0.01元转入开发产品三期</t>
  </si>
  <si>
    <t>2465200000071260219</t>
  </si>
  <si>
    <t>2465200000071251146</t>
  </si>
  <si>
    <t>24652000000072875913</t>
  </si>
  <si>
    <t>24652000000072907970</t>
  </si>
  <si>
    <t>24652000000072907980</t>
  </si>
  <si>
    <t>24652000000072899549</t>
  </si>
  <si>
    <t>11-16天拓空间三期放线费发票到</t>
  </si>
  <si>
    <t>09511660</t>
  </si>
  <si>
    <t>账务处理错误，实际为三期成本</t>
  </si>
  <si>
    <t>2020-12-19</t>
  </si>
  <si>
    <t>记 - 193</t>
  </si>
  <si>
    <t>12-16巴州理想家3#商业楼设计发票到</t>
  </si>
  <si>
    <t>09543762
09543763</t>
  </si>
  <si>
    <t>2024/12/19</t>
  </si>
  <si>
    <t>尚未取得发票，暂估成本</t>
  </si>
  <si>
    <t>2025-4/8</t>
  </si>
  <si>
    <t>记 - 8</t>
  </si>
  <si>
    <t>25652000000020551876</t>
  </si>
  <si>
    <r>
      <rPr>
        <sz val="16"/>
        <color rgb="FF000000"/>
        <rFont val="方正小标宋简体"/>
        <charset val="134"/>
      </rPr>
      <t>T23220</t>
    </r>
    <r>
      <rPr>
        <sz val="16"/>
        <color rgb="FF000000"/>
        <rFont val="宋体"/>
        <charset val="134"/>
      </rPr>
      <t>附表</t>
    </r>
    <r>
      <rPr>
        <sz val="16"/>
        <color rgb="FF000000"/>
        <rFont val="Calibri"/>
        <charset val="134"/>
      </rPr>
      <t>8-</t>
    </r>
    <r>
      <rPr>
        <sz val="16"/>
        <color rgb="FF000000"/>
        <rFont val="宋体"/>
        <charset val="134"/>
      </rPr>
      <t>合同明细采集底稿</t>
    </r>
  </si>
  <si>
    <t>*合同编号</t>
  </si>
  <si>
    <t>*合同名称</t>
  </si>
  <si>
    <t>*收款单位</t>
  </si>
  <si>
    <t>合同签订日期</t>
  </si>
  <si>
    <t>结算金额</t>
  </si>
  <si>
    <t>*关联关系（是否）</t>
  </si>
  <si>
    <t>*甲方供材
（是否）</t>
  </si>
  <si>
    <t>*不同项目分摊
（是否）</t>
  </si>
  <si>
    <t>项目间共同成本费用分摊信息</t>
  </si>
  <si>
    <t>分期合同分摊方法</t>
  </si>
  <si>
    <t>分摊至本期项目扣除比例</t>
  </si>
  <si>
    <t>申报准予扣除的记账金额</t>
  </si>
  <si>
    <t>前期累计
分摊金额</t>
  </si>
  <si>
    <t>本期项目
扣除金额</t>
  </si>
  <si>
    <t>剩余
待摊金额</t>
  </si>
  <si>
    <t>共同成本费用应当分摊的项目名称（下拉选择）</t>
  </si>
  <si>
    <t>不含说金额</t>
  </si>
  <si>
    <t>16=13-14-15</t>
  </si>
  <si>
    <t>项目1</t>
  </si>
  <si>
    <t>项目2</t>
  </si>
  <si>
    <t>项目3</t>
  </si>
  <si>
    <t>项目4</t>
  </si>
  <si>
    <t>项目5</t>
  </si>
  <si>
    <t>项目6</t>
  </si>
  <si>
    <t>项目7</t>
  </si>
  <si>
    <t>项目8</t>
  </si>
  <si>
    <t>项目9</t>
  </si>
  <si>
    <t>项目10</t>
  </si>
  <si>
    <t>沁春景苑幼儿园室外工程</t>
  </si>
  <si>
    <t>建设工程合同</t>
  </si>
  <si>
    <t>新疆精诚所至装饰工程有限责任公司（金克）</t>
  </si>
  <si>
    <t>请填写</t>
  </si>
  <si>
    <t>一期大门两侧人员通行系统</t>
  </si>
  <si>
    <t>买卖合同</t>
  </si>
  <si>
    <t>巴州四通电子科技有限公司</t>
  </si>
  <si>
    <t>幼儿园电梯销售安装合同（31#楼）</t>
  </si>
  <si>
    <t>新疆华汇建安机械设备有限公司（许林）</t>
  </si>
  <si>
    <t>水土保持方案编制合同</t>
  </si>
  <si>
    <t>技术合同</t>
  </si>
  <si>
    <t>新疆和禹源生态工程咨询有限公司</t>
  </si>
  <si>
    <t>幼儿园建设工程设计合同（民用建设工程设计合同）</t>
  </si>
  <si>
    <t>新疆益诚开拓空间规划建筑设计研究院有限公司</t>
  </si>
  <si>
    <t>31#36#楼天然气安装工程</t>
  </si>
  <si>
    <t>新疆南天城建（集团）股份有限公司</t>
  </si>
  <si>
    <t>沁春锦苑幼儿园大门、亮化、自行车棚工程合同</t>
  </si>
  <si>
    <t>新疆智明建设工程有限公司</t>
  </si>
  <si>
    <t>37#楼社区用房</t>
  </si>
  <si>
    <t>新疆正杰建筑集团有限公司（张志勇）</t>
  </si>
  <si>
    <t>电缆采购合同-公共社区、幼儿园</t>
  </si>
  <si>
    <t>泰丰线缆有限公司</t>
  </si>
  <si>
    <t>消防通道大门制作安装</t>
  </si>
  <si>
    <t>沁春锦苑升降横移类机械式停车设备销售合同</t>
  </si>
  <si>
    <t>唐山通宝停车设备有限公司</t>
  </si>
  <si>
    <t>沁春锦苑35#楼东侧停车棚安装合同</t>
  </si>
  <si>
    <t>库尔勒坚乐美建筑工程有限责任公司（郑长银）</t>
  </si>
  <si>
    <t>库尔勒天业钢结构制造有限公司</t>
  </si>
  <si>
    <t>沁春锦苑地面停车线、道路标线、人防楼梯间环氧树脂工程</t>
  </si>
  <si>
    <t>巴州卓晟环保科技有限公司（李欢欢1899960）</t>
  </si>
  <si>
    <t>（石材）材料购销合同</t>
  </si>
  <si>
    <t>和硕县兴隆石材工艺有限责任公司（黄金烁）</t>
  </si>
  <si>
    <t>逸航折叠方采购合同</t>
  </si>
  <si>
    <t>河北逸航新诺集成房屋有限公司</t>
  </si>
  <si>
    <t>沁春锦苑小区围挡制作</t>
  </si>
  <si>
    <t>承揽合同</t>
  </si>
  <si>
    <t>巴州方程视广告有限公司（刘亭）</t>
  </si>
  <si>
    <t>一体化预制泵站加工定作合同</t>
  </si>
  <si>
    <t>河北阔龙环保设备有限公司</t>
  </si>
  <si>
    <t>沁春景苑喷雾造景采购合同</t>
  </si>
  <si>
    <t>成都锦胜雾森环保科技有限公司</t>
  </si>
  <si>
    <t>专业建设工程设计合同</t>
  </si>
  <si>
    <t>乌鲁木齐大漠林海绿化有限责任公司（蔚晓芳）</t>
  </si>
  <si>
    <t>雕塑工程合同</t>
  </si>
  <si>
    <t>曲阳县石磊石材雕塑有限公司</t>
  </si>
  <si>
    <t>建设工程施工合同12-15#楼38#楼、31#楼幼儿园（幼儿园—）</t>
  </si>
  <si>
    <t>新疆通力建设集团股份有限公司（顾）</t>
  </si>
  <si>
    <t>规划设计合同书</t>
  </si>
  <si>
    <t>上海联创建筑设计有限公司新疆分公司</t>
  </si>
  <si>
    <t>沁春锦苑小区一体化污水处理设备购销</t>
  </si>
  <si>
    <t>新疆明德竟业工程有限公司</t>
  </si>
  <si>
    <t>沁春锦苑大字制作合同</t>
  </si>
  <si>
    <t>巴州青橄榄电子科技有限公司（党曌）</t>
  </si>
  <si>
    <t>沁春锦苑小区景观轴亮化工程合同</t>
  </si>
  <si>
    <t>二期、三期给排水、消防工程施工合同-社区用房</t>
  </si>
  <si>
    <t>江苏中义消防工程有限公司巴州分公司（巩红卫）</t>
  </si>
  <si>
    <t>二期、三期给排水、消防工程施工合同-幼儿园</t>
  </si>
  <si>
    <t>电缆（景观雾化使用）</t>
  </si>
  <si>
    <t>新疆云景环保科技有限公司(13999983055)</t>
  </si>
  <si>
    <t>沁春锦苑室外管网设计</t>
  </si>
  <si>
    <t>库尔勒开拓规划设计研究院</t>
  </si>
  <si>
    <t>沁春锦苑（住宅部分）技术服务合同书</t>
  </si>
  <si>
    <t>上海坤喆企业管理中心</t>
  </si>
  <si>
    <t>手工填写分摊比例</t>
  </si>
  <si>
    <t>沁园春锦BIM咨询服务协议</t>
  </si>
  <si>
    <t>新疆佳联筑创建筑科技有限公司</t>
  </si>
  <si>
    <t>2020/09/1</t>
  </si>
  <si>
    <t>沁园春锦建设用地土壤氡水平检测</t>
  </si>
  <si>
    <t>核工业二一六大队</t>
  </si>
  <si>
    <t>沁春锦苑沁春景苑绿色建筑心机指标申报材料</t>
  </si>
  <si>
    <t>北京中城科绿色建筑科技有限公司</t>
  </si>
  <si>
    <t>沁春锦苑驻车器</t>
  </si>
  <si>
    <t>12-15、18-22#、38#建设工程设计合同（民用建设工程设计合同）-37#楼</t>
  </si>
  <si>
    <t>4-11、16、17#楼31#楼景观绿化（幼儿园）</t>
  </si>
  <si>
    <t>新疆通力建设集团股份有限公司（蔚晓芳）</t>
  </si>
  <si>
    <t>沁春锦苑1#35#、大门楼施工协议（大门#）</t>
  </si>
  <si>
    <t>新疆通力建设集团股份有限公司（孟）</t>
  </si>
  <si>
    <t>沁春锦苑18#、21#、22#楼、37#社区、地下车库及人防部分建设工程（37#社区）</t>
  </si>
  <si>
    <t>新疆通力建设集团股份有限公司（高）</t>
  </si>
  <si>
    <t>沁春锦苑4-11#16#17#楼31#楼园林景观、道路及停车位、铺装、景观照明工程</t>
  </si>
  <si>
    <t>新疆通力建设集团股份有限公司（杜奇志）</t>
  </si>
  <si>
    <t>沁春锦苑中水处理土建、挡墙、警卫室‘铺装工程</t>
  </si>
  <si>
    <t>新疆通力建设集团股份有限公司（曾建国）</t>
  </si>
  <si>
    <t>31#楼竣工测</t>
  </si>
  <si>
    <t>37#楼竣工测</t>
  </si>
  <si>
    <t>新疆天拓空间信息测绘有限公司</t>
  </si>
  <si>
    <t>37#天然气安装工程</t>
  </si>
  <si>
    <t>供水管道安装（自来水接口）</t>
  </si>
  <si>
    <t>新疆昌源水务集团库尔勒银泉供水有限公司工程分公司</t>
  </si>
  <si>
    <t>托里县天和石业发展有限总公司</t>
  </si>
  <si>
    <t>沁园春景机械师停车位基础设计合同</t>
  </si>
  <si>
    <t>四川中七建筑规划设计有限公司新疆第六分公司</t>
  </si>
  <si>
    <t>新增产品合同</t>
  </si>
  <si>
    <t>沁春锦苑4#6#8#11#16#31#、36#楼铝合金门窗-幼儿园</t>
  </si>
  <si>
    <t>沁春锦苑大门钢结构工程</t>
  </si>
  <si>
    <t>沁春锦苑小区景观廊架工程</t>
  </si>
  <si>
    <t>沁春锦苑塑木条</t>
  </si>
  <si>
    <t>库尔勒诚鑫远建材经销部</t>
  </si>
  <si>
    <t>建设工程监理合同</t>
  </si>
  <si>
    <t>巴州智诚工程项目管理服务有限公司</t>
  </si>
  <si>
    <t>2020/06/1</t>
  </si>
  <si>
    <t>沁春锦苑绿色建筑环评噪音监测费</t>
  </si>
  <si>
    <t>巴州永诚环境检测技术服务有限公司</t>
  </si>
  <si>
    <t>沁春锦苑幼儿园审图费</t>
  </si>
  <si>
    <t>巴州建筑工程施工图设计文件审查中心</t>
  </si>
  <si>
    <t>12#-15#38#、18#21#后花园围栏制作安装、31#楼防盗窗安装-幼儿园</t>
  </si>
  <si>
    <t>建设工程设计合同（专业建设工程）</t>
  </si>
  <si>
    <t>安徽宏泰交通工程设计研究院有限公司</t>
  </si>
  <si>
    <t>37#社区用房壁挂炉</t>
  </si>
  <si>
    <t>巴州建新公路维护有限公司</t>
  </si>
  <si>
    <t>产权转移书据</t>
  </si>
  <si>
    <t>建设工程设计合同（民用建设工程设计合同）</t>
  </si>
  <si>
    <t>河南省人防建筑设计院有限公司新疆分公司</t>
  </si>
  <si>
    <t>其他分摊方法</t>
  </si>
  <si>
    <t>沁春锦苑项目人防门购置18#-21#</t>
  </si>
  <si>
    <t>新疆巨安新粤防护设备有限公司（张照平18167948637）</t>
  </si>
  <si>
    <t>沁春锦苑人防车库防雨棚安装工程</t>
  </si>
  <si>
    <t>沁春锦苑灯布，门牌，标识牌制作及安装费</t>
  </si>
  <si>
    <t>二期、三期给排水、消防工程施工合同-人防</t>
  </si>
  <si>
    <t>沁春锦苑三期人防工程审图费</t>
  </si>
  <si>
    <t>其他合同</t>
  </si>
  <si>
    <t>新疆新城建工程设计审查有限公司</t>
  </si>
  <si>
    <t>沁春锦苑18#、21#、22#楼、37#社区、地下车库及人防部分建设工程（地下人防）</t>
  </si>
  <si>
    <t>沁春锦苑人防车库移动电站设备采购安装工程安装合同</t>
  </si>
  <si>
    <t>新疆拓宇电力建设工程有限公司（何永权）</t>
  </si>
  <si>
    <t>沁春景苑人防室外线缆采购合同</t>
  </si>
  <si>
    <t>新疆胡杨线缆制造有限公司</t>
  </si>
  <si>
    <t>4#-10#建设工程设计合同（民用建设工程设计合同）</t>
  </si>
  <si>
    <t>2#3#11#17#建设工程设计合同（民用建设工程设计合同）</t>
  </si>
  <si>
    <t>11#-15#/17#18#21#22#38#.37#建设工程设计合同（民用建设工程设计合同）-11#、17#</t>
  </si>
  <si>
    <t>沁春锦苑3#楼商业消防改造</t>
  </si>
  <si>
    <t>2020/7/9</t>
  </si>
  <si>
    <t>沁春锦苑一期、二期、三期三网合一FTTH工程施工合同（绿）</t>
  </si>
  <si>
    <t>新疆鑫宇恒建设工程有限公司（蒋华）</t>
  </si>
  <si>
    <t>4-11、16、17#楼31#楼景观绿化（住宅）</t>
  </si>
  <si>
    <t>沁春锦苑2#3#36#楼外墙装修合同</t>
  </si>
  <si>
    <t>新疆通力建设集团股份有限公司（倪）</t>
  </si>
  <si>
    <t>建设工程施工合同12-15#楼38#楼、31#楼.36#幼儿园（36#楼）</t>
  </si>
  <si>
    <t>沁春锦苑4#-11#、16.17.住宅楼，2#3#36#商业楼建设工程施工合同（4-11/16/17#）</t>
  </si>
  <si>
    <t>新疆通力建设集团股份有限公司（邓）</t>
  </si>
  <si>
    <t>沁春锦苑4#-11#、16.17.住宅楼，2#3#36#商业楼建设工程施工合同(2.3#.)</t>
  </si>
  <si>
    <t>4#-10#16#2#3#11#17#建筑红蓝线图及竣工测</t>
  </si>
  <si>
    <t>2#3#36#楼竣工测</t>
  </si>
  <si>
    <t>电气外网供货安装合同（4#-17#31#-36#、12#-38#）2、3#</t>
  </si>
  <si>
    <t>电气外网供货安装合同（4#-17#31#-36#、12#-38#）36#</t>
  </si>
  <si>
    <t>电气外网供货安装合同（4#-17#31#-36#、12#-38#）4-11.16/17#</t>
  </si>
  <si>
    <t>4#-17#天然气安装工程委托建设管理协议书</t>
  </si>
  <si>
    <t>2#3#天然气安装工程委托建设管理协议书</t>
  </si>
  <si>
    <t>一期、二期、三期住宅楼电梯刷卡设备安装改造合同</t>
  </si>
  <si>
    <t>4-11、16、17#楼电梯安装</t>
  </si>
  <si>
    <t>沁春锦苑3#楼电梯销售</t>
  </si>
  <si>
    <t>电缆采购合同-三期</t>
  </si>
  <si>
    <t>电缆采购合同-三期商业</t>
  </si>
  <si>
    <t>沁春锦苑4#-11#、16#17#楼防火门防盗门</t>
  </si>
  <si>
    <t>库尔勒永绍商贸有限公司（项邵于）</t>
  </si>
  <si>
    <t>4-11\16\17#楼进户门智能锁安装</t>
  </si>
  <si>
    <t>测绘合同书（4#-11#、16#17#）</t>
  </si>
  <si>
    <t>库尔勒天平房地产价格评估事务所（有限责任公司）</t>
  </si>
  <si>
    <t>测绘合同书1#2#3#35#36#测绘</t>
  </si>
  <si>
    <t>沁春锦苑4#6#8#11#16#31#、36#楼铝合金门窗</t>
  </si>
  <si>
    <t>沁春锦苑4#6#8#11#16#31#、36#楼铝合金门窗-36#楼</t>
  </si>
  <si>
    <t>沁春锦苑4#6#8#11#16#31#、40#楼铝合金门窗-幼儿园</t>
  </si>
  <si>
    <t>3#楼电梯井钢结构安装</t>
  </si>
  <si>
    <t>二期、三期给排水、消防工程施工合同--2#.3#.36#</t>
  </si>
  <si>
    <t>二期、三期给排水、消防工程施工合同-二期</t>
  </si>
  <si>
    <t>巴州智诚工程项目管理服务有限公司（朱金桥）</t>
  </si>
  <si>
    <t>巴州鑫磊机电设备开关有限责任公司（张国宏）</t>
  </si>
  <si>
    <t>电气外网供货安装合同（4#-17#31#-36#、12#-38#）2、3、36</t>
  </si>
  <si>
    <t>沁春锦苑3#楼内、外装修合同</t>
  </si>
  <si>
    <t>巴州水木堂建筑装饰有限公司（倪）</t>
  </si>
  <si>
    <t>沁春锦苑4#-11#、16#17#楼门斗装修</t>
  </si>
  <si>
    <t>沁春锦苑2#5#7#9#10#17#楼铝合金门窗</t>
  </si>
  <si>
    <t>巴州全福门窗加工有限公司（杨全福）</t>
  </si>
  <si>
    <t>沁春锦苑3#楼铝合金门窗制作安装</t>
  </si>
  <si>
    <t>3#楼监控系统安装</t>
  </si>
  <si>
    <t>3#楼监控系统维修安装安装</t>
  </si>
  <si>
    <t>沁春锦苑4#-17#楼可视对讲安装工程</t>
  </si>
  <si>
    <t>沁春锦苑二期、三期（2-18、21、22、38）楼弱电及弱电管道、监控、道闸、单元人脸识别、高空抛物、电子围栏预埋工程合同（2-17）</t>
  </si>
  <si>
    <t>沁春锦苑道闸</t>
  </si>
  <si>
    <t>2#3#36#11#17#审图费</t>
  </si>
  <si>
    <t>建设工程勘察合同（4-10#楼、16#楼，2#3#36#商业楼、幼儿园）-三期</t>
  </si>
  <si>
    <t>巴州基安岩土工程勘察设计有限责任公司</t>
  </si>
  <si>
    <t>建设工程勘察合同（11#17#13#14#15#楼12#38#18#22#21#37#社区）</t>
  </si>
  <si>
    <t>沁春锦苑4-11#16#17#楼顶不锈钢护栏安装合同</t>
  </si>
  <si>
    <t>沁春锦苑4#-11#、16#17#楼后花园围栏制作安装</t>
  </si>
  <si>
    <t>沁春锦苑4#-17#楼栋牌、单元牌、楼层牌、户室牌制作安装合同</t>
  </si>
  <si>
    <t>沁春锦苑小区2#36#商业亮化工程</t>
  </si>
  <si>
    <t>巴州方程视广告有限公司</t>
  </si>
  <si>
    <r>
      <rPr>
        <sz val="16"/>
        <rFont val="方正小标宋简体"/>
        <charset val="134"/>
      </rPr>
      <t>T30000</t>
    </r>
    <r>
      <rPr>
        <sz val="16"/>
        <rFont val="Microsoft YaHei UI"/>
        <charset val="134"/>
      </rPr>
      <t>工程造价采集表</t>
    </r>
  </si>
  <si>
    <t>清算项目造价信息</t>
  </si>
  <si>
    <t>数据来源</t>
  </si>
  <si>
    <t>分类</t>
  </si>
  <si>
    <t>拓展字段1</t>
  </si>
  <si>
    <t>拓展字段2</t>
  </si>
  <si>
    <t>拓展字段3</t>
  </si>
  <si>
    <t>拓展字段4</t>
  </si>
  <si>
    <t>拓展字段5</t>
  </si>
  <si>
    <t>拓展字段6</t>
  </si>
  <si>
    <t>拓展字段7</t>
  </si>
  <si>
    <t>拓展字段8</t>
  </si>
  <si>
    <t>拓展字段9</t>
  </si>
  <si>
    <t>拓展字段10</t>
  </si>
  <si>
    <t>拓展字段11</t>
  </si>
  <si>
    <t>填报数据</t>
  </si>
  <si>
    <t>单位</t>
  </si>
  <si>
    <t>㎡</t>
  </si>
  <si>
    <t>数量</t>
  </si>
  <si>
    <t>本项目扣除金额</t>
  </si>
  <si>
    <t>单位扣除金额</t>
  </si>
  <si>
    <t>主体建筑基础造价信息</t>
  </si>
  <si>
    <t>楼栋类型</t>
  </si>
  <si>
    <t>房屋结构</t>
  </si>
  <si>
    <t>地质结构</t>
  </si>
  <si>
    <t>桩基类型</t>
  </si>
  <si>
    <t>交付标准</t>
  </si>
  <si>
    <t>外立面类型</t>
  </si>
  <si>
    <t>地上层数</t>
  </si>
  <si>
    <t>地下层数</t>
  </si>
  <si>
    <t>地上建筑面积</t>
  </si>
  <si>
    <t>地下建筑面积</t>
  </si>
  <si>
    <t>其中：人防设施面积</t>
  </si>
  <si>
    <t>总建筑面积</t>
  </si>
  <si>
    <t>地上总层高（m)</t>
  </si>
  <si>
    <t>开工日期</t>
  </si>
  <si>
    <t>竣工日期</t>
  </si>
  <si>
    <t>-1层</t>
  </si>
  <si>
    <t>-2层</t>
  </si>
  <si>
    <t>-3层及以下</t>
  </si>
  <si>
    <t>楼号</t>
  </si>
  <si>
    <t>核算项目</t>
  </si>
  <si>
    <t>商铺套数</t>
  </si>
  <si>
    <t>住宅户数</t>
  </si>
  <si>
    <t>地下室户数</t>
  </si>
  <si>
    <t>住宅面积</t>
  </si>
  <si>
    <t>地下室面积</t>
  </si>
  <si>
    <t>商铺面积</t>
  </si>
  <si>
    <t>测绘总面积</t>
  </si>
  <si>
    <t>差额</t>
  </si>
  <si>
    <t>差异原因</t>
  </si>
  <si>
    <t>地下室计入可售未售可售面积</t>
  </si>
  <si>
    <t>公共配套面积</t>
  </si>
  <si>
    <t>不予清算面积</t>
  </si>
  <si>
    <t>全小区分摊比例</t>
  </si>
  <si>
    <t>住宅之间分摊比例</t>
  </si>
  <si>
    <t>土地的分摊比例</t>
  </si>
  <si>
    <t>19#</t>
  </si>
  <si>
    <t>沁园春锦一期</t>
  </si>
  <si>
    <t>比例</t>
  </si>
  <si>
    <t>20#</t>
  </si>
  <si>
    <t>一期占地面积</t>
  </si>
  <si>
    <t>23#</t>
  </si>
  <si>
    <t>二期占地面积</t>
  </si>
  <si>
    <t>24#</t>
  </si>
  <si>
    <t>三期占地面积</t>
  </si>
  <si>
    <t>25#</t>
  </si>
  <si>
    <t>沁园春锦二期</t>
  </si>
  <si>
    <t>26#</t>
  </si>
  <si>
    <t>玫瑰二期</t>
  </si>
  <si>
    <t>27#</t>
  </si>
  <si>
    <t>玫瑰三期</t>
  </si>
  <si>
    <t>28#</t>
  </si>
  <si>
    <t>顶楼水箱</t>
  </si>
  <si>
    <t>玫瑰庄园应分摊拆迁安置</t>
  </si>
  <si>
    <t>29#</t>
  </si>
  <si>
    <t>30#</t>
  </si>
  <si>
    <t>一期住宅小计</t>
  </si>
  <si>
    <t>32#</t>
  </si>
  <si>
    <t>警卫室（保安室）</t>
  </si>
  <si>
    <t>27.14的警卫室，标注是公告区域</t>
  </si>
  <si>
    <t>33#</t>
  </si>
  <si>
    <t>2层</t>
  </si>
  <si>
    <t>34#</t>
  </si>
  <si>
    <t>35#</t>
  </si>
  <si>
    <t>人防车库的分摊比例（其他分摊方法）</t>
  </si>
  <si>
    <t>1#</t>
  </si>
  <si>
    <t>配建面积</t>
  </si>
  <si>
    <t>分摊比例</t>
  </si>
  <si>
    <t>一期商业小计</t>
  </si>
  <si>
    <t>36#</t>
  </si>
  <si>
    <t>沁园春锦三期</t>
  </si>
  <si>
    <t>2#</t>
  </si>
  <si>
    <t>3#</t>
  </si>
  <si>
    <t>38.8，消防控制室</t>
  </si>
  <si>
    <t>二期商业小计</t>
  </si>
  <si>
    <t>一期小计</t>
  </si>
  <si>
    <t>4#</t>
  </si>
  <si>
    <t>5#</t>
  </si>
  <si>
    <t>6#</t>
  </si>
  <si>
    <t>7#</t>
  </si>
  <si>
    <t>8#</t>
  </si>
  <si>
    <t>9#</t>
  </si>
  <si>
    <t>10#</t>
  </si>
  <si>
    <t>11#</t>
  </si>
  <si>
    <t>16#</t>
  </si>
  <si>
    <t>17#</t>
  </si>
  <si>
    <t>二期住宅小计</t>
  </si>
  <si>
    <t>31#</t>
  </si>
  <si>
    <t>沁园春锦四期</t>
  </si>
  <si>
    <t>幼儿园-确认无单位接受</t>
  </si>
  <si>
    <t>37#</t>
  </si>
  <si>
    <t>沁园春锦五期</t>
  </si>
  <si>
    <t>社区用房，移交已办理</t>
  </si>
  <si>
    <t>人防部分</t>
  </si>
  <si>
    <t>人防验收合同已取得</t>
  </si>
  <si>
    <t>二期小计</t>
  </si>
  <si>
    <t>公共配套小计</t>
  </si>
  <si>
    <t>13#</t>
  </si>
  <si>
    <t>12#</t>
  </si>
  <si>
    <t>14#</t>
  </si>
  <si>
    <t>15#</t>
  </si>
  <si>
    <t>18#</t>
  </si>
  <si>
    <t>38#</t>
  </si>
  <si>
    <t>21#</t>
  </si>
  <si>
    <t>顶部公共水箱</t>
  </si>
  <si>
    <t>顶楼水箱公共区</t>
  </si>
  <si>
    <t>22#</t>
  </si>
  <si>
    <t>三期小计</t>
  </si>
  <si>
    <t>可售小计</t>
  </si>
  <si>
    <t>社区用房</t>
  </si>
  <si>
    <t>其他类型</t>
  </si>
  <si>
    <t>二期三项成本分摊比例</t>
  </si>
  <si>
    <t>取得土地使用权所支付的金额</t>
  </si>
  <si>
    <t>房地产开发费用</t>
  </si>
  <si>
    <t>凭据类型</t>
  </si>
  <si>
    <t>二分法</t>
  </si>
  <si>
    <t>费用计算扣除方法</t>
  </si>
  <si>
    <t>支付的土地出让金额</t>
  </si>
  <si>
    <t>桩基础工程费用</t>
  </si>
  <si>
    <t>利息支出</t>
  </si>
  <si>
    <t>占地面积法</t>
  </si>
  <si>
    <t>砖混</t>
  </si>
  <si>
    <t>均质地质</t>
  </si>
  <si>
    <t>天然基础</t>
  </si>
  <si>
    <t>精装交付</t>
  </si>
  <si>
    <t>标准外立面</t>
  </si>
  <si>
    <t>支付的地价款金额</t>
  </si>
  <si>
    <t>耕地占用税</t>
  </si>
  <si>
    <t>地下室工程费用</t>
  </si>
  <si>
    <t>职工福利费</t>
  </si>
  <si>
    <t>总建筑面积法</t>
  </si>
  <si>
    <t>不可加计</t>
  </si>
  <si>
    <t>商业楼</t>
  </si>
  <si>
    <t>框架</t>
  </si>
  <si>
    <t>淤泥地质</t>
  </si>
  <si>
    <t>预制管桩</t>
  </si>
  <si>
    <t>简装交付</t>
  </si>
  <si>
    <t>玻璃幕墙</t>
  </si>
  <si>
    <t>其他合理方法</t>
  </si>
  <si>
    <t>可售建筑面积法（二分法）</t>
  </si>
  <si>
    <t>人工填写</t>
  </si>
  <si>
    <t>测绘总建筑面积法</t>
  </si>
  <si>
    <t>交纳的有关税费</t>
  </si>
  <si>
    <t>劳动力安置费</t>
  </si>
  <si>
    <t>项目可行性研究费用</t>
  </si>
  <si>
    <t>会所费用</t>
  </si>
  <si>
    <t>折旧费</t>
  </si>
  <si>
    <t>商业裙楼</t>
  </si>
  <si>
    <t>框架剪力墙</t>
  </si>
  <si>
    <t>岩溶地质</t>
  </si>
  <si>
    <t>旋挖桩</t>
  </si>
  <si>
    <t>毛坯交付</t>
  </si>
  <si>
    <t>干挂石材</t>
  </si>
  <si>
    <t>安置动迁用房支出</t>
  </si>
  <si>
    <t>户内装修费用</t>
  </si>
  <si>
    <t>修理费</t>
  </si>
  <si>
    <t>营业税发票</t>
  </si>
  <si>
    <t>计容建筑面积法</t>
  </si>
  <si>
    <t>独栋别墅</t>
  </si>
  <si>
    <t>钢混</t>
  </si>
  <si>
    <t>其他地质</t>
  </si>
  <si>
    <t>钻（冲）孔桩</t>
  </si>
  <si>
    <t>其他外立面</t>
  </si>
  <si>
    <t>拆迁补偿费</t>
  </si>
  <si>
    <t>地质费用</t>
  </si>
  <si>
    <t>高档外立面工程费用</t>
  </si>
  <si>
    <t>办公费</t>
  </si>
  <si>
    <t>层高系数法</t>
  </si>
  <si>
    <t>联排别墅</t>
  </si>
  <si>
    <t>全钢</t>
  </si>
  <si>
    <t>其他类型桩基</t>
  </si>
  <si>
    <t>其他建筑安装工程费</t>
  </si>
  <si>
    <t>排洪工程支出</t>
  </si>
  <si>
    <t>物业管理场所费用</t>
  </si>
  <si>
    <t>水电费</t>
  </si>
  <si>
    <t>运输合同</t>
  </si>
  <si>
    <t>配套设施</t>
  </si>
  <si>
    <t>预制装配</t>
  </si>
  <si>
    <t>居委会用房</t>
  </si>
  <si>
    <t>变电站费用</t>
  </si>
  <si>
    <t>劳动保护费</t>
  </si>
  <si>
    <t>未取得凭据</t>
  </si>
  <si>
    <t>借款合同</t>
  </si>
  <si>
    <t>其他类型楼栋</t>
  </si>
  <si>
    <t>派出所用房</t>
  </si>
  <si>
    <t>热力站费用</t>
  </si>
  <si>
    <t>周转房摊销费</t>
  </si>
  <si>
    <t>融资租赁合同</t>
  </si>
  <si>
    <t>会所</t>
  </si>
  <si>
    <t>环卫工程支出</t>
  </si>
  <si>
    <t>水厂费用</t>
  </si>
  <si>
    <t>租赁合同</t>
  </si>
  <si>
    <t>非机动车库（场）</t>
  </si>
  <si>
    <t>文体场馆费用</t>
  </si>
  <si>
    <t>保管合同</t>
  </si>
  <si>
    <t>地下人防设施</t>
  </si>
  <si>
    <t>学校费用</t>
  </si>
  <si>
    <t>仓储合同</t>
  </si>
  <si>
    <t>物业管理场所</t>
  </si>
  <si>
    <t>财产保险合同</t>
  </si>
  <si>
    <t>变电站</t>
  </si>
  <si>
    <t>托儿所费用</t>
  </si>
  <si>
    <t>热力站</t>
  </si>
  <si>
    <t>医院费用</t>
  </si>
  <si>
    <t>水厂</t>
  </si>
  <si>
    <t>邮电通讯费用</t>
  </si>
  <si>
    <t>文体场馆</t>
  </si>
  <si>
    <t>学校</t>
  </si>
  <si>
    <t>幼儿园</t>
  </si>
  <si>
    <t>托儿所</t>
  </si>
  <si>
    <t>医院</t>
  </si>
  <si>
    <t>邮电通讯</t>
  </si>
  <si>
    <t>其他非营业性房产</t>
  </si>
</sst>
</file>

<file path=xl/styles.xml><?xml version="1.0" encoding="utf-8"?>
<styleSheet xmlns="http://schemas.openxmlformats.org/spreadsheetml/2006/main" xmlns:mc="http://schemas.openxmlformats.org/markup-compatibility/2006" xmlns:xr9="http://schemas.microsoft.com/office/spreadsheetml/2016/revision9" mc:Ignorable="xr9">
  <numFmts count="1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00%"/>
    <numFmt numFmtId="178" formatCode="yyyy/m/d;@"/>
    <numFmt numFmtId="179" formatCode="0.00_);[Red]\(0.00\)"/>
    <numFmt numFmtId="180" formatCode="_ * #,##0_ ;_ * \-#,##0_ ;_ * &quot;-&quot;??_ ;_ @_ "/>
    <numFmt numFmtId="181" formatCode="#,##0_);[Red]\(#,##0\)"/>
    <numFmt numFmtId="182" formatCode="0.00_ "/>
    <numFmt numFmtId="183" formatCode="[$-409]yyyy\-mm\-dd;@"/>
    <numFmt numFmtId="184" formatCode="0_ "/>
    <numFmt numFmtId="185" formatCode="0.0000%"/>
    <numFmt numFmtId="186" formatCode="0.000000%"/>
  </numFmts>
  <fonts count="87">
    <font>
      <sz val="14"/>
      <color theme="1"/>
      <name val="宋体"/>
      <charset val="134"/>
    </font>
    <font>
      <sz val="10"/>
      <name val="宋体"/>
      <charset val="134"/>
      <scheme val="minor"/>
    </font>
    <font>
      <sz val="10"/>
      <color rgb="FF7030A0"/>
      <name val="宋体"/>
      <charset val="134"/>
      <scheme val="minor"/>
    </font>
    <font>
      <b/>
      <sz val="10"/>
      <name val="宋体"/>
      <charset val="134"/>
      <scheme val="minor"/>
    </font>
    <font>
      <sz val="10"/>
      <color theme="1"/>
      <name val="宋体"/>
      <charset val="134"/>
      <scheme val="minor"/>
    </font>
    <font>
      <sz val="12"/>
      <name val="宋体"/>
      <charset val="134"/>
    </font>
    <font>
      <sz val="10"/>
      <name val="宋体"/>
      <charset val="134"/>
    </font>
    <font>
      <b/>
      <sz val="10"/>
      <name val="宋体"/>
      <charset val="134"/>
    </font>
    <font>
      <b/>
      <sz val="12"/>
      <name val="宋体"/>
      <charset val="134"/>
    </font>
    <font>
      <sz val="16"/>
      <name val="方正小标宋简体"/>
      <charset val="134"/>
    </font>
    <font>
      <b/>
      <sz val="10"/>
      <color theme="1"/>
      <name val="宋体"/>
      <charset val="134"/>
      <scheme val="minor"/>
    </font>
    <font>
      <sz val="10"/>
      <color rgb="FFFF0000"/>
      <name val="宋体"/>
      <charset val="134"/>
      <scheme val="minor"/>
    </font>
    <font>
      <sz val="16"/>
      <color rgb="FF000000"/>
      <name val="方正小标宋简体"/>
      <charset val="134"/>
    </font>
    <font>
      <sz val="11"/>
      <color rgb="FF000000"/>
      <name val="Times New Roman"/>
      <charset val="134"/>
    </font>
    <font>
      <b/>
      <sz val="11"/>
      <name val="宋体"/>
      <charset val="134"/>
    </font>
    <font>
      <sz val="10"/>
      <color indexed="8"/>
      <name val="宋体"/>
      <charset val="134"/>
    </font>
    <font>
      <sz val="8"/>
      <name val="宋体"/>
      <charset val="134"/>
    </font>
    <font>
      <b/>
      <sz val="11"/>
      <color rgb="FF000000"/>
      <name val="宋体-简"/>
      <charset val="134"/>
    </font>
    <font>
      <sz val="11"/>
      <name val="宋体"/>
      <charset val="134"/>
    </font>
    <font>
      <b/>
      <sz val="10"/>
      <color theme="1"/>
      <name val="宋体"/>
      <charset val="134"/>
    </font>
    <font>
      <b/>
      <sz val="10"/>
      <color rgb="FF000000"/>
      <name val="宋体"/>
      <charset val="134"/>
    </font>
    <font>
      <sz val="11"/>
      <name val="宋体"/>
      <charset val="134"/>
      <scheme val="minor"/>
    </font>
    <font>
      <sz val="10"/>
      <color rgb="FF000000"/>
      <name val="宋体"/>
      <charset val="134"/>
    </font>
    <font>
      <sz val="11"/>
      <color theme="1"/>
      <name val="宋体"/>
      <charset val="134"/>
      <scheme val="minor"/>
    </font>
    <font>
      <sz val="11"/>
      <color indexed="8"/>
      <name val="宋体"/>
      <charset val="134"/>
      <scheme val="minor"/>
    </font>
    <font>
      <sz val="9"/>
      <name val="宋体"/>
      <charset val="134"/>
    </font>
    <font>
      <sz val="10"/>
      <color theme="1"/>
      <name val="宋体"/>
      <charset val="134"/>
    </font>
    <font>
      <sz val="9"/>
      <color theme="1"/>
      <name val="宋体"/>
      <charset val="134"/>
      <scheme val="minor"/>
    </font>
    <font>
      <sz val="11"/>
      <color rgb="FF000000"/>
      <name val="宋体"/>
      <charset val="134"/>
      <scheme val="minor"/>
    </font>
    <font>
      <sz val="11"/>
      <color rgb="FF000000"/>
      <name val="宋体"/>
      <charset val="134"/>
    </font>
    <font>
      <sz val="10"/>
      <color rgb="FF000000"/>
      <name val="宋体"/>
      <charset val="134"/>
      <scheme val="minor"/>
    </font>
    <font>
      <sz val="9"/>
      <color rgb="FF000000"/>
      <name val="宋体"/>
      <charset val="134"/>
      <scheme val="minor"/>
    </font>
    <font>
      <sz val="11"/>
      <color rgb="FFFF0000"/>
      <name val="宋体"/>
      <charset val="134"/>
    </font>
    <font>
      <sz val="10"/>
      <color rgb="FFFF0000"/>
      <name val="宋体"/>
      <charset val="134"/>
    </font>
    <font>
      <b/>
      <sz val="9"/>
      <name val="宋体"/>
      <charset val="134"/>
    </font>
    <font>
      <sz val="14"/>
      <name val="方正小标宋简体"/>
      <charset val="134"/>
    </font>
    <font>
      <sz val="12"/>
      <color theme="1"/>
      <name val="宋体"/>
      <charset val="134"/>
      <scheme val="minor"/>
    </font>
    <font>
      <sz val="10"/>
      <color theme="4"/>
      <name val="宋体"/>
      <charset val="134"/>
    </font>
    <font>
      <sz val="12"/>
      <color theme="1"/>
      <name val="宋体"/>
      <charset val="134"/>
    </font>
    <font>
      <sz val="12"/>
      <color rgb="FF000000"/>
      <name val="宋体"/>
      <charset val="134"/>
    </font>
    <font>
      <b/>
      <sz val="11"/>
      <color rgb="FF000000"/>
      <name val="Times New Roman"/>
      <charset val="134"/>
    </font>
    <font>
      <sz val="16"/>
      <color indexed="8"/>
      <name val="方正小标宋简体"/>
      <charset val="134"/>
    </font>
    <font>
      <b/>
      <sz val="10"/>
      <color indexed="8"/>
      <name val="宋体"/>
      <charset val="134"/>
    </font>
    <font>
      <b/>
      <sz val="11"/>
      <color indexed="8"/>
      <name val="宋体"/>
      <charset val="134"/>
    </font>
    <font>
      <b/>
      <sz val="12"/>
      <name val="Times New Roman"/>
      <charset val="134"/>
    </font>
    <font>
      <sz val="12"/>
      <color rgb="FFFF0000"/>
      <name val="宋体"/>
      <charset val="134"/>
    </font>
    <font>
      <sz val="20"/>
      <name val="方正小标宋简体"/>
      <charset val="134"/>
    </font>
    <font>
      <sz val="14"/>
      <name val="宋体"/>
      <charset val="134"/>
    </font>
    <font>
      <sz val="14"/>
      <color indexed="8"/>
      <name val="宋体"/>
      <charset val="134"/>
    </font>
    <font>
      <b/>
      <sz val="14"/>
      <color indexed="8"/>
      <name val="宋体"/>
      <charset val="134"/>
    </font>
    <font>
      <sz val="14"/>
      <color rgb="FF232323"/>
      <name val="宋体"/>
      <charset val="134"/>
    </font>
    <font>
      <b/>
      <sz val="12"/>
      <color theme="1"/>
      <name val="宋体"/>
      <charset val="134"/>
    </font>
    <font>
      <sz val="26"/>
      <color theme="1"/>
      <name val="方正小标宋简体"/>
      <charset val="134"/>
    </font>
    <font>
      <sz val="20"/>
      <color theme="1"/>
      <name val="宋体"/>
      <charset val="134"/>
    </font>
    <font>
      <b/>
      <sz val="14"/>
      <color theme="1"/>
      <name val="宋体"/>
      <charset val="134"/>
    </font>
    <font>
      <sz val="14"/>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
      <sz val="14"/>
      <name val="微软雅黑"/>
      <charset val="134"/>
    </font>
    <font>
      <sz val="16"/>
      <name val="Microsoft YaHei UI"/>
      <charset val="134"/>
    </font>
    <font>
      <sz val="16"/>
      <color rgb="FF000000"/>
      <name val="微软雅黑"/>
      <charset val="134"/>
    </font>
    <font>
      <sz val="14"/>
      <color theme="1"/>
      <name val="Times New Roman"/>
      <charset val="134"/>
    </font>
    <font>
      <sz val="16"/>
      <color rgb="FF000000"/>
      <name val="宋体"/>
      <charset val="134"/>
    </font>
    <font>
      <sz val="16"/>
      <color rgb="FF000000"/>
      <name val="Calibri"/>
      <charset val="134"/>
    </font>
    <font>
      <sz val="16"/>
      <name val="微软雅黑"/>
      <charset val="134"/>
    </font>
    <font>
      <sz val="26"/>
      <color theme="1"/>
      <name val="微软雅黑"/>
      <charset val="134"/>
    </font>
    <font>
      <sz val="20"/>
      <name val="微软雅黑"/>
      <charset val="134"/>
    </font>
    <font>
      <b/>
      <sz val="9"/>
      <name val="宋体"/>
      <charset val="134"/>
    </font>
    <font>
      <sz val="9"/>
      <name val="宋体"/>
      <charset val="134"/>
    </font>
  </fonts>
  <fills count="43">
    <fill>
      <patternFill patternType="none"/>
    </fill>
    <fill>
      <patternFill patternType="gray125"/>
    </fill>
    <fill>
      <patternFill patternType="solid">
        <fgColor theme="0" tint="-0.149937437055574"/>
        <bgColor indexed="64"/>
      </patternFill>
    </fill>
    <fill>
      <patternFill patternType="solid">
        <fgColor theme="0" tint="-0.149906918546098"/>
        <bgColor indexed="64"/>
      </patternFill>
    </fill>
    <fill>
      <patternFill patternType="solid">
        <fgColor theme="2" tint="-0.249977111117893"/>
        <bgColor indexed="64"/>
      </patternFill>
    </fill>
    <fill>
      <patternFill patternType="solid">
        <fgColor rgb="FFFFFF00"/>
        <bgColor indexed="64"/>
      </patternFill>
    </fill>
    <fill>
      <patternFill patternType="solid">
        <fgColor theme="0"/>
        <bgColor indexed="64"/>
      </patternFill>
    </fill>
    <fill>
      <patternFill patternType="solid">
        <fgColor theme="0" tint="-0.14996795556505"/>
        <bgColor indexed="64"/>
      </patternFill>
    </fill>
    <fill>
      <patternFill patternType="solid">
        <fgColor rgb="FFFF0000"/>
        <bgColor indexed="64"/>
      </patternFill>
    </fill>
    <fill>
      <patternFill patternType="solid">
        <fgColor rgb="FF5B9BD5"/>
        <bgColor indexed="64"/>
      </patternFill>
    </fill>
    <fill>
      <patternFill patternType="solid">
        <fgColor theme="0" tint="-0.249977111117893"/>
        <bgColor indexed="64"/>
      </patternFill>
    </fill>
    <fill>
      <patternFill patternType="solid">
        <fgColor indexed="65"/>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0">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bottom style="thin">
        <color auto="1"/>
      </bottom>
      <diagonal/>
    </border>
    <border diagonalUp="1">
      <left style="thin">
        <color auto="1"/>
      </left>
      <right style="thin">
        <color auto="1"/>
      </right>
      <top style="thin">
        <color auto="1"/>
      </top>
      <bottom style="thin">
        <color auto="1"/>
      </bottom>
      <diagonal style="thin">
        <color auto="1"/>
      </diagonal>
    </border>
    <border>
      <left style="medium">
        <color rgb="FF000000"/>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5">
    <xf numFmtId="0" fontId="0" fillId="0" borderId="0">
      <alignment vertical="center"/>
    </xf>
    <xf numFmtId="43" fontId="5" fillId="0" borderId="0" applyFont="0" applyFill="0" applyBorder="0" applyAlignment="0" applyProtection="0">
      <alignment vertical="center"/>
    </xf>
    <xf numFmtId="44" fontId="23" fillId="0" borderId="0" applyFont="0" applyFill="0" applyBorder="0" applyAlignment="0" applyProtection="0">
      <alignment vertical="center"/>
    </xf>
    <xf numFmtId="9" fontId="5" fillId="0" borderId="0" applyFont="0" applyFill="0" applyBorder="0" applyAlignment="0" applyProtection="0">
      <alignment vertical="center"/>
    </xf>
    <xf numFmtId="41" fontId="23" fillId="0" borderId="0" applyFont="0" applyFill="0" applyBorder="0" applyAlignment="0" applyProtection="0">
      <alignment vertical="center"/>
    </xf>
    <xf numFmtId="42" fontId="23" fillId="0" borderId="0" applyFont="0" applyFill="0" applyBorder="0" applyAlignment="0" applyProtection="0">
      <alignment vertical="center"/>
    </xf>
    <xf numFmtId="0" fontId="56"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23" fillId="12" borderId="12" applyNumberFormat="0" applyFont="0" applyAlignment="0" applyProtection="0">
      <alignment vertical="center"/>
    </xf>
    <xf numFmtId="0" fontId="58" fillId="0" borderId="0" applyNumberFormat="0" applyFill="0" applyBorder="0" applyAlignment="0" applyProtection="0">
      <alignment vertical="center"/>
    </xf>
    <xf numFmtId="0" fontId="59" fillId="0" borderId="0" applyNumberFormat="0" applyFill="0" applyBorder="0" applyAlignment="0" applyProtection="0">
      <alignment vertical="center"/>
    </xf>
    <xf numFmtId="0" fontId="60" fillId="0" borderId="0" applyNumberFormat="0" applyFill="0" applyBorder="0" applyAlignment="0" applyProtection="0">
      <alignment vertical="center"/>
    </xf>
    <xf numFmtId="0" fontId="61" fillId="0" borderId="13" applyNumberFormat="0" applyFill="0" applyAlignment="0" applyProtection="0">
      <alignment vertical="center"/>
    </xf>
    <xf numFmtId="0" fontId="62" fillId="0" borderId="13" applyNumberFormat="0" applyFill="0" applyAlignment="0" applyProtection="0">
      <alignment vertical="center"/>
    </xf>
    <xf numFmtId="0" fontId="63" fillId="0" borderId="14" applyNumberFormat="0" applyFill="0" applyAlignment="0" applyProtection="0">
      <alignment vertical="center"/>
    </xf>
    <xf numFmtId="0" fontId="63" fillId="0" borderId="0" applyNumberFormat="0" applyFill="0" applyBorder="0" applyAlignment="0" applyProtection="0">
      <alignment vertical="center"/>
    </xf>
    <xf numFmtId="0" fontId="64" fillId="13" borderId="15" applyNumberFormat="0" applyAlignment="0" applyProtection="0">
      <alignment vertical="center"/>
    </xf>
    <xf numFmtId="0" fontId="65" fillId="14" borderId="16" applyNumberFormat="0" applyAlignment="0" applyProtection="0">
      <alignment vertical="center"/>
    </xf>
    <xf numFmtId="0" fontId="66" fillId="14" borderId="15" applyNumberFormat="0" applyAlignment="0" applyProtection="0">
      <alignment vertical="center"/>
    </xf>
    <xf numFmtId="0" fontId="67" fillId="15" borderId="17" applyNumberFormat="0" applyAlignment="0" applyProtection="0">
      <alignment vertical="center"/>
    </xf>
    <xf numFmtId="0" fontId="68" fillId="0" borderId="18" applyNumberFormat="0" applyFill="0" applyAlignment="0" applyProtection="0">
      <alignment vertical="center"/>
    </xf>
    <xf numFmtId="0" fontId="69" fillId="0" borderId="19" applyNumberFormat="0" applyFill="0" applyAlignment="0" applyProtection="0">
      <alignment vertical="center"/>
    </xf>
    <xf numFmtId="0" fontId="70" fillId="16" borderId="0" applyNumberFormat="0" applyBorder="0" applyAlignment="0" applyProtection="0">
      <alignment vertical="center"/>
    </xf>
    <xf numFmtId="0" fontId="71" fillId="17" borderId="0" applyNumberFormat="0" applyBorder="0" applyAlignment="0" applyProtection="0">
      <alignment vertical="center"/>
    </xf>
    <xf numFmtId="0" fontId="72" fillId="18" borderId="0" applyNumberFormat="0" applyBorder="0" applyAlignment="0" applyProtection="0">
      <alignment vertical="center"/>
    </xf>
    <xf numFmtId="0" fontId="73" fillId="19" borderId="0" applyNumberFormat="0" applyBorder="0" applyAlignment="0" applyProtection="0">
      <alignment vertical="center"/>
    </xf>
    <xf numFmtId="0" fontId="74" fillId="20" borderId="0" applyNumberFormat="0" applyBorder="0" applyAlignment="0" applyProtection="0">
      <alignment vertical="center"/>
    </xf>
    <xf numFmtId="0" fontId="74" fillId="21" borderId="0" applyNumberFormat="0" applyBorder="0" applyAlignment="0" applyProtection="0">
      <alignment vertical="center"/>
    </xf>
    <xf numFmtId="0" fontId="73" fillId="22" borderId="0" applyNumberFormat="0" applyBorder="0" applyAlignment="0" applyProtection="0">
      <alignment vertical="center"/>
    </xf>
    <xf numFmtId="0" fontId="73" fillId="23" borderId="0" applyNumberFormat="0" applyBorder="0" applyAlignment="0" applyProtection="0">
      <alignment vertical="center"/>
    </xf>
    <xf numFmtId="0" fontId="74" fillId="24" borderId="0" applyNumberFormat="0" applyBorder="0" applyAlignment="0" applyProtection="0">
      <alignment vertical="center"/>
    </xf>
    <xf numFmtId="0" fontId="74" fillId="25" borderId="0" applyNumberFormat="0" applyBorder="0" applyAlignment="0" applyProtection="0">
      <alignment vertical="center"/>
    </xf>
    <xf numFmtId="0" fontId="73" fillId="26" borderId="0" applyNumberFormat="0" applyBorder="0" applyAlignment="0" applyProtection="0">
      <alignment vertical="center"/>
    </xf>
    <xf numFmtId="0" fontId="73" fillId="27" borderId="0" applyNumberFormat="0" applyBorder="0" applyAlignment="0" applyProtection="0">
      <alignment vertical="center"/>
    </xf>
    <xf numFmtId="0" fontId="74" fillId="28" borderId="0" applyNumberFormat="0" applyBorder="0" applyAlignment="0" applyProtection="0">
      <alignment vertical="center"/>
    </xf>
    <xf numFmtId="0" fontId="74" fillId="29" borderId="0" applyNumberFormat="0" applyBorder="0" applyAlignment="0" applyProtection="0">
      <alignment vertical="center"/>
    </xf>
    <xf numFmtId="0" fontId="73" fillId="30" borderId="0" applyNumberFormat="0" applyBorder="0" applyAlignment="0" applyProtection="0">
      <alignment vertical="center"/>
    </xf>
    <xf numFmtId="0" fontId="73" fillId="31" borderId="0" applyNumberFormat="0" applyBorder="0" applyAlignment="0" applyProtection="0">
      <alignment vertical="center"/>
    </xf>
    <xf numFmtId="0" fontId="74" fillId="32" borderId="0" applyNumberFormat="0" applyBorder="0" applyAlignment="0" applyProtection="0">
      <alignment vertical="center"/>
    </xf>
    <xf numFmtId="0" fontId="74" fillId="33" borderId="0" applyNumberFormat="0" applyBorder="0" applyAlignment="0" applyProtection="0">
      <alignment vertical="center"/>
    </xf>
    <xf numFmtId="0" fontId="73" fillId="34" borderId="0" applyNumberFormat="0" applyBorder="0" applyAlignment="0" applyProtection="0">
      <alignment vertical="center"/>
    </xf>
    <xf numFmtId="0" fontId="73" fillId="35" borderId="0" applyNumberFormat="0" applyBorder="0" applyAlignment="0" applyProtection="0">
      <alignment vertical="center"/>
    </xf>
    <xf numFmtId="0" fontId="74" fillId="36" borderId="0" applyNumberFormat="0" applyBorder="0" applyAlignment="0" applyProtection="0">
      <alignment vertical="center"/>
    </xf>
    <xf numFmtId="0" fontId="74" fillId="37" borderId="0" applyNumberFormat="0" applyBorder="0" applyAlignment="0" applyProtection="0">
      <alignment vertical="center"/>
    </xf>
    <xf numFmtId="0" fontId="73" fillId="38" borderId="0" applyNumberFormat="0" applyBorder="0" applyAlignment="0" applyProtection="0">
      <alignment vertical="center"/>
    </xf>
    <xf numFmtId="0" fontId="73" fillId="39" borderId="0" applyNumberFormat="0" applyBorder="0" applyAlignment="0" applyProtection="0">
      <alignment vertical="center"/>
    </xf>
    <xf numFmtId="0" fontId="74" fillId="40" borderId="0" applyNumberFormat="0" applyBorder="0" applyAlignment="0" applyProtection="0">
      <alignment vertical="center"/>
    </xf>
    <xf numFmtId="0" fontId="74" fillId="41" borderId="0" applyNumberFormat="0" applyBorder="0" applyAlignment="0" applyProtection="0">
      <alignment vertical="center"/>
    </xf>
    <xf numFmtId="0" fontId="73" fillId="42" borderId="0" applyNumberFormat="0" applyBorder="0" applyAlignment="0" applyProtection="0">
      <alignment vertical="center"/>
    </xf>
    <xf numFmtId="0" fontId="5" fillId="0" borderId="0">
      <alignment vertical="center"/>
    </xf>
    <xf numFmtId="0" fontId="5" fillId="0" borderId="0"/>
    <xf numFmtId="0" fontId="75" fillId="0" borderId="0">
      <alignment vertical="center"/>
    </xf>
    <xf numFmtId="0" fontId="5" fillId="0" borderId="0">
      <alignment vertical="center"/>
    </xf>
    <xf numFmtId="0" fontId="5" fillId="0" borderId="0">
      <alignment vertical="center"/>
    </xf>
    <xf numFmtId="0" fontId="5" fillId="0" borderId="0"/>
  </cellStyleXfs>
  <cellXfs count="552">
    <xf numFmtId="3" fontId="0" fillId="0" borderId="1" xfId="0" applyNumberFormat="1" applyFont="1" applyBorder="1" applyAlignment="1">
      <alignment horizontal="center" vertical="center" wrapText="1"/>
    </xf>
    <xf numFmtId="0" fontId="1" fillId="0" borderId="0" xfId="0" applyFont="1" applyAlignment="1">
      <alignment horizontal="center" vertical="center"/>
    </xf>
    <xf numFmtId="0" fontId="2" fillId="0" borderId="0" xfId="0" applyFont="1" applyAlignment="1">
      <alignment horizontal="center" vertical="center"/>
    </xf>
    <xf numFmtId="0" fontId="3" fillId="2" borderId="1" xfId="0" applyFont="1" applyFill="1" applyBorder="1" applyAlignment="1">
      <alignment horizontal="center" vertical="center"/>
    </xf>
    <xf numFmtId="0" fontId="1" fillId="0" borderId="2" xfId="0" applyFont="1" applyBorder="1" applyAlignment="1">
      <alignment horizontal="center" vertical="center" wrapText="1"/>
    </xf>
    <xf numFmtId="0" fontId="1" fillId="0" borderId="1" xfId="0" applyFont="1" applyBorder="1" applyAlignment="1">
      <alignment horizontal="center" vertical="center" wrapText="1"/>
    </xf>
    <xf numFmtId="0" fontId="1" fillId="0" borderId="1" xfId="50" applyFont="1" applyBorder="1" applyAlignment="1">
      <alignment horizontal="center" vertical="center"/>
    </xf>
    <xf numFmtId="0" fontId="4" fillId="0" borderId="1" xfId="0" applyFont="1" applyBorder="1" applyAlignment="1">
      <alignment horizontal="center" vertical="center" wrapText="1"/>
    </xf>
    <xf numFmtId="0" fontId="1" fillId="0" borderId="1" xfId="0" applyFont="1" applyBorder="1" applyAlignment="1">
      <alignment horizontal="center" vertical="center"/>
    </xf>
    <xf numFmtId="0" fontId="3" fillId="3" borderId="1" xfId="0" applyFont="1" applyFill="1" applyBorder="1" applyAlignment="1">
      <alignment horizontal="center" vertical="center"/>
    </xf>
    <xf numFmtId="0" fontId="1" fillId="0" borderId="3" xfId="0" applyFont="1" applyBorder="1" applyAlignment="1">
      <alignment horizontal="center" vertical="center"/>
    </xf>
    <xf numFmtId="0" fontId="1" fillId="0" borderId="0" xfId="0" applyFont="1" applyAlignment="1">
      <alignment horizontal="center" vertical="center" wrapText="1"/>
    </xf>
    <xf numFmtId="0" fontId="5" fillId="0" borderId="0" xfId="0" applyFont="1" applyFill="1" applyBorder="1" applyAlignment="1">
      <alignment vertical="center"/>
    </xf>
    <xf numFmtId="176" fontId="5" fillId="0" borderId="0" xfId="0" applyNumberFormat="1" applyFont="1" applyFill="1" applyBorder="1" applyAlignment="1">
      <alignment vertical="center"/>
    </xf>
    <xf numFmtId="43" fontId="5" fillId="0" borderId="0" xfId="0" applyNumberFormat="1" applyFont="1" applyFill="1" applyBorder="1" applyAlignment="1">
      <alignment vertical="center"/>
    </xf>
    <xf numFmtId="10" fontId="5" fillId="0" borderId="0" xfId="3" applyNumberFormat="1" applyFont="1">
      <alignment vertical="center"/>
    </xf>
    <xf numFmtId="0" fontId="5" fillId="0" borderId="1" xfId="0" applyFont="1" applyFill="1" applyBorder="1" applyAlignment="1">
      <alignment vertical="center"/>
    </xf>
    <xf numFmtId="176" fontId="5" fillId="0" borderId="1" xfId="0" applyNumberFormat="1" applyFont="1" applyFill="1" applyBorder="1" applyAlignment="1">
      <alignment vertical="center"/>
    </xf>
    <xf numFmtId="0" fontId="5" fillId="4" borderId="3" xfId="0" applyFont="1" applyFill="1" applyBorder="1" applyAlignment="1">
      <alignment horizontal="center" vertical="center"/>
    </xf>
    <xf numFmtId="0" fontId="5" fillId="4" borderId="2" xfId="0" applyFont="1" applyFill="1" applyBorder="1" applyAlignment="1">
      <alignment horizontal="center" vertical="center"/>
    </xf>
    <xf numFmtId="0" fontId="5" fillId="4" borderId="1" xfId="0" applyFont="1" applyFill="1" applyBorder="1" applyAlignment="1">
      <alignment vertical="center"/>
    </xf>
    <xf numFmtId="43" fontId="5" fillId="4" borderId="1" xfId="0" applyNumberFormat="1" applyFont="1" applyFill="1" applyBorder="1" applyAlignment="1">
      <alignment vertical="center"/>
    </xf>
    <xf numFmtId="176" fontId="5" fillId="4" borderId="1" xfId="0" applyNumberFormat="1" applyFont="1" applyFill="1" applyBorder="1" applyAlignment="1">
      <alignment vertical="center"/>
    </xf>
    <xf numFmtId="0" fontId="5" fillId="5" borderId="1" xfId="0" applyFont="1" applyFill="1" applyBorder="1" applyAlignment="1">
      <alignment vertical="center"/>
    </xf>
    <xf numFmtId="0" fontId="5" fillId="0" borderId="3" xfId="0" applyFont="1" applyFill="1" applyBorder="1" applyAlignment="1">
      <alignment vertical="center"/>
    </xf>
    <xf numFmtId="0" fontId="5" fillId="5" borderId="2" xfId="0" applyFont="1" applyFill="1" applyBorder="1" applyAlignment="1">
      <alignment vertical="center"/>
    </xf>
    <xf numFmtId="10" fontId="5" fillId="0" borderId="0" xfId="3" applyNumberFormat="1" applyFont="1" applyFill="1" applyBorder="1" applyAlignment="1">
      <alignment vertical="center"/>
    </xf>
    <xf numFmtId="43" fontId="5" fillId="0" borderId="1" xfId="0" applyNumberFormat="1" applyFont="1" applyFill="1" applyBorder="1" applyAlignment="1">
      <alignment vertical="center"/>
    </xf>
    <xf numFmtId="43" fontId="5" fillId="5" borderId="1" xfId="0" applyNumberFormat="1" applyFont="1" applyFill="1" applyBorder="1" applyAlignment="1">
      <alignment vertical="center"/>
    </xf>
    <xf numFmtId="10" fontId="5" fillId="4" borderId="1" xfId="3" applyNumberFormat="1" applyFont="1" applyFill="1" applyBorder="1">
      <alignment vertical="center"/>
    </xf>
    <xf numFmtId="10" fontId="5" fillId="4" borderId="1" xfId="3" applyNumberFormat="1" applyFont="1" applyFill="1" applyBorder="1" applyAlignment="1">
      <alignment vertical="center"/>
    </xf>
    <xf numFmtId="43" fontId="5" fillId="4" borderId="1" xfId="3" applyNumberFormat="1" applyFont="1" applyFill="1" applyBorder="1">
      <alignment vertical="center"/>
    </xf>
    <xf numFmtId="10" fontId="5" fillId="0" borderId="1" xfId="3" applyNumberFormat="1" applyFont="1" applyFill="1" applyBorder="1">
      <alignment vertical="center"/>
    </xf>
    <xf numFmtId="10" fontId="5" fillId="0" borderId="1" xfId="3" applyNumberFormat="1" applyFont="1" applyFill="1" applyBorder="1" applyAlignment="1">
      <alignment vertical="center"/>
    </xf>
    <xf numFmtId="0" fontId="5" fillId="0" borderId="3" xfId="0" applyFont="1" applyFill="1" applyBorder="1" applyAlignment="1">
      <alignment horizontal="center" vertical="center"/>
    </xf>
    <xf numFmtId="0" fontId="5" fillId="0" borderId="4" xfId="0" applyFont="1" applyFill="1" applyBorder="1" applyAlignment="1">
      <alignment horizontal="center" vertical="center"/>
    </xf>
    <xf numFmtId="0" fontId="5" fillId="0" borderId="2" xfId="0" applyFont="1" applyFill="1" applyBorder="1" applyAlignment="1">
      <alignment horizontal="center" vertical="center"/>
    </xf>
    <xf numFmtId="9" fontId="5" fillId="0" borderId="1" xfId="3" applyFont="1" applyFill="1" applyBorder="1" applyAlignment="1">
      <alignment vertical="center"/>
    </xf>
    <xf numFmtId="10" fontId="5" fillId="0" borderId="1" xfId="3" applyNumberFormat="1" applyFont="1" applyFill="1" applyBorder="1" applyAlignment="1" applyProtection="1">
      <alignment vertical="center"/>
    </xf>
    <xf numFmtId="0" fontId="5" fillId="0" borderId="1" xfId="0" applyFont="1" applyFill="1" applyBorder="1" applyAlignment="1">
      <alignment horizontal="center" vertical="center"/>
    </xf>
    <xf numFmtId="177" fontId="5" fillId="0" borderId="1" xfId="3" applyNumberFormat="1" applyFont="1" applyFill="1" applyBorder="1" applyAlignment="1">
      <alignment vertical="center"/>
    </xf>
    <xf numFmtId="10" fontId="5" fillId="5" borderId="1" xfId="3" applyNumberFormat="1" applyFont="1" applyFill="1" applyBorder="1" applyAlignment="1">
      <alignment vertical="center"/>
    </xf>
    <xf numFmtId="0" fontId="5" fillId="5" borderId="0" xfId="0" applyFont="1" applyFill="1" applyBorder="1" applyAlignment="1">
      <alignment vertical="center"/>
    </xf>
    <xf numFmtId="0" fontId="6" fillId="0" borderId="0" xfId="49" applyFont="1" applyAlignment="1">
      <alignment vertical="center" wrapText="1"/>
    </xf>
    <xf numFmtId="0" fontId="7" fillId="0" borderId="0" xfId="49" applyFont="1" applyAlignment="1">
      <alignment vertical="center" wrapText="1"/>
    </xf>
    <xf numFmtId="0" fontId="8" fillId="0" borderId="0" xfId="49" applyFont="1">
      <alignment vertical="center"/>
    </xf>
    <xf numFmtId="0" fontId="7" fillId="0" borderId="0" xfId="49" applyFont="1" applyAlignment="1">
      <alignment horizontal="center" vertical="center" wrapText="1"/>
    </xf>
    <xf numFmtId="0" fontId="6" fillId="0" borderId="0" xfId="49" applyFont="1" applyAlignment="1">
      <alignment horizontal="center" vertical="center" wrapText="1"/>
    </xf>
    <xf numFmtId="43" fontId="6" fillId="0" borderId="0" xfId="1" applyFont="1" applyAlignment="1">
      <alignment horizontal="center" vertical="center" wrapText="1"/>
    </xf>
    <xf numFmtId="178" fontId="6" fillId="0" borderId="0" xfId="49" applyNumberFormat="1" applyFont="1" applyAlignment="1">
      <alignment vertical="center" wrapText="1"/>
    </xf>
    <xf numFmtId="178" fontId="6" fillId="0" borderId="0" xfId="49" applyNumberFormat="1" applyFont="1" applyAlignment="1">
      <alignment horizontal="center" vertical="center" wrapText="1"/>
    </xf>
    <xf numFmtId="0" fontId="5" fillId="0" borderId="0" xfId="49">
      <alignment vertical="center"/>
    </xf>
    <xf numFmtId="0" fontId="9" fillId="0" borderId="0" xfId="49" applyFont="1" applyAlignment="1">
      <alignment horizontal="center" vertical="center" wrapText="1"/>
    </xf>
    <xf numFmtId="0" fontId="6" fillId="0" borderId="5" xfId="49" applyFont="1" applyBorder="1" applyAlignment="1">
      <alignment horizontal="center" vertical="center" wrapText="1"/>
    </xf>
    <xf numFmtId="0" fontId="7" fillId="2" borderId="3" xfId="49" applyFont="1" applyFill="1" applyBorder="1" applyAlignment="1">
      <alignment horizontal="center" vertical="center" wrapText="1"/>
    </xf>
    <xf numFmtId="0" fontId="7" fillId="2" borderId="4" xfId="49" applyFont="1" applyFill="1" applyBorder="1" applyAlignment="1">
      <alignment horizontal="center" vertical="center" wrapText="1"/>
    </xf>
    <xf numFmtId="0" fontId="3" fillId="2" borderId="1" xfId="49" applyFont="1" applyFill="1" applyBorder="1" applyAlignment="1">
      <alignment horizontal="center" vertical="center"/>
    </xf>
    <xf numFmtId="0" fontId="3" fillId="2" borderId="6" xfId="49" applyFont="1" applyFill="1" applyBorder="1" applyAlignment="1">
      <alignment horizontal="center" vertical="center" wrapText="1"/>
    </xf>
    <xf numFmtId="0" fontId="3" fillId="2" borderId="1" xfId="49" applyFont="1" applyFill="1" applyBorder="1" applyAlignment="1">
      <alignment horizontal="center" vertical="center" wrapText="1"/>
    </xf>
    <xf numFmtId="0" fontId="3" fillId="2" borderId="7" xfId="49" applyFont="1" applyFill="1" applyBorder="1" applyAlignment="1">
      <alignment horizontal="center" vertical="center" wrapText="1"/>
    </xf>
    <xf numFmtId="0" fontId="3" fillId="2" borderId="8" xfId="49" applyFont="1" applyFill="1" applyBorder="1" applyAlignment="1">
      <alignment horizontal="center" vertical="center" wrapText="1"/>
    </xf>
    <xf numFmtId="0" fontId="7" fillId="6" borderId="1" xfId="49" applyFont="1" applyFill="1" applyBorder="1" applyAlignment="1">
      <alignment horizontal="center" vertical="center" wrapText="1"/>
    </xf>
    <xf numFmtId="0" fontId="1" fillId="6" borderId="1" xfId="49" applyFont="1" applyFill="1" applyBorder="1" applyAlignment="1">
      <alignment horizontal="center" vertical="center" wrapText="1"/>
    </xf>
    <xf numFmtId="43" fontId="1" fillId="6" borderId="1" xfId="1" applyFont="1" applyFill="1" applyBorder="1" applyAlignment="1">
      <alignment horizontal="center" vertical="center" wrapText="1"/>
    </xf>
    <xf numFmtId="0" fontId="1" fillId="6" borderId="1" xfId="1" applyNumberFormat="1" applyFont="1" applyFill="1" applyBorder="1" applyAlignment="1">
      <alignment horizontal="center" vertical="center" wrapText="1"/>
    </xf>
    <xf numFmtId="43" fontId="1" fillId="6" borderId="1" xfId="1" applyFont="1" applyFill="1" applyBorder="1" applyAlignment="1">
      <alignment vertical="center" wrapText="1"/>
    </xf>
    <xf numFmtId="0" fontId="3" fillId="7" borderId="1" xfId="49" applyFont="1" applyFill="1" applyBorder="1" applyAlignment="1">
      <alignment horizontal="center" vertical="center" wrapText="1"/>
    </xf>
    <xf numFmtId="178" fontId="10" fillId="7" borderId="1" xfId="49" applyNumberFormat="1" applyFont="1" applyFill="1" applyBorder="1" applyAlignment="1">
      <alignment horizontal="center" vertical="center" wrapText="1"/>
    </xf>
    <xf numFmtId="49" fontId="1" fillId="6" borderId="1" xfId="49" applyNumberFormat="1" applyFont="1" applyFill="1" applyBorder="1" applyAlignment="1">
      <alignment horizontal="center" vertical="center" wrapText="1"/>
    </xf>
    <xf numFmtId="0" fontId="6" fillId="6" borderId="1" xfId="0" applyFont="1" applyFill="1" applyBorder="1" applyAlignment="1">
      <alignment vertical="center" wrapText="1"/>
    </xf>
    <xf numFmtId="0" fontId="1" fillId="6" borderId="1" xfId="49" applyFont="1" applyFill="1" applyBorder="1" applyAlignment="1">
      <alignment vertical="center" wrapText="1"/>
    </xf>
    <xf numFmtId="178" fontId="11" fillId="6" borderId="1" xfId="49" applyNumberFormat="1" applyFont="1" applyFill="1" applyBorder="1" applyAlignment="1">
      <alignment vertical="center" wrapText="1"/>
    </xf>
    <xf numFmtId="0" fontId="6" fillId="6" borderId="1" xfId="49" applyFont="1" applyFill="1" applyBorder="1" applyAlignment="1">
      <alignment vertical="center" wrapText="1"/>
    </xf>
    <xf numFmtId="178" fontId="1" fillId="6" borderId="1" xfId="49" applyNumberFormat="1" applyFont="1" applyFill="1" applyBorder="1" applyAlignment="1">
      <alignment vertical="center" wrapText="1"/>
    </xf>
    <xf numFmtId="179" fontId="3" fillId="2" borderId="1" xfId="49" applyNumberFormat="1" applyFont="1" applyFill="1" applyBorder="1" applyAlignment="1">
      <alignment horizontal="center" vertical="center" wrapText="1"/>
    </xf>
    <xf numFmtId="49" fontId="3" fillId="7" borderId="1" xfId="49" applyNumberFormat="1" applyFont="1" applyFill="1" applyBorder="1" applyAlignment="1">
      <alignment horizontal="center" vertical="center" wrapText="1"/>
    </xf>
    <xf numFmtId="180" fontId="1" fillId="6" borderId="1" xfId="1" applyNumberFormat="1" applyFont="1" applyFill="1" applyBorder="1" applyAlignment="1">
      <alignment horizontal="center" vertical="center" wrapText="1"/>
    </xf>
    <xf numFmtId="0" fontId="3" fillId="7" borderId="6" xfId="49" applyFont="1" applyFill="1" applyBorder="1" applyAlignment="1">
      <alignment horizontal="center" vertical="center" wrapText="1"/>
    </xf>
    <xf numFmtId="178" fontId="3" fillId="7" borderId="1" xfId="49" applyNumberFormat="1" applyFont="1" applyFill="1" applyBorder="1" applyAlignment="1">
      <alignment horizontal="center" vertical="center" wrapText="1"/>
    </xf>
    <xf numFmtId="0" fontId="3" fillId="7" borderId="8" xfId="49" applyFont="1" applyFill="1" applyBorder="1" applyAlignment="1">
      <alignment horizontal="center" vertical="center" wrapText="1"/>
    </xf>
    <xf numFmtId="3" fontId="0" fillId="5" borderId="1" xfId="0" applyNumberFormat="1" applyFont="1" applyFill="1" applyBorder="1" applyAlignment="1">
      <alignment horizontal="center" vertical="center" wrapText="1"/>
    </xf>
    <xf numFmtId="3" fontId="0" fillId="0" borderId="1" xfId="0" applyNumberFormat="1" applyFont="1" applyFill="1" applyBorder="1" applyAlignment="1">
      <alignment horizontal="center" vertical="center" wrapText="1"/>
    </xf>
    <xf numFmtId="0" fontId="5" fillId="0" borderId="0" xfId="0" applyFont="1" applyFill="1" applyAlignment="1">
      <alignment horizontal="center" vertical="center"/>
    </xf>
    <xf numFmtId="0" fontId="5" fillId="0" borderId="0" xfId="0" applyFont="1" applyFill="1" applyAlignment="1">
      <alignment horizontal="center" vertical="center" wrapText="1"/>
    </xf>
    <xf numFmtId="43" fontId="5" fillId="0" borderId="0" xfId="1" applyFont="1" applyFill="1" applyAlignment="1">
      <alignment vertical="center"/>
    </xf>
    <xf numFmtId="0" fontId="12" fillId="0" borderId="0" xfId="0" applyFont="1" applyFill="1" applyAlignment="1">
      <alignment horizontal="center" vertical="center"/>
    </xf>
    <xf numFmtId="0" fontId="13" fillId="0" borderId="0" xfId="0" applyFont="1" applyFill="1" applyAlignment="1">
      <alignment horizontal="center"/>
    </xf>
    <xf numFmtId="49" fontId="14" fillId="0" borderId="1" xfId="0" applyNumberFormat="1" applyFont="1" applyFill="1" applyBorder="1" applyAlignment="1">
      <alignment horizontal="center" vertical="center" wrapText="1"/>
    </xf>
    <xf numFmtId="0" fontId="14" fillId="0" borderId="1" xfId="0" applyFont="1" applyFill="1" applyBorder="1" applyAlignment="1">
      <alignment horizontal="center" vertical="center" wrapText="1"/>
    </xf>
    <xf numFmtId="0" fontId="14" fillId="0" borderId="1" xfId="0" applyNumberFormat="1" applyFont="1" applyFill="1" applyBorder="1" applyAlignment="1">
      <alignment horizontal="center" vertical="center" wrapText="1"/>
    </xf>
    <xf numFmtId="0" fontId="15" fillId="0" borderId="1" xfId="0" applyFont="1" applyFill="1" applyBorder="1" applyAlignment="1">
      <alignment horizontal="center" vertical="center"/>
    </xf>
    <xf numFmtId="0" fontId="15" fillId="0" borderId="1" xfId="0" applyFont="1" applyFill="1" applyBorder="1" applyAlignment="1">
      <alignment horizontal="center" vertical="center" wrapText="1"/>
    </xf>
    <xf numFmtId="0" fontId="15" fillId="0" borderId="1" xfId="0" applyFont="1" applyFill="1" applyBorder="1" applyAlignment="1">
      <alignment horizontal="left" vertical="center" wrapText="1"/>
    </xf>
    <xf numFmtId="178" fontId="6" fillId="0" borderId="1" xfId="0" applyNumberFormat="1" applyFont="1" applyFill="1" applyBorder="1">
      <alignment vertical="center"/>
    </xf>
    <xf numFmtId="43" fontId="6" fillId="0" borderId="1" xfId="1" applyFont="1" applyFill="1" applyBorder="1" applyAlignment="1">
      <alignment vertical="center"/>
    </xf>
    <xf numFmtId="43" fontId="16" fillId="0" borderId="1" xfId="1" applyFont="1" applyFill="1" applyBorder="1" applyAlignment="1">
      <alignment vertical="center" shrinkToFit="1"/>
    </xf>
    <xf numFmtId="49" fontId="17" fillId="0" borderId="1" xfId="0" applyNumberFormat="1" applyFont="1" applyFill="1" applyBorder="1" applyAlignment="1">
      <alignment horizontal="center" vertical="center"/>
    </xf>
    <xf numFmtId="49" fontId="14" fillId="0" borderId="1" xfId="1" applyNumberFormat="1" applyFont="1" applyFill="1" applyBorder="1" applyAlignment="1">
      <alignment horizontal="center" vertical="center" wrapText="1"/>
    </xf>
    <xf numFmtId="49" fontId="14" fillId="0" borderId="1" xfId="3" applyNumberFormat="1" applyFont="1" applyFill="1" applyBorder="1" applyAlignment="1">
      <alignment horizontal="center" vertical="center" wrapText="1"/>
    </xf>
    <xf numFmtId="0" fontId="6" fillId="0" borderId="1" xfId="0" applyFont="1" applyFill="1" applyBorder="1" applyAlignment="1">
      <alignment horizontal="center" vertical="center"/>
    </xf>
    <xf numFmtId="10" fontId="6" fillId="0" borderId="1" xfId="3" applyNumberFormat="1" applyFont="1" applyFill="1" applyBorder="1" applyAlignment="1">
      <alignment horizontal="center" vertical="center" wrapText="1"/>
    </xf>
    <xf numFmtId="43" fontId="6" fillId="0" borderId="1" xfId="1" applyFont="1" applyFill="1" applyBorder="1">
      <alignment vertical="center"/>
    </xf>
    <xf numFmtId="0" fontId="14" fillId="0" borderId="1" xfId="1" applyNumberFormat="1" applyFont="1" applyFill="1" applyBorder="1" applyAlignment="1">
      <alignment horizontal="center" vertical="center" wrapText="1"/>
    </xf>
    <xf numFmtId="43" fontId="6" fillId="0" borderId="1" xfId="0" applyNumberFormat="1" applyFont="1" applyFill="1" applyBorder="1">
      <alignment vertical="center"/>
    </xf>
    <xf numFmtId="0" fontId="6" fillId="0" borderId="1" xfId="0" applyFont="1" applyFill="1" applyBorder="1">
      <alignment vertical="center"/>
    </xf>
    <xf numFmtId="0" fontId="18" fillId="0" borderId="1" xfId="0" applyFont="1" applyFill="1" applyBorder="1" applyAlignment="1">
      <alignment horizontal="center" vertical="center" shrinkToFit="1"/>
    </xf>
    <xf numFmtId="0" fontId="18" fillId="0" borderId="1" xfId="54" applyFont="1" applyFill="1" applyBorder="1" applyAlignment="1">
      <alignment horizontal="left" vertical="center" shrinkToFit="1"/>
    </xf>
    <xf numFmtId="0" fontId="18" fillId="0" borderId="1" xfId="0" applyFont="1" applyFill="1" applyBorder="1" applyAlignment="1">
      <alignment horizontal="left" vertical="center" wrapText="1"/>
    </xf>
    <xf numFmtId="181" fontId="18" fillId="0" borderId="1" xfId="54" applyNumberFormat="1" applyFont="1" applyFill="1" applyBorder="1" applyAlignment="1">
      <alignment horizontal="left" vertical="center" shrinkToFit="1"/>
    </xf>
    <xf numFmtId="49" fontId="18" fillId="0" borderId="1" xfId="54" applyNumberFormat="1" applyFont="1" applyFill="1" applyBorder="1" applyAlignment="1">
      <alignment horizontal="right" vertical="center" shrinkToFit="1"/>
    </xf>
    <xf numFmtId="0" fontId="18" fillId="0" borderId="1" xfId="54" applyFont="1" applyFill="1" applyBorder="1" applyAlignment="1" applyProtection="1">
      <alignment horizontal="left" vertical="center" shrinkToFit="1"/>
      <protection locked="0"/>
    </xf>
    <xf numFmtId="178" fontId="18" fillId="0" borderId="1" xfId="54" applyNumberFormat="1" applyFont="1" applyFill="1" applyBorder="1" applyAlignment="1">
      <alignment horizontal="right" vertical="center" shrinkToFit="1"/>
    </xf>
    <xf numFmtId="0" fontId="18" fillId="0" borderId="1" xfId="54" applyFont="1" applyFill="1" applyBorder="1" applyAlignment="1">
      <alignment vertical="center" shrinkToFit="1"/>
    </xf>
    <xf numFmtId="0" fontId="15" fillId="5" borderId="1" xfId="0" applyFont="1" applyFill="1" applyBorder="1" applyAlignment="1">
      <alignment horizontal="center" vertical="center"/>
    </xf>
    <xf numFmtId="0" fontId="16" fillId="5" borderId="1" xfId="0" applyFont="1" applyFill="1" applyBorder="1" applyAlignment="1">
      <alignment horizontal="center" vertical="center" shrinkToFit="1"/>
    </xf>
    <xf numFmtId="0" fontId="16" fillId="5" borderId="1" xfId="54" applyFont="1" applyFill="1" applyBorder="1" applyAlignment="1">
      <alignment horizontal="left" vertical="center" shrinkToFit="1"/>
    </xf>
    <xf numFmtId="0" fontId="18" fillId="5" borderId="1" xfId="0" applyFont="1" applyFill="1" applyBorder="1" applyAlignment="1">
      <alignment horizontal="left" vertical="center" wrapText="1"/>
    </xf>
    <xf numFmtId="14" fontId="16" fillId="5" borderId="1" xfId="54" applyNumberFormat="1" applyFont="1" applyFill="1" applyBorder="1" applyAlignment="1">
      <alignment horizontal="right" vertical="center" shrinkToFit="1"/>
    </xf>
    <xf numFmtId="43" fontId="6" fillId="5" borderId="1" xfId="1" applyFont="1" applyFill="1" applyBorder="1" applyAlignment="1">
      <alignment vertical="center"/>
    </xf>
    <xf numFmtId="0" fontId="16" fillId="0" borderId="1" xfId="0" applyFont="1" applyFill="1" applyBorder="1" applyAlignment="1">
      <alignment horizontal="center" vertical="center" shrinkToFit="1"/>
    </xf>
    <xf numFmtId="0" fontId="16" fillId="0" borderId="1" xfId="54" applyFont="1" applyFill="1" applyBorder="1" applyAlignment="1">
      <alignment horizontal="left" vertical="center" shrinkToFit="1"/>
    </xf>
    <xf numFmtId="181" fontId="16" fillId="0" borderId="1" xfId="54" applyNumberFormat="1" applyFont="1" applyFill="1" applyBorder="1" applyAlignment="1">
      <alignment horizontal="left" vertical="center" shrinkToFit="1"/>
    </xf>
    <xf numFmtId="178" fontId="16" fillId="0" borderId="1" xfId="54" applyNumberFormat="1" applyFont="1" applyFill="1" applyBorder="1" applyAlignment="1">
      <alignment horizontal="right" vertical="center" shrinkToFit="1"/>
    </xf>
    <xf numFmtId="0" fontId="16" fillId="0" borderId="1" xfId="54" applyFont="1" applyFill="1" applyBorder="1" applyAlignment="1" applyProtection="1">
      <alignment horizontal="left" vertical="center" shrinkToFit="1"/>
      <protection locked="0"/>
    </xf>
    <xf numFmtId="49" fontId="16" fillId="0" borderId="1" xfId="54" applyNumberFormat="1" applyFont="1" applyFill="1" applyBorder="1" applyAlignment="1">
      <alignment horizontal="right" vertical="center" shrinkToFit="1"/>
    </xf>
    <xf numFmtId="0" fontId="16" fillId="0" borderId="1" xfId="54" applyFont="1" applyFill="1" applyBorder="1" applyAlignment="1">
      <alignment vertical="center" shrinkToFit="1"/>
    </xf>
    <xf numFmtId="0" fontId="16" fillId="5" borderId="1" xfId="54" applyFont="1" applyFill="1" applyBorder="1" applyAlignment="1" applyProtection="1">
      <alignment vertical="center" shrinkToFit="1"/>
      <protection locked="0"/>
    </xf>
    <xf numFmtId="181" fontId="16" fillId="5" borderId="1" xfId="54" applyNumberFormat="1" applyFont="1" applyFill="1" applyBorder="1" applyAlignment="1">
      <alignment horizontal="left" vertical="center" shrinkToFit="1"/>
    </xf>
    <xf numFmtId="178" fontId="16" fillId="5" borderId="1" xfId="54" applyNumberFormat="1" applyFont="1" applyFill="1" applyBorder="1" applyAlignment="1">
      <alignment horizontal="right" vertical="center" shrinkToFit="1"/>
    </xf>
    <xf numFmtId="0" fontId="16" fillId="0" borderId="1" xfId="54" applyFont="1" applyFill="1" applyBorder="1" applyAlignment="1" applyProtection="1">
      <alignment vertical="center" shrinkToFit="1"/>
      <protection locked="0"/>
    </xf>
    <xf numFmtId="0" fontId="16" fillId="5" borderId="1" xfId="54" applyFont="1" applyFill="1" applyBorder="1" applyAlignment="1" applyProtection="1">
      <alignment horizontal="left" vertical="center" shrinkToFit="1"/>
      <protection locked="0"/>
    </xf>
    <xf numFmtId="0" fontId="6" fillId="5" borderId="1" xfId="0" applyFont="1" applyFill="1" applyBorder="1" applyAlignment="1">
      <alignment horizontal="center" vertical="center"/>
    </xf>
    <xf numFmtId="10" fontId="6" fillId="5" borderId="1" xfId="3" applyNumberFormat="1" applyFont="1" applyFill="1" applyBorder="1" applyAlignment="1">
      <alignment horizontal="center" vertical="center" wrapText="1"/>
    </xf>
    <xf numFmtId="43" fontId="6" fillId="5" borderId="1" xfId="1" applyFont="1" applyFill="1" applyBorder="1">
      <alignment vertical="center"/>
    </xf>
    <xf numFmtId="43" fontId="6" fillId="5" borderId="1" xfId="0" applyNumberFormat="1" applyFont="1" applyFill="1" applyBorder="1">
      <alignment vertical="center"/>
    </xf>
    <xf numFmtId="0" fontId="6" fillId="5" borderId="1" xfId="0" applyFont="1" applyFill="1" applyBorder="1">
      <alignment vertical="center"/>
    </xf>
    <xf numFmtId="43" fontId="0" fillId="0" borderId="1" xfId="0" applyNumberFormat="1" applyFont="1" applyFill="1" applyBorder="1" applyAlignment="1">
      <alignment horizontal="center" vertical="center" wrapText="1"/>
    </xf>
    <xf numFmtId="0" fontId="6" fillId="0" borderId="0" xfId="49" applyFont="1" applyFill="1">
      <alignment vertical="center"/>
    </xf>
    <xf numFmtId="0" fontId="5" fillId="0" borderId="0" xfId="49" applyFill="1" applyAlignment="1">
      <alignment horizontal="center" vertical="center" wrapText="1"/>
    </xf>
    <xf numFmtId="0" fontId="5" fillId="0" borderId="0" xfId="49" applyFill="1" applyAlignment="1">
      <alignment horizontal="left" vertical="center" wrapText="1"/>
    </xf>
    <xf numFmtId="0" fontId="5" fillId="8" borderId="0" xfId="49" applyFill="1">
      <alignment vertical="center"/>
    </xf>
    <xf numFmtId="0" fontId="5" fillId="5" borderId="0" xfId="49" applyFill="1">
      <alignment vertical="center"/>
    </xf>
    <xf numFmtId="0" fontId="5" fillId="0" borderId="0" xfId="49" applyFill="1">
      <alignment vertical="center"/>
    </xf>
    <xf numFmtId="0" fontId="5" fillId="0" borderId="0" xfId="49" applyFill="1" applyAlignment="1">
      <alignment horizontal="center" vertical="center"/>
    </xf>
    <xf numFmtId="43" fontId="5" fillId="0" borderId="0" xfId="1" applyFont="1" applyFill="1" applyBorder="1" applyAlignment="1" applyProtection="1">
      <alignment vertical="center"/>
    </xf>
    <xf numFmtId="43" fontId="5" fillId="0" borderId="0" xfId="1" applyNumberFormat="1" applyFont="1" applyFill="1" applyBorder="1" applyAlignment="1" applyProtection="1">
      <alignment vertical="center"/>
    </xf>
    <xf numFmtId="10" fontId="5" fillId="0" borderId="0" xfId="3" applyNumberFormat="1" applyFont="1" applyFill="1" applyBorder="1" applyAlignment="1" applyProtection="1">
      <alignment vertical="center"/>
    </xf>
    <xf numFmtId="43" fontId="5" fillId="0" borderId="0" xfId="1" applyFont="1" applyFill="1" applyBorder="1" applyAlignment="1" applyProtection="1">
      <alignment horizontal="right" vertical="center"/>
    </xf>
    <xf numFmtId="0" fontId="9" fillId="0" borderId="0" xfId="0" applyFont="1" applyFill="1" applyAlignment="1">
      <alignment horizontal="center" vertical="center"/>
    </xf>
    <xf numFmtId="0" fontId="18" fillId="0" borderId="0" xfId="50" applyFont="1" applyFill="1" applyAlignment="1">
      <alignment horizontal="center" vertical="center"/>
    </xf>
    <xf numFmtId="0" fontId="7" fillId="0" borderId="6" xfId="50" applyFont="1" applyFill="1" applyBorder="1" applyAlignment="1">
      <alignment vertical="center" wrapText="1"/>
    </xf>
    <xf numFmtId="0" fontId="7" fillId="0" borderId="1" xfId="50" applyFont="1" applyFill="1" applyBorder="1" applyAlignment="1">
      <alignment horizontal="center" vertical="center" wrapText="1"/>
    </xf>
    <xf numFmtId="0" fontId="7" fillId="0" borderId="1" xfId="50" applyFont="1" applyFill="1" applyBorder="1" applyAlignment="1">
      <alignment vertical="center" wrapText="1"/>
    </xf>
    <xf numFmtId="0" fontId="19" fillId="0" borderId="1" xfId="50" applyFont="1" applyFill="1" applyBorder="1" applyAlignment="1">
      <alignment vertical="center" wrapText="1"/>
    </xf>
    <xf numFmtId="49" fontId="7" fillId="0" borderId="1" xfId="50" applyNumberFormat="1" applyFont="1" applyFill="1" applyBorder="1" applyAlignment="1">
      <alignment horizontal="center" vertical="center" wrapText="1"/>
    </xf>
    <xf numFmtId="49" fontId="20" fillId="0" borderId="1" xfId="0" applyNumberFormat="1" applyFont="1" applyFill="1" applyBorder="1" applyAlignment="1">
      <alignment horizontal="center" vertical="center" wrapText="1"/>
    </xf>
    <xf numFmtId="49" fontId="20" fillId="0" borderId="1" xfId="0" applyNumberFormat="1" applyFont="1" applyFill="1" applyBorder="1" applyAlignment="1">
      <alignment vertical="center" wrapText="1"/>
    </xf>
    <xf numFmtId="0" fontId="7" fillId="0" borderId="8" xfId="50" applyFont="1" applyFill="1" applyBorder="1" applyAlignment="1">
      <alignment vertical="center" wrapText="1"/>
    </xf>
    <xf numFmtId="49" fontId="7" fillId="0" borderId="1" xfId="50" applyNumberFormat="1" applyFont="1" applyFill="1" applyBorder="1" applyAlignment="1">
      <alignment vertical="center" wrapText="1"/>
    </xf>
    <xf numFmtId="0" fontId="6" fillId="0" borderId="1" xfId="50" applyFont="1" applyFill="1" applyBorder="1" applyAlignment="1">
      <alignment horizontal="center" vertical="center" wrapText="1"/>
    </xf>
    <xf numFmtId="14" fontId="21" fillId="0" borderId="1" xfId="0" applyNumberFormat="1" applyFont="1" applyFill="1" applyBorder="1" applyAlignment="1" applyProtection="1">
      <alignment horizontal="left" vertical="center"/>
      <protection locked="0"/>
    </xf>
    <xf numFmtId="0" fontId="21" fillId="0" borderId="1" xfId="0" applyFont="1" applyFill="1" applyBorder="1" applyAlignment="1" applyProtection="1">
      <alignment horizontal="left" vertical="center"/>
      <protection locked="0"/>
    </xf>
    <xf numFmtId="0" fontId="6" fillId="0" borderId="1" xfId="50" applyFont="1" applyFill="1" applyBorder="1" applyAlignment="1">
      <alignment vertical="center" wrapText="1"/>
    </xf>
    <xf numFmtId="0" fontId="6" fillId="0" borderId="1" xfId="0" applyFont="1" applyFill="1" applyBorder="1" applyAlignment="1">
      <alignment vertical="center" wrapText="1"/>
    </xf>
    <xf numFmtId="0" fontId="6" fillId="0" borderId="1" xfId="50" applyFont="1" applyFill="1" applyBorder="1" applyAlignment="1">
      <alignment horizontal="left" vertical="center" wrapText="1"/>
    </xf>
    <xf numFmtId="49" fontId="6" fillId="0" borderId="1" xfId="50" applyNumberFormat="1" applyFont="1" applyFill="1" applyBorder="1" applyAlignment="1">
      <alignment horizontal="left" vertical="center" wrapText="1"/>
    </xf>
    <xf numFmtId="49" fontId="21" fillId="0" borderId="1" xfId="0" applyNumberFormat="1" applyFont="1" applyFill="1" applyBorder="1" applyAlignment="1">
      <alignment horizontal="left" vertical="center"/>
    </xf>
    <xf numFmtId="43" fontId="9" fillId="0" borderId="0" xfId="0" applyNumberFormat="1" applyFont="1" applyFill="1" applyAlignment="1">
      <alignment horizontal="center" vertical="center"/>
    </xf>
    <xf numFmtId="43" fontId="18" fillId="0" borderId="0" xfId="50" applyNumberFormat="1" applyFont="1" applyFill="1" applyAlignment="1">
      <alignment horizontal="center" vertical="center"/>
    </xf>
    <xf numFmtId="43" fontId="7" fillId="0" borderId="1" xfId="1" applyFont="1" applyFill="1" applyBorder="1" applyAlignment="1" applyProtection="1">
      <alignment horizontal="center" vertical="center" wrapText="1"/>
    </xf>
    <xf numFmtId="43" fontId="7" fillId="0" borderId="1" xfId="1" applyNumberFormat="1" applyFont="1" applyFill="1" applyBorder="1" applyAlignment="1" applyProtection="1">
      <alignment horizontal="center" vertical="center" wrapText="1"/>
    </xf>
    <xf numFmtId="43" fontId="20" fillId="0" borderId="1" xfId="1" applyFont="1" applyFill="1" applyBorder="1" applyAlignment="1" applyProtection="1">
      <alignment horizontal="center" vertical="center" wrapText="1"/>
    </xf>
    <xf numFmtId="43" fontId="20" fillId="0" borderId="1" xfId="1" applyNumberFormat="1" applyFont="1" applyFill="1" applyBorder="1" applyAlignment="1" applyProtection="1">
      <alignment horizontal="center" vertical="center" wrapText="1"/>
    </xf>
    <xf numFmtId="43" fontId="6" fillId="0" borderId="1" xfId="1" applyFont="1" applyFill="1" applyBorder="1" applyAlignment="1" applyProtection="1">
      <alignment horizontal="left" vertical="center" wrapText="1"/>
    </xf>
    <xf numFmtId="43" fontId="6" fillId="0" borderId="1" xfId="1" applyNumberFormat="1" applyFont="1" applyFill="1" applyBorder="1" applyAlignment="1" applyProtection="1">
      <alignment horizontal="left" vertical="center" wrapText="1"/>
    </xf>
    <xf numFmtId="10" fontId="7" fillId="0" borderId="1" xfId="3" applyNumberFormat="1" applyFont="1" applyFill="1" applyBorder="1" applyAlignment="1" applyProtection="1">
      <alignment horizontal="center" vertical="center" wrapText="1"/>
    </xf>
    <xf numFmtId="0" fontId="20" fillId="0" borderId="1" xfId="0" applyFont="1" applyFill="1" applyBorder="1" applyAlignment="1">
      <alignment horizontal="center" vertical="center" wrapText="1"/>
    </xf>
    <xf numFmtId="10" fontId="6" fillId="0" borderId="1" xfId="3" applyNumberFormat="1" applyFont="1" applyFill="1" applyBorder="1" applyAlignment="1" applyProtection="1">
      <alignment horizontal="left" vertical="center" wrapText="1"/>
    </xf>
    <xf numFmtId="0" fontId="6" fillId="0" borderId="1" xfId="50" applyFont="1" applyFill="1" applyBorder="1" applyAlignment="1" applyProtection="1">
      <alignment horizontal="left" vertical="center" wrapText="1"/>
      <protection locked="0"/>
    </xf>
    <xf numFmtId="43" fontId="6" fillId="0" borderId="1" xfId="1" applyFont="1" applyFill="1" applyBorder="1" applyAlignment="1" applyProtection="1">
      <alignment horizontal="right" vertical="center" wrapText="1"/>
      <protection locked="0"/>
    </xf>
    <xf numFmtId="43" fontId="6" fillId="9" borderId="1" xfId="1" applyFont="1" applyFill="1" applyBorder="1" applyAlignment="1" applyProtection="1">
      <alignment horizontal="left" vertical="center" wrapText="1"/>
    </xf>
    <xf numFmtId="0" fontId="22" fillId="0" borderId="1" xfId="0" applyFont="1" applyFill="1" applyBorder="1" applyAlignment="1">
      <alignment horizontal="center" vertical="center" wrapText="1"/>
    </xf>
    <xf numFmtId="0" fontId="6" fillId="0" borderId="1" xfId="49" applyFont="1" applyFill="1" applyBorder="1" applyAlignment="1">
      <alignment horizontal="left" vertical="center" wrapText="1"/>
    </xf>
    <xf numFmtId="0" fontId="6" fillId="8" borderId="1" xfId="50" applyFont="1" applyFill="1" applyBorder="1" applyAlignment="1">
      <alignment horizontal="center" vertical="center" wrapText="1"/>
    </xf>
    <xf numFmtId="49" fontId="21" fillId="8" borderId="1" xfId="0" applyNumberFormat="1" applyFont="1" applyFill="1" applyBorder="1" applyAlignment="1">
      <alignment horizontal="left" vertical="center"/>
    </xf>
    <xf numFmtId="0" fontId="6" fillId="8" borderId="1" xfId="50" applyFont="1" applyFill="1" applyBorder="1" applyAlignment="1">
      <alignment vertical="center" wrapText="1"/>
    </xf>
    <xf numFmtId="0" fontId="6" fillId="8" borderId="1" xfId="0" applyFont="1" applyFill="1" applyBorder="1" applyAlignment="1">
      <alignment vertical="center" wrapText="1"/>
    </xf>
    <xf numFmtId="0" fontId="6" fillId="8" borderId="1" xfId="50" applyFont="1" applyFill="1" applyBorder="1" applyAlignment="1">
      <alignment horizontal="left" vertical="center" wrapText="1"/>
    </xf>
    <xf numFmtId="49" fontId="6" fillId="8" borderId="1" xfId="50" applyNumberFormat="1" applyFont="1" applyFill="1" applyBorder="1" applyAlignment="1">
      <alignment horizontal="left" vertical="center" wrapText="1"/>
    </xf>
    <xf numFmtId="49" fontId="21" fillId="0" borderId="1" xfId="0" applyNumberFormat="1" applyFont="1" applyFill="1" applyBorder="1" applyAlignment="1">
      <alignment vertical="center"/>
    </xf>
    <xf numFmtId="0" fontId="6" fillId="5" borderId="1" xfId="50" applyFont="1" applyFill="1" applyBorder="1" applyAlignment="1">
      <alignment horizontal="center" vertical="center" wrapText="1"/>
    </xf>
    <xf numFmtId="49" fontId="21" fillId="5" borderId="1" xfId="0" applyNumberFormat="1" applyFont="1" applyFill="1" applyBorder="1" applyAlignment="1">
      <alignment vertical="center"/>
    </xf>
    <xf numFmtId="49" fontId="21" fillId="5" borderId="1" xfId="0" applyNumberFormat="1" applyFont="1" applyFill="1" applyBorder="1" applyAlignment="1">
      <alignment horizontal="left" vertical="center"/>
    </xf>
    <xf numFmtId="0" fontId="6" fillId="5" borderId="1" xfId="50" applyFont="1" applyFill="1" applyBorder="1" applyAlignment="1">
      <alignment vertical="center" wrapText="1"/>
    </xf>
    <xf numFmtId="0" fontId="6" fillId="5" borderId="1" xfId="0" applyFont="1" applyFill="1" applyBorder="1" applyAlignment="1">
      <alignment vertical="center" wrapText="1"/>
    </xf>
    <xf numFmtId="0" fontId="6" fillId="5" borderId="1" xfId="50" applyFont="1" applyFill="1" applyBorder="1" applyAlignment="1">
      <alignment horizontal="left" vertical="center" wrapText="1"/>
    </xf>
    <xf numFmtId="49" fontId="6" fillId="5" borderId="1" xfId="50" applyNumberFormat="1" applyFont="1" applyFill="1" applyBorder="1" applyAlignment="1">
      <alignment horizontal="left" vertical="center" wrapText="1"/>
    </xf>
    <xf numFmtId="0" fontId="21" fillId="0" borderId="1" xfId="0" applyFont="1" applyFill="1" applyBorder="1" applyAlignment="1">
      <alignment vertical="center"/>
    </xf>
    <xf numFmtId="3" fontId="21" fillId="0" borderId="1" xfId="0" applyNumberFormat="1" applyFont="1" applyFill="1" applyBorder="1" applyAlignment="1">
      <alignment horizontal="left"/>
    </xf>
    <xf numFmtId="0" fontId="15" fillId="8" borderId="1" xfId="0" applyFont="1" applyFill="1" applyBorder="1" applyAlignment="1">
      <alignment horizontal="left" vertical="center" wrapText="1"/>
    </xf>
    <xf numFmtId="43" fontId="6" fillId="8" borderId="1" xfId="1" applyFont="1" applyFill="1" applyBorder="1" applyAlignment="1" applyProtection="1">
      <alignment horizontal="left" vertical="center" wrapText="1"/>
    </xf>
    <xf numFmtId="43" fontId="6" fillId="8" borderId="1" xfId="1" applyNumberFormat="1" applyFont="1" applyFill="1" applyBorder="1" applyAlignment="1" applyProtection="1">
      <alignment horizontal="left" vertical="center" wrapText="1"/>
    </xf>
    <xf numFmtId="0" fontId="15" fillId="5" borderId="1" xfId="0" applyFont="1" applyFill="1" applyBorder="1" applyAlignment="1">
      <alignment horizontal="left" vertical="center" wrapText="1"/>
    </xf>
    <xf numFmtId="43" fontId="6" fillId="5" borderId="1" xfId="1" applyFont="1" applyFill="1" applyBorder="1" applyAlignment="1" applyProtection="1">
      <alignment horizontal="left" vertical="center" wrapText="1"/>
    </xf>
    <xf numFmtId="43" fontId="6" fillId="5" borderId="1" xfId="1" applyNumberFormat="1" applyFont="1" applyFill="1" applyBorder="1" applyAlignment="1" applyProtection="1">
      <alignment horizontal="left" vertical="center" wrapText="1"/>
    </xf>
    <xf numFmtId="10" fontId="6" fillId="8" borderId="1" xfId="3" applyNumberFormat="1" applyFont="1" applyFill="1" applyBorder="1" applyAlignment="1" applyProtection="1">
      <alignment horizontal="left" vertical="center" wrapText="1"/>
    </xf>
    <xf numFmtId="0" fontId="6" fillId="8" borderId="1" xfId="50" applyFont="1" applyFill="1" applyBorder="1" applyAlignment="1" applyProtection="1">
      <alignment horizontal="left" vertical="center" wrapText="1"/>
      <protection locked="0"/>
    </xf>
    <xf numFmtId="43" fontId="6" fillId="8" borderId="1" xfId="1" applyFont="1" applyFill="1" applyBorder="1" applyAlignment="1" applyProtection="1">
      <alignment horizontal="right" vertical="center" wrapText="1"/>
      <protection locked="0"/>
    </xf>
    <xf numFmtId="182" fontId="23" fillId="0" borderId="1" xfId="0" applyNumberFormat="1" applyFont="1" applyFill="1" applyBorder="1" applyAlignment="1">
      <alignment vertical="center" wrapText="1"/>
    </xf>
    <xf numFmtId="10" fontId="6" fillId="5" borderId="1" xfId="3" applyNumberFormat="1" applyFont="1" applyFill="1" applyBorder="1" applyAlignment="1" applyProtection="1">
      <alignment horizontal="left" vertical="center" wrapText="1"/>
    </xf>
    <xf numFmtId="182" fontId="23" fillId="5" borderId="1" xfId="0" applyNumberFormat="1" applyFont="1" applyFill="1" applyBorder="1" applyAlignment="1">
      <alignment vertical="center" wrapText="1"/>
    </xf>
    <xf numFmtId="0" fontId="6" fillId="5" borderId="1" xfId="50" applyFont="1" applyFill="1" applyBorder="1" applyAlignment="1" applyProtection="1">
      <alignment horizontal="left" vertical="center" wrapText="1"/>
      <protection locked="0"/>
    </xf>
    <xf numFmtId="43" fontId="6" fillId="5" borderId="1" xfId="1" applyFont="1" applyFill="1" applyBorder="1" applyAlignment="1" applyProtection="1">
      <alignment horizontal="right" vertical="center" wrapText="1"/>
      <protection locked="0"/>
    </xf>
    <xf numFmtId="0" fontId="22" fillId="8" borderId="1" xfId="0" applyFont="1" applyFill="1" applyBorder="1" applyAlignment="1">
      <alignment horizontal="center" vertical="center" wrapText="1"/>
    </xf>
    <xf numFmtId="0" fontId="6" fillId="8" borderId="1" xfId="49" applyFont="1" applyFill="1" applyBorder="1" applyAlignment="1">
      <alignment horizontal="left" vertical="center" wrapText="1"/>
    </xf>
    <xf numFmtId="0" fontId="22" fillId="5" borderId="1" xfId="0" applyFont="1" applyFill="1" applyBorder="1" applyAlignment="1">
      <alignment horizontal="center" vertical="center" wrapText="1"/>
    </xf>
    <xf numFmtId="0" fontId="6" fillId="5" borderId="1" xfId="49" applyFont="1" applyFill="1" applyBorder="1" applyAlignment="1">
      <alignment horizontal="left" vertical="center" wrapText="1"/>
    </xf>
    <xf numFmtId="3" fontId="0" fillId="8" borderId="1" xfId="0" applyNumberFormat="1" applyFont="1" applyFill="1" applyBorder="1" applyAlignment="1">
      <alignment horizontal="center" vertical="center" wrapText="1"/>
    </xf>
    <xf numFmtId="0" fontId="21" fillId="8" borderId="1" xfId="0" applyFont="1" applyFill="1" applyBorder="1" applyAlignment="1">
      <alignment vertical="center"/>
    </xf>
    <xf numFmtId="3" fontId="21" fillId="8" borderId="1" xfId="0" applyNumberFormat="1" applyFont="1" applyFill="1" applyBorder="1" applyAlignment="1">
      <alignment horizontal="left"/>
    </xf>
    <xf numFmtId="0" fontId="21" fillId="0" borderId="1" xfId="0" applyFont="1" applyFill="1" applyBorder="1" applyAlignment="1">
      <alignment horizontal="left" vertical="center"/>
    </xf>
    <xf numFmtId="178" fontId="21" fillId="0" borderId="1" xfId="50" applyNumberFormat="1" applyFont="1" applyFill="1" applyBorder="1" applyAlignment="1">
      <alignment horizontal="left" vertical="center" wrapText="1"/>
    </xf>
    <xf numFmtId="49" fontId="21" fillId="0" borderId="1" xfId="50" applyNumberFormat="1" applyFont="1" applyFill="1" applyBorder="1" applyAlignment="1">
      <alignment horizontal="left" vertical="center" wrapText="1"/>
    </xf>
    <xf numFmtId="3" fontId="21" fillId="0" borderId="1" xfId="0" applyNumberFormat="1" applyFont="1" applyFill="1" applyBorder="1" applyAlignment="1">
      <alignment horizontal="center"/>
    </xf>
    <xf numFmtId="49" fontId="21" fillId="0" borderId="1" xfId="0" applyNumberFormat="1" applyFont="1" applyFill="1" applyBorder="1" applyAlignment="1">
      <alignment vertical="center" wrapText="1"/>
    </xf>
    <xf numFmtId="43" fontId="21" fillId="0" borderId="1" xfId="1" applyFont="1" applyFill="1" applyBorder="1" applyAlignment="1" applyProtection="1">
      <alignment horizontal="left" vertical="center" wrapText="1"/>
    </xf>
    <xf numFmtId="43" fontId="21" fillId="0" borderId="1" xfId="1" applyNumberFormat="1" applyFont="1" applyFill="1" applyBorder="1" applyAlignment="1" applyProtection="1">
      <alignment horizontal="left" vertical="center" wrapText="1"/>
    </xf>
    <xf numFmtId="49" fontId="18" fillId="0" borderId="1" xfId="0" applyNumberFormat="1" applyFont="1" applyFill="1" applyBorder="1" applyAlignment="1">
      <alignment horizontal="left" vertical="center"/>
    </xf>
    <xf numFmtId="49" fontId="18" fillId="0" borderId="1" xfId="0" applyNumberFormat="1" applyFont="1" applyFill="1" applyBorder="1" applyAlignment="1">
      <alignment vertical="center"/>
    </xf>
    <xf numFmtId="49" fontId="18" fillId="0" borderId="1" xfId="0" applyNumberFormat="1" applyFont="1" applyFill="1" applyBorder="1" applyAlignment="1">
      <alignment vertical="center" wrapText="1"/>
    </xf>
    <xf numFmtId="0" fontId="24" fillId="0" borderId="1" xfId="0" applyFont="1" applyFill="1" applyBorder="1" applyAlignment="1">
      <alignment vertical="center" wrapText="1"/>
    </xf>
    <xf numFmtId="0" fontId="24" fillId="0" borderId="1" xfId="0" applyFont="1" applyFill="1" applyBorder="1" applyAlignment="1">
      <alignment vertical="center"/>
    </xf>
    <xf numFmtId="0" fontId="23" fillId="0" borderId="1" xfId="0" applyFont="1" applyFill="1" applyBorder="1" applyAlignment="1">
      <alignment horizontal="left" vertical="center"/>
    </xf>
    <xf numFmtId="0" fontId="23" fillId="0" borderId="1" xfId="0" applyFont="1" applyFill="1" applyBorder="1" applyAlignment="1">
      <alignment vertical="center" wrapText="1"/>
    </xf>
    <xf numFmtId="0" fontId="24" fillId="0" borderId="1" xfId="0" applyFont="1" applyFill="1" applyBorder="1" applyAlignment="1">
      <alignment horizontal="left" vertical="center"/>
    </xf>
    <xf numFmtId="183" fontId="24" fillId="0" borderId="1" xfId="0" applyNumberFormat="1" applyFont="1" applyFill="1" applyBorder="1" applyAlignment="1">
      <alignment vertical="center"/>
    </xf>
    <xf numFmtId="3" fontId="24" fillId="0" borderId="1" xfId="0" applyNumberFormat="1" applyFont="1" applyFill="1" applyBorder="1" applyAlignment="1"/>
    <xf numFmtId="4" fontId="24" fillId="0" borderId="1" xfId="0" applyNumberFormat="1" applyFont="1" applyFill="1" applyBorder="1" applyAlignment="1"/>
    <xf numFmtId="176" fontId="23" fillId="0" borderId="1" xfId="0" applyNumberFormat="1" applyFont="1" applyFill="1" applyBorder="1" applyAlignment="1">
      <alignment vertical="center"/>
    </xf>
    <xf numFmtId="176" fontId="18" fillId="0" borderId="1" xfId="0" applyNumberFormat="1" applyFont="1" applyFill="1" applyBorder="1" applyAlignment="1">
      <alignment vertical="center"/>
    </xf>
    <xf numFmtId="43" fontId="18" fillId="0" borderId="1" xfId="0" applyNumberFormat="1" applyFont="1" applyFill="1" applyBorder="1" applyAlignment="1">
      <alignment vertical="center"/>
    </xf>
    <xf numFmtId="43" fontId="24" fillId="0" borderId="1" xfId="0" applyNumberFormat="1" applyFont="1" applyFill="1" applyBorder="1" applyAlignment="1"/>
    <xf numFmtId="49" fontId="23" fillId="0" borderId="1" xfId="0" applyNumberFormat="1" applyFont="1" applyFill="1" applyBorder="1" applyAlignment="1">
      <alignment horizontal="left" vertical="center"/>
    </xf>
    <xf numFmtId="182" fontId="23" fillId="0" borderId="1" xfId="0" applyNumberFormat="1" applyFont="1" applyFill="1" applyBorder="1" applyAlignment="1">
      <alignment vertical="center"/>
    </xf>
    <xf numFmtId="14" fontId="23" fillId="0" borderId="1" xfId="0" applyNumberFormat="1" applyFont="1" applyFill="1" applyBorder="1" applyAlignment="1">
      <alignment horizontal="left" vertical="center"/>
    </xf>
    <xf numFmtId="49" fontId="25" fillId="0" borderId="1" xfId="0" applyNumberFormat="1" applyFont="1" applyFill="1" applyBorder="1" applyAlignment="1">
      <alignment vertical="center"/>
    </xf>
    <xf numFmtId="49" fontId="25" fillId="0" borderId="1" xfId="0" applyNumberFormat="1" applyFont="1" applyFill="1" applyBorder="1" applyAlignment="1">
      <alignment horizontal="left" vertical="center"/>
    </xf>
    <xf numFmtId="49" fontId="25" fillId="0" borderId="1" xfId="0" applyNumberFormat="1" applyFont="1" applyFill="1" applyBorder="1" applyAlignment="1">
      <alignment vertical="center" wrapText="1"/>
    </xf>
    <xf numFmtId="14" fontId="23" fillId="0" borderId="1" xfId="0" applyNumberFormat="1" applyFont="1" applyFill="1" applyBorder="1" applyAlignment="1" applyProtection="1">
      <alignment horizontal="left" vertical="center"/>
      <protection locked="0"/>
    </xf>
    <xf numFmtId="0" fontId="23" fillId="0" borderId="1" xfId="0" applyFont="1" applyFill="1" applyBorder="1" applyAlignment="1" applyProtection="1">
      <alignment horizontal="left" vertical="center"/>
      <protection locked="0"/>
    </xf>
    <xf numFmtId="49" fontId="18" fillId="0" borderId="1" xfId="0" applyNumberFormat="1" applyFont="1" applyFill="1" applyBorder="1" applyAlignment="1">
      <alignment horizontal="left" vertical="center" wrapText="1"/>
    </xf>
    <xf numFmtId="0" fontId="23" fillId="0" borderId="1" xfId="0" applyFont="1" applyFill="1" applyBorder="1" applyAlignment="1" applyProtection="1">
      <alignment vertical="center" wrapText="1"/>
      <protection locked="0"/>
    </xf>
    <xf numFmtId="0" fontId="23" fillId="0" borderId="1" xfId="0" applyFont="1" applyFill="1" applyBorder="1" applyAlignment="1">
      <alignment vertical="center"/>
    </xf>
    <xf numFmtId="0" fontId="18" fillId="0" borderId="1" xfId="0" applyFont="1" applyFill="1" applyBorder="1" applyAlignment="1">
      <alignment horizontal="center" vertical="center"/>
    </xf>
    <xf numFmtId="43" fontId="6" fillId="0" borderId="1" xfId="1" applyNumberFormat="1" applyFont="1" applyFill="1" applyBorder="1" applyAlignment="1" applyProtection="1">
      <alignment horizontal="left" vertical="center"/>
    </xf>
    <xf numFmtId="0" fontId="6" fillId="0" borderId="1" xfId="50" applyNumberFormat="1" applyFont="1" applyFill="1" applyBorder="1" applyAlignment="1">
      <alignment horizontal="left" vertical="center" wrapText="1"/>
    </xf>
    <xf numFmtId="0" fontId="18" fillId="0" borderId="1" xfId="0" applyFont="1" applyFill="1" applyBorder="1" applyAlignment="1">
      <alignment vertical="center" wrapText="1"/>
    </xf>
    <xf numFmtId="3" fontId="24" fillId="0" borderId="1" xfId="0" applyNumberFormat="1" applyFont="1" applyFill="1" applyBorder="1" applyAlignment="1">
      <alignment horizontal="left"/>
    </xf>
    <xf numFmtId="3" fontId="24" fillId="0" borderId="1" xfId="0" applyNumberFormat="1" applyFont="1" applyFill="1" applyBorder="1" applyAlignment="1">
      <alignment horizontal="left" vertical="center"/>
    </xf>
    <xf numFmtId="0" fontId="24" fillId="8" borderId="1" xfId="0" applyFont="1" applyFill="1" applyBorder="1" applyAlignment="1">
      <alignment vertical="center"/>
    </xf>
    <xf numFmtId="3" fontId="24" fillId="8" borderId="1" xfId="0" applyNumberFormat="1" applyFont="1" applyFill="1" applyBorder="1" applyAlignment="1">
      <alignment horizontal="left"/>
    </xf>
    <xf numFmtId="0" fontId="24" fillId="8" borderId="1" xfId="0" applyFont="1" applyFill="1" applyBorder="1" applyAlignment="1">
      <alignment vertical="center" wrapText="1"/>
    </xf>
    <xf numFmtId="0" fontId="16" fillId="8" borderId="1" xfId="0" applyFont="1" applyFill="1" applyBorder="1" applyAlignment="1">
      <alignment horizontal="center" vertical="center" shrinkToFit="1"/>
    </xf>
    <xf numFmtId="49" fontId="18" fillId="8" borderId="1" xfId="0" applyNumberFormat="1" applyFont="1" applyFill="1" applyBorder="1" applyAlignment="1">
      <alignment horizontal="left" vertical="center"/>
    </xf>
    <xf numFmtId="49" fontId="18" fillId="8" borderId="1" xfId="0" applyNumberFormat="1" applyFont="1" applyFill="1" applyBorder="1" applyAlignment="1">
      <alignment vertical="center" wrapText="1"/>
    </xf>
    <xf numFmtId="0" fontId="16" fillId="0" borderId="1" xfId="0" applyFont="1" applyFill="1" applyBorder="1" applyAlignment="1">
      <alignment horizontal="left" vertical="center" shrinkToFit="1"/>
    </xf>
    <xf numFmtId="49" fontId="23" fillId="8" borderId="1" xfId="0" applyNumberFormat="1" applyFont="1" applyFill="1" applyBorder="1" applyAlignment="1">
      <alignment horizontal="left" vertical="center"/>
    </xf>
    <xf numFmtId="49" fontId="5" fillId="0" borderId="1" xfId="0" applyNumberFormat="1" applyFont="1" applyFill="1" applyBorder="1" applyAlignment="1">
      <alignment horizontal="left" vertical="center"/>
    </xf>
    <xf numFmtId="176" fontId="18" fillId="0" borderId="1" xfId="0" applyNumberFormat="1" applyFont="1" applyFill="1" applyBorder="1" applyAlignment="1">
      <alignment vertical="center" wrapText="1"/>
    </xf>
    <xf numFmtId="43" fontId="18" fillId="0" borderId="1" xfId="0" applyNumberFormat="1" applyFont="1" applyFill="1" applyBorder="1" applyAlignment="1">
      <alignment vertical="center" wrapText="1"/>
    </xf>
    <xf numFmtId="43" fontId="23" fillId="0" borderId="1" xfId="0" applyNumberFormat="1" applyFont="1" applyFill="1" applyBorder="1" applyAlignment="1">
      <alignment vertical="center"/>
    </xf>
    <xf numFmtId="176" fontId="18" fillId="8" borderId="1" xfId="0" applyNumberFormat="1" applyFont="1" applyFill="1" applyBorder="1" applyAlignment="1">
      <alignment vertical="center"/>
    </xf>
    <xf numFmtId="43" fontId="18" fillId="8" borderId="1" xfId="0" applyNumberFormat="1" applyFont="1" applyFill="1" applyBorder="1" applyAlignment="1">
      <alignment vertical="center"/>
    </xf>
    <xf numFmtId="49" fontId="23" fillId="0" borderId="0" xfId="0" applyNumberFormat="1" applyFont="1" applyFill="1" applyBorder="1" applyAlignment="1">
      <alignment horizontal="left" vertical="center"/>
    </xf>
    <xf numFmtId="43" fontId="6" fillId="0" borderId="1" xfId="3" applyNumberFormat="1" applyFont="1" applyFill="1" applyBorder="1" applyAlignment="1" applyProtection="1">
      <alignment horizontal="left" vertical="center" wrapText="1"/>
    </xf>
    <xf numFmtId="0" fontId="5" fillId="0" borderId="1" xfId="49" applyFill="1" applyBorder="1" applyAlignment="1">
      <alignment horizontal="center" vertical="center"/>
    </xf>
    <xf numFmtId="0" fontId="5" fillId="0" borderId="1" xfId="49" applyFill="1" applyBorder="1">
      <alignment vertical="center"/>
    </xf>
    <xf numFmtId="43" fontId="5" fillId="0" borderId="1" xfId="1" applyFont="1" applyFill="1" applyBorder="1" applyAlignment="1" applyProtection="1">
      <alignment vertical="center"/>
    </xf>
    <xf numFmtId="0" fontId="4" fillId="0" borderId="0" xfId="0" applyFont="1" applyAlignment="1"/>
    <xf numFmtId="0" fontId="26" fillId="0" borderId="0" xfId="0" applyFont="1" applyAlignment="1"/>
    <xf numFmtId="49" fontId="26" fillId="0" borderId="0" xfId="0" applyNumberFormat="1" applyFont="1" applyAlignment="1"/>
    <xf numFmtId="0" fontId="27" fillId="0" borderId="0" xfId="0" applyFont="1" applyAlignment="1">
      <alignment wrapText="1"/>
    </xf>
    <xf numFmtId="0" fontId="23" fillId="0" borderId="0" xfId="0" applyFont="1" applyAlignment="1"/>
    <xf numFmtId="0" fontId="28" fillId="0" borderId="0" xfId="0" applyFont="1" applyAlignment="1"/>
    <xf numFmtId="0" fontId="29" fillId="0" borderId="0" xfId="0" applyFont="1" applyAlignment="1"/>
    <xf numFmtId="43" fontId="28" fillId="0" borderId="0" xfId="1" applyFont="1" applyFill="1" applyBorder="1" applyAlignment="1"/>
    <xf numFmtId="43" fontId="28" fillId="0" borderId="0" xfId="1" applyFont="1" applyFill="1" applyBorder="1" applyAlignment="1">
      <alignment horizontal="right"/>
    </xf>
    <xf numFmtId="0" fontId="12" fillId="0" borderId="0" xfId="0" applyFont="1" applyAlignment="1">
      <alignment horizontal="center"/>
    </xf>
    <xf numFmtId="0" fontId="13" fillId="0" borderId="0" xfId="0" applyFont="1" applyAlignment="1">
      <alignment horizontal="center"/>
    </xf>
    <xf numFmtId="182" fontId="20" fillId="2" borderId="6" xfId="0" applyNumberFormat="1" applyFont="1" applyFill="1" applyBorder="1" applyAlignment="1">
      <alignment horizontal="center" vertical="center" wrapText="1"/>
    </xf>
    <xf numFmtId="182" fontId="20" fillId="2" borderId="1" xfId="0" applyNumberFormat="1" applyFont="1" applyFill="1" applyBorder="1" applyAlignment="1">
      <alignment horizontal="center" vertical="center" wrapText="1"/>
    </xf>
    <xf numFmtId="182" fontId="20" fillId="10" borderId="1" xfId="0" applyNumberFormat="1" applyFont="1" applyFill="1" applyBorder="1" applyAlignment="1">
      <alignment horizontal="center" vertical="center" wrapText="1"/>
    </xf>
    <xf numFmtId="49" fontId="20" fillId="10" borderId="1" xfId="0" applyNumberFormat="1" applyFont="1" applyFill="1" applyBorder="1" applyAlignment="1">
      <alignment horizontal="center" vertical="center" wrapText="1"/>
    </xf>
    <xf numFmtId="182" fontId="20" fillId="2" borderId="8" xfId="0" applyNumberFormat="1" applyFont="1" applyFill="1" applyBorder="1" applyAlignment="1">
      <alignment horizontal="center" vertical="center" wrapText="1"/>
    </xf>
    <xf numFmtId="49" fontId="20" fillId="2" borderId="1" xfId="0" applyNumberFormat="1" applyFont="1" applyFill="1" applyBorder="1" applyAlignment="1">
      <alignment horizontal="center" vertical="center" wrapText="1"/>
    </xf>
    <xf numFmtId="0" fontId="30" fillId="0" borderId="1" xfId="0" applyFont="1" applyBorder="1" applyAlignment="1">
      <alignment wrapText="1"/>
    </xf>
    <xf numFmtId="3" fontId="30" fillId="0" borderId="1" xfId="0" applyNumberFormat="1" applyFont="1" applyBorder="1" applyAlignment="1">
      <alignment wrapText="1"/>
    </xf>
    <xf numFmtId="3" fontId="31" fillId="0" borderId="1" xfId="0" applyNumberFormat="1" applyFont="1" applyBorder="1" applyAlignment="1">
      <alignment wrapText="1"/>
    </xf>
    <xf numFmtId="0" fontId="31" fillId="0" borderId="1" xfId="0" applyFont="1" applyBorder="1" applyAlignment="1">
      <alignment wrapText="1"/>
    </xf>
    <xf numFmtId="43" fontId="12" fillId="0" borderId="0" xfId="1" applyFont="1" applyFill="1" applyAlignment="1">
      <alignment horizontal="center"/>
    </xf>
    <xf numFmtId="43" fontId="13" fillId="0" borderId="0" xfId="1" applyFont="1" applyFill="1" applyAlignment="1">
      <alignment horizontal="center"/>
    </xf>
    <xf numFmtId="182" fontId="19" fillId="2" borderId="1" xfId="0" applyNumberFormat="1" applyFont="1" applyFill="1" applyBorder="1" applyAlignment="1">
      <alignment horizontal="center" vertical="center" wrapText="1"/>
    </xf>
    <xf numFmtId="43" fontId="20" fillId="2" borderId="1" xfId="1" applyFont="1" applyFill="1" applyBorder="1" applyAlignment="1">
      <alignment horizontal="center" vertical="center" wrapText="1"/>
    </xf>
    <xf numFmtId="43" fontId="20" fillId="10" borderId="1" xfId="1" applyFont="1" applyFill="1" applyBorder="1" applyAlignment="1" applyProtection="1">
      <alignment horizontal="center" vertical="center" wrapText="1"/>
    </xf>
    <xf numFmtId="0" fontId="30" fillId="0" borderId="1" xfId="0" applyNumberFormat="1" applyFont="1" applyBorder="1" applyAlignment="1">
      <alignment wrapText="1"/>
    </xf>
    <xf numFmtId="178" fontId="31" fillId="0" borderId="1" xfId="0" applyNumberFormat="1" applyFont="1" applyBorder="1" applyAlignment="1">
      <alignment wrapText="1"/>
    </xf>
    <xf numFmtId="4" fontId="30" fillId="0" borderId="1" xfId="1" applyNumberFormat="1" applyFont="1" applyFill="1" applyBorder="1" applyAlignment="1">
      <alignment wrapText="1"/>
    </xf>
    <xf numFmtId="4" fontId="31" fillId="0" borderId="1" xfId="1" applyNumberFormat="1" applyFont="1" applyFill="1" applyBorder="1" applyAlignment="1">
      <alignment wrapText="1"/>
    </xf>
    <xf numFmtId="0" fontId="31" fillId="0" borderId="1" xfId="0" applyNumberFormat="1" applyFont="1" applyBorder="1" applyAlignment="1">
      <alignment wrapText="1"/>
    </xf>
    <xf numFmtId="178" fontId="30" fillId="0" borderId="1" xfId="0" applyNumberFormat="1" applyFont="1" applyBorder="1" applyAlignment="1">
      <alignment wrapText="1"/>
    </xf>
    <xf numFmtId="43" fontId="12" fillId="0" borderId="0" xfId="1" applyFont="1" applyFill="1" applyAlignment="1">
      <alignment horizontal="right"/>
    </xf>
    <xf numFmtId="43" fontId="13" fillId="0" borderId="0" xfId="1" applyFont="1" applyFill="1" applyAlignment="1">
      <alignment horizontal="right"/>
    </xf>
    <xf numFmtId="43" fontId="20" fillId="2" borderId="1" xfId="1" applyFont="1" applyFill="1" applyBorder="1" applyAlignment="1">
      <alignment horizontal="right" vertical="center" wrapText="1"/>
    </xf>
    <xf numFmtId="43" fontId="19" fillId="2" borderId="1" xfId="1" applyFont="1" applyFill="1" applyBorder="1" applyAlignment="1">
      <alignment horizontal="center" vertical="center" wrapText="1"/>
    </xf>
    <xf numFmtId="43" fontId="20" fillId="10" borderId="1" xfId="1" applyFont="1" applyFill="1" applyBorder="1" applyAlignment="1" applyProtection="1">
      <alignment horizontal="right" vertical="center" wrapText="1"/>
    </xf>
    <xf numFmtId="49" fontId="18" fillId="0" borderId="8" xfId="0" applyNumberFormat="1" applyFont="1" applyFill="1" applyBorder="1" applyAlignment="1">
      <alignment horizontal="center" vertical="center"/>
    </xf>
    <xf numFmtId="4" fontId="31" fillId="0" borderId="1" xfId="1" applyNumberFormat="1" applyFont="1" applyFill="1" applyBorder="1" applyAlignment="1">
      <alignment horizontal="right" wrapText="1"/>
    </xf>
    <xf numFmtId="49" fontId="18" fillId="0" borderId="1" xfId="0" applyNumberFormat="1" applyFont="1" applyFill="1" applyBorder="1" applyAlignment="1">
      <alignment horizontal="center" vertical="center"/>
    </xf>
    <xf numFmtId="49" fontId="18" fillId="0" borderId="3" xfId="52" applyNumberFormat="1" applyFont="1" applyFill="1" applyBorder="1" applyAlignment="1">
      <alignment horizontal="center" vertical="center" wrapText="1"/>
    </xf>
    <xf numFmtId="49" fontId="18" fillId="0" borderId="3" xfId="53" applyNumberFormat="1" applyFont="1" applyFill="1" applyBorder="1" applyAlignment="1">
      <alignment horizontal="center" vertical="center"/>
    </xf>
    <xf numFmtId="182" fontId="32" fillId="0" borderId="1" xfId="1" applyNumberFormat="1" applyFont="1" applyFill="1" applyBorder="1" applyAlignment="1">
      <alignment horizontal="right" vertical="center"/>
    </xf>
    <xf numFmtId="182" fontId="18" fillId="0" borderId="1" xfId="1" applyNumberFormat="1" applyFont="1" applyFill="1" applyBorder="1" applyAlignment="1">
      <alignment horizontal="right" vertical="center"/>
    </xf>
    <xf numFmtId="43" fontId="31" fillId="10" borderId="1" xfId="1" applyFont="1" applyFill="1" applyBorder="1" applyAlignment="1" applyProtection="1">
      <alignment horizontal="center" wrapText="1"/>
    </xf>
    <xf numFmtId="182" fontId="32" fillId="0" borderId="1" xfId="0" applyNumberFormat="1" applyFont="1" applyFill="1" applyBorder="1" applyAlignment="1">
      <alignment horizontal="right" vertical="center"/>
    </xf>
    <xf numFmtId="182" fontId="18" fillId="0" borderId="3" xfId="1" applyNumberFormat="1" applyFont="1" applyFill="1" applyBorder="1" applyAlignment="1">
      <alignment horizontal="right" vertical="center"/>
    </xf>
    <xf numFmtId="49" fontId="18" fillId="0" borderId="1" xfId="0" applyNumberFormat="1" applyFont="1" applyFill="1" applyBorder="1" applyAlignment="1">
      <alignment horizontal="center" vertical="center" shrinkToFit="1"/>
    </xf>
    <xf numFmtId="182" fontId="32" fillId="0" borderId="1" xfId="1" applyNumberFormat="1" applyFont="1" applyFill="1" applyBorder="1" applyAlignment="1">
      <alignment horizontal="center" vertical="center"/>
    </xf>
    <xf numFmtId="182" fontId="32" fillId="0" borderId="1" xfId="0" applyNumberFormat="1" applyFont="1" applyFill="1" applyBorder="1" applyAlignment="1">
      <alignment horizontal="center" vertical="center"/>
    </xf>
    <xf numFmtId="182" fontId="18" fillId="0" borderId="1" xfId="0" applyNumberFormat="1" applyFont="1" applyFill="1" applyBorder="1" applyAlignment="1">
      <alignment horizontal="center" vertical="center"/>
    </xf>
    <xf numFmtId="182" fontId="18" fillId="0" borderId="1" xfId="1" applyNumberFormat="1" applyFont="1" applyFill="1" applyBorder="1" applyAlignment="1">
      <alignment horizontal="center" vertical="center"/>
    </xf>
    <xf numFmtId="49" fontId="18" fillId="0" borderId="6" xfId="53" applyNumberFormat="1" applyFont="1" applyFill="1" applyBorder="1" applyAlignment="1">
      <alignment horizontal="center" vertical="center"/>
    </xf>
    <xf numFmtId="49" fontId="18" fillId="0" borderId="9" xfId="52" applyNumberFormat="1" applyFont="1" applyFill="1" applyBorder="1" applyAlignment="1">
      <alignment horizontal="center" vertical="center" wrapText="1"/>
    </xf>
    <xf numFmtId="14" fontId="30" fillId="0" borderId="1" xfId="0" applyNumberFormat="1" applyFont="1" applyBorder="1" applyAlignment="1">
      <alignment wrapText="1"/>
    </xf>
    <xf numFmtId="184" fontId="6" fillId="0" borderId="8" xfId="0" applyNumberFormat="1" applyFont="1" applyFill="1" applyBorder="1" applyAlignment="1">
      <alignment horizontal="center" vertical="center"/>
    </xf>
    <xf numFmtId="49" fontId="6" fillId="0" borderId="8" xfId="0" applyNumberFormat="1" applyFont="1" applyFill="1" applyBorder="1" applyAlignment="1">
      <alignment horizontal="center" vertical="center"/>
    </xf>
    <xf numFmtId="182" fontId="32" fillId="0" borderId="1" xfId="53" applyNumberFormat="1" applyFont="1" applyFill="1" applyBorder="1" applyAlignment="1">
      <alignment horizontal="right" vertical="center"/>
    </xf>
    <xf numFmtId="182" fontId="18" fillId="0" borderId="1" xfId="0" applyNumberFormat="1" applyFont="1" applyFill="1" applyBorder="1" applyAlignment="1">
      <alignment horizontal="right" vertical="center"/>
    </xf>
    <xf numFmtId="182" fontId="32" fillId="0" borderId="3" xfId="53" applyNumberFormat="1" applyFont="1" applyFill="1" applyBorder="1" applyAlignment="1">
      <alignment horizontal="right" vertical="center"/>
    </xf>
    <xf numFmtId="182" fontId="18" fillId="0" borderId="3" xfId="53" applyNumberFormat="1" applyFont="1" applyFill="1" applyBorder="1" applyAlignment="1">
      <alignment horizontal="right" vertical="center"/>
    </xf>
    <xf numFmtId="182" fontId="32" fillId="0" borderId="3" xfId="0" applyNumberFormat="1" applyFont="1" applyFill="1" applyBorder="1" applyAlignment="1">
      <alignment horizontal="right" vertical="center"/>
    </xf>
    <xf numFmtId="182" fontId="18" fillId="0" borderId="3" xfId="0" applyNumberFormat="1" applyFont="1" applyFill="1" applyBorder="1" applyAlignment="1">
      <alignment horizontal="right" vertical="center"/>
    </xf>
    <xf numFmtId="0" fontId="18" fillId="0" borderId="1" xfId="0" applyNumberFormat="1" applyFont="1" applyFill="1" applyBorder="1" applyAlignment="1">
      <alignment vertical="center"/>
    </xf>
    <xf numFmtId="182" fontId="6" fillId="0" borderId="1" xfId="0" applyNumberFormat="1" applyFont="1" applyFill="1" applyBorder="1" applyAlignment="1">
      <alignment horizontal="center" vertical="center"/>
    </xf>
    <xf numFmtId="182" fontId="6" fillId="0" borderId="1" xfId="0" applyNumberFormat="1" applyFont="1" applyFill="1" applyBorder="1" applyAlignment="1">
      <alignment horizontal="right" vertical="center"/>
    </xf>
    <xf numFmtId="182" fontId="6" fillId="0" borderId="8" xfId="0" applyNumberFormat="1" applyFont="1" applyFill="1" applyBorder="1" applyAlignment="1">
      <alignment horizontal="right" vertical="center"/>
    </xf>
    <xf numFmtId="182" fontId="33" fillId="0" borderId="1" xfId="0" applyNumberFormat="1" applyFont="1" applyFill="1" applyBorder="1" applyAlignment="1">
      <alignment horizontal="right" vertical="center"/>
    </xf>
    <xf numFmtId="182" fontId="5" fillId="0" borderId="1" xfId="0" applyNumberFormat="1" applyFont="1" applyFill="1" applyBorder="1" applyAlignment="1">
      <alignment horizontal="right" vertical="center"/>
    </xf>
    <xf numFmtId="0" fontId="6" fillId="0" borderId="0" xfId="0" applyFont="1">
      <alignment vertical="center"/>
    </xf>
    <xf numFmtId="0" fontId="7" fillId="0" borderId="0" xfId="0" applyFont="1">
      <alignment vertical="center"/>
    </xf>
    <xf numFmtId="0" fontId="34" fillId="0" borderId="0" xfId="0" applyFont="1">
      <alignment vertical="center"/>
    </xf>
    <xf numFmtId="49" fontId="34" fillId="0" borderId="0" xfId="0" applyNumberFormat="1" applyFont="1">
      <alignment vertical="center"/>
    </xf>
    <xf numFmtId="0" fontId="5" fillId="0" borderId="0" xfId="0" applyFont="1" applyAlignment="1">
      <alignment horizontal="center" vertical="center"/>
    </xf>
    <xf numFmtId="43" fontId="5" fillId="0" borderId="0" xfId="1" applyFont="1" applyAlignment="1">
      <alignment horizontal="center" vertical="center"/>
    </xf>
    <xf numFmtId="0" fontId="35" fillId="0" borderId="0" xfId="0" applyFont="1" applyAlignment="1">
      <alignment horizontal="center" vertical="center"/>
    </xf>
    <xf numFmtId="43" fontId="35" fillId="0" borderId="0" xfId="1" applyFont="1" applyAlignment="1">
      <alignment horizontal="center" vertical="center"/>
    </xf>
    <xf numFmtId="0" fontId="6" fillId="0" borderId="0" xfId="0" applyFont="1" applyAlignment="1">
      <alignment horizontal="center" vertical="center"/>
    </xf>
    <xf numFmtId="43" fontId="6" fillId="0" borderId="0" xfId="1" applyFont="1" applyAlignment="1">
      <alignment horizontal="center" vertical="center"/>
    </xf>
    <xf numFmtId="0" fontId="7" fillId="2" borderId="6" xfId="0" applyFont="1" applyFill="1" applyBorder="1" applyAlignment="1">
      <alignment horizontal="center" vertical="center"/>
    </xf>
    <xf numFmtId="0" fontId="7" fillId="2" borderId="1" xfId="0" applyFont="1" applyFill="1" applyBorder="1" applyAlignment="1">
      <alignment horizontal="center" vertical="center" wrapText="1"/>
    </xf>
    <xf numFmtId="43" fontId="7" fillId="2" borderId="1" xfId="1" applyFont="1" applyFill="1" applyBorder="1" applyAlignment="1">
      <alignment horizontal="center" vertical="center"/>
    </xf>
    <xf numFmtId="0" fontId="7" fillId="2" borderId="7" xfId="0" applyFont="1" applyFill="1" applyBorder="1" applyAlignment="1">
      <alignment horizontal="center" vertical="center"/>
    </xf>
    <xf numFmtId="43" fontId="7" fillId="2" borderId="1" xfId="1" applyFont="1" applyFill="1" applyBorder="1" applyAlignment="1">
      <alignment horizontal="center" vertical="center" wrapText="1"/>
    </xf>
    <xf numFmtId="0" fontId="7" fillId="2" borderId="8" xfId="0" applyFont="1" applyFill="1" applyBorder="1" applyAlignment="1">
      <alignment horizontal="center" vertical="center"/>
    </xf>
    <xf numFmtId="0" fontId="6" fillId="0" borderId="1" xfId="0" applyFont="1" applyBorder="1" applyAlignment="1">
      <alignment horizontal="center" vertical="center"/>
    </xf>
    <xf numFmtId="0" fontId="15" fillId="0" borderId="1" xfId="0" applyFont="1" applyBorder="1" applyAlignment="1">
      <alignment horizontal="center" vertical="center"/>
    </xf>
    <xf numFmtId="43" fontId="6" fillId="0" borderId="1" xfId="1" applyFont="1" applyBorder="1" applyAlignment="1">
      <alignment horizontal="center" vertical="center" wrapText="1"/>
    </xf>
    <xf numFmtId="43" fontId="6" fillId="0" borderId="1" xfId="1" applyFont="1" applyBorder="1" applyAlignment="1">
      <alignment horizontal="center" vertical="center"/>
    </xf>
    <xf numFmtId="0" fontId="6" fillId="0" borderId="1" xfId="0" applyFont="1" applyBorder="1" applyAlignment="1">
      <alignment horizontal="center" vertical="center" wrapText="1"/>
    </xf>
    <xf numFmtId="43" fontId="6" fillId="0" borderId="1" xfId="1" applyFont="1" applyFill="1" applyBorder="1" applyAlignment="1">
      <alignment horizontal="center" vertical="center" wrapText="1"/>
    </xf>
    <xf numFmtId="43" fontId="6" fillId="0" borderId="1" xfId="1" applyFont="1" applyFill="1" applyBorder="1" applyAlignment="1">
      <alignment horizontal="center" vertical="center"/>
    </xf>
    <xf numFmtId="43" fontId="19" fillId="2" borderId="3" xfId="1" applyFont="1" applyFill="1" applyBorder="1" applyAlignment="1">
      <alignment horizontal="center" vertical="center"/>
    </xf>
    <xf numFmtId="43" fontId="19" fillId="2" borderId="4" xfId="1" applyFont="1" applyFill="1" applyBorder="1" applyAlignment="1">
      <alignment horizontal="center" vertical="center"/>
    </xf>
    <xf numFmtId="43" fontId="19" fillId="2" borderId="2" xfId="1" applyFont="1" applyFill="1" applyBorder="1" applyAlignment="1">
      <alignment horizontal="center" vertical="center"/>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6" fillId="0" borderId="2" xfId="0" applyFont="1" applyBorder="1" applyAlignment="1">
      <alignment horizontal="center" vertical="center" wrapText="1"/>
    </xf>
    <xf numFmtId="43" fontId="6" fillId="0" borderId="10" xfId="1" applyFont="1" applyBorder="1" applyAlignment="1">
      <alignment horizontal="center" vertical="center"/>
    </xf>
    <xf numFmtId="0" fontId="36" fillId="0" borderId="0" xfId="0" applyFont="1" applyAlignment="1">
      <alignment vertical="center" wrapText="1"/>
    </xf>
    <xf numFmtId="0" fontId="5" fillId="0" borderId="0" xfId="0" applyFont="1" applyAlignment="1">
      <alignment horizontal="center"/>
    </xf>
    <xf numFmtId="49" fontId="5" fillId="0" borderId="0" xfId="0" applyNumberFormat="1" applyFont="1" applyAlignment="1">
      <alignment horizontal="center" vertical="center"/>
    </xf>
    <xf numFmtId="43" fontId="5" fillId="0" borderId="0" xfId="1" applyFont="1" applyFill="1" applyBorder="1" applyAlignment="1"/>
    <xf numFmtId="0" fontId="9" fillId="0" borderId="0" xfId="0" applyFont="1" applyAlignment="1">
      <alignment horizontal="center" vertical="center"/>
    </xf>
    <xf numFmtId="0" fontId="6" fillId="0" borderId="5" xfId="0" applyFont="1" applyBorder="1" applyAlignment="1">
      <alignment horizontal="center" vertical="center"/>
    </xf>
    <xf numFmtId="0" fontId="7" fillId="3" borderId="1" xfId="50" applyFont="1" applyFill="1" applyBorder="1" applyAlignment="1">
      <alignment horizontal="center" vertical="center" wrapText="1"/>
    </xf>
    <xf numFmtId="0" fontId="20" fillId="3" borderId="1" xfId="0" applyFont="1" applyFill="1" applyBorder="1" applyAlignment="1">
      <alignment horizontal="center" vertical="center" wrapText="1"/>
    </xf>
    <xf numFmtId="0" fontId="20" fillId="3" borderId="3" xfId="0" applyFont="1" applyFill="1" applyBorder="1" applyAlignment="1">
      <alignment horizontal="center" vertical="center" wrapText="1"/>
    </xf>
    <xf numFmtId="0" fontId="7" fillId="3" borderId="1" xfId="0" applyFont="1" applyFill="1" applyBorder="1" applyAlignment="1">
      <alignment horizontal="center" vertical="center" wrapText="1"/>
    </xf>
    <xf numFmtId="0" fontId="20" fillId="3" borderId="1" xfId="1" applyNumberFormat="1" applyFont="1" applyFill="1" applyBorder="1" applyAlignment="1">
      <alignment horizontal="center" vertical="center" wrapText="1"/>
    </xf>
    <xf numFmtId="0" fontId="4" fillId="6" borderId="1" xfId="0" applyFont="1" applyFill="1" applyBorder="1" applyAlignment="1">
      <alignment horizontal="center" vertical="center" wrapText="1"/>
    </xf>
    <xf numFmtId="0" fontId="1" fillId="6" borderId="1" xfId="0" applyFont="1" applyFill="1" applyBorder="1" applyAlignment="1">
      <alignment horizontal="center" vertical="center"/>
    </xf>
    <xf numFmtId="43" fontId="4" fillId="6" borderId="1" xfId="1" applyFont="1" applyFill="1" applyBorder="1" applyAlignment="1" applyProtection="1">
      <alignment horizontal="center" vertical="center" wrapText="1"/>
    </xf>
    <xf numFmtId="0" fontId="1" fillId="6" borderId="3" xfId="0" applyFont="1" applyFill="1" applyBorder="1" applyAlignment="1">
      <alignment horizontal="center" vertical="center"/>
    </xf>
    <xf numFmtId="43" fontId="4" fillId="0" borderId="1" xfId="1" applyFont="1" applyFill="1" applyBorder="1" applyAlignment="1" applyProtection="1">
      <alignment horizontal="center" vertical="center" wrapText="1"/>
    </xf>
    <xf numFmtId="0" fontId="1" fillId="6" borderId="1" xfId="1" applyNumberFormat="1" applyFont="1" applyFill="1" applyBorder="1" applyAlignment="1">
      <alignment horizontal="center" vertical="center"/>
    </xf>
    <xf numFmtId="0" fontId="1" fillId="0" borderId="1" xfId="1" applyNumberFormat="1" applyFont="1" applyFill="1" applyBorder="1" applyAlignment="1">
      <alignment vertical="center"/>
    </xf>
    <xf numFmtId="10" fontId="0" fillId="0" borderId="1" xfId="3" applyNumberFormat="1" applyFont="1" applyBorder="1" applyAlignment="1">
      <alignment horizontal="center" vertical="center" wrapText="1"/>
    </xf>
    <xf numFmtId="0" fontId="6" fillId="6" borderId="0" xfId="0" applyFont="1" applyFill="1" applyAlignment="1"/>
    <xf numFmtId="0" fontId="6" fillId="0" borderId="0" xfId="0" applyFont="1" applyAlignment="1"/>
    <xf numFmtId="0" fontId="37" fillId="0" borderId="0" xfId="0" applyFont="1">
      <alignment vertical="center"/>
    </xf>
    <xf numFmtId="9" fontId="5" fillId="0" borderId="0" xfId="3" applyFont="1" applyAlignment="1"/>
    <xf numFmtId="0" fontId="5" fillId="0" borderId="0" xfId="0" applyFont="1" applyAlignment="1"/>
    <xf numFmtId="49" fontId="5" fillId="0" borderId="0" xfId="0" applyNumberFormat="1" applyFont="1" applyAlignment="1">
      <alignment horizontal="center"/>
    </xf>
    <xf numFmtId="43" fontId="5" fillId="0" borderId="0" xfId="1" applyFont="1" applyFill="1" applyAlignment="1"/>
    <xf numFmtId="0" fontId="38" fillId="0" borderId="0" xfId="0" applyFont="1" applyAlignment="1"/>
    <xf numFmtId="185" fontId="38" fillId="0" borderId="0" xfId="3" applyNumberFormat="1" applyFont="1" applyFill="1" applyAlignment="1"/>
    <xf numFmtId="0" fontId="12" fillId="0" borderId="0" xfId="0" applyFont="1" applyAlignment="1">
      <alignment horizontal="center" vertical="center" wrapText="1"/>
    </xf>
    <xf numFmtId="43" fontId="12" fillId="0" borderId="0" xfId="1" applyFont="1" applyFill="1" applyAlignment="1">
      <alignment horizontal="center" vertical="center" wrapText="1"/>
    </xf>
    <xf numFmtId="185" fontId="12" fillId="0" borderId="0" xfId="3" applyNumberFormat="1" applyFont="1" applyFill="1" applyAlignment="1">
      <alignment horizontal="center" vertical="center" wrapText="1"/>
    </xf>
    <xf numFmtId="185" fontId="13" fillId="0" borderId="0" xfId="3" applyNumberFormat="1" applyFont="1" applyFill="1" applyAlignment="1">
      <alignment horizontal="center"/>
    </xf>
    <xf numFmtId="0" fontId="20" fillId="2" borderId="6" xfId="0" applyFont="1" applyFill="1" applyBorder="1" applyAlignment="1">
      <alignment horizontal="center" vertical="center" wrapText="1"/>
    </xf>
    <xf numFmtId="49" fontId="20" fillId="2" borderId="6" xfId="0" applyNumberFormat="1" applyFont="1" applyFill="1" applyBorder="1" applyAlignment="1">
      <alignment horizontal="center" vertical="center" wrapText="1"/>
    </xf>
    <xf numFmtId="0" fontId="7" fillId="2" borderId="3" xfId="0" applyFont="1" applyFill="1" applyBorder="1" applyAlignment="1">
      <alignment horizontal="center" vertical="center" wrapText="1"/>
    </xf>
    <xf numFmtId="185" fontId="7" fillId="2" borderId="4" xfId="3" applyNumberFormat="1" applyFont="1" applyFill="1" applyBorder="1" applyAlignment="1">
      <alignment horizontal="center" vertical="center" wrapText="1"/>
    </xf>
    <xf numFmtId="0" fontId="20" fillId="2" borderId="7" xfId="0" applyFont="1" applyFill="1" applyBorder="1" applyAlignment="1">
      <alignment horizontal="center" vertical="center" wrapText="1"/>
    </xf>
    <xf numFmtId="49" fontId="20" fillId="2" borderId="7" xfId="0" applyNumberFormat="1" applyFont="1" applyFill="1" applyBorder="1" applyAlignment="1">
      <alignment horizontal="center" vertical="center" wrapText="1"/>
    </xf>
    <xf numFmtId="0" fontId="20" fillId="2" borderId="1" xfId="0" applyFont="1" applyFill="1" applyBorder="1" applyAlignment="1">
      <alignment horizontal="center" vertical="center" wrapText="1"/>
    </xf>
    <xf numFmtId="185" fontId="20" fillId="2" borderId="1" xfId="3" applyNumberFormat="1" applyFont="1" applyFill="1" applyBorder="1" applyAlignment="1">
      <alignment horizontal="center" vertical="center" wrapText="1"/>
    </xf>
    <xf numFmtId="0" fontId="20" fillId="2" borderId="8" xfId="0" applyFont="1" applyFill="1" applyBorder="1" applyAlignment="1">
      <alignment horizontal="center" vertical="center" wrapText="1"/>
    </xf>
    <xf numFmtId="49" fontId="20" fillId="2" borderId="8" xfId="0" applyNumberFormat="1" applyFont="1" applyFill="1" applyBorder="1" applyAlignment="1">
      <alignment horizontal="center" vertical="center" wrapText="1"/>
    </xf>
    <xf numFmtId="0" fontId="7" fillId="0" borderId="1" xfId="0" applyFont="1" applyBorder="1" applyAlignment="1">
      <alignment horizontal="left" vertical="center" wrapText="1"/>
    </xf>
    <xf numFmtId="49" fontId="6" fillId="0" borderId="1" xfId="0" applyNumberFormat="1" applyFont="1" applyBorder="1" applyAlignment="1">
      <alignment horizontal="center" vertical="center" wrapText="1"/>
    </xf>
    <xf numFmtId="43" fontId="22" fillId="0" borderId="1" xfId="1" applyFont="1" applyFill="1" applyBorder="1" applyAlignment="1">
      <alignment vertical="center" wrapText="1"/>
    </xf>
    <xf numFmtId="9" fontId="22" fillId="0" borderId="10" xfId="0" applyNumberFormat="1" applyFont="1" applyBorder="1" applyAlignment="1">
      <alignment vertical="center" wrapText="1"/>
    </xf>
    <xf numFmtId="10" fontId="6" fillId="0" borderId="10" xfId="3" applyNumberFormat="1" applyFont="1" applyFill="1" applyBorder="1" applyAlignment="1">
      <alignment vertical="center" wrapText="1"/>
    </xf>
    <xf numFmtId="0" fontId="7" fillId="0" borderId="1" xfId="0" applyFont="1" applyBorder="1" applyAlignment="1">
      <alignment vertical="center" wrapText="1"/>
    </xf>
    <xf numFmtId="9" fontId="22" fillId="0" borderId="1" xfId="0" applyNumberFormat="1" applyFont="1" applyBorder="1" applyAlignment="1">
      <alignment vertical="center" wrapText="1"/>
    </xf>
    <xf numFmtId="10" fontId="6" fillId="0" borderId="1" xfId="3" applyNumberFormat="1" applyFont="1" applyFill="1" applyBorder="1" applyAlignment="1">
      <alignment vertical="center" wrapText="1"/>
    </xf>
    <xf numFmtId="0" fontId="6" fillId="0" borderId="1" xfId="0" applyFont="1" applyBorder="1" applyAlignment="1">
      <alignment vertical="center" wrapText="1"/>
    </xf>
    <xf numFmtId="43" fontId="22" fillId="0" borderId="10" xfId="1" applyFont="1" applyFill="1" applyBorder="1" applyAlignment="1">
      <alignment vertical="center" wrapText="1"/>
    </xf>
    <xf numFmtId="10" fontId="22" fillId="0" borderId="10" xfId="3" applyNumberFormat="1" applyFont="1" applyFill="1" applyBorder="1" applyAlignment="1">
      <alignment vertical="center" wrapText="1"/>
    </xf>
    <xf numFmtId="0" fontId="39" fillId="0" borderId="11" xfId="0" applyFont="1" applyBorder="1" applyAlignment="1">
      <alignment vertical="center" wrapText="1"/>
    </xf>
    <xf numFmtId="0" fontId="39" fillId="0" borderId="0" xfId="0" applyFont="1" applyAlignment="1">
      <alignment vertical="center" wrapText="1"/>
    </xf>
    <xf numFmtId="43" fontId="39" fillId="0" borderId="0" xfId="1" applyFont="1" applyFill="1" applyBorder="1" applyAlignment="1">
      <alignment vertical="center" wrapText="1"/>
    </xf>
    <xf numFmtId="185" fontId="39" fillId="0" borderId="0" xfId="3" applyNumberFormat="1" applyFont="1" applyFill="1" applyBorder="1" applyAlignment="1">
      <alignment vertical="center" wrapText="1"/>
    </xf>
    <xf numFmtId="9" fontId="36" fillId="0" borderId="0" xfId="3" applyFont="1" applyAlignment="1">
      <alignment horizontal="center" vertical="center"/>
    </xf>
    <xf numFmtId="49" fontId="5" fillId="0" borderId="0" xfId="3" applyNumberFormat="1" applyFont="1" applyAlignment="1">
      <alignment horizontal="center"/>
    </xf>
    <xf numFmtId="43" fontId="5" fillId="0" borderId="0" xfId="1" applyFont="1" applyAlignment="1"/>
    <xf numFmtId="9" fontId="38" fillId="0" borderId="0" xfId="3" applyFont="1" applyAlignment="1"/>
    <xf numFmtId="185" fontId="38" fillId="0" borderId="0" xfId="3" applyNumberFormat="1" applyFont="1" applyAlignment="1"/>
    <xf numFmtId="49" fontId="36" fillId="0" borderId="0" xfId="3" applyNumberFormat="1" applyFont="1" applyAlignment="1">
      <alignment horizontal="center" vertical="center"/>
    </xf>
    <xf numFmtId="43" fontId="27" fillId="0" borderId="0" xfId="1" applyFont="1" applyAlignment="1">
      <alignment horizontal="left" vertical="center"/>
    </xf>
    <xf numFmtId="0" fontId="40" fillId="0" borderId="0" xfId="0" applyFont="1" applyAlignment="1"/>
    <xf numFmtId="43" fontId="22" fillId="0" borderId="1" xfId="1" applyFont="1" applyFill="1" applyBorder="1" applyAlignment="1">
      <alignment horizontal="right" vertical="center" wrapText="1"/>
    </xf>
    <xf numFmtId="43" fontId="5" fillId="0" borderId="0" xfId="0" applyNumberFormat="1" applyFont="1" applyAlignment="1"/>
    <xf numFmtId="49" fontId="6" fillId="0" borderId="0" xfId="0" applyNumberFormat="1" applyFont="1" applyAlignment="1"/>
    <xf numFmtId="0" fontId="15" fillId="0" borderId="0" xfId="0" applyFont="1" applyAlignment="1"/>
    <xf numFmtId="43" fontId="6" fillId="0" borderId="0" xfId="1" applyFont="1" applyFill="1" applyAlignment="1"/>
    <xf numFmtId="0" fontId="41" fillId="0" borderId="0" xfId="0" applyFont="1" applyAlignment="1">
      <alignment horizontal="center"/>
    </xf>
    <xf numFmtId="43" fontId="41" fillId="0" borderId="0" xfId="1" applyFont="1" applyFill="1" applyAlignment="1">
      <alignment horizontal="center"/>
    </xf>
    <xf numFmtId="0" fontId="29" fillId="0" borderId="5" xfId="0" applyFont="1" applyBorder="1" applyAlignment="1">
      <alignment horizontal="center" vertical="center"/>
    </xf>
    <xf numFmtId="43" fontId="29" fillId="0" borderId="5" xfId="1" applyFont="1" applyFill="1" applyBorder="1" applyAlignment="1">
      <alignment horizontal="center" vertical="center"/>
    </xf>
    <xf numFmtId="0" fontId="42" fillId="0" borderId="0" xfId="0" applyFont="1" applyAlignment="1"/>
    <xf numFmtId="182" fontId="43" fillId="2" borderId="6" xfId="0" applyNumberFormat="1" applyFont="1" applyFill="1" applyBorder="1" applyAlignment="1">
      <alignment horizontal="center" vertical="center" wrapText="1"/>
    </xf>
    <xf numFmtId="43" fontId="43" fillId="2" borderId="1" xfId="1" applyFont="1" applyFill="1" applyBorder="1" applyAlignment="1">
      <alignment horizontal="center" vertical="center" wrapText="1"/>
    </xf>
    <xf numFmtId="182" fontId="43" fillId="2" borderId="8" xfId="0" applyNumberFormat="1" applyFont="1" applyFill="1" applyBorder="1" applyAlignment="1">
      <alignment horizontal="center" vertical="center" wrapText="1"/>
    </xf>
    <xf numFmtId="0" fontId="42" fillId="11" borderId="1" xfId="51" applyFont="1" applyFill="1" applyBorder="1" applyAlignment="1">
      <alignment horizontal="left" vertical="center"/>
    </xf>
    <xf numFmtId="0" fontId="15" fillId="11" borderId="1" xfId="51" applyFont="1" applyFill="1" applyBorder="1" applyAlignment="1">
      <alignment horizontal="center" vertical="center"/>
    </xf>
    <xf numFmtId="43" fontId="15" fillId="11" borderId="1" xfId="1" applyFont="1" applyFill="1" applyBorder="1" applyAlignment="1">
      <alignment horizontal="center" vertical="center" wrapText="1"/>
    </xf>
    <xf numFmtId="43" fontId="42" fillId="11" borderId="1" xfId="1" applyFont="1" applyFill="1" applyBorder="1" applyAlignment="1">
      <alignment horizontal="center" vertical="center" wrapText="1"/>
    </xf>
    <xf numFmtId="0" fontId="6" fillId="11" borderId="1" xfId="0" applyFont="1" applyFill="1" applyBorder="1" applyAlignment="1">
      <alignment horizontal="left" vertical="center" wrapText="1"/>
    </xf>
    <xf numFmtId="43" fontId="15" fillId="0" borderId="1" xfId="1" applyFont="1" applyFill="1" applyBorder="1" applyAlignment="1">
      <alignment horizontal="center" vertical="center" wrapText="1"/>
    </xf>
    <xf numFmtId="182" fontId="42" fillId="11" borderId="1" xfId="0" applyNumberFormat="1" applyFont="1" applyFill="1" applyBorder="1" applyAlignment="1">
      <alignment horizontal="center" vertical="center" wrapText="1"/>
    </xf>
    <xf numFmtId="0" fontId="5" fillId="0" borderId="0" xfId="49" applyFont="1" applyAlignment="1"/>
    <xf numFmtId="43" fontId="5" fillId="0" borderId="0" xfId="1" applyFont="1" applyFill="1" applyBorder="1" applyAlignment="1" applyProtection="1"/>
    <xf numFmtId="43" fontId="9" fillId="0" borderId="0" xfId="1" applyFont="1" applyAlignment="1">
      <alignment horizontal="center" vertical="center"/>
    </xf>
    <xf numFmtId="0" fontId="7" fillId="0" borderId="6" xfId="49" applyFont="1" applyBorder="1" applyAlignment="1">
      <alignment horizontal="center" vertical="center" wrapText="1"/>
    </xf>
    <xf numFmtId="0" fontId="7" fillId="2" borderId="6" xfId="49" applyFont="1" applyFill="1" applyBorder="1" applyAlignment="1">
      <alignment horizontal="center" vertical="center"/>
    </xf>
    <xf numFmtId="43" fontId="7" fillId="2" borderId="1" xfId="1" applyFont="1" applyFill="1" applyBorder="1" applyAlignment="1" applyProtection="1">
      <alignment horizontal="center" vertical="center" wrapText="1"/>
    </xf>
    <xf numFmtId="0" fontId="7" fillId="0" borderId="7" xfId="49" applyFont="1" applyBorder="1" applyAlignment="1">
      <alignment horizontal="center" vertical="center" wrapText="1"/>
    </xf>
    <xf numFmtId="0" fontId="7" fillId="2" borderId="8" xfId="49" applyFont="1" applyFill="1" applyBorder="1" applyAlignment="1">
      <alignment horizontal="center" vertical="center"/>
    </xf>
    <xf numFmtId="0" fontId="7" fillId="0" borderId="1" xfId="49" applyFont="1" applyBorder="1" applyAlignment="1">
      <alignment horizontal="left" vertical="center"/>
    </xf>
    <xf numFmtId="0" fontId="6" fillId="0" borderId="1" xfId="49" applyFont="1" applyBorder="1" applyAlignment="1">
      <alignment horizontal="center" vertical="center"/>
    </xf>
    <xf numFmtId="43" fontId="26" fillId="0" borderId="1" xfId="1" applyFont="1" applyFill="1" applyBorder="1" applyAlignment="1" applyProtection="1">
      <alignment horizontal="center" vertical="center" wrapText="1"/>
    </xf>
    <xf numFmtId="0" fontId="7" fillId="0" borderId="1" xfId="49" applyFont="1" applyBorder="1" applyAlignment="1">
      <alignment vertical="center" wrapText="1"/>
    </xf>
    <xf numFmtId="0" fontId="6" fillId="0" borderId="1" xfId="49" applyFont="1" applyBorder="1">
      <alignment vertical="center"/>
    </xf>
    <xf numFmtId="0" fontId="7" fillId="0" borderId="8" xfId="49" applyFont="1" applyBorder="1" applyAlignment="1">
      <alignment horizontal="center" vertical="center" wrapText="1"/>
    </xf>
    <xf numFmtId="182" fontId="42" fillId="0" borderId="1" xfId="0" applyNumberFormat="1" applyFont="1" applyBorder="1" applyAlignment="1">
      <alignment horizontal="center" vertical="center" wrapText="1"/>
    </xf>
    <xf numFmtId="0" fontId="7" fillId="0" borderId="1" xfId="49" applyFont="1" applyBorder="1" applyAlignment="1">
      <alignment horizontal="center" vertical="center" wrapText="1"/>
    </xf>
    <xf numFmtId="0" fontId="7" fillId="2" borderId="6" xfId="49" applyFont="1" applyFill="1" applyBorder="1" applyAlignment="1">
      <alignment horizontal="center" vertical="center" wrapText="1"/>
    </xf>
    <xf numFmtId="0" fontId="7" fillId="2" borderId="8" xfId="49" applyFont="1" applyFill="1" applyBorder="1" applyAlignment="1">
      <alignment horizontal="center" vertical="center" wrapText="1"/>
    </xf>
    <xf numFmtId="43" fontId="15" fillId="0" borderId="1" xfId="1" applyFont="1" applyFill="1" applyBorder="1" applyAlignment="1" applyProtection="1">
      <alignment horizontal="center" vertical="center" wrapText="1"/>
    </xf>
    <xf numFmtId="186" fontId="42" fillId="0" borderId="1" xfId="3" applyNumberFormat="1" applyFont="1" applyFill="1" applyBorder="1" applyAlignment="1" applyProtection="1">
      <alignment horizontal="center" vertical="center" wrapText="1"/>
    </xf>
    <xf numFmtId="0" fontId="7" fillId="2" borderId="1" xfId="49" applyFont="1" applyFill="1" applyBorder="1" applyAlignment="1">
      <alignment horizontal="center" vertical="center" wrapText="1"/>
    </xf>
    <xf numFmtId="49" fontId="7" fillId="2" borderId="1" xfId="49" applyNumberFormat="1" applyFont="1" applyFill="1" applyBorder="1" applyAlignment="1">
      <alignment horizontal="center" vertical="center" wrapText="1"/>
    </xf>
    <xf numFmtId="0" fontId="6" fillId="0" borderId="1" xfId="49" applyFont="1" applyBorder="1" applyAlignment="1">
      <alignment horizontal="center" wrapText="1"/>
    </xf>
    <xf numFmtId="43" fontId="7" fillId="2" borderId="3" xfId="1" applyFont="1" applyFill="1" applyBorder="1" applyAlignment="1" applyProtection="1">
      <alignment horizontal="center" vertical="center" wrapText="1"/>
    </xf>
    <xf numFmtId="43" fontId="7" fillId="2" borderId="2" xfId="1" applyFont="1" applyFill="1" applyBorder="1" applyAlignment="1" applyProtection="1">
      <alignment horizontal="center" vertical="center" wrapText="1"/>
    </xf>
    <xf numFmtId="186" fontId="42" fillId="0" borderId="3" xfId="3" applyNumberFormat="1" applyFont="1" applyFill="1" applyBorder="1" applyAlignment="1" applyProtection="1">
      <alignment horizontal="center" vertical="center" wrapText="1"/>
    </xf>
    <xf numFmtId="186" fontId="42" fillId="0" borderId="2" xfId="3" applyNumberFormat="1" applyFont="1" applyFill="1" applyBorder="1" applyAlignment="1" applyProtection="1">
      <alignment horizontal="center" vertical="center" wrapText="1"/>
    </xf>
    <xf numFmtId="186" fontId="42" fillId="11" borderId="3" xfId="3" applyNumberFormat="1" applyFont="1" applyFill="1" applyBorder="1" applyAlignment="1">
      <alignment horizontal="center" vertical="center" wrapText="1"/>
    </xf>
    <xf numFmtId="186" fontId="42" fillId="11" borderId="2" xfId="3" applyNumberFormat="1" applyFont="1" applyFill="1" applyBorder="1" applyAlignment="1">
      <alignment horizontal="center" vertical="center" wrapText="1"/>
    </xf>
    <xf numFmtId="182" fontId="42" fillId="11" borderId="1" xfId="0" applyNumberFormat="1" applyFont="1" applyFill="1" applyBorder="1" applyAlignment="1">
      <alignment vertical="center" wrapText="1"/>
    </xf>
    <xf numFmtId="0" fontId="44" fillId="0" borderId="0" xfId="0" applyFont="1" applyAlignment="1"/>
    <xf numFmtId="0" fontId="45" fillId="0" borderId="0" xfId="0" applyFont="1">
      <alignment vertical="center"/>
    </xf>
    <xf numFmtId="0" fontId="5" fillId="0" borderId="0" xfId="0" applyFont="1" applyAlignment="1">
      <alignment horizontal="left"/>
    </xf>
    <xf numFmtId="0" fontId="46" fillId="0" borderId="0" xfId="0" applyFont="1" applyAlignment="1">
      <alignment horizontal="center"/>
    </xf>
    <xf numFmtId="0" fontId="47" fillId="0" borderId="0" xfId="0" applyFont="1" applyAlignment="1">
      <alignment horizontal="left" vertical="center"/>
    </xf>
    <xf numFmtId="0" fontId="47" fillId="0" borderId="0" xfId="0" applyFont="1">
      <alignment vertical="center"/>
    </xf>
    <xf numFmtId="43" fontId="47" fillId="0" borderId="0" xfId="1" applyFont="1" applyFill="1" applyAlignment="1">
      <alignment horizontal="center" vertical="center"/>
    </xf>
    <xf numFmtId="182" fontId="48" fillId="6" borderId="1" xfId="0" applyNumberFormat="1" applyFont="1" applyFill="1" applyBorder="1" applyAlignment="1">
      <alignment horizontal="left" vertical="center" wrapText="1"/>
    </xf>
    <xf numFmtId="43" fontId="47" fillId="6" borderId="1" xfId="1" applyFont="1" applyFill="1" applyBorder="1" applyAlignment="1">
      <alignment horizontal="center" vertical="center"/>
    </xf>
    <xf numFmtId="43" fontId="48" fillId="6" borderId="1" xfId="1" applyFont="1" applyFill="1" applyBorder="1" applyAlignment="1">
      <alignment horizontal="center" vertical="center" wrapText="1"/>
    </xf>
    <xf numFmtId="43" fontId="48" fillId="6" borderId="3" xfId="1" applyFont="1" applyFill="1" applyBorder="1" applyAlignment="1">
      <alignment horizontal="center" vertical="center" wrapText="1"/>
    </xf>
    <xf numFmtId="43" fontId="47" fillId="6" borderId="4" xfId="1" applyFont="1" applyFill="1" applyBorder="1" applyAlignment="1">
      <alignment horizontal="center" vertical="center"/>
    </xf>
    <xf numFmtId="43" fontId="47" fillId="6" borderId="1" xfId="1" applyFont="1" applyFill="1" applyBorder="1" applyAlignment="1">
      <alignment horizontal="center" vertical="center" wrapText="1"/>
    </xf>
    <xf numFmtId="43" fontId="47" fillId="6" borderId="3" xfId="1" applyFont="1" applyFill="1" applyBorder="1" applyAlignment="1">
      <alignment horizontal="center" vertical="center" wrapText="1"/>
    </xf>
    <xf numFmtId="43" fontId="47" fillId="6" borderId="1" xfId="1" applyFont="1" applyFill="1" applyBorder="1" applyAlignment="1">
      <alignment horizontal="left" vertical="center" wrapText="1"/>
    </xf>
    <xf numFmtId="43" fontId="48" fillId="6" borderId="1" xfId="1" applyFont="1" applyFill="1" applyBorder="1" applyAlignment="1">
      <alignment horizontal="left" vertical="center" wrapText="1"/>
    </xf>
    <xf numFmtId="182" fontId="49" fillId="0" borderId="3" xfId="0" applyNumberFormat="1" applyFont="1" applyBorder="1" applyAlignment="1">
      <alignment horizontal="center" vertical="center" wrapText="1"/>
    </xf>
    <xf numFmtId="182" fontId="49" fillId="0" borderId="2" xfId="0" applyNumberFormat="1" applyFont="1" applyBorder="1" applyAlignment="1">
      <alignment horizontal="center" vertical="center" wrapText="1"/>
    </xf>
    <xf numFmtId="182" fontId="49" fillId="0" borderId="1" xfId="0" applyNumberFormat="1" applyFont="1" applyBorder="1" applyAlignment="1">
      <alignment horizontal="center" vertical="center" wrapText="1"/>
    </xf>
    <xf numFmtId="0" fontId="47" fillId="0" borderId="1" xfId="0" applyFont="1" applyBorder="1" applyAlignment="1">
      <alignment horizontal="left" vertical="center" wrapText="1"/>
    </xf>
    <xf numFmtId="0" fontId="47" fillId="0" borderId="1" xfId="0" applyFont="1" applyBorder="1" applyAlignment="1">
      <alignment horizontal="center" vertical="center" wrapText="1"/>
    </xf>
    <xf numFmtId="43" fontId="47" fillId="0" borderId="1" xfId="0" applyNumberFormat="1" applyFont="1" applyBorder="1" applyAlignment="1">
      <alignment horizontal="center" vertical="center" wrapText="1"/>
    </xf>
    <xf numFmtId="49" fontId="47" fillId="0" borderId="1" xfId="0" applyNumberFormat="1" applyFont="1" applyBorder="1" applyAlignment="1">
      <alignment horizontal="center" vertical="center" wrapText="1"/>
    </xf>
    <xf numFmtId="185" fontId="47" fillId="0" borderId="1" xfId="3" applyNumberFormat="1" applyFont="1" applyFill="1" applyBorder="1" applyAlignment="1">
      <alignment horizontal="center" vertical="center" wrapText="1"/>
    </xf>
    <xf numFmtId="182" fontId="48" fillId="0" borderId="1" xfId="0" applyNumberFormat="1" applyFont="1" applyBorder="1" applyAlignment="1">
      <alignment horizontal="center" vertical="center" wrapText="1"/>
    </xf>
    <xf numFmtId="43" fontId="47" fillId="0" borderId="1" xfId="0" applyNumberFormat="1" applyFont="1" applyBorder="1" applyAlignment="1">
      <alignment horizontal="right" vertical="center" wrapText="1"/>
    </xf>
    <xf numFmtId="182" fontId="48" fillId="0" borderId="1" xfId="0" applyNumberFormat="1" applyFont="1" applyBorder="1" applyAlignment="1">
      <alignment horizontal="right" vertical="center" wrapText="1"/>
    </xf>
    <xf numFmtId="43" fontId="48" fillId="6" borderId="4" xfId="1" applyFont="1" applyFill="1" applyBorder="1" applyAlignment="1">
      <alignment horizontal="center" vertical="center" wrapText="1"/>
    </xf>
    <xf numFmtId="43" fontId="48" fillId="6" borderId="2" xfId="1" applyFont="1" applyFill="1" applyBorder="1" applyAlignment="1">
      <alignment horizontal="center" vertical="center" wrapText="1"/>
    </xf>
    <xf numFmtId="43" fontId="47" fillId="6" borderId="2" xfId="1" applyFont="1" applyFill="1" applyBorder="1" applyAlignment="1">
      <alignment horizontal="center" vertical="center"/>
    </xf>
    <xf numFmtId="43" fontId="50" fillId="0" borderId="1" xfId="1" applyFont="1" applyBorder="1" applyAlignment="1">
      <alignment vertical="center" wrapText="1"/>
    </xf>
    <xf numFmtId="43" fontId="47" fillId="0" borderId="3" xfId="1" applyFont="1" applyFill="1" applyBorder="1" applyAlignment="1">
      <alignment horizontal="center" vertical="center" wrapText="1"/>
    </xf>
    <xf numFmtId="43" fontId="47" fillId="0" borderId="4" xfId="1" applyFont="1" applyFill="1" applyBorder="1" applyAlignment="1">
      <alignment horizontal="center" vertical="center"/>
    </xf>
    <xf numFmtId="43" fontId="47" fillId="0" borderId="2" xfId="1" applyFont="1" applyFill="1" applyBorder="1" applyAlignment="1">
      <alignment horizontal="center" vertical="center"/>
    </xf>
    <xf numFmtId="43" fontId="45" fillId="0" borderId="0" xfId="0" applyNumberFormat="1" applyFont="1">
      <alignment vertical="center"/>
    </xf>
    <xf numFmtId="0" fontId="51" fillId="0" borderId="0" xfId="0" applyFont="1">
      <alignment vertical="center"/>
    </xf>
    <xf numFmtId="0" fontId="52" fillId="0" borderId="1" xfId="0" applyFont="1" applyBorder="1" applyAlignment="1">
      <alignment horizontal="center" vertical="center"/>
    </xf>
    <xf numFmtId="0" fontId="52" fillId="0" borderId="1" xfId="0" applyFont="1" applyBorder="1">
      <alignment vertical="center"/>
    </xf>
    <xf numFmtId="0" fontId="53" fillId="0" borderId="1" xfId="0" applyFont="1" applyBorder="1" applyAlignment="1">
      <alignment horizontal="center" vertical="center"/>
    </xf>
    <xf numFmtId="0" fontId="54" fillId="0" borderId="1" xfId="0" applyFont="1" applyBorder="1" applyAlignment="1">
      <alignment horizontal="left" vertical="center"/>
    </xf>
    <xf numFmtId="49" fontId="54" fillId="0" borderId="1" xfId="0" applyNumberFormat="1" applyFont="1" applyBorder="1" applyAlignment="1">
      <alignment horizontal="center" vertical="center"/>
    </xf>
    <xf numFmtId="0" fontId="54" fillId="0" borderId="1" xfId="0" applyFont="1" applyBorder="1">
      <alignment vertical="center"/>
    </xf>
    <xf numFmtId="43" fontId="47" fillId="0" borderId="1" xfId="1" applyFont="1" applyFill="1" applyBorder="1" applyAlignment="1">
      <alignment horizontal="right" vertical="center"/>
    </xf>
    <xf numFmtId="0" fontId="54" fillId="0" borderId="1" xfId="0" applyFont="1" applyBorder="1" applyAlignment="1">
      <alignment horizontal="center" vertical="center" wrapText="1"/>
    </xf>
    <xf numFmtId="4" fontId="0" fillId="0" borderId="1" xfId="0" applyNumberFormat="1" applyFont="1" applyBorder="1" applyAlignment="1">
      <alignment horizontal="center" vertical="center" wrapText="1"/>
    </xf>
    <xf numFmtId="0" fontId="0" fillId="0" borderId="3" xfId="0" applyFont="1" applyBorder="1" applyAlignment="1">
      <alignment horizontal="center" vertical="center" wrapText="1"/>
    </xf>
    <xf numFmtId="0" fontId="0" fillId="0" borderId="4" xfId="0" applyFont="1" applyBorder="1" applyAlignment="1">
      <alignment horizontal="center" vertical="center" wrapText="1"/>
    </xf>
    <xf numFmtId="0" fontId="0" fillId="0" borderId="2" xfId="0" applyFont="1" applyBorder="1" applyAlignment="1">
      <alignment horizontal="center" vertical="center" wrapText="1"/>
    </xf>
    <xf numFmtId="14" fontId="0" fillId="0" borderId="1" xfId="0" applyNumberFormat="1" applyFont="1" applyBorder="1" applyAlignment="1">
      <alignment horizontal="center" vertical="center" wrapText="1"/>
    </xf>
    <xf numFmtId="0" fontId="54" fillId="0" borderId="1" xfId="0" applyFont="1" applyBorder="1" applyAlignment="1">
      <alignment horizontal="center" vertical="center"/>
    </xf>
    <xf numFmtId="49" fontId="0" fillId="0" borderId="1" xfId="0" applyNumberFormat="1" applyFont="1" applyBorder="1" applyAlignment="1">
      <alignment horizontal="center" vertical="center" wrapText="1"/>
    </xf>
    <xf numFmtId="0" fontId="55" fillId="0" borderId="3" xfId="0" applyFont="1" applyBorder="1" applyAlignment="1">
      <alignment horizontal="center" vertical="center" wrapText="1"/>
    </xf>
    <xf numFmtId="14" fontId="0" fillId="0" borderId="3" xfId="0" applyNumberFormat="1" applyFont="1" applyBorder="1" applyAlignment="1">
      <alignment horizontal="center" vertical="center" wrapText="1"/>
    </xf>
    <xf numFmtId="14" fontId="54" fillId="0" borderId="1" xfId="0" applyNumberFormat="1" applyFont="1" applyBorder="1" applyAlignment="1">
      <alignment horizontal="center" vertical="center"/>
    </xf>
    <xf numFmtId="0" fontId="55" fillId="0" borderId="4" xfId="0" applyFont="1" applyBorder="1" applyAlignment="1">
      <alignment horizontal="center" vertical="center" wrapText="1"/>
    </xf>
    <xf numFmtId="0" fontId="55" fillId="0" borderId="2" xfId="0" applyFont="1" applyBorder="1" applyAlignment="1">
      <alignment horizontal="center" vertical="center" wrapText="1"/>
    </xf>
    <xf numFmtId="14" fontId="0" fillId="0" borderId="4" xfId="0" applyNumberFormat="1" applyFont="1" applyBorder="1" applyAlignment="1">
      <alignment horizontal="center" vertical="center" wrapText="1"/>
    </xf>
    <xf numFmtId="14" fontId="0" fillId="0" borderId="2" xfId="0" applyNumberFormat="1" applyFont="1" applyBorder="1" applyAlignment="1">
      <alignment horizontal="center" vertical="center" wrapText="1"/>
    </xf>
    <xf numFmtId="10" fontId="0" fillId="0" borderId="1" xfId="0" applyNumberFormat="1" applyFont="1" applyBorder="1" applyAlignment="1">
      <alignment vertical="center" wrapText="1"/>
    </xf>
    <xf numFmtId="14" fontId="0" fillId="0" borderId="1" xfId="0" applyNumberFormat="1" applyFont="1" applyBorder="1" applyAlignment="1">
      <alignment vertical="center" wrapText="1"/>
    </xf>
    <xf numFmtId="43" fontId="7" fillId="2" borderId="1" xfId="1" applyFont="1" applyFill="1" applyBorder="1" applyAlignment="1" applyProtection="1" quotePrefix="1">
      <alignment horizontal="center" vertical="center" wrapText="1"/>
    </xf>
    <xf numFmtId="49" fontId="7" fillId="2" borderId="1" xfId="49" applyNumberFormat="1" applyFont="1" applyFill="1" applyBorder="1" applyAlignment="1" quotePrefix="1">
      <alignment horizontal="center" vertical="center" wrapText="1"/>
    </xf>
    <xf numFmtId="43" fontId="7" fillId="2" borderId="3" xfId="1" applyFont="1" applyFill="1" applyBorder="1" applyAlignment="1" applyProtection="1" quotePrefix="1">
      <alignment horizontal="center" vertical="center" wrapText="1"/>
    </xf>
    <xf numFmtId="43" fontId="43" fillId="2" borderId="1" xfId="1" applyFont="1" applyFill="1" applyBorder="1" applyAlignment="1" quotePrefix="1">
      <alignment horizontal="center" vertical="center" wrapText="1"/>
    </xf>
    <xf numFmtId="43" fontId="20" fillId="2" borderId="1" xfId="1" applyFont="1" applyFill="1" applyBorder="1" applyAlignment="1" quotePrefix="1">
      <alignment horizontal="center" vertical="center" wrapText="1"/>
    </xf>
    <xf numFmtId="49" fontId="20" fillId="2" borderId="1" xfId="0" applyNumberFormat="1" applyFont="1" applyFill="1" applyBorder="1" applyAlignment="1" quotePrefix="1">
      <alignment horizontal="center" vertical="center" wrapText="1"/>
    </xf>
    <xf numFmtId="185" fontId="20" fillId="2" borderId="1" xfId="3" applyNumberFormat="1" applyFont="1" applyFill="1" applyBorder="1" applyAlignment="1" quotePrefix="1">
      <alignment horizontal="center" vertical="center" wrapText="1"/>
    </xf>
    <xf numFmtId="0" fontId="20" fillId="3" borderId="1" xfId="1" applyNumberFormat="1" applyFont="1" applyFill="1" applyBorder="1" applyAlignment="1" quotePrefix="1">
      <alignment horizontal="center" vertical="center" wrapText="1"/>
    </xf>
    <xf numFmtId="43" fontId="7" fillId="2" borderId="1" xfId="1" applyFont="1" applyFill="1" applyBorder="1" applyAlignment="1" quotePrefix="1">
      <alignment horizontal="center" vertical="center" wrapText="1"/>
    </xf>
    <xf numFmtId="43" fontId="19" fillId="2" borderId="1" xfId="1" applyFont="1" applyFill="1" applyBorder="1" applyAlignment="1" quotePrefix="1">
      <alignment horizontal="center" vertical="center" wrapText="1"/>
    </xf>
    <xf numFmtId="43" fontId="20" fillId="2" borderId="1" xfId="1" applyFont="1" applyFill="1" applyBorder="1" applyAlignment="1" quotePrefix="1">
      <alignment horizontal="right" vertical="center" wrapText="1"/>
    </xf>
    <xf numFmtId="3" fontId="31" fillId="0" borderId="1" xfId="0" applyNumberFormat="1" applyFont="1" applyBorder="1" applyAlignment="1" quotePrefix="1">
      <alignment wrapText="1"/>
    </xf>
    <xf numFmtId="0" fontId="18" fillId="0" borderId="1" xfId="0" applyFont="1" applyFill="1" applyBorder="1" applyAlignment="1" quotePrefix="1">
      <alignment horizontal="center" vertical="center"/>
    </xf>
    <xf numFmtId="184" fontId="6" fillId="0" borderId="8" xfId="0" applyNumberFormat="1" applyFont="1" applyFill="1" applyBorder="1" applyAlignment="1" quotePrefix="1">
      <alignment horizontal="center" vertical="center"/>
    </xf>
    <xf numFmtId="49" fontId="7" fillId="0" borderId="1" xfId="50" applyNumberFormat="1" applyFont="1" applyFill="1" applyBorder="1" applyAlignment="1" quotePrefix="1">
      <alignment horizontal="center" vertical="center" wrapText="1"/>
    </xf>
    <xf numFmtId="49" fontId="7" fillId="0" borderId="1" xfId="50" applyNumberFormat="1" applyFont="1" applyFill="1" applyBorder="1" applyAlignment="1" quotePrefix="1">
      <alignment vertical="center" wrapText="1"/>
    </xf>
    <xf numFmtId="43" fontId="7" fillId="0" borderId="1" xfId="1" applyFont="1" applyFill="1" applyBorder="1" applyAlignment="1" applyProtection="1" quotePrefix="1">
      <alignment horizontal="center" vertical="center" wrapText="1"/>
    </xf>
    <xf numFmtId="10" fontId="7" fillId="0" borderId="1" xfId="3" applyNumberFormat="1" applyFont="1" applyFill="1" applyBorder="1" applyAlignment="1" applyProtection="1" quotePrefix="1">
      <alignment horizontal="center" vertical="center" wrapText="1"/>
    </xf>
    <xf numFmtId="49" fontId="6" fillId="0" borderId="1" xfId="50" applyNumberFormat="1" applyFont="1" applyFill="1" applyBorder="1" applyAlignment="1" quotePrefix="1">
      <alignment horizontal="left" vertical="center" wrapText="1"/>
    </xf>
    <xf numFmtId="49" fontId="6" fillId="8" borderId="1" xfId="50" applyNumberFormat="1" applyFont="1" applyFill="1" applyBorder="1" applyAlignment="1" quotePrefix="1">
      <alignment horizontal="left" vertical="center" wrapText="1"/>
    </xf>
    <xf numFmtId="0" fontId="23" fillId="0" borderId="1" xfId="0" applyFont="1" applyFill="1" applyBorder="1" applyAlignment="1" quotePrefix="1">
      <alignment vertical="center"/>
    </xf>
    <xf numFmtId="49" fontId="18" fillId="0" borderId="1" xfId="0" applyNumberFormat="1" applyFont="1" applyFill="1" applyBorder="1" applyAlignment="1" quotePrefix="1">
      <alignment horizontal="left" vertical="center"/>
    </xf>
    <xf numFmtId="49" fontId="18" fillId="0" borderId="1" xfId="0" applyNumberFormat="1" applyFont="1" applyFill="1" applyBorder="1" applyAlignment="1" quotePrefix="1">
      <alignment horizontal="left" vertical="center" wrapText="1"/>
    </xf>
    <xf numFmtId="49" fontId="18" fillId="8" borderId="1" xfId="0" applyNumberFormat="1" applyFont="1" applyFill="1" applyBorder="1" applyAlignment="1" quotePrefix="1">
      <alignment horizontal="left" vertical="center"/>
    </xf>
    <xf numFmtId="49" fontId="14" fillId="0" borderId="1" xfId="0" applyNumberFormat="1" applyFont="1" applyFill="1" applyBorder="1" applyAlignment="1" quotePrefix="1">
      <alignment horizontal="center" vertical="center" wrapText="1"/>
    </xf>
    <xf numFmtId="0" fontId="3" fillId="2" borderId="1" xfId="49" applyFont="1" applyFill="1" applyBorder="1" applyAlignment="1" quotePrefix="1">
      <alignment horizontal="center" vertical="center" wrapText="1"/>
    </xf>
    <xf numFmtId="49" fontId="3" fillId="7" borderId="1" xfId="49" applyNumberFormat="1" applyFont="1" applyFill="1" applyBorder="1" applyAlignment="1" quotePrefix="1">
      <alignment horizontal="center" vertical="center" wrapText="1"/>
    </xf>
    <xf numFmtId="0" fontId="3" fillId="7" borderId="1" xfId="49" applyFont="1" applyFill="1" applyBorder="1" applyAlignment="1" quotePrefix="1">
      <alignment horizontal="center" vertical="center" wrapText="1"/>
    </xf>
  </cellXfs>
  <cellStyles count="55">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2" xfId="49"/>
    <cellStyle name="常规_广东省土地增值税清算申报表及附表" xfId="50"/>
    <cellStyle name="常规_南甸苑销售台账" xfId="51"/>
    <cellStyle name="常规_Sheet2" xfId="52"/>
    <cellStyle name="常规_房源表" xfId="53"/>
    <cellStyle name="3232" xfId="54"/>
  </cellStyles>
  <dxfs count="2">
    <dxf>
      <fill>
        <patternFill patternType="solid">
          <bgColor rgb="FFFF9900"/>
        </patternFill>
      </fill>
    </dxf>
    <dxf>
      <fill>
        <patternFill patternType="solid">
          <bgColor theme="0" tint="-0.14996795556505"/>
        </patternFill>
      </fill>
    </dxf>
  </dxfs>
  <tableStyles count="0" defaultTableStyle="TableStyleMedium2" defaultPivotStyle="PivotStyleLight16"/>
  <colors>
    <mruColors>
      <color rgb="00232323"/>
      <color rgb="00FFFFFF"/>
      <color rgb="00000000"/>
      <color rgb="0092D050"/>
      <color rgb="005B9BD5"/>
      <color rgb="00FFFF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0" Type="http://www.wps.cn/officeDocument/2023/relationships/customStorage" Target="customStorage/customStorage.xml"/><Relationship Id="rId2" Type="http://schemas.openxmlformats.org/officeDocument/2006/relationships/worksheet" Target="worksheets/sheet2.xml"/><Relationship Id="rId19" Type="http://schemas.openxmlformats.org/officeDocument/2006/relationships/styles" Target="styles.xml"/><Relationship Id="rId18" Type="http://schemas.openxmlformats.org/officeDocument/2006/relationships/sheetMetadata" Target="metadata.xml"/><Relationship Id="rId17" Type="http://schemas.openxmlformats.org/officeDocument/2006/relationships/sharedStrings" Target="sharedStrings.xml"/><Relationship Id="rId16" Type="http://schemas.openxmlformats.org/officeDocument/2006/relationships/theme" Target="theme/theme1.xml"/><Relationship Id="rId15" Type="http://schemas.openxmlformats.org/officeDocument/2006/relationships/externalLink" Target="externalLinks/externalLink1.xml"/><Relationship Id="rId14" Type="http://schemas.openxmlformats.org/officeDocument/2006/relationships/customXml" Target="../customXml/item1.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customStorage/customStorage.xml><?xml version="1.0" encoding="utf-8"?>
<customStorage xmlns="https://web.wps.cn/et/2018/main">
  <book/>
  <sheets/>
</customStorage>
</file>

<file path=xl/externalLinks/_rels/externalLink1.xml.rels><?xml version="1.0" encoding="UTF-8" standalone="yes"?>
<Relationships xmlns="http://schemas.openxmlformats.org/package/2006/relationships"><Relationship Id="rId1" Type="http://schemas.openxmlformats.org/officeDocument/2006/relationships/externalLinkPath" Target="file:///G:\&#24037;&#20316;\&#22303;&#22686;&#31246;\&#23453;&#22320;&#25151;&#20135;\&#24635;&#20844;&#21496;&#183;&#38182;&#32483;&#33489;&#23567;&#21306;\&#22303;&#22686;&#31246;-&#23453;&#22320;&#183;&#38182;&#32483;&#33489;&#19977;&#26399;.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测算表（20#） (2)"/>
      <sheetName val="测算表（20#）"/>
      <sheetName val="测算表（19&amp;21-23#）"/>
      <sheetName val="测算表（19&amp;21-23#） (2)"/>
      <sheetName val="开发成本分配表"/>
      <sheetName val="开发成本分配表 (2)"/>
      <sheetName val="售房汇总"/>
      <sheetName val="开发成本汇总"/>
      <sheetName val="售房明细"/>
      <sheetName val="实物安置明细表"/>
      <sheetName val="开发成本明细"/>
      <sheetName val="开发成本(报告用)"/>
      <sheetName val="成本合同"/>
      <sheetName val="按对方单位排成本"/>
      <sheetName val="不合规发票"/>
      <sheetName val="20#楼进项税"/>
      <sheetName val="营业税情况表"/>
      <sheetName val="营业税情况表 (2)"/>
      <sheetName val="营改增前税款"/>
      <sheetName val="营改增后税款情况"/>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comments" Target="../comments2.xml"/></Relationships>
</file>

<file path=xl/worksheets/_rels/sheet10.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comments" Target="../comments3.xml"/></Relationships>
</file>

<file path=xl/worksheets/_rels/sheet12.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comments" Target="../comments4.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AI62"/>
  <sheetViews>
    <sheetView zoomScale="55" zoomScaleNormal="55" topLeftCell="A44" workbookViewId="0">
      <selection activeCell="N62" sqref="N62:T62"/>
    </sheetView>
  </sheetViews>
  <sheetFormatPr defaultColWidth="11" defaultRowHeight="15.65"/>
  <cols>
    <col min="1" max="1" width="6.11594202898551" style="527" customWidth="1"/>
    <col min="2" max="2" width="22.1159420289855" style="527" customWidth="1"/>
    <col min="3" max="3" width="15.3840579710145" style="527" customWidth="1"/>
    <col min="4" max="5" width="5.88405797101449" style="527" customWidth="1"/>
    <col min="6" max="6" width="11.8840579710145" style="527" customWidth="1"/>
    <col min="7" max="7" width="10.1159420289855" style="527" customWidth="1"/>
    <col min="8" max="8" width="5.88405797101449" style="527" customWidth="1"/>
    <col min="9" max="9" width="13.1159420289855" style="527" customWidth="1"/>
    <col min="10" max="10" width="12.1159420289855" style="527" customWidth="1"/>
    <col min="11" max="11" width="1.61594202898551" style="527" customWidth="1"/>
    <col min="12" max="12" width="12.8840579710145" style="527" customWidth="1"/>
    <col min="13" max="17" width="5.88405797101449" style="527" customWidth="1"/>
    <col min="18" max="18" width="5.61594202898551" style="527" customWidth="1"/>
    <col min="19" max="31" width="5.88405797101449" style="527" customWidth="1"/>
    <col min="32" max="32" width="7.11594202898551" style="527" customWidth="1"/>
    <col min="33" max="34" width="5.88405797101449" style="527" customWidth="1"/>
    <col min="35" max="35" width="12.6159420289855" style="527" customWidth="1"/>
    <col min="36" max="16384" width="11" style="527"/>
  </cols>
  <sheetData>
    <row r="1" ht="36.3" spans="1:35">
      <c r="A1" s="528" t="s">
        <v>0</v>
      </c>
      <c r="B1" s="529"/>
      <c r="C1" s="529"/>
      <c r="D1" s="529"/>
      <c r="E1" s="529"/>
      <c r="F1" s="529"/>
      <c r="G1" s="529"/>
      <c r="H1" s="529"/>
      <c r="I1" s="529"/>
      <c r="J1" s="529"/>
      <c r="K1" s="529"/>
      <c r="L1" s="529"/>
      <c r="M1" s="529"/>
      <c r="N1" s="529"/>
      <c r="O1" s="529"/>
      <c r="P1" s="529"/>
      <c r="Q1" s="529"/>
      <c r="R1" s="529"/>
      <c r="S1" s="529"/>
      <c r="T1" s="529"/>
      <c r="U1" s="529"/>
      <c r="V1" s="529"/>
      <c r="W1" s="529"/>
      <c r="X1" s="529"/>
      <c r="Y1" s="529"/>
      <c r="Z1" s="529"/>
      <c r="AA1" s="529"/>
      <c r="AB1" s="529"/>
      <c r="AC1" s="529"/>
      <c r="AD1" s="529"/>
      <c r="AE1" s="529"/>
      <c r="AF1" s="529"/>
      <c r="AG1" s="529"/>
      <c r="AH1" s="529"/>
      <c r="AI1" s="529"/>
    </row>
    <row r="2" ht="26.25" spans="1:35">
      <c r="A2" s="530" t="s">
        <v>1</v>
      </c>
      <c r="B2" s="530"/>
      <c r="C2" s="530"/>
      <c r="D2" s="530"/>
      <c r="E2" s="530"/>
      <c r="F2" s="530"/>
      <c r="G2" s="530"/>
      <c r="H2" s="530"/>
      <c r="I2" s="530"/>
      <c r="J2" s="530"/>
      <c r="K2" s="530"/>
      <c r="L2" s="530"/>
      <c r="M2" s="530"/>
      <c r="N2" s="530"/>
      <c r="O2" s="530"/>
      <c r="P2" s="530"/>
      <c r="Q2" s="530"/>
      <c r="R2" s="530"/>
      <c r="S2" s="530"/>
      <c r="T2" s="530"/>
      <c r="U2" s="530"/>
      <c r="V2" s="530"/>
      <c r="W2" s="530"/>
      <c r="X2" s="530"/>
      <c r="Y2" s="530"/>
      <c r="Z2" s="530"/>
      <c r="AA2" s="530"/>
      <c r="AB2" s="530"/>
      <c r="AC2" s="530"/>
      <c r="AD2" s="530"/>
      <c r="AE2" s="530"/>
      <c r="AF2" s="530"/>
      <c r="AG2" s="530"/>
      <c r="AH2" s="530"/>
      <c r="AI2" s="530"/>
    </row>
    <row r="3" ht="36" customHeight="1" spans="1:35">
      <c r="A3" s="531" t="s">
        <v>2</v>
      </c>
      <c r="B3" s="531"/>
      <c r="C3" s="532" t="s">
        <v>3</v>
      </c>
      <c r="D3" s="532"/>
      <c r="E3" s="532"/>
      <c r="F3" s="532"/>
      <c r="G3" s="533" t="s">
        <v>4</v>
      </c>
      <c r="H3" s="533"/>
      <c r="I3" s="541" t="s">
        <v>5</v>
      </c>
      <c r="J3" s="541"/>
      <c r="K3" s="541"/>
      <c r="L3" s="541"/>
      <c r="M3" s="541"/>
      <c r="N3" s="541"/>
      <c r="O3" s="541"/>
      <c r="P3" s="541"/>
      <c r="Q3" s="541"/>
      <c r="R3" s="541"/>
      <c r="S3" s="541"/>
      <c r="T3" s="541"/>
      <c r="U3" s="541"/>
      <c r="V3" s="541"/>
      <c r="W3" s="541"/>
      <c r="X3" s="541"/>
      <c r="Y3" s="541"/>
      <c r="Z3" s="541" t="s">
        <v>6</v>
      </c>
      <c r="AA3" s="541"/>
      <c r="AB3" s="541"/>
      <c r="AC3" s="545" t="s">
        <v>7</v>
      </c>
      <c r="AD3" s="545"/>
      <c r="AE3" s="545"/>
      <c r="AF3" s="545"/>
      <c r="AG3" s="545"/>
      <c r="AH3" s="545"/>
      <c r="AI3" s="545"/>
    </row>
    <row r="4" ht="36" customHeight="1" spans="1:35">
      <c r="A4" s="534" t="s">
        <v>8</v>
      </c>
      <c r="B4" s="534"/>
      <c r="C4" s="534"/>
      <c r="D4" s="534"/>
      <c r="E4" s="534"/>
      <c r="F4" s="534"/>
      <c r="G4" s="534"/>
      <c r="H4" s="534"/>
      <c r="I4" s="534"/>
      <c r="J4" s="534"/>
      <c r="K4" s="534"/>
      <c r="L4" s="534"/>
      <c r="M4" s="534"/>
      <c r="N4" s="534"/>
      <c r="O4" s="534"/>
      <c r="P4" s="534"/>
      <c r="Q4" s="534"/>
      <c r="R4" s="534"/>
      <c r="S4" s="534"/>
      <c r="T4" s="534"/>
      <c r="U4" s="534"/>
      <c r="V4" s="534"/>
      <c r="W4" s="534"/>
      <c r="X4" s="534"/>
      <c r="Y4" s="534"/>
      <c r="Z4" s="534" t="s">
        <v>9</v>
      </c>
      <c r="AA4" s="534"/>
      <c r="AB4" s="534"/>
      <c r="AC4" s="534"/>
      <c r="AD4" s="534"/>
      <c r="AE4" s="534"/>
      <c r="AF4" s="534"/>
      <c r="AG4" s="534"/>
      <c r="AH4" s="534"/>
      <c r="AI4" s="534"/>
    </row>
    <row r="5" ht="36" customHeight="1" spans="1:35">
      <c r="A5" s="535" t="s">
        <v>10</v>
      </c>
      <c r="B5" s="535"/>
      <c r="C5" s="535"/>
      <c r="D5" s="535"/>
      <c r="E5" s="535"/>
      <c r="F5" s="535"/>
      <c r="G5" s="535"/>
      <c r="H5" s="535"/>
      <c r="I5" s="535"/>
      <c r="J5" s="535"/>
      <c r="K5" s="535"/>
      <c r="L5" s="535"/>
      <c r="M5" s="535"/>
      <c r="N5" s="535"/>
      <c r="O5" s="535"/>
      <c r="P5" s="535"/>
      <c r="Q5" s="535"/>
      <c r="R5" s="535"/>
      <c r="S5" s="535"/>
      <c r="T5" s="535"/>
      <c r="U5" s="535"/>
      <c r="V5" s="535"/>
      <c r="W5" s="535"/>
      <c r="X5" s="535"/>
      <c r="Y5" s="535"/>
      <c r="Z5" s="535"/>
      <c r="AA5" s="535"/>
      <c r="AB5" s="535"/>
      <c r="AC5" s="535"/>
      <c r="AD5" s="535"/>
      <c r="AE5" s="535"/>
      <c r="AF5" s="535"/>
      <c r="AG5" s="535"/>
      <c r="AH5" s="535"/>
      <c r="AI5" s="535"/>
    </row>
    <row r="6" ht="36" customHeight="1" spans="1:35">
      <c r="A6" s="536" t="s">
        <v>11</v>
      </c>
      <c r="B6" s="536"/>
      <c r="C6" s="536"/>
      <c r="D6" s="536" t="s">
        <v>12</v>
      </c>
      <c r="E6" s="536"/>
      <c r="F6" s="536"/>
      <c r="G6" s="536"/>
      <c r="H6" s="536" t="s">
        <v>13</v>
      </c>
      <c r="I6" s="536"/>
      <c r="J6" s="536"/>
      <c r="K6" s="536"/>
      <c r="L6" s="536"/>
      <c r="M6" s="536"/>
      <c r="N6" s="536"/>
      <c r="O6" s="536"/>
      <c r="P6" s="536"/>
      <c r="Q6" s="536"/>
      <c r="R6" s="536"/>
      <c r="S6" s="542" t="s">
        <v>14</v>
      </c>
      <c r="T6" s="542"/>
      <c r="U6" s="542"/>
      <c r="V6" s="542"/>
      <c r="W6" s="542"/>
      <c r="X6" s="536" t="s">
        <v>15</v>
      </c>
      <c r="Y6" s="536"/>
      <c r="Z6" s="536"/>
      <c r="AA6" s="536"/>
      <c r="AB6" s="536"/>
      <c r="AC6" s="536"/>
      <c r="AD6" s="536"/>
      <c r="AE6" s="536"/>
      <c r="AF6" s="536"/>
      <c r="AG6" s="536" t="s">
        <v>16</v>
      </c>
      <c r="AH6" s="536"/>
      <c r="AI6" s="536"/>
    </row>
    <row r="7" ht="36" customHeight="1" spans="1:35">
      <c r="A7" s="536" t="s">
        <v>17</v>
      </c>
      <c r="B7" s="536"/>
      <c r="C7" s="536"/>
      <c r="D7" s="536" t="s">
        <v>18</v>
      </c>
      <c r="E7" s="536"/>
      <c r="F7" s="536"/>
      <c r="G7" s="536"/>
      <c r="H7" s="536"/>
      <c r="I7" s="536"/>
      <c r="J7" s="536"/>
      <c r="K7" s="536"/>
      <c r="L7" s="536"/>
      <c r="M7" s="536"/>
      <c r="N7" s="536"/>
      <c r="O7" s="536"/>
      <c r="P7" s="536"/>
      <c r="Q7" s="536"/>
      <c r="R7" s="536"/>
      <c r="S7" s="536"/>
      <c r="T7" s="536"/>
      <c r="U7" s="536"/>
      <c r="V7" s="536"/>
      <c r="W7" s="536"/>
      <c r="X7" s="536" t="s">
        <v>19</v>
      </c>
      <c r="Y7" s="536"/>
      <c r="Z7" s="536"/>
      <c r="AA7" s="536"/>
      <c r="AB7" s="536"/>
      <c r="AC7" s="536"/>
      <c r="AD7" s="536"/>
      <c r="AE7" s="536"/>
      <c r="AF7" s="536"/>
      <c r="AG7" s="536">
        <v>175354500</v>
      </c>
      <c r="AH7" s="536"/>
      <c r="AI7" s="536"/>
    </row>
    <row r="8" ht="36" customHeight="1" spans="1:35">
      <c r="A8" s="537" t="s">
        <v>20</v>
      </c>
      <c r="B8" s="538"/>
      <c r="C8" s="539"/>
      <c r="D8" s="537" t="s">
        <v>21</v>
      </c>
      <c r="E8" s="538"/>
      <c r="F8" s="538"/>
      <c r="G8" s="539"/>
      <c r="H8" s="536" t="s">
        <v>22</v>
      </c>
      <c r="I8" s="536"/>
      <c r="J8" s="536"/>
      <c r="K8" s="536"/>
      <c r="L8" s="536"/>
      <c r="M8" s="536"/>
      <c r="N8" s="536"/>
      <c r="O8" s="536"/>
      <c r="P8" s="536"/>
      <c r="Q8" s="536"/>
      <c r="R8" s="536"/>
      <c r="S8" s="537" t="s">
        <v>23</v>
      </c>
      <c r="T8" s="538"/>
      <c r="U8" s="538"/>
      <c r="V8" s="538"/>
      <c r="W8" s="539"/>
      <c r="X8" s="543" t="s">
        <v>24</v>
      </c>
      <c r="Y8" s="546"/>
      <c r="Z8" s="546"/>
      <c r="AA8" s="546"/>
      <c r="AB8" s="546"/>
      <c r="AC8" s="546"/>
      <c r="AD8" s="546"/>
      <c r="AE8" s="546"/>
      <c r="AF8" s="547"/>
      <c r="AG8" s="540">
        <v>42563</v>
      </c>
      <c r="AH8" s="540"/>
      <c r="AI8" s="540"/>
    </row>
    <row r="9" ht="36" customHeight="1" spans="1:35">
      <c r="A9" s="536" t="s">
        <v>25</v>
      </c>
      <c r="B9" s="536"/>
      <c r="C9" s="536"/>
      <c r="D9" s="536">
        <v>37660.54</v>
      </c>
      <c r="E9" s="536"/>
      <c r="F9" s="536"/>
      <c r="G9" s="536"/>
      <c r="H9" s="536" t="s">
        <v>26</v>
      </c>
      <c r="I9" s="536"/>
      <c r="J9" s="536"/>
      <c r="K9" s="536"/>
      <c r="L9" s="536">
        <v>55237.2</v>
      </c>
      <c r="M9" s="536"/>
      <c r="N9" s="536"/>
      <c r="O9" s="536"/>
      <c r="P9" s="536"/>
      <c r="Q9" s="536"/>
      <c r="R9" s="536"/>
      <c r="S9" s="536" t="s">
        <v>27</v>
      </c>
      <c r="T9" s="536"/>
      <c r="U9" s="536"/>
      <c r="V9" s="536"/>
      <c r="W9" s="536"/>
      <c r="X9" s="536">
        <v>0</v>
      </c>
      <c r="Y9" s="536"/>
      <c r="Z9" s="536"/>
      <c r="AA9" s="536"/>
      <c r="AB9" s="536" t="s">
        <v>28</v>
      </c>
      <c r="AC9" s="536"/>
      <c r="AD9" s="536"/>
      <c r="AE9" s="536"/>
      <c r="AF9" s="536"/>
      <c r="AG9" s="536">
        <v>1.35</v>
      </c>
      <c r="AH9" s="536"/>
      <c r="AI9" s="550"/>
    </row>
    <row r="10" ht="36" customHeight="1" spans="1:35">
      <c r="A10" s="536" t="s">
        <v>29</v>
      </c>
      <c r="B10" s="536"/>
      <c r="C10" s="536"/>
      <c r="D10" s="536">
        <v>0.35</v>
      </c>
      <c r="E10" s="536"/>
      <c r="F10" s="536"/>
      <c r="G10" s="536"/>
      <c r="H10" s="536" t="s">
        <v>30</v>
      </c>
      <c r="I10" s="536"/>
      <c r="J10" s="536"/>
      <c r="K10" s="536"/>
      <c r="L10" s="540" t="s">
        <v>31</v>
      </c>
      <c r="M10" s="540"/>
      <c r="N10" s="540"/>
      <c r="O10" s="540"/>
      <c r="P10" s="540"/>
      <c r="Q10" s="540"/>
      <c r="R10" s="540"/>
      <c r="S10" s="536" t="s">
        <v>32</v>
      </c>
      <c r="T10" s="536"/>
      <c r="U10" s="536"/>
      <c r="V10" s="536"/>
      <c r="W10" s="536"/>
      <c r="X10" s="544" t="s">
        <v>33</v>
      </c>
      <c r="Y10" s="548"/>
      <c r="Z10" s="548"/>
      <c r="AA10" s="549"/>
      <c r="AB10" s="536" t="s">
        <v>34</v>
      </c>
      <c r="AC10" s="536"/>
      <c r="AD10" s="536"/>
      <c r="AE10" s="536"/>
      <c r="AF10" s="536"/>
      <c r="AG10" s="540" t="s">
        <v>35</v>
      </c>
      <c r="AH10" s="540"/>
      <c r="AI10" s="551"/>
    </row>
    <row r="11" ht="36" customHeight="1" spans="1:35">
      <c r="A11" s="535" t="s">
        <v>36</v>
      </c>
      <c r="B11" s="535"/>
      <c r="C11" s="535"/>
      <c r="D11" s="535"/>
      <c r="E11" s="535"/>
      <c r="F11" s="535"/>
      <c r="G11" s="535"/>
      <c r="H11" s="535"/>
      <c r="I11" s="535"/>
      <c r="J11" s="535"/>
      <c r="K11" s="535"/>
      <c r="L11" s="535"/>
      <c r="M11" s="535"/>
      <c r="N11" s="535"/>
      <c r="O11" s="535"/>
      <c r="P11" s="535"/>
      <c r="Q11" s="535"/>
      <c r="R11" s="535"/>
      <c r="S11" s="535"/>
      <c r="T11" s="535"/>
      <c r="U11" s="535"/>
      <c r="V11" s="535"/>
      <c r="W11" s="535"/>
      <c r="X11" s="535"/>
      <c r="Y11" s="535"/>
      <c r="Z11" s="535"/>
      <c r="AA11" s="535"/>
      <c r="AB11" s="535"/>
      <c r="AC11" s="535"/>
      <c r="AD11" s="535"/>
      <c r="AE11" s="535"/>
      <c r="AF11" s="535"/>
      <c r="AG11" s="535"/>
      <c r="AH11" s="535"/>
      <c r="AI11" s="535"/>
    </row>
    <row r="12" ht="36" customHeight="1" spans="1:35">
      <c r="A12" s="512" t="s">
        <v>37</v>
      </c>
      <c r="B12" s="512" t="s">
        <v>38</v>
      </c>
      <c r="C12" s="512" t="s">
        <v>39</v>
      </c>
      <c r="D12" s="512"/>
      <c r="E12" s="512"/>
      <c r="F12" s="512"/>
      <c r="G12" s="512"/>
      <c r="H12" s="512"/>
      <c r="I12" s="512"/>
      <c r="J12" s="512"/>
      <c r="K12" s="512"/>
      <c r="L12" s="512"/>
      <c r="M12" s="512"/>
      <c r="N12" s="512"/>
      <c r="O12" s="512"/>
      <c r="P12" s="512"/>
      <c r="Q12" s="512" t="s">
        <v>40</v>
      </c>
      <c r="R12" s="512"/>
      <c r="S12" s="512"/>
      <c r="T12" s="512"/>
      <c r="U12" s="512"/>
      <c r="V12" s="512"/>
      <c r="W12" s="512"/>
      <c r="X12" s="512"/>
      <c r="Y12" s="512"/>
      <c r="Z12" s="512"/>
      <c r="AA12" s="512" t="s">
        <v>41</v>
      </c>
      <c r="AB12" s="512"/>
      <c r="AC12" s="512"/>
      <c r="AD12" s="512"/>
      <c r="AE12" s="512"/>
      <c r="AF12" s="512"/>
      <c r="AG12" s="512"/>
      <c r="AH12" s="512"/>
      <c r="AI12" s="512"/>
    </row>
    <row r="13" ht="36" customHeight="1" spans="1:35">
      <c r="A13" t="s">
        <v>42</v>
      </c>
      <c r="B13" t="s">
        <v>43</v>
      </c>
      <c r="C13" s="536" t="s">
        <v>44</v>
      </c>
      <c r="D13" s="536"/>
      <c r="E13" s="536"/>
      <c r="F13" s="536"/>
      <c r="G13" s="536"/>
      <c r="H13" s="536"/>
      <c r="I13" s="536"/>
      <c r="J13" s="536"/>
      <c r="K13" s="536"/>
      <c r="L13" s="536"/>
      <c r="M13" s="536"/>
      <c r="N13" s="536"/>
      <c r="O13" s="536"/>
      <c r="P13" s="536"/>
      <c r="Q13" s="536">
        <v>56520000</v>
      </c>
      <c r="R13" s="536"/>
      <c r="S13" s="536"/>
      <c r="T13" s="536"/>
      <c r="U13" s="536"/>
      <c r="V13" s="536"/>
      <c r="W13" s="536"/>
      <c r="X13" s="536"/>
      <c r="Y13" s="536"/>
      <c r="Z13" s="536"/>
      <c r="AA13" s="536">
        <v>16150</v>
      </c>
      <c r="AB13" s="536"/>
      <c r="AC13" s="536"/>
      <c r="AD13" s="536"/>
      <c r="AE13" s="536"/>
      <c r="AF13" s="536"/>
      <c r="AG13" s="536"/>
      <c r="AH13" s="536"/>
      <c r="AI13" s="536"/>
    </row>
    <row r="14" ht="36" customHeight="1" spans="1:35">
      <c r="A14" t="s">
        <v>45</v>
      </c>
      <c r="B14" t="s">
        <v>46</v>
      </c>
      <c r="C14" t="s">
        <v>47</v>
      </c>
      <c r="D14"/>
      <c r="E14"/>
      <c r="F14"/>
      <c r="G14"/>
      <c r="H14"/>
      <c r="I14"/>
      <c r="J14"/>
      <c r="K14"/>
      <c r="L14"/>
      <c r="M14"/>
      <c r="N14"/>
      <c r="O14"/>
      <c r="P14"/>
      <c r="Q14">
        <v>58625000</v>
      </c>
      <c r="R14"/>
      <c r="S14"/>
      <c r="T14"/>
      <c r="U14"/>
      <c r="V14"/>
      <c r="W14"/>
      <c r="X14"/>
      <c r="Y14"/>
      <c r="Z14"/>
      <c r="AA14">
        <v>19290</v>
      </c>
      <c r="AB14"/>
      <c r="AC14"/>
      <c r="AD14"/>
      <c r="AE14"/>
      <c r="AF14"/>
      <c r="AG14"/>
      <c r="AH14"/>
      <c r="AI14"/>
    </row>
    <row r="15" ht="36" customHeight="1" spans="1:35">
      <c r="A15" t="s">
        <v>48</v>
      </c>
      <c r="B15" t="s">
        <v>49</v>
      </c>
      <c r="C15" t="s">
        <v>50</v>
      </c>
      <c r="D15"/>
      <c r="E15"/>
      <c r="F15"/>
      <c r="G15"/>
      <c r="H15"/>
      <c r="I15"/>
      <c r="J15"/>
      <c r="K15"/>
      <c r="L15"/>
      <c r="M15"/>
      <c r="N15"/>
      <c r="O15"/>
      <c r="P15"/>
      <c r="Q15">
        <v>58625000</v>
      </c>
      <c r="R15"/>
      <c r="S15"/>
      <c r="T15"/>
      <c r="U15"/>
      <c r="V15"/>
      <c r="W15"/>
      <c r="X15"/>
      <c r="Y15"/>
      <c r="Z15"/>
      <c r="AA15">
        <v>19290</v>
      </c>
      <c r="AB15"/>
      <c r="AC15"/>
      <c r="AD15"/>
      <c r="AE15"/>
      <c r="AF15"/>
      <c r="AG15"/>
      <c r="AH15"/>
      <c r="AI15"/>
    </row>
    <row r="16" ht="36" customHeight="1" spans="1:35">
      <c r="A16" s="535" t="s">
        <v>51</v>
      </c>
      <c r="B16" s="535"/>
      <c r="C16" s="535"/>
      <c r="D16" s="535"/>
      <c r="E16" s="535"/>
      <c r="F16" s="535"/>
      <c r="G16" s="535"/>
      <c r="H16" s="535"/>
      <c r="I16" s="535"/>
      <c r="J16" s="535"/>
      <c r="K16" s="535"/>
      <c r="L16" s="535"/>
      <c r="M16" s="535"/>
      <c r="N16" s="535"/>
      <c r="O16" s="535"/>
      <c r="P16" s="535"/>
      <c r="Q16" s="535"/>
      <c r="R16" s="535"/>
      <c r="S16" s="535"/>
      <c r="T16" s="535"/>
      <c r="U16" s="535"/>
      <c r="V16" s="535"/>
      <c r="W16" s="535"/>
      <c r="X16" s="535"/>
      <c r="Y16" s="535"/>
      <c r="Z16" s="535"/>
      <c r="AA16" s="535"/>
      <c r="AB16" s="535"/>
      <c r="AC16" s="535"/>
      <c r="AD16" s="535"/>
      <c r="AE16" s="535"/>
      <c r="AF16" s="535"/>
      <c r="AG16" s="535"/>
      <c r="AH16" s="535"/>
      <c r="AI16" s="535"/>
    </row>
    <row r="17" ht="36" customHeight="1" spans="1:35">
      <c r="A17" s="512" t="s">
        <v>37</v>
      </c>
      <c r="B17" s="512" t="s">
        <v>52</v>
      </c>
      <c r="C17" s="512" t="s">
        <v>53</v>
      </c>
      <c r="D17" s="512"/>
      <c r="E17" s="512"/>
      <c r="F17" s="512"/>
      <c r="G17" s="512"/>
      <c r="H17" s="512" t="s">
        <v>54</v>
      </c>
      <c r="I17" s="512"/>
      <c r="J17" s="512"/>
      <c r="K17" s="512"/>
      <c r="L17" s="512"/>
      <c r="M17" s="512"/>
      <c r="N17" s="512"/>
      <c r="O17" s="512" t="s">
        <v>55</v>
      </c>
      <c r="P17" s="512"/>
      <c r="Q17" s="512"/>
      <c r="R17" s="512"/>
      <c r="S17" s="512"/>
      <c r="T17" s="512"/>
      <c r="U17" s="512"/>
      <c r="V17" s="512"/>
      <c r="W17" s="512"/>
      <c r="X17" s="512" t="s">
        <v>56</v>
      </c>
      <c r="Y17" s="512"/>
      <c r="Z17" s="512"/>
      <c r="AA17" s="512" t="s">
        <v>57</v>
      </c>
      <c r="AB17" s="512"/>
      <c r="AC17" s="512"/>
      <c r="AD17" s="512"/>
      <c r="AE17" s="512" t="s">
        <v>58</v>
      </c>
      <c r="AF17" s="512"/>
      <c r="AG17" s="512" t="s">
        <v>59</v>
      </c>
      <c r="AH17" s="512"/>
      <c r="AI17" s="512"/>
    </row>
    <row r="18" ht="36" customHeight="1" spans="1:35">
      <c r="A18" t="s">
        <v>42</v>
      </c>
      <c r="B18" t="s">
        <v>60</v>
      </c>
      <c r="C18" s="536" t="s">
        <v>61</v>
      </c>
      <c r="D18" s="536"/>
      <c r="E18" s="536"/>
      <c r="F18" s="536"/>
      <c r="G18" s="536"/>
      <c r="H18" s="536" t="s">
        <v>62</v>
      </c>
      <c r="I18" s="536"/>
      <c r="J18" s="536"/>
      <c r="K18" s="536"/>
      <c r="L18" s="536"/>
      <c r="M18" s="536"/>
      <c r="N18" s="536"/>
      <c r="O18" s="536" t="s">
        <v>63</v>
      </c>
      <c r="P18" s="536"/>
      <c r="Q18" s="536"/>
      <c r="R18" s="536"/>
      <c r="S18" s="536"/>
      <c r="T18" s="536"/>
      <c r="U18" s="536"/>
      <c r="V18" s="536"/>
      <c r="W18" s="536"/>
      <c r="X18" s="536" t="s">
        <v>64</v>
      </c>
      <c r="Y18" s="536"/>
      <c r="Z18" s="536"/>
      <c r="AA18" s="536">
        <v>37660.54</v>
      </c>
      <c r="AB18" s="536"/>
      <c r="AC18" s="536"/>
      <c r="AD18" s="536"/>
      <c r="AE18" s="536">
        <v>50</v>
      </c>
      <c r="AF18" s="536"/>
      <c r="AG18" s="544" t="s">
        <v>65</v>
      </c>
      <c r="AH18" s="548"/>
      <c r="AI18" s="549"/>
    </row>
    <row r="19" ht="36" customHeight="1" spans="1:35">
      <c r="A19" s="535" t="s">
        <v>66</v>
      </c>
      <c r="B19" s="535"/>
      <c r="C19" s="535"/>
      <c r="D19" s="535"/>
      <c r="E19" s="535"/>
      <c r="F19" s="535"/>
      <c r="G19" s="535"/>
      <c r="H19" s="535"/>
      <c r="I19" s="535"/>
      <c r="J19" s="535"/>
      <c r="K19" s="535"/>
      <c r="L19" s="535"/>
      <c r="M19" s="535"/>
      <c r="N19" s="535"/>
      <c r="O19" s="535"/>
      <c r="P19" s="535"/>
      <c r="Q19" s="535"/>
      <c r="R19" s="535"/>
      <c r="S19" s="535"/>
      <c r="T19" s="535"/>
      <c r="U19" s="535"/>
      <c r="V19" s="535"/>
      <c r="W19" s="535"/>
      <c r="X19" s="535"/>
      <c r="Y19" s="535"/>
      <c r="Z19" s="535"/>
      <c r="AA19" s="535"/>
      <c r="AB19" s="535"/>
      <c r="AC19" s="535"/>
      <c r="AD19" s="535"/>
      <c r="AE19" s="535"/>
      <c r="AF19" s="535"/>
      <c r="AG19" s="535"/>
      <c r="AH19" s="535"/>
      <c r="AI19" s="535"/>
    </row>
    <row r="20" ht="36" customHeight="1" spans="1:35">
      <c r="A20" s="512" t="s">
        <v>37</v>
      </c>
      <c r="B20" s="512" t="s">
        <v>67</v>
      </c>
      <c r="C20" s="512" t="s">
        <v>68</v>
      </c>
      <c r="D20" s="512"/>
      <c r="E20" s="512"/>
      <c r="F20" s="512"/>
      <c r="G20" s="512"/>
      <c r="H20" s="512" t="s">
        <v>69</v>
      </c>
      <c r="I20" s="512"/>
      <c r="J20" s="512"/>
      <c r="K20" s="512"/>
      <c r="L20" s="512"/>
      <c r="M20" s="512"/>
      <c r="N20" s="512"/>
      <c r="O20" s="512"/>
      <c r="P20" s="512"/>
      <c r="Q20" s="512"/>
      <c r="R20" s="512"/>
      <c r="S20" s="512" t="s">
        <v>56</v>
      </c>
      <c r="T20" s="512"/>
      <c r="U20" s="512"/>
      <c r="V20" s="512" t="s">
        <v>70</v>
      </c>
      <c r="W20" s="512"/>
      <c r="X20" s="512"/>
      <c r="Y20" s="512"/>
      <c r="Z20" s="512"/>
      <c r="AA20" s="512" t="s">
        <v>71</v>
      </c>
      <c r="AB20" s="512"/>
      <c r="AC20" s="512"/>
      <c r="AD20" s="512"/>
      <c r="AE20" s="512"/>
      <c r="AF20" s="512"/>
      <c r="AG20" s="512" t="s">
        <v>72</v>
      </c>
      <c r="AH20" s="512"/>
      <c r="AI20" s="512"/>
    </row>
    <row r="21" ht="36" customHeight="1" spans="1:35">
      <c r="A21" t="s">
        <v>42</v>
      </c>
      <c r="B21" t="s">
        <v>73</v>
      </c>
      <c r="C21" s="536" t="s">
        <v>74</v>
      </c>
      <c r="D21" s="536"/>
      <c r="E21" s="536"/>
      <c r="F21" s="536"/>
      <c r="G21" s="536"/>
      <c r="H21" s="536" t="s">
        <v>75</v>
      </c>
      <c r="I21" s="536"/>
      <c r="J21" s="536"/>
      <c r="K21" s="536"/>
      <c r="L21" s="536"/>
      <c r="M21" s="536"/>
      <c r="N21" s="536"/>
      <c r="O21" s="536"/>
      <c r="P21" s="536"/>
      <c r="Q21" s="536"/>
      <c r="R21" s="536"/>
      <c r="S21" s="536" t="s">
        <v>64</v>
      </c>
      <c r="T21" s="536"/>
      <c r="U21" s="536"/>
      <c r="V21" s="536">
        <v>152091.92</v>
      </c>
      <c r="W21" s="536"/>
      <c r="X21" s="536"/>
      <c r="Y21" s="536"/>
      <c r="Z21" s="536"/>
      <c r="AA21" s="536">
        <v>19447.28</v>
      </c>
      <c r="AB21" s="536"/>
      <c r="AC21" s="536"/>
      <c r="AD21" s="536"/>
      <c r="AE21" s="536"/>
      <c r="AF21" s="536"/>
      <c r="AG21" s="540" t="s">
        <v>76</v>
      </c>
      <c r="AH21" s="536"/>
      <c r="AI21" s="536"/>
    </row>
    <row r="22" ht="36" customHeight="1" spans="1:35">
      <c r="A22" s="535" t="s">
        <v>77</v>
      </c>
      <c r="B22" s="535"/>
      <c r="C22" s="535"/>
      <c r="D22" s="535"/>
      <c r="E22" s="535"/>
      <c r="F22" s="535"/>
      <c r="G22" s="535"/>
      <c r="H22" s="535"/>
      <c r="I22" s="535"/>
      <c r="J22" s="535"/>
      <c r="K22" s="535"/>
      <c r="L22" s="535"/>
      <c r="M22" s="535"/>
      <c r="N22" s="535"/>
      <c r="O22" s="535"/>
      <c r="P22" s="535"/>
      <c r="Q22" s="535"/>
      <c r="R22" s="535"/>
      <c r="S22" s="535"/>
      <c r="T22" s="535"/>
      <c r="U22" s="535"/>
      <c r="V22" s="535"/>
      <c r="W22" s="535"/>
      <c r="X22" s="535"/>
      <c r="Y22" s="535"/>
      <c r="Z22" s="535"/>
      <c r="AA22" s="535"/>
      <c r="AB22" s="535"/>
      <c r="AC22" s="535"/>
      <c r="AD22" s="535"/>
      <c r="AE22" s="535"/>
      <c r="AF22" s="535"/>
      <c r="AG22" s="535"/>
      <c r="AH22" s="535"/>
      <c r="AI22" s="535"/>
    </row>
    <row r="23" ht="36" customHeight="1" spans="1:35">
      <c r="A23" s="512" t="s">
        <v>37</v>
      </c>
      <c r="B23" s="512" t="s">
        <v>78</v>
      </c>
      <c r="C23" s="512" t="s">
        <v>79</v>
      </c>
      <c r="D23" s="512"/>
      <c r="E23" s="512"/>
      <c r="F23" s="512"/>
      <c r="G23" s="512"/>
      <c r="H23" s="512" t="s">
        <v>80</v>
      </c>
      <c r="I23" s="512"/>
      <c r="J23" s="512"/>
      <c r="K23" s="512"/>
      <c r="L23" s="512"/>
      <c r="M23" s="512"/>
      <c r="N23" s="512"/>
      <c r="O23" s="512"/>
      <c r="P23" s="512"/>
      <c r="Q23" s="512"/>
      <c r="R23" s="512"/>
      <c r="S23" s="512" t="s">
        <v>71</v>
      </c>
      <c r="T23" s="512"/>
      <c r="U23" s="512"/>
      <c r="V23" s="512"/>
      <c r="W23" s="512"/>
      <c r="X23" s="512"/>
      <c r="Y23" s="512"/>
      <c r="Z23" s="512"/>
      <c r="AA23" s="512" t="s">
        <v>81</v>
      </c>
      <c r="AB23" s="512"/>
      <c r="AC23" s="512"/>
      <c r="AD23" s="512"/>
      <c r="AE23" s="512"/>
      <c r="AF23" s="512"/>
      <c r="AG23" s="512"/>
      <c r="AH23" s="512"/>
      <c r="AI23" s="512"/>
    </row>
    <row r="24" ht="36" customHeight="1" spans="1:35">
      <c r="A24" t="s">
        <v>42</v>
      </c>
      <c r="B24" t="s">
        <v>82</v>
      </c>
      <c r="C24" s="536" t="s">
        <v>83</v>
      </c>
      <c r="D24" s="536"/>
      <c r="E24" s="536"/>
      <c r="F24" s="536"/>
      <c r="G24" s="536"/>
      <c r="H24" s="536" t="s">
        <v>84</v>
      </c>
      <c r="I24" s="536"/>
      <c r="J24" s="536"/>
      <c r="K24" s="536"/>
      <c r="L24" s="536"/>
      <c r="M24" s="536"/>
      <c r="N24" s="536"/>
      <c r="O24" s="536"/>
      <c r="P24" s="536"/>
      <c r="Q24" s="536"/>
      <c r="R24" s="536"/>
      <c r="S24" s="536">
        <v>4717.75</v>
      </c>
      <c r="T24" s="536"/>
      <c r="U24" s="536"/>
      <c r="V24" s="536"/>
      <c r="W24" s="536"/>
      <c r="X24" s="536"/>
      <c r="Y24" s="536"/>
      <c r="Z24" s="536"/>
      <c r="AA24" s="540" t="s">
        <v>85</v>
      </c>
      <c r="AB24" s="540"/>
      <c r="AC24" s="540"/>
      <c r="AD24" s="540"/>
      <c r="AE24" s="540"/>
      <c r="AF24" s="540"/>
      <c r="AG24" s="540"/>
      <c r="AH24" s="540"/>
      <c r="AI24" s="540"/>
    </row>
    <row r="25" ht="36" customHeight="1" spans="1:35">
      <c r="A25" t="s">
        <v>45</v>
      </c>
      <c r="B25" t="s">
        <v>86</v>
      </c>
      <c r="C25" t="s">
        <v>87</v>
      </c>
      <c r="D25"/>
      <c r="E25"/>
      <c r="F25"/>
      <c r="G25"/>
      <c r="H25" t="s">
        <v>84</v>
      </c>
      <c r="I25"/>
      <c r="J25"/>
      <c r="K25"/>
      <c r="L25"/>
      <c r="M25"/>
      <c r="N25"/>
      <c r="O25"/>
      <c r="P25"/>
      <c r="Q25"/>
      <c r="R25"/>
      <c r="S25">
        <v>4717.75</v>
      </c>
      <c r="T25"/>
      <c r="U25"/>
      <c r="V25"/>
      <c r="W25"/>
      <c r="X25"/>
      <c r="Y25"/>
      <c r="Z25"/>
      <c r="AA25" t="s">
        <v>85</v>
      </c>
      <c r="AB25"/>
      <c r="AC25"/>
      <c r="AD25"/>
      <c r="AE25"/>
      <c r="AF25"/>
      <c r="AG25"/>
      <c r="AH25"/>
      <c r="AI25"/>
    </row>
    <row r="26" ht="36" customHeight="1" spans="1:35">
      <c r="A26" t="s">
        <v>48</v>
      </c>
      <c r="B26" t="s">
        <v>88</v>
      </c>
      <c r="C26" t="s">
        <v>89</v>
      </c>
      <c r="D26"/>
      <c r="E26"/>
      <c r="F26"/>
      <c r="G26"/>
      <c r="H26" t="s">
        <v>90</v>
      </c>
      <c r="I26"/>
      <c r="J26"/>
      <c r="K26"/>
      <c r="L26"/>
      <c r="M26"/>
      <c r="N26"/>
      <c r="O26"/>
      <c r="P26"/>
      <c r="Q26"/>
      <c r="R26"/>
      <c r="S26">
        <v>5599.6</v>
      </c>
      <c r="T26"/>
      <c r="U26"/>
      <c r="V26"/>
      <c r="W26"/>
      <c r="X26"/>
      <c r="Y26"/>
      <c r="Z26"/>
      <c r="AA26" t="s">
        <v>91</v>
      </c>
      <c r="AB26"/>
      <c r="AC26"/>
      <c r="AD26"/>
      <c r="AE26"/>
      <c r="AF26"/>
      <c r="AG26"/>
      <c r="AH26"/>
      <c r="AI26"/>
    </row>
    <row r="27" ht="36" customHeight="1" spans="1:35">
      <c r="A27" t="s">
        <v>92</v>
      </c>
      <c r="B27" t="s">
        <v>93</v>
      </c>
      <c r="C27" t="s">
        <v>94</v>
      </c>
      <c r="D27"/>
      <c r="E27"/>
      <c r="F27"/>
      <c r="G27"/>
      <c r="H27" t="s">
        <v>84</v>
      </c>
      <c r="I27"/>
      <c r="J27"/>
      <c r="K27"/>
      <c r="L27"/>
      <c r="M27"/>
      <c r="N27"/>
      <c r="O27"/>
      <c r="P27"/>
      <c r="Q27"/>
      <c r="R27"/>
      <c r="S27">
        <v>5107.69</v>
      </c>
      <c r="T27"/>
      <c r="U27"/>
      <c r="V27"/>
      <c r="W27"/>
      <c r="X27"/>
      <c r="Y27"/>
      <c r="Z27"/>
      <c r="AA27" t="s">
        <v>85</v>
      </c>
      <c r="AB27"/>
      <c r="AC27"/>
      <c r="AD27"/>
      <c r="AE27"/>
      <c r="AF27"/>
      <c r="AG27"/>
      <c r="AH27"/>
      <c r="AI27"/>
    </row>
    <row r="28" ht="36" customHeight="1" spans="1:35">
      <c r="A28" t="s">
        <v>95</v>
      </c>
      <c r="B28" t="s">
        <v>96</v>
      </c>
      <c r="C28" t="s">
        <v>97</v>
      </c>
      <c r="D28"/>
      <c r="E28"/>
      <c r="F28"/>
      <c r="G28"/>
      <c r="H28" t="s">
        <v>84</v>
      </c>
      <c r="I28"/>
      <c r="J28"/>
      <c r="K28"/>
      <c r="L28"/>
      <c r="M28"/>
      <c r="N28"/>
      <c r="O28"/>
      <c r="P28"/>
      <c r="Q28"/>
      <c r="R28"/>
      <c r="S28">
        <v>4249.54</v>
      </c>
      <c r="T28"/>
      <c r="U28"/>
      <c r="V28"/>
      <c r="W28"/>
      <c r="X28"/>
      <c r="Y28"/>
      <c r="Z28"/>
      <c r="AA28" t="s">
        <v>98</v>
      </c>
      <c r="AB28"/>
      <c r="AC28"/>
      <c r="AD28"/>
      <c r="AE28"/>
      <c r="AF28"/>
      <c r="AG28"/>
      <c r="AH28"/>
      <c r="AI28"/>
    </row>
    <row r="29" ht="36" customHeight="1" spans="1:35">
      <c r="A29" t="s">
        <v>99</v>
      </c>
      <c r="B29" t="s">
        <v>100</v>
      </c>
      <c r="C29" t="s">
        <v>101</v>
      </c>
      <c r="D29"/>
      <c r="E29"/>
      <c r="F29"/>
      <c r="G29"/>
      <c r="H29" t="s">
        <v>84</v>
      </c>
      <c r="I29"/>
      <c r="J29"/>
      <c r="K29"/>
      <c r="L29"/>
      <c r="M29"/>
      <c r="N29"/>
      <c r="O29"/>
      <c r="P29"/>
      <c r="Q29"/>
      <c r="R29"/>
      <c r="S29">
        <v>5107.69</v>
      </c>
      <c r="T29"/>
      <c r="U29"/>
      <c r="V29"/>
      <c r="W29"/>
      <c r="X29"/>
      <c r="Y29"/>
      <c r="Z29"/>
      <c r="AA29" t="s">
        <v>85</v>
      </c>
      <c r="AB29"/>
      <c r="AC29"/>
      <c r="AD29"/>
      <c r="AE29"/>
      <c r="AF29"/>
      <c r="AG29"/>
      <c r="AH29"/>
      <c r="AI29"/>
    </row>
    <row r="30" ht="36" customHeight="1" spans="1:35">
      <c r="A30" t="s">
        <v>102</v>
      </c>
      <c r="B30" t="s">
        <v>103</v>
      </c>
      <c r="C30" t="s">
        <v>104</v>
      </c>
      <c r="D30"/>
      <c r="E30"/>
      <c r="F30"/>
      <c r="G30"/>
      <c r="H30" t="s">
        <v>90</v>
      </c>
      <c r="I30"/>
      <c r="J30"/>
      <c r="K30"/>
      <c r="L30"/>
      <c r="M30"/>
      <c r="N30"/>
      <c r="O30"/>
      <c r="P30"/>
      <c r="Q30"/>
      <c r="R30"/>
      <c r="S30">
        <v>5599.6</v>
      </c>
      <c r="T30"/>
      <c r="U30"/>
      <c r="V30"/>
      <c r="W30"/>
      <c r="X30"/>
      <c r="Y30"/>
      <c r="Z30"/>
      <c r="AA30" t="s">
        <v>91</v>
      </c>
      <c r="AB30"/>
      <c r="AC30"/>
      <c r="AD30"/>
      <c r="AE30"/>
      <c r="AF30"/>
      <c r="AG30"/>
      <c r="AH30"/>
      <c r="AI30"/>
    </row>
    <row r="31" ht="36" customHeight="1" spans="1:35">
      <c r="A31" t="s">
        <v>105</v>
      </c>
      <c r="B31" t="s">
        <v>106</v>
      </c>
      <c r="C31" t="s">
        <v>107</v>
      </c>
      <c r="D31"/>
      <c r="E31"/>
      <c r="F31"/>
      <c r="G31"/>
      <c r="H31" t="s">
        <v>108</v>
      </c>
      <c r="I31"/>
      <c r="J31"/>
      <c r="K31"/>
      <c r="L31"/>
      <c r="M31"/>
      <c r="N31"/>
      <c r="O31"/>
      <c r="P31"/>
      <c r="Q31"/>
      <c r="R31"/>
      <c r="S31">
        <v>1488.28</v>
      </c>
      <c r="T31"/>
      <c r="U31"/>
      <c r="V31"/>
      <c r="W31"/>
      <c r="X31"/>
      <c r="Y31"/>
      <c r="Z31"/>
      <c r="AA31" t="s">
        <v>109</v>
      </c>
      <c r="AB31"/>
      <c r="AC31"/>
      <c r="AD31"/>
      <c r="AE31"/>
      <c r="AF31"/>
      <c r="AG31"/>
      <c r="AH31"/>
      <c r="AI31"/>
    </row>
    <row r="32" ht="36" customHeight="1" spans="1:35">
      <c r="A32" t="s">
        <v>110</v>
      </c>
      <c r="B32" t="s">
        <v>111</v>
      </c>
      <c r="C32" t="s">
        <v>112</v>
      </c>
      <c r="D32"/>
      <c r="E32"/>
      <c r="F32"/>
      <c r="G32"/>
      <c r="H32" t="s">
        <v>108</v>
      </c>
      <c r="I32"/>
      <c r="J32"/>
      <c r="K32"/>
      <c r="L32"/>
      <c r="M32"/>
      <c r="N32"/>
      <c r="O32"/>
      <c r="P32"/>
      <c r="Q32"/>
      <c r="R32"/>
      <c r="S32">
        <v>1800.48</v>
      </c>
      <c r="T32"/>
      <c r="U32"/>
      <c r="V32"/>
      <c r="W32"/>
      <c r="X32"/>
      <c r="Y32"/>
      <c r="Z32"/>
      <c r="AA32" t="s">
        <v>109</v>
      </c>
      <c r="AB32"/>
      <c r="AC32"/>
      <c r="AD32"/>
      <c r="AE32"/>
      <c r="AF32"/>
      <c r="AG32"/>
      <c r="AH32"/>
      <c r="AI32"/>
    </row>
    <row r="33" ht="36" customHeight="1" spans="1:35">
      <c r="A33" t="s">
        <v>113</v>
      </c>
      <c r="B33" t="s">
        <v>114</v>
      </c>
      <c r="C33" t="s">
        <v>115</v>
      </c>
      <c r="D33"/>
      <c r="E33"/>
      <c r="F33"/>
      <c r="G33"/>
      <c r="H33" t="s">
        <v>84</v>
      </c>
      <c r="I33"/>
      <c r="J33"/>
      <c r="K33"/>
      <c r="L33"/>
      <c r="M33"/>
      <c r="N33"/>
      <c r="O33"/>
      <c r="P33"/>
      <c r="Q33"/>
      <c r="R33"/>
      <c r="S33">
        <v>4717.75</v>
      </c>
      <c r="T33"/>
      <c r="U33"/>
      <c r="V33"/>
      <c r="W33"/>
      <c r="X33"/>
      <c r="Y33"/>
      <c r="Z33"/>
      <c r="AA33" t="s">
        <v>116</v>
      </c>
      <c r="AB33"/>
      <c r="AC33"/>
      <c r="AD33"/>
      <c r="AE33"/>
      <c r="AF33"/>
      <c r="AG33"/>
      <c r="AH33"/>
      <c r="AI33"/>
    </row>
    <row r="34" ht="36" customHeight="1" spans="1:35">
      <c r="A34" t="s">
        <v>117</v>
      </c>
      <c r="B34" t="s">
        <v>118</v>
      </c>
      <c r="C34" t="s">
        <v>119</v>
      </c>
      <c r="D34"/>
      <c r="E34"/>
      <c r="F34"/>
      <c r="G34"/>
      <c r="H34" t="s">
        <v>84</v>
      </c>
      <c r="I34"/>
      <c r="J34"/>
      <c r="K34"/>
      <c r="L34"/>
      <c r="M34"/>
      <c r="N34"/>
      <c r="O34"/>
      <c r="P34"/>
      <c r="Q34"/>
      <c r="R34"/>
      <c r="S34">
        <v>4717.75</v>
      </c>
      <c r="T34"/>
      <c r="U34"/>
      <c r="V34"/>
      <c r="W34"/>
      <c r="X34"/>
      <c r="Y34"/>
      <c r="Z34"/>
      <c r="AA34" t="s">
        <v>85</v>
      </c>
      <c r="AB34"/>
      <c r="AC34"/>
      <c r="AD34"/>
      <c r="AE34"/>
      <c r="AF34"/>
      <c r="AG34"/>
      <c r="AH34"/>
      <c r="AI34"/>
    </row>
    <row r="35" ht="36" customHeight="1" spans="1:35">
      <c r="A35" t="s">
        <v>120</v>
      </c>
      <c r="B35" t="s">
        <v>121</v>
      </c>
      <c r="C35" t="s">
        <v>122</v>
      </c>
      <c r="D35"/>
      <c r="E35"/>
      <c r="F35"/>
      <c r="G35"/>
      <c r="H35" t="s">
        <v>84</v>
      </c>
      <c r="I35"/>
      <c r="J35"/>
      <c r="K35"/>
      <c r="L35"/>
      <c r="M35"/>
      <c r="N35"/>
      <c r="O35"/>
      <c r="P35"/>
      <c r="Q35"/>
      <c r="R35"/>
      <c r="S35">
        <v>4249.54</v>
      </c>
      <c r="T35"/>
      <c r="U35"/>
      <c r="V35"/>
      <c r="W35"/>
      <c r="X35"/>
      <c r="Y35"/>
      <c r="Z35"/>
      <c r="AA35" t="s">
        <v>85</v>
      </c>
      <c r="AB35"/>
      <c r="AC35"/>
      <c r="AD35"/>
      <c r="AE35"/>
      <c r="AF35"/>
      <c r="AG35"/>
      <c r="AH35"/>
      <c r="AI35"/>
    </row>
    <row r="36" ht="36" customHeight="1" spans="1:35">
      <c r="A36" t="s">
        <v>123</v>
      </c>
      <c r="B36" t="s">
        <v>124</v>
      </c>
      <c r="C36" t="s">
        <v>125</v>
      </c>
      <c r="D36"/>
      <c r="E36"/>
      <c r="F36"/>
      <c r="G36"/>
      <c r="H36" t="s">
        <v>126</v>
      </c>
      <c r="I36"/>
      <c r="J36"/>
      <c r="K36"/>
      <c r="L36"/>
      <c r="M36"/>
      <c r="N36"/>
      <c r="O36"/>
      <c r="P36"/>
      <c r="Q36"/>
      <c r="R36"/>
      <c r="S36">
        <v>892.8</v>
      </c>
      <c r="T36"/>
      <c r="U36"/>
      <c r="V36"/>
      <c r="W36"/>
      <c r="X36"/>
      <c r="Y36"/>
      <c r="Z36"/>
      <c r="AA36" t="s">
        <v>127</v>
      </c>
      <c r="AB36"/>
      <c r="AC36"/>
      <c r="AD36"/>
      <c r="AE36"/>
      <c r="AF36"/>
      <c r="AG36"/>
      <c r="AH36"/>
      <c r="AI36"/>
    </row>
    <row r="37" ht="36" customHeight="1" spans="1:35">
      <c r="A37" s="535" t="s">
        <v>128</v>
      </c>
      <c r="B37" s="535"/>
      <c r="C37" s="535"/>
      <c r="D37" s="535"/>
      <c r="E37" s="535"/>
      <c r="F37" s="535"/>
      <c r="G37" s="535"/>
      <c r="H37" s="535"/>
      <c r="I37" s="535"/>
      <c r="J37" s="535"/>
      <c r="K37" s="535"/>
      <c r="L37" s="535"/>
      <c r="M37" s="535"/>
      <c r="N37" s="535"/>
      <c r="O37" s="535"/>
      <c r="P37" s="535"/>
      <c r="Q37" s="535"/>
      <c r="R37" s="535"/>
      <c r="S37" s="535"/>
      <c r="T37" s="535"/>
      <c r="U37" s="535"/>
      <c r="V37" s="535"/>
      <c r="W37" s="535"/>
      <c r="X37" s="535"/>
      <c r="Y37" s="535"/>
      <c r="Z37" s="535"/>
      <c r="AA37" s="535"/>
      <c r="AB37" s="535"/>
      <c r="AC37" s="535"/>
      <c r="AD37" s="535"/>
      <c r="AE37" s="535"/>
      <c r="AF37" s="535"/>
      <c r="AG37" s="535"/>
      <c r="AH37" s="535"/>
      <c r="AI37" s="535"/>
    </row>
    <row r="38" ht="36" customHeight="1" spans="1:35">
      <c r="A38" s="512" t="s">
        <v>37</v>
      </c>
      <c r="B38" s="512" t="s">
        <v>129</v>
      </c>
      <c r="C38" s="512" t="s">
        <v>130</v>
      </c>
      <c r="D38" s="512"/>
      <c r="E38" s="512"/>
      <c r="F38" s="512"/>
      <c r="G38" s="512" t="s">
        <v>131</v>
      </c>
      <c r="H38" s="512" t="s">
        <v>71</v>
      </c>
      <c r="I38" s="512"/>
      <c r="J38" s="512"/>
      <c r="K38" s="512"/>
      <c r="L38" s="512"/>
      <c r="M38" s="512"/>
      <c r="N38" s="512"/>
      <c r="O38" s="512" t="s">
        <v>132</v>
      </c>
      <c r="P38" s="512"/>
      <c r="Q38" s="512"/>
      <c r="R38" s="512"/>
      <c r="S38" s="512" t="s">
        <v>133</v>
      </c>
      <c r="T38" s="512"/>
      <c r="U38" s="512"/>
      <c r="V38" s="512"/>
      <c r="W38" s="512"/>
      <c r="X38" s="512" t="s">
        <v>134</v>
      </c>
      <c r="Y38" s="512"/>
      <c r="Z38" s="512"/>
      <c r="AA38" s="512"/>
      <c r="AB38" s="512"/>
      <c r="AC38" s="512" t="s">
        <v>135</v>
      </c>
      <c r="AD38" s="512"/>
      <c r="AE38" s="512"/>
      <c r="AF38" s="512"/>
      <c r="AG38" s="512" t="s">
        <v>72</v>
      </c>
      <c r="AH38" s="512"/>
      <c r="AI38" s="512"/>
    </row>
    <row r="39" ht="36" customHeight="1" spans="1:35">
      <c r="A39" t="s">
        <v>42</v>
      </c>
      <c r="B39" t="s">
        <v>136</v>
      </c>
      <c r="C39" s="536" t="s">
        <v>137</v>
      </c>
      <c r="D39" s="536"/>
      <c r="E39" s="536"/>
      <c r="F39" s="536"/>
      <c r="G39" t="s">
        <v>138</v>
      </c>
      <c r="H39" s="536">
        <v>53178.02</v>
      </c>
      <c r="I39" s="536"/>
      <c r="J39" s="536"/>
      <c r="K39" s="536"/>
      <c r="L39" s="536"/>
      <c r="M39" s="536"/>
      <c r="N39" s="536"/>
      <c r="O39" s="536">
        <v>82979934.94</v>
      </c>
      <c r="P39" s="536"/>
      <c r="Q39" s="536"/>
      <c r="R39" s="536"/>
      <c r="S39" s="536" t="s">
        <v>139</v>
      </c>
      <c r="T39" s="536"/>
      <c r="U39" s="536"/>
      <c r="V39" s="536"/>
      <c r="W39" s="536"/>
      <c r="X39" s="540" t="s">
        <v>31</v>
      </c>
      <c r="Y39" s="540"/>
      <c r="Z39" s="540"/>
      <c r="AA39" s="540"/>
      <c r="AB39" s="540"/>
      <c r="AC39" s="540" t="s">
        <v>140</v>
      </c>
      <c r="AD39" s="540"/>
      <c r="AE39" s="540"/>
      <c r="AF39" s="540"/>
      <c r="AG39" s="540" t="s">
        <v>141</v>
      </c>
      <c r="AH39" s="540"/>
      <c r="AI39" s="540"/>
    </row>
    <row r="40" ht="36" customHeight="1" spans="1:35">
      <c r="A40" s="535" t="s">
        <v>142</v>
      </c>
      <c r="B40" s="535"/>
      <c r="C40" s="535"/>
      <c r="D40" s="535"/>
      <c r="E40" s="535"/>
      <c r="F40" s="535"/>
      <c r="G40" s="535"/>
      <c r="H40" s="535"/>
      <c r="I40" s="535"/>
      <c r="J40" s="535"/>
      <c r="K40" s="535"/>
      <c r="L40" s="535"/>
      <c r="M40" s="535"/>
      <c r="N40" s="535"/>
      <c r="O40" s="535"/>
      <c r="P40" s="535"/>
      <c r="Q40" s="535"/>
      <c r="R40" s="535"/>
      <c r="S40" s="535"/>
      <c r="T40" s="535"/>
      <c r="U40" s="535"/>
      <c r="V40" s="535"/>
      <c r="W40" s="535"/>
      <c r="X40" s="535"/>
      <c r="Y40" s="535"/>
      <c r="Z40" s="535"/>
      <c r="AA40" s="535"/>
      <c r="AB40" s="535"/>
      <c r="AC40" s="535"/>
      <c r="AD40" s="535"/>
      <c r="AE40" s="535"/>
      <c r="AF40" s="535"/>
      <c r="AG40" s="535"/>
      <c r="AH40" s="535"/>
      <c r="AI40" s="535"/>
    </row>
    <row r="41" ht="36" customHeight="1" spans="1:35">
      <c r="A41" s="536" t="s">
        <v>37</v>
      </c>
      <c r="B41" s="536" t="s">
        <v>143</v>
      </c>
      <c r="C41" s="536" t="s">
        <v>39</v>
      </c>
      <c r="D41" s="536"/>
      <c r="E41" s="536"/>
      <c r="F41" s="536" t="s">
        <v>144</v>
      </c>
      <c r="G41" s="536" t="s">
        <v>145</v>
      </c>
      <c r="H41" s="536"/>
      <c r="I41" s="536"/>
      <c r="J41" s="536"/>
      <c r="K41" s="536"/>
      <c r="L41" s="536"/>
      <c r="M41" s="536"/>
      <c r="N41" s="536"/>
      <c r="O41" s="536"/>
      <c r="P41" s="536"/>
      <c r="Q41" s="536"/>
      <c r="R41" s="536" t="s">
        <v>146</v>
      </c>
      <c r="S41" s="536"/>
      <c r="T41" s="536"/>
      <c r="U41" s="536"/>
      <c r="V41" s="536"/>
      <c r="W41" s="536"/>
      <c r="X41" s="536"/>
      <c r="Y41" s="536"/>
      <c r="Z41" s="536"/>
      <c r="AA41" s="536"/>
      <c r="AB41" s="536"/>
      <c r="AC41" s="536"/>
      <c r="AD41" s="536"/>
      <c r="AE41" s="536"/>
      <c r="AF41" s="536"/>
      <c r="AG41" s="536" t="s">
        <v>81</v>
      </c>
      <c r="AH41" s="536"/>
      <c r="AI41" s="536"/>
    </row>
    <row r="42" ht="36" customHeight="1" spans="1:35">
      <c r="A42" s="536"/>
      <c r="B42" s="536"/>
      <c r="C42" s="536"/>
      <c r="D42" s="536"/>
      <c r="E42" s="536"/>
      <c r="F42" s="536"/>
      <c r="G42" s="536" t="s">
        <v>147</v>
      </c>
      <c r="H42" s="536"/>
      <c r="I42" t="s">
        <v>148</v>
      </c>
      <c r="J42" t="s">
        <v>149</v>
      </c>
      <c r="K42" s="536" t="s">
        <v>150</v>
      </c>
      <c r="L42" s="536"/>
      <c r="M42" s="536" t="s">
        <v>151</v>
      </c>
      <c r="N42" s="536"/>
      <c r="O42" s="536"/>
      <c r="P42" s="536" t="s">
        <v>152</v>
      </c>
      <c r="Q42" s="536"/>
      <c r="R42" s="536" t="s">
        <v>147</v>
      </c>
      <c r="S42" s="536"/>
      <c r="T42" s="536" t="s">
        <v>148</v>
      </c>
      <c r="U42" s="536"/>
      <c r="V42" s="536"/>
      <c r="W42" s="536"/>
      <c r="X42" s="536" t="s">
        <v>149</v>
      </c>
      <c r="Y42" s="536"/>
      <c r="Z42" s="536" t="s">
        <v>153</v>
      </c>
      <c r="AA42" s="536"/>
      <c r="AB42" s="536"/>
      <c r="AC42" s="536" t="s">
        <v>151</v>
      </c>
      <c r="AD42" s="536"/>
      <c r="AE42" s="536"/>
      <c r="AF42" t="s">
        <v>152</v>
      </c>
      <c r="AG42" s="536"/>
      <c r="AH42" s="536"/>
      <c r="AI42" s="536"/>
    </row>
    <row r="43" ht="36" customHeight="1" spans="1:35">
      <c r="A43" t="s">
        <v>42</v>
      </c>
      <c r="B43" t="s">
        <v>154</v>
      </c>
      <c r="C43" s="536" t="s">
        <v>155</v>
      </c>
      <c r="D43" s="536"/>
      <c r="E43" s="536"/>
      <c r="F43" t="s">
        <v>156</v>
      </c>
      <c r="G43" s="536">
        <v>0</v>
      </c>
      <c r="H43" s="536"/>
      <c r="I43">
        <v>1487.96</v>
      </c>
      <c r="J43">
        <v>0</v>
      </c>
      <c r="K43" s="536">
        <v>0</v>
      </c>
      <c r="L43" s="536"/>
      <c r="M43" s="536">
        <v>0</v>
      </c>
      <c r="N43" s="536"/>
      <c r="O43" s="536"/>
      <c r="P43" s="536">
        <v>1487.96</v>
      </c>
      <c r="Q43" s="536"/>
      <c r="R43" s="536">
        <v>0</v>
      </c>
      <c r="S43" s="536"/>
      <c r="T43" s="536">
        <v>17</v>
      </c>
      <c r="U43" s="536"/>
      <c r="V43" s="536"/>
      <c r="W43" s="536"/>
      <c r="X43" s="536">
        <v>0</v>
      </c>
      <c r="Y43" s="536"/>
      <c r="Z43" s="536">
        <v>0</v>
      </c>
      <c r="AA43" s="536"/>
      <c r="AB43" s="536"/>
      <c r="AC43" s="536">
        <v>0</v>
      </c>
      <c r="AD43" s="536"/>
      <c r="AE43" s="536"/>
      <c r="AF43">
        <v>17</v>
      </c>
      <c r="AG43" s="540" t="s">
        <v>157</v>
      </c>
      <c r="AH43" s="540"/>
      <c r="AI43" s="540"/>
    </row>
    <row r="44" ht="36" customHeight="1" spans="1:35">
      <c r="A44" t="s">
        <v>45</v>
      </c>
      <c r="B44" t="s">
        <v>158</v>
      </c>
      <c r="C44" t="s">
        <v>159</v>
      </c>
      <c r="D44"/>
      <c r="E44"/>
      <c r="F44" t="s">
        <v>156</v>
      </c>
      <c r="G44">
        <v>4942.98</v>
      </c>
      <c r="H44"/>
      <c r="I44">
        <v>0</v>
      </c>
      <c r="J44">
        <v>0</v>
      </c>
      <c r="K44">
        <v>0</v>
      </c>
      <c r="L44"/>
      <c r="M44">
        <v>641</v>
      </c>
      <c r="N44"/>
      <c r="O44"/>
      <c r="P44">
        <v>5583.98</v>
      </c>
      <c r="Q44"/>
      <c r="R44">
        <v>28</v>
      </c>
      <c r="S44"/>
      <c r="T44">
        <v>0</v>
      </c>
      <c r="U44"/>
      <c r="V44"/>
      <c r="W44"/>
      <c r="X44">
        <v>0</v>
      </c>
      <c r="Y44"/>
      <c r="Z44">
        <v>0</v>
      </c>
      <c r="AA44"/>
      <c r="AB44"/>
      <c r="AC44">
        <v>0</v>
      </c>
      <c r="AD44"/>
      <c r="AE44"/>
      <c r="AF44">
        <v>28</v>
      </c>
      <c r="AG44" t="s">
        <v>160</v>
      </c>
      <c r="AH44"/>
      <c r="AI44"/>
    </row>
    <row r="45" ht="36" customHeight="1" spans="1:35">
      <c r="A45" t="s">
        <v>48</v>
      </c>
      <c r="B45" t="s">
        <v>161</v>
      </c>
      <c r="C45" t="s">
        <v>162</v>
      </c>
      <c r="D45"/>
      <c r="E45"/>
      <c r="F45" t="s">
        <v>156</v>
      </c>
      <c r="G45">
        <v>4175.88</v>
      </c>
      <c r="H45"/>
      <c r="I45">
        <v>0</v>
      </c>
      <c r="J45">
        <v>0</v>
      </c>
      <c r="K45">
        <v>0</v>
      </c>
      <c r="L45"/>
      <c r="M45">
        <v>546.06</v>
      </c>
      <c r="N45"/>
      <c r="O45"/>
      <c r="P45">
        <v>4721.94</v>
      </c>
      <c r="Q45"/>
      <c r="R45">
        <v>28</v>
      </c>
      <c r="S45"/>
      <c r="T45">
        <v>0</v>
      </c>
      <c r="U45"/>
      <c r="V45"/>
      <c r="W45"/>
      <c r="X45">
        <v>0</v>
      </c>
      <c r="Y45"/>
      <c r="Z45">
        <v>0</v>
      </c>
      <c r="AA45"/>
      <c r="AB45"/>
      <c r="AC45">
        <v>0</v>
      </c>
      <c r="AD45"/>
      <c r="AE45"/>
      <c r="AF45">
        <v>28</v>
      </c>
      <c r="AG45" t="s">
        <v>160</v>
      </c>
      <c r="AH45"/>
      <c r="AI45"/>
    </row>
    <row r="46" ht="36" customHeight="1" spans="1:35">
      <c r="A46" t="s">
        <v>92</v>
      </c>
      <c r="B46" t="s">
        <v>163</v>
      </c>
      <c r="C46" t="s">
        <v>164</v>
      </c>
      <c r="D46"/>
      <c r="E46"/>
      <c r="F46" t="s">
        <v>156</v>
      </c>
      <c r="G46">
        <v>4942.98</v>
      </c>
      <c r="H46"/>
      <c r="I46">
        <v>0</v>
      </c>
      <c r="J46">
        <v>0</v>
      </c>
      <c r="K46">
        <v>0</v>
      </c>
      <c r="L46"/>
      <c r="M46">
        <v>641</v>
      </c>
      <c r="N46"/>
      <c r="O46"/>
      <c r="P46">
        <v>5583.98</v>
      </c>
      <c r="Q46"/>
      <c r="R46">
        <v>28</v>
      </c>
      <c r="S46"/>
      <c r="T46">
        <v>0</v>
      </c>
      <c r="U46"/>
      <c r="V46"/>
      <c r="W46"/>
      <c r="X46">
        <v>0</v>
      </c>
      <c r="Y46"/>
      <c r="Z46">
        <v>0</v>
      </c>
      <c r="AA46"/>
      <c r="AB46"/>
      <c r="AC46">
        <v>0</v>
      </c>
      <c r="AD46"/>
      <c r="AE46"/>
      <c r="AF46">
        <v>28</v>
      </c>
      <c r="AG46" t="s">
        <v>160</v>
      </c>
      <c r="AH46"/>
      <c r="AI46"/>
    </row>
    <row r="47" ht="36" customHeight="1" spans="1:35">
      <c r="A47" t="s">
        <v>95</v>
      </c>
      <c r="B47" t="s">
        <v>165</v>
      </c>
      <c r="C47" t="s">
        <v>166</v>
      </c>
      <c r="D47"/>
      <c r="E47"/>
      <c r="F47" t="s">
        <v>156</v>
      </c>
      <c r="G47">
        <v>4175.88</v>
      </c>
      <c r="H47"/>
      <c r="I47">
        <v>0</v>
      </c>
      <c r="J47">
        <v>0</v>
      </c>
      <c r="K47">
        <v>0</v>
      </c>
      <c r="L47"/>
      <c r="M47">
        <v>546.06</v>
      </c>
      <c r="N47"/>
      <c r="O47"/>
      <c r="P47">
        <v>4721.94</v>
      </c>
      <c r="Q47"/>
      <c r="R47">
        <v>28</v>
      </c>
      <c r="S47"/>
      <c r="T47">
        <v>0</v>
      </c>
      <c r="U47"/>
      <c r="V47"/>
      <c r="W47"/>
      <c r="X47">
        <v>0</v>
      </c>
      <c r="Y47"/>
      <c r="Z47">
        <v>0</v>
      </c>
      <c r="AA47"/>
      <c r="AB47"/>
      <c r="AC47">
        <v>0</v>
      </c>
      <c r="AD47"/>
      <c r="AE47"/>
      <c r="AF47">
        <v>28</v>
      </c>
      <c r="AG47" t="s">
        <v>160</v>
      </c>
      <c r="AH47"/>
      <c r="AI47"/>
    </row>
    <row r="48" ht="36" customHeight="1" spans="1:35">
      <c r="A48" t="s">
        <v>99</v>
      </c>
      <c r="B48" t="s">
        <v>167</v>
      </c>
      <c r="C48" t="s">
        <v>168</v>
      </c>
      <c r="D48"/>
      <c r="E48"/>
      <c r="F48" t="s">
        <v>156</v>
      </c>
      <c r="G48">
        <v>4175.88</v>
      </c>
      <c r="H48"/>
      <c r="I48">
        <v>0</v>
      </c>
      <c r="J48">
        <v>0</v>
      </c>
      <c r="K48">
        <v>0</v>
      </c>
      <c r="L48"/>
      <c r="M48">
        <v>546.06</v>
      </c>
      <c r="N48"/>
      <c r="O48"/>
      <c r="P48">
        <v>4721.94</v>
      </c>
      <c r="Q48"/>
      <c r="R48">
        <v>28</v>
      </c>
      <c r="S48"/>
      <c r="T48">
        <v>0</v>
      </c>
      <c r="U48"/>
      <c r="V48"/>
      <c r="W48"/>
      <c r="X48">
        <v>0</v>
      </c>
      <c r="Y48"/>
      <c r="Z48">
        <v>0</v>
      </c>
      <c r="AA48"/>
      <c r="AB48"/>
      <c r="AC48">
        <v>0</v>
      </c>
      <c r="AD48"/>
      <c r="AE48"/>
      <c r="AF48">
        <v>28</v>
      </c>
      <c r="AG48" t="s">
        <v>160</v>
      </c>
      <c r="AH48"/>
      <c r="AI48"/>
    </row>
    <row r="49" ht="36" customHeight="1" spans="1:35">
      <c r="A49" t="s">
        <v>102</v>
      </c>
      <c r="B49" t="s">
        <v>169</v>
      </c>
      <c r="C49" t="s">
        <v>170</v>
      </c>
      <c r="D49"/>
      <c r="E49"/>
      <c r="F49" t="s">
        <v>156</v>
      </c>
      <c r="G49">
        <v>4175.88</v>
      </c>
      <c r="H49"/>
      <c r="I49">
        <v>0</v>
      </c>
      <c r="J49">
        <v>0</v>
      </c>
      <c r="K49">
        <v>0</v>
      </c>
      <c r="L49"/>
      <c r="M49">
        <v>546.06</v>
      </c>
      <c r="N49"/>
      <c r="O49"/>
      <c r="P49">
        <v>4721.94</v>
      </c>
      <c r="Q49"/>
      <c r="R49">
        <v>28</v>
      </c>
      <c r="S49"/>
      <c r="T49">
        <v>0</v>
      </c>
      <c r="U49"/>
      <c r="V49"/>
      <c r="W49"/>
      <c r="X49">
        <v>0</v>
      </c>
      <c r="Y49"/>
      <c r="Z49">
        <v>0</v>
      </c>
      <c r="AA49"/>
      <c r="AB49"/>
      <c r="AC49">
        <v>0</v>
      </c>
      <c r="AD49"/>
      <c r="AE49"/>
      <c r="AF49">
        <v>28</v>
      </c>
      <c r="AG49" t="s">
        <v>160</v>
      </c>
      <c r="AH49"/>
      <c r="AI49"/>
    </row>
    <row r="50" ht="36" customHeight="1" spans="1:35">
      <c r="A50" t="s">
        <v>105</v>
      </c>
      <c r="B50" t="s">
        <v>171</v>
      </c>
      <c r="C50" t="s">
        <v>172</v>
      </c>
      <c r="D50"/>
      <c r="E50"/>
      <c r="F50" t="s">
        <v>156</v>
      </c>
      <c r="G50">
        <v>3743.77</v>
      </c>
      <c r="H50"/>
      <c r="I50">
        <v>0</v>
      </c>
      <c r="J50">
        <v>0</v>
      </c>
      <c r="K50">
        <v>0</v>
      </c>
      <c r="L50"/>
      <c r="M50">
        <v>489.18</v>
      </c>
      <c r="N50"/>
      <c r="O50"/>
      <c r="P50">
        <v>4232.95</v>
      </c>
      <c r="Q50"/>
      <c r="R50">
        <v>28</v>
      </c>
      <c r="S50"/>
      <c r="T50">
        <v>0</v>
      </c>
      <c r="U50"/>
      <c r="V50"/>
      <c r="W50"/>
      <c r="X50">
        <v>0</v>
      </c>
      <c r="Y50"/>
      <c r="Z50">
        <v>0</v>
      </c>
      <c r="AA50"/>
      <c r="AB50"/>
      <c r="AC50">
        <v>0</v>
      </c>
      <c r="AD50"/>
      <c r="AE50"/>
      <c r="AF50">
        <v>28</v>
      </c>
      <c r="AG50" t="s">
        <v>160</v>
      </c>
      <c r="AH50"/>
      <c r="AI50"/>
    </row>
    <row r="51" ht="36" customHeight="1" spans="1:35">
      <c r="A51" t="s">
        <v>110</v>
      </c>
      <c r="B51" t="s">
        <v>173</v>
      </c>
      <c r="C51" t="s">
        <v>174</v>
      </c>
      <c r="D51"/>
      <c r="E51"/>
      <c r="F51" t="s">
        <v>156</v>
      </c>
      <c r="G51">
        <v>0</v>
      </c>
      <c r="H51"/>
      <c r="I51">
        <v>1761.71</v>
      </c>
      <c r="J51">
        <v>0</v>
      </c>
      <c r="K51">
        <v>0</v>
      </c>
      <c r="L51"/>
      <c r="M51">
        <v>38.8</v>
      </c>
      <c r="N51"/>
      <c r="O51"/>
      <c r="P51">
        <v>1800.51</v>
      </c>
      <c r="Q51"/>
      <c r="R51">
        <v>0</v>
      </c>
      <c r="S51"/>
      <c r="T51">
        <v>14</v>
      </c>
      <c r="U51"/>
      <c r="V51"/>
      <c r="W51"/>
      <c r="X51">
        <v>0</v>
      </c>
      <c r="Y51"/>
      <c r="Z51">
        <v>0</v>
      </c>
      <c r="AA51"/>
      <c r="AB51"/>
      <c r="AC51">
        <v>0</v>
      </c>
      <c r="AD51"/>
      <c r="AE51"/>
      <c r="AF51">
        <v>14</v>
      </c>
      <c r="AG51" t="s">
        <v>157</v>
      </c>
      <c r="AH51"/>
      <c r="AI51"/>
    </row>
    <row r="52" ht="36" customHeight="1" spans="1:35">
      <c r="A52" t="s">
        <v>113</v>
      </c>
      <c r="B52" t="s">
        <v>175</v>
      </c>
      <c r="C52" t="s">
        <v>176</v>
      </c>
      <c r="D52"/>
      <c r="E52"/>
      <c r="F52" t="s">
        <v>156</v>
      </c>
      <c r="G52">
        <v>4580.43</v>
      </c>
      <c r="H52"/>
      <c r="I52">
        <v>0</v>
      </c>
      <c r="J52">
        <v>0</v>
      </c>
      <c r="K52">
        <v>0</v>
      </c>
      <c r="L52"/>
      <c r="M52">
        <v>592.04</v>
      </c>
      <c r="N52"/>
      <c r="O52"/>
      <c r="P52">
        <v>5172.47</v>
      </c>
      <c r="Q52"/>
      <c r="R52">
        <v>28</v>
      </c>
      <c r="S52"/>
      <c r="T52">
        <v>0</v>
      </c>
      <c r="U52"/>
      <c r="V52"/>
      <c r="W52"/>
      <c r="X52">
        <v>0</v>
      </c>
      <c r="Y52"/>
      <c r="Z52">
        <v>0</v>
      </c>
      <c r="AA52"/>
      <c r="AB52"/>
      <c r="AC52">
        <v>0</v>
      </c>
      <c r="AD52"/>
      <c r="AE52"/>
      <c r="AF52">
        <v>28</v>
      </c>
      <c r="AG52" t="s">
        <v>160</v>
      </c>
      <c r="AH52"/>
      <c r="AI52"/>
    </row>
    <row r="53" ht="36" customHeight="1" spans="1:35">
      <c r="A53" t="s">
        <v>117</v>
      </c>
      <c r="B53" t="s">
        <v>177</v>
      </c>
      <c r="C53" t="s">
        <v>178</v>
      </c>
      <c r="D53"/>
      <c r="E53"/>
      <c r="F53" t="s">
        <v>156</v>
      </c>
      <c r="G53">
        <v>0</v>
      </c>
      <c r="H53"/>
      <c r="I53">
        <v>893.93</v>
      </c>
      <c r="J53">
        <v>0</v>
      </c>
      <c r="K53">
        <v>0</v>
      </c>
      <c r="L53"/>
      <c r="M53">
        <v>0</v>
      </c>
      <c r="N53"/>
      <c r="O53"/>
      <c r="P53">
        <v>893.93</v>
      </c>
      <c r="Q53"/>
      <c r="R53">
        <v>0</v>
      </c>
      <c r="S53"/>
      <c r="T53">
        <v>9</v>
      </c>
      <c r="U53"/>
      <c r="V53"/>
      <c r="W53"/>
      <c r="X53">
        <v>0</v>
      </c>
      <c r="Y53"/>
      <c r="Z53">
        <v>0</v>
      </c>
      <c r="AA53"/>
      <c r="AB53"/>
      <c r="AC53">
        <v>0</v>
      </c>
      <c r="AD53"/>
      <c r="AE53"/>
      <c r="AF53">
        <v>9</v>
      </c>
      <c r="AG53" t="s">
        <v>35</v>
      </c>
      <c r="AH53"/>
      <c r="AI53"/>
    </row>
    <row r="54" ht="36" customHeight="1" spans="1:35">
      <c r="A54" t="s">
        <v>120</v>
      </c>
      <c r="B54" t="s">
        <v>179</v>
      </c>
      <c r="C54" t="s">
        <v>180</v>
      </c>
      <c r="D54"/>
      <c r="E54"/>
      <c r="F54" t="s">
        <v>156</v>
      </c>
      <c r="G54">
        <v>3743.77</v>
      </c>
      <c r="H54"/>
      <c r="I54">
        <v>0</v>
      </c>
      <c r="J54">
        <v>0</v>
      </c>
      <c r="K54">
        <v>0</v>
      </c>
      <c r="L54"/>
      <c r="M54">
        <v>489.18</v>
      </c>
      <c r="N54"/>
      <c r="O54"/>
      <c r="P54">
        <v>4232.95</v>
      </c>
      <c r="Q54"/>
      <c r="R54">
        <v>28</v>
      </c>
      <c r="S54"/>
      <c r="T54">
        <v>0</v>
      </c>
      <c r="U54"/>
      <c r="V54"/>
      <c r="W54"/>
      <c r="X54">
        <v>0</v>
      </c>
      <c r="Y54"/>
      <c r="Z54">
        <v>0</v>
      </c>
      <c r="AA54"/>
      <c r="AB54"/>
      <c r="AC54">
        <v>0</v>
      </c>
      <c r="AD54"/>
      <c r="AE54"/>
      <c r="AF54">
        <v>28</v>
      </c>
      <c r="AG54" t="s">
        <v>160</v>
      </c>
      <c r="AH54"/>
      <c r="AI54"/>
    </row>
    <row r="55" ht="36" customHeight="1" spans="1:35">
      <c r="A55" t="s">
        <v>123</v>
      </c>
      <c r="B55" t="s">
        <v>181</v>
      </c>
      <c r="C55" t="s">
        <v>182</v>
      </c>
      <c r="D55"/>
      <c r="E55"/>
      <c r="F55" t="s">
        <v>156</v>
      </c>
      <c r="G55">
        <v>4580.43</v>
      </c>
      <c r="H55"/>
      <c r="I55">
        <v>0</v>
      </c>
      <c r="J55">
        <v>0</v>
      </c>
      <c r="K55">
        <v>0</v>
      </c>
      <c r="L55"/>
      <c r="M55">
        <v>592.04</v>
      </c>
      <c r="N55"/>
      <c r="O55"/>
      <c r="P55">
        <v>5172.47</v>
      </c>
      <c r="Q55"/>
      <c r="R55">
        <v>28</v>
      </c>
      <c r="S55"/>
      <c r="T55">
        <v>0</v>
      </c>
      <c r="U55"/>
      <c r="V55"/>
      <c r="W55"/>
      <c r="X55">
        <v>0</v>
      </c>
      <c r="Y55"/>
      <c r="Z55">
        <v>0</v>
      </c>
      <c r="AA55"/>
      <c r="AB55"/>
      <c r="AC55">
        <v>0</v>
      </c>
      <c r="AD55"/>
      <c r="AE55"/>
      <c r="AF55">
        <v>28</v>
      </c>
      <c r="AG55" t="s">
        <v>160</v>
      </c>
      <c r="AH55"/>
      <c r="AI55"/>
    </row>
    <row r="56" ht="36" customHeight="1" spans="1:35">
      <c r="A56" s="535" t="s">
        <v>183</v>
      </c>
      <c r="B56" s="535"/>
      <c r="C56" s="535"/>
      <c r="D56" s="535"/>
      <c r="E56" s="535"/>
      <c r="F56" s="535"/>
      <c r="G56" s="535"/>
      <c r="H56" s="535"/>
      <c r="I56" s="535"/>
      <c r="J56" s="535"/>
      <c r="K56" s="535"/>
      <c r="L56" s="535"/>
      <c r="M56" s="535"/>
      <c r="N56" s="535"/>
      <c r="O56" s="535"/>
      <c r="P56" s="535"/>
      <c r="Q56" s="535"/>
      <c r="R56" s="535"/>
      <c r="S56" s="535"/>
      <c r="T56" s="535"/>
      <c r="U56" s="535"/>
      <c r="V56" s="535"/>
      <c r="W56" s="535"/>
      <c r="X56" s="535"/>
      <c r="Y56" s="535"/>
      <c r="Z56" s="535"/>
      <c r="AA56" s="535"/>
      <c r="AB56" s="535"/>
      <c r="AC56" s="535"/>
      <c r="AD56" s="535"/>
      <c r="AE56" s="535"/>
      <c r="AF56" s="535"/>
      <c r="AG56" s="535"/>
      <c r="AH56" s="535"/>
      <c r="AI56" s="535"/>
    </row>
    <row r="57" ht="36" customHeight="1" spans="1:35">
      <c r="A57" s="536" t="s">
        <v>37</v>
      </c>
      <c r="B57" s="536" t="s">
        <v>184</v>
      </c>
      <c r="C57" s="536" t="s">
        <v>39</v>
      </c>
      <c r="D57" s="536"/>
      <c r="E57" s="536"/>
      <c r="F57" s="536"/>
      <c r="G57" s="536"/>
      <c r="H57" s="536" t="s">
        <v>185</v>
      </c>
      <c r="I57" s="536"/>
      <c r="J57" s="536"/>
      <c r="K57" s="536"/>
      <c r="L57" s="536"/>
      <c r="M57" s="536"/>
      <c r="N57" s="536"/>
      <c r="O57" s="536"/>
      <c r="P57" s="536"/>
      <c r="Q57" s="536"/>
      <c r="R57" s="536"/>
      <c r="S57" s="536"/>
      <c r="T57" s="536"/>
      <c r="U57" s="536"/>
      <c r="V57" s="536"/>
      <c r="W57" s="536"/>
      <c r="X57" s="536"/>
      <c r="Y57" s="536"/>
      <c r="Z57" s="536"/>
      <c r="AA57" s="536" t="s">
        <v>72</v>
      </c>
      <c r="AB57" s="536"/>
      <c r="AC57" s="536"/>
      <c r="AD57" s="536"/>
      <c r="AE57" s="536"/>
      <c r="AF57" s="536"/>
      <c r="AG57" s="536"/>
      <c r="AH57" s="536"/>
      <c r="AI57" s="536"/>
    </row>
    <row r="58" ht="36" customHeight="1" spans="1:35">
      <c r="A58" s="536"/>
      <c r="B58" s="536"/>
      <c r="C58" s="536"/>
      <c r="D58" s="536"/>
      <c r="E58" s="536"/>
      <c r="F58" s="536"/>
      <c r="G58" s="536"/>
      <c r="H58" s="536" t="s">
        <v>147</v>
      </c>
      <c r="I58" s="536"/>
      <c r="J58" s="536"/>
      <c r="K58" s="536"/>
      <c r="L58" s="536"/>
      <c r="M58" s="536" t="s">
        <v>148</v>
      </c>
      <c r="N58" s="536"/>
      <c r="O58" s="536"/>
      <c r="P58" s="536"/>
      <c r="Q58" s="536" t="s">
        <v>149</v>
      </c>
      <c r="R58" s="536"/>
      <c r="S58" s="536"/>
      <c r="T58" s="536"/>
      <c r="U58" s="536" t="s">
        <v>150</v>
      </c>
      <c r="V58" s="536"/>
      <c r="W58" s="536" t="s">
        <v>151</v>
      </c>
      <c r="X58" s="536"/>
      <c r="Y58" s="536" t="s">
        <v>152</v>
      </c>
      <c r="Z58" s="536"/>
      <c r="AA58" s="536"/>
      <c r="AB58" s="536"/>
      <c r="AC58" s="536"/>
      <c r="AD58" s="536"/>
      <c r="AE58" s="536"/>
      <c r="AF58" s="536"/>
      <c r="AG58" s="536"/>
      <c r="AH58" s="536"/>
      <c r="AI58" s="536"/>
    </row>
    <row r="59" ht="36" customHeight="1" spans="1:35">
      <c r="A59">
        <v>1</v>
      </c>
      <c r="B59"/>
      <c r="C59" s="536"/>
      <c r="D59" s="536"/>
      <c r="E59" s="536"/>
      <c r="F59" s="536"/>
      <c r="G59" s="536"/>
      <c r="H59" s="536"/>
      <c r="I59" s="536"/>
      <c r="J59" s="536"/>
      <c r="K59" s="536"/>
      <c r="L59" s="536"/>
      <c r="M59" s="536"/>
      <c r="N59" s="536"/>
      <c r="O59" s="536"/>
      <c r="P59" s="536"/>
      <c r="Q59" s="536"/>
      <c r="R59" s="536"/>
      <c r="S59" s="536"/>
      <c r="T59" s="536"/>
      <c r="U59" s="536"/>
      <c r="V59" s="536"/>
      <c r="W59" s="536"/>
      <c r="X59" s="536"/>
      <c r="Y59" s="536"/>
      <c r="Z59" s="536"/>
      <c r="AA59" s="540"/>
      <c r="AB59" s="540"/>
      <c r="AC59" s="540"/>
      <c r="AD59" s="540"/>
      <c r="AE59" s="540"/>
      <c r="AF59" s="540"/>
      <c r="AG59" s="540"/>
      <c r="AH59" s="540"/>
      <c r="AI59" s="540"/>
    </row>
    <row r="60" ht="36" customHeight="1" spans="1:35">
      <c r="A60" s="535" t="s">
        <v>186</v>
      </c>
      <c r="B60" s="535"/>
      <c r="C60" s="535"/>
      <c r="D60" s="535"/>
      <c r="E60" s="535"/>
      <c r="F60" s="535"/>
      <c r="G60" s="535"/>
      <c r="H60" s="535"/>
      <c r="I60" s="535"/>
      <c r="J60" s="535"/>
      <c r="K60" s="535"/>
      <c r="L60" s="535"/>
      <c r="M60" s="535"/>
      <c r="N60" s="535"/>
      <c r="O60" s="535"/>
      <c r="P60" s="535"/>
      <c r="Q60" s="535"/>
      <c r="R60" s="535"/>
      <c r="S60" s="535"/>
      <c r="T60" s="535"/>
      <c r="U60" s="535"/>
      <c r="V60" s="535"/>
      <c r="W60" s="535"/>
      <c r="X60" s="535"/>
      <c r="Y60" s="535"/>
      <c r="Z60" s="535"/>
      <c r="AA60" s="535"/>
      <c r="AB60" s="535"/>
      <c r="AC60" s="535"/>
      <c r="AD60" s="535"/>
      <c r="AE60" s="535"/>
      <c r="AF60" s="535"/>
      <c r="AG60" s="535"/>
      <c r="AH60" s="535"/>
      <c r="AI60" s="535"/>
    </row>
    <row r="61" ht="30" customHeight="1" spans="1:35">
      <c r="A61" t="s">
        <v>37</v>
      </c>
      <c r="B61" s="536" t="s">
        <v>187</v>
      </c>
      <c r="C61" s="536"/>
      <c r="D61" s="536"/>
      <c r="E61" s="536"/>
      <c r="F61" s="536"/>
      <c r="G61" s="536"/>
      <c r="H61" s="536" t="s">
        <v>188</v>
      </c>
      <c r="I61" s="536"/>
      <c r="J61" s="536"/>
      <c r="K61" s="536"/>
      <c r="L61" s="536"/>
      <c r="M61" s="536"/>
      <c r="N61" s="536" t="s">
        <v>189</v>
      </c>
      <c r="O61" s="536"/>
      <c r="P61" s="536"/>
      <c r="Q61" s="536"/>
      <c r="R61" s="536"/>
      <c r="S61" s="536"/>
      <c r="T61" s="536"/>
      <c r="U61" s="536" t="s">
        <v>190</v>
      </c>
      <c r="V61" s="536"/>
      <c r="W61" s="536"/>
      <c r="X61" s="536"/>
      <c r="Y61" s="536"/>
      <c r="Z61" s="536"/>
      <c r="AA61" s="536" t="s">
        <v>191</v>
      </c>
      <c r="AB61" s="536"/>
      <c r="AC61" s="536"/>
      <c r="AD61" s="536"/>
      <c r="AE61" s="536"/>
      <c r="AF61" s="536"/>
      <c r="AG61" s="536"/>
      <c r="AH61" s="536"/>
      <c r="AI61" s="536"/>
    </row>
    <row r="62" ht="36.4" customHeight="1" spans="1:35">
      <c r="A62" t="s">
        <v>42</v>
      </c>
      <c r="B62" s="536" t="s">
        <v>136</v>
      </c>
      <c r="C62" s="536"/>
      <c r="D62" s="536"/>
      <c r="E62" s="536"/>
      <c r="F62" s="536"/>
      <c r="G62" s="536"/>
      <c r="H62" s="540" t="s">
        <v>33</v>
      </c>
      <c r="I62" s="540"/>
      <c r="J62" s="540"/>
      <c r="K62" s="540"/>
      <c r="L62" s="540"/>
      <c r="M62" s="540"/>
      <c r="N62" s="540" t="s">
        <v>192</v>
      </c>
      <c r="O62" s="540"/>
      <c r="P62" s="540"/>
      <c r="Q62" s="540"/>
      <c r="R62" s="540"/>
      <c r="S62" s="540"/>
      <c r="T62" s="540"/>
      <c r="U62" s="536">
        <v>80480400</v>
      </c>
      <c r="V62" s="536"/>
      <c r="W62" s="536"/>
      <c r="X62" s="536"/>
      <c r="Y62" s="536"/>
      <c r="Z62" s="536"/>
      <c r="AA62" s="536">
        <v>53178.02</v>
      </c>
      <c r="AB62" s="536"/>
      <c r="AC62" s="536"/>
      <c r="AD62" s="536"/>
      <c r="AE62" s="536"/>
      <c r="AF62" s="536"/>
      <c r="AG62" s="536"/>
      <c r="AH62" s="536"/>
      <c r="AI62" s="536"/>
    </row>
  </sheetData>
  <protectedRanges>
    <protectedRange sqref="A6:AI7 A8:AF8 A9:AI17" name="A6:AI17"/>
    <protectedRange sqref="AG8:AI8" name="A6:AI17_1"/>
  </protectedRanges>
  <mergeCells count="346">
    <mergeCell ref="A1:AI1"/>
    <mergeCell ref="A2:AI2"/>
    <mergeCell ref="A3:B3"/>
    <mergeCell ref="C3:F3"/>
    <mergeCell ref="I3:Y3"/>
    <mergeCell ref="Z3:AB3"/>
    <mergeCell ref="AC3:AI3"/>
    <mergeCell ref="A4:Y4"/>
    <mergeCell ref="Z4:AI4"/>
    <mergeCell ref="A5:AI5"/>
    <mergeCell ref="A6:C6"/>
    <mergeCell ref="D6:G6"/>
    <mergeCell ref="H6:R6"/>
    <mergeCell ref="S6:W6"/>
    <mergeCell ref="X6:AF6"/>
    <mergeCell ref="AG6:AI6"/>
    <mergeCell ref="A7:C7"/>
    <mergeCell ref="D7:W7"/>
    <mergeCell ref="X7:AF7"/>
    <mergeCell ref="AG7:AI7"/>
    <mergeCell ref="A8:C8"/>
    <mergeCell ref="D8:G8"/>
    <mergeCell ref="H8:R8"/>
    <mergeCell ref="S8:W8"/>
    <mergeCell ref="X8:AF8"/>
    <mergeCell ref="AG8:AI8"/>
    <mergeCell ref="A9:C9"/>
    <mergeCell ref="D9:G9"/>
    <mergeCell ref="H9:K9"/>
    <mergeCell ref="L9:R9"/>
    <mergeCell ref="S9:W9"/>
    <mergeCell ref="X9:AA9"/>
    <mergeCell ref="AB9:AF9"/>
    <mergeCell ref="AG9:AI9"/>
    <mergeCell ref="A10:C10"/>
    <mergeCell ref="D10:G10"/>
    <mergeCell ref="H10:K10"/>
    <mergeCell ref="L10:R10"/>
    <mergeCell ref="S10:W10"/>
    <mergeCell ref="X10:AA10"/>
    <mergeCell ref="AB10:AF10"/>
    <mergeCell ref="AG10:AI10"/>
    <mergeCell ref="A11:AI11"/>
    <mergeCell ref="C12:P12"/>
    <mergeCell ref="Q12:Z12"/>
    <mergeCell ref="AA12:AI12"/>
    <mergeCell ref="C13:P13"/>
    <mergeCell ref="Q13:Z13"/>
    <mergeCell ref="AA13:AI13"/>
    <mergeCell ref="C14:P14"/>
    <mergeCell ref="Q14:Z14"/>
    <mergeCell ref="AA14:AI14"/>
    <mergeCell ref="C15:P15"/>
    <mergeCell ref="Q15:Z15"/>
    <mergeCell ref="AA15:AI15"/>
    <mergeCell ref="A16:AI16"/>
    <mergeCell ref="C17:G17"/>
    <mergeCell ref="H17:N17"/>
    <mergeCell ref="O17:W17"/>
    <mergeCell ref="X17:Z17"/>
    <mergeCell ref="AA17:AD17"/>
    <mergeCell ref="AE17:AF17"/>
    <mergeCell ref="AG17:AI17"/>
    <mergeCell ref="C18:G18"/>
    <mergeCell ref="H18:N18"/>
    <mergeCell ref="O18:W18"/>
    <mergeCell ref="X18:Z18"/>
    <mergeCell ref="AA18:AD18"/>
    <mergeCell ref="AE18:AF18"/>
    <mergeCell ref="AG18:AI18"/>
    <mergeCell ref="A19:AI19"/>
    <mergeCell ref="C20:G20"/>
    <mergeCell ref="H20:R20"/>
    <mergeCell ref="S20:U20"/>
    <mergeCell ref="V20:Z20"/>
    <mergeCell ref="AA20:AF20"/>
    <mergeCell ref="AG20:AI20"/>
    <mergeCell ref="C21:G21"/>
    <mergeCell ref="H21:R21"/>
    <mergeCell ref="S21:U21"/>
    <mergeCell ref="V21:Z21"/>
    <mergeCell ref="AA21:AF21"/>
    <mergeCell ref="AG21:AI21"/>
    <mergeCell ref="A22:AI22"/>
    <mergeCell ref="C23:G23"/>
    <mergeCell ref="H23:R23"/>
    <mergeCell ref="S23:Z23"/>
    <mergeCell ref="AA23:AI23"/>
    <mergeCell ref="C24:G24"/>
    <mergeCell ref="H24:R24"/>
    <mergeCell ref="S24:Z24"/>
    <mergeCell ref="AA24:AI24"/>
    <mergeCell ref="C25:G25"/>
    <mergeCell ref="H25:R25"/>
    <mergeCell ref="S25:Z25"/>
    <mergeCell ref="AA25:AI25"/>
    <mergeCell ref="C26:G26"/>
    <mergeCell ref="H26:R26"/>
    <mergeCell ref="S26:Z26"/>
    <mergeCell ref="AA26:AI26"/>
    <mergeCell ref="C27:G27"/>
    <mergeCell ref="H27:R27"/>
    <mergeCell ref="S27:Z27"/>
    <mergeCell ref="AA27:AI27"/>
    <mergeCell ref="C28:G28"/>
    <mergeCell ref="H28:R28"/>
    <mergeCell ref="S28:Z28"/>
    <mergeCell ref="AA28:AI28"/>
    <mergeCell ref="C29:G29"/>
    <mergeCell ref="H29:R29"/>
    <mergeCell ref="S29:Z29"/>
    <mergeCell ref="AA29:AI29"/>
    <mergeCell ref="C30:G30"/>
    <mergeCell ref="H30:R30"/>
    <mergeCell ref="S30:Z30"/>
    <mergeCell ref="AA30:AI30"/>
    <mergeCell ref="C31:G31"/>
    <mergeCell ref="H31:R31"/>
    <mergeCell ref="S31:Z31"/>
    <mergeCell ref="AA31:AI31"/>
    <mergeCell ref="C32:G32"/>
    <mergeCell ref="H32:R32"/>
    <mergeCell ref="S32:Z32"/>
    <mergeCell ref="AA32:AI32"/>
    <mergeCell ref="C33:G33"/>
    <mergeCell ref="H33:R33"/>
    <mergeCell ref="S33:Z33"/>
    <mergeCell ref="AA33:AI33"/>
    <mergeCell ref="C34:G34"/>
    <mergeCell ref="H34:R34"/>
    <mergeCell ref="S34:Z34"/>
    <mergeCell ref="AA34:AI34"/>
    <mergeCell ref="C35:G35"/>
    <mergeCell ref="H35:R35"/>
    <mergeCell ref="S35:Z35"/>
    <mergeCell ref="AA35:AI35"/>
    <mergeCell ref="C36:G36"/>
    <mergeCell ref="H36:R36"/>
    <mergeCell ref="S36:Z36"/>
    <mergeCell ref="AA36:AI36"/>
    <mergeCell ref="A37:AI37"/>
    <mergeCell ref="C38:F38"/>
    <mergeCell ref="H38:N38"/>
    <mergeCell ref="O38:R38"/>
    <mergeCell ref="S38:W38"/>
    <mergeCell ref="X38:AB38"/>
    <mergeCell ref="AC38:AF38"/>
    <mergeCell ref="AG38:AI38"/>
    <mergeCell ref="C39:F39"/>
    <mergeCell ref="H39:N39"/>
    <mergeCell ref="O39:R39"/>
    <mergeCell ref="S39:W39"/>
    <mergeCell ref="X39:AB39"/>
    <mergeCell ref="AC39:AF39"/>
    <mergeCell ref="AG39:AI39"/>
    <mergeCell ref="A40:AI40"/>
    <mergeCell ref="G41:Q41"/>
    <mergeCell ref="R41:AF41"/>
    <mergeCell ref="G42:H42"/>
    <mergeCell ref="K42:L42"/>
    <mergeCell ref="M42:O42"/>
    <mergeCell ref="P42:Q42"/>
    <mergeCell ref="R42:S42"/>
    <mergeCell ref="T42:W42"/>
    <mergeCell ref="X42:Y42"/>
    <mergeCell ref="Z42:AB42"/>
    <mergeCell ref="AC42:AE42"/>
    <mergeCell ref="C43:E43"/>
    <mergeCell ref="G43:H43"/>
    <mergeCell ref="K43:L43"/>
    <mergeCell ref="M43:O43"/>
    <mergeCell ref="P43:Q43"/>
    <mergeCell ref="R43:S43"/>
    <mergeCell ref="T43:W43"/>
    <mergeCell ref="X43:Y43"/>
    <mergeCell ref="Z43:AB43"/>
    <mergeCell ref="AC43:AE43"/>
    <mergeCell ref="AG43:AI43"/>
    <mergeCell ref="C44:E44"/>
    <mergeCell ref="G44:H44"/>
    <mergeCell ref="K44:L44"/>
    <mergeCell ref="M44:O44"/>
    <mergeCell ref="P44:Q44"/>
    <mergeCell ref="R44:S44"/>
    <mergeCell ref="T44:W44"/>
    <mergeCell ref="X44:Y44"/>
    <mergeCell ref="Z44:AB44"/>
    <mergeCell ref="AC44:AE44"/>
    <mergeCell ref="AG44:AI44"/>
    <mergeCell ref="C45:E45"/>
    <mergeCell ref="G45:H45"/>
    <mergeCell ref="K45:L45"/>
    <mergeCell ref="M45:O45"/>
    <mergeCell ref="P45:Q45"/>
    <mergeCell ref="R45:S45"/>
    <mergeCell ref="T45:W45"/>
    <mergeCell ref="X45:Y45"/>
    <mergeCell ref="Z45:AB45"/>
    <mergeCell ref="AC45:AE45"/>
    <mergeCell ref="AG45:AI45"/>
    <mergeCell ref="C46:E46"/>
    <mergeCell ref="G46:H46"/>
    <mergeCell ref="K46:L46"/>
    <mergeCell ref="M46:O46"/>
    <mergeCell ref="P46:Q46"/>
    <mergeCell ref="R46:S46"/>
    <mergeCell ref="T46:W46"/>
    <mergeCell ref="X46:Y46"/>
    <mergeCell ref="Z46:AB46"/>
    <mergeCell ref="AC46:AE46"/>
    <mergeCell ref="AG46:AI46"/>
    <mergeCell ref="C47:E47"/>
    <mergeCell ref="G47:H47"/>
    <mergeCell ref="K47:L47"/>
    <mergeCell ref="M47:O47"/>
    <mergeCell ref="P47:Q47"/>
    <mergeCell ref="R47:S47"/>
    <mergeCell ref="T47:W47"/>
    <mergeCell ref="X47:Y47"/>
    <mergeCell ref="Z47:AB47"/>
    <mergeCell ref="AC47:AE47"/>
    <mergeCell ref="AG47:AI47"/>
    <mergeCell ref="C48:E48"/>
    <mergeCell ref="G48:H48"/>
    <mergeCell ref="K48:L48"/>
    <mergeCell ref="M48:O48"/>
    <mergeCell ref="P48:Q48"/>
    <mergeCell ref="R48:S48"/>
    <mergeCell ref="T48:W48"/>
    <mergeCell ref="X48:Y48"/>
    <mergeCell ref="Z48:AB48"/>
    <mergeCell ref="AC48:AE48"/>
    <mergeCell ref="AG48:AI48"/>
    <mergeCell ref="C49:E49"/>
    <mergeCell ref="G49:H49"/>
    <mergeCell ref="K49:L49"/>
    <mergeCell ref="M49:O49"/>
    <mergeCell ref="P49:Q49"/>
    <mergeCell ref="R49:S49"/>
    <mergeCell ref="T49:W49"/>
    <mergeCell ref="X49:Y49"/>
    <mergeCell ref="Z49:AB49"/>
    <mergeCell ref="AC49:AE49"/>
    <mergeCell ref="AG49:AI49"/>
    <mergeCell ref="C50:E50"/>
    <mergeCell ref="G50:H50"/>
    <mergeCell ref="K50:L50"/>
    <mergeCell ref="M50:O50"/>
    <mergeCell ref="P50:Q50"/>
    <mergeCell ref="R50:S50"/>
    <mergeCell ref="T50:W50"/>
    <mergeCell ref="X50:Y50"/>
    <mergeCell ref="Z50:AB50"/>
    <mergeCell ref="AC50:AE50"/>
    <mergeCell ref="AG50:AI50"/>
    <mergeCell ref="C51:E51"/>
    <mergeCell ref="G51:H51"/>
    <mergeCell ref="K51:L51"/>
    <mergeCell ref="M51:O51"/>
    <mergeCell ref="P51:Q51"/>
    <mergeCell ref="R51:S51"/>
    <mergeCell ref="T51:W51"/>
    <mergeCell ref="X51:Y51"/>
    <mergeCell ref="Z51:AB51"/>
    <mergeCell ref="AC51:AE51"/>
    <mergeCell ref="AG51:AI51"/>
    <mergeCell ref="C52:E52"/>
    <mergeCell ref="G52:H52"/>
    <mergeCell ref="K52:L52"/>
    <mergeCell ref="M52:O52"/>
    <mergeCell ref="P52:Q52"/>
    <mergeCell ref="R52:S52"/>
    <mergeCell ref="T52:W52"/>
    <mergeCell ref="X52:Y52"/>
    <mergeCell ref="Z52:AB52"/>
    <mergeCell ref="AC52:AE52"/>
    <mergeCell ref="AG52:AI52"/>
    <mergeCell ref="C53:E53"/>
    <mergeCell ref="G53:H53"/>
    <mergeCell ref="K53:L53"/>
    <mergeCell ref="M53:O53"/>
    <mergeCell ref="P53:Q53"/>
    <mergeCell ref="R53:S53"/>
    <mergeCell ref="T53:W53"/>
    <mergeCell ref="X53:Y53"/>
    <mergeCell ref="Z53:AB53"/>
    <mergeCell ref="AC53:AE53"/>
    <mergeCell ref="AG53:AI53"/>
    <mergeCell ref="C54:E54"/>
    <mergeCell ref="G54:H54"/>
    <mergeCell ref="K54:L54"/>
    <mergeCell ref="M54:O54"/>
    <mergeCell ref="P54:Q54"/>
    <mergeCell ref="R54:S54"/>
    <mergeCell ref="T54:W54"/>
    <mergeCell ref="X54:Y54"/>
    <mergeCell ref="Z54:AB54"/>
    <mergeCell ref="AC54:AE54"/>
    <mergeCell ref="AG54:AI54"/>
    <mergeCell ref="C55:E55"/>
    <mergeCell ref="G55:H55"/>
    <mergeCell ref="K55:L55"/>
    <mergeCell ref="M55:O55"/>
    <mergeCell ref="P55:Q55"/>
    <mergeCell ref="R55:S55"/>
    <mergeCell ref="T55:W55"/>
    <mergeCell ref="X55:Y55"/>
    <mergeCell ref="Z55:AB55"/>
    <mergeCell ref="AC55:AE55"/>
    <mergeCell ref="AG55:AI55"/>
    <mergeCell ref="A56:AI56"/>
    <mergeCell ref="H57:Z57"/>
    <mergeCell ref="H58:L58"/>
    <mergeCell ref="M58:P58"/>
    <mergeCell ref="Q58:T58"/>
    <mergeCell ref="U58:V58"/>
    <mergeCell ref="W58:X58"/>
    <mergeCell ref="Y58:Z58"/>
    <mergeCell ref="C59:G59"/>
    <mergeCell ref="H59:L59"/>
    <mergeCell ref="M59:P59"/>
    <mergeCell ref="Q59:T59"/>
    <mergeCell ref="U59:V59"/>
    <mergeCell ref="W59:X59"/>
    <mergeCell ref="Y59:Z59"/>
    <mergeCell ref="AA59:AI59"/>
    <mergeCell ref="A60:AI60"/>
    <mergeCell ref="B61:G61"/>
    <mergeCell ref="H61:M61"/>
    <mergeCell ref="N61:T61"/>
    <mergeCell ref="U61:Z61"/>
    <mergeCell ref="AA61:AI61"/>
    <mergeCell ref="B62:G62"/>
    <mergeCell ref="H62:M62"/>
    <mergeCell ref="N62:T62"/>
    <mergeCell ref="U62:Z62"/>
    <mergeCell ref="AA62:AI62"/>
    <mergeCell ref="A41:A42"/>
    <mergeCell ref="A57:A58"/>
    <mergeCell ref="B41:B42"/>
    <mergeCell ref="B57:B58"/>
    <mergeCell ref="F41:F42"/>
    <mergeCell ref="C41:E42"/>
    <mergeCell ref="AG41:AI42"/>
    <mergeCell ref="AA57:AI58"/>
    <mergeCell ref="C57:G58"/>
  </mergeCells>
  <dataValidations count="1">
    <dataValidation type="list" allowBlank="1" showInputMessage="1" showErrorMessage="1" sqref="AG6:AI6">
      <formula1>"是,否"</formula1>
    </dataValidation>
  </dataValidations>
  <printOptions horizontalCentered="1"/>
  <pageMargins left="0.707638888888889" right="0.707638888888889" top="0.747916666666667" bottom="0.747916666666667" header="0.432638888888889" footer="0.313888888888889"/>
  <pageSetup paperSize="9" scale="45" fitToHeight="0" orientation="landscape"/>
  <headerFooter>
    <oddFooter>&amp;C第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pageSetUpPr fitToPage="1"/>
  </sheetPr>
  <dimension ref="A1:Q64"/>
  <sheetViews>
    <sheetView tabSelected="1" zoomScale="70" zoomScaleNormal="70" topLeftCell="A35" workbookViewId="0">
      <selection activeCell="K50" sqref="K50"/>
    </sheetView>
  </sheetViews>
  <sheetFormatPr defaultColWidth="8.88405797101449" defaultRowHeight="17.5"/>
  <cols>
    <col min="1" max="1" width="37.5" style="494" customWidth="1"/>
    <col min="2" max="2" width="20.8840579710145" style="494" customWidth="1"/>
    <col min="3" max="3" width="22.5" style="400" customWidth="1"/>
    <col min="4" max="4" width="15.5" style="400" customWidth="1"/>
    <col min="5" max="5" width="11.5434782608696" style="400" customWidth="1"/>
    <col min="6" max="6" width="19.1159420289855" style="400" customWidth="1"/>
    <col min="7" max="7" width="7.38405797101449" style="400" customWidth="1"/>
    <col min="8" max="8" width="15.5" style="400" customWidth="1"/>
    <col min="9" max="9" width="12.1449275362319" style="400" customWidth="1"/>
    <col min="10" max="10" width="15.5" style="400" customWidth="1"/>
    <col min="11" max="11" width="13.4057971014493" style="400" customWidth="1"/>
    <col min="12" max="12" width="2.02173913043478" style="400" hidden="1" customWidth="1"/>
    <col min="14" max="14" width="16.9420289855072" customWidth="1"/>
    <col min="15" max="15" width="17.3478260869565" customWidth="1"/>
    <col min="16" max="17" width="9.90579710144928"/>
  </cols>
  <sheetData>
    <row r="1" s="400" customFormat="1" ht="26.9" spans="1:12">
      <c r="A1" s="495" t="s">
        <v>193</v>
      </c>
      <c r="B1" s="495"/>
      <c r="C1" s="495"/>
      <c r="D1" s="495"/>
      <c r="E1" s="495"/>
      <c r="F1" s="495"/>
      <c r="G1" s="495"/>
      <c r="H1" s="495"/>
      <c r="I1" s="495"/>
      <c r="J1" s="495"/>
      <c r="K1" s="495"/>
      <c r="L1" s="495"/>
    </row>
    <row r="2" ht="34.5" customHeight="1" spans="1:12">
      <c r="A2" s="496" t="s">
        <v>194</v>
      </c>
      <c r="B2" s="496" t="s">
        <v>195</v>
      </c>
      <c r="C2" s="496"/>
      <c r="D2" s="496"/>
      <c r="E2" s="496"/>
      <c r="F2" s="496"/>
      <c r="G2" s="496"/>
      <c r="H2" s="496"/>
      <c r="I2" s="496"/>
      <c r="J2" s="496"/>
      <c r="K2" s="496"/>
      <c r="L2" s="496"/>
    </row>
    <row r="3" ht="34.5" customHeight="1" spans="1:12">
      <c r="A3" s="496" t="s">
        <v>196</v>
      </c>
      <c r="B3" s="496" t="str">
        <f>IF(清算项目基本情况表!C3="","",清算项目基本情况表!C3)</f>
        <v>91652801576209018D</v>
      </c>
      <c r="C3" s="496"/>
      <c r="D3" s="496"/>
      <c r="E3" s="496"/>
      <c r="F3" s="496"/>
      <c r="G3" s="496"/>
      <c r="H3" s="496"/>
      <c r="I3" s="496"/>
      <c r="J3" s="496"/>
      <c r="K3" s="496"/>
      <c r="L3" s="496"/>
    </row>
    <row r="4" ht="34.5" customHeight="1" spans="1:12">
      <c r="A4" s="497" t="s">
        <v>197</v>
      </c>
      <c r="B4" s="498" t="str">
        <f>IF(清算项目基本情况表!I3="","",清算项目基本情况表!I3)</f>
        <v>新疆通力房地产开发有限公司库尔勒分公司</v>
      </c>
      <c r="C4" s="498"/>
      <c r="D4" s="498"/>
      <c r="E4" s="498"/>
      <c r="F4" s="498"/>
      <c r="G4" s="498" t="s">
        <v>8</v>
      </c>
      <c r="H4" s="498"/>
      <c r="I4" s="498"/>
      <c r="J4" s="498"/>
      <c r="K4" s="498" t="s">
        <v>9</v>
      </c>
      <c r="L4" s="498"/>
    </row>
    <row r="5" s="492" customFormat="1" ht="34.5" customHeight="1" spans="1:12">
      <c r="A5" s="499" t="s">
        <v>39</v>
      </c>
      <c r="B5" s="500" t="str">
        <f>IF(清算项目基本情况表!D6="","",清算项目基本情况表!D6)</f>
        <v>沁春锦苑二期</v>
      </c>
      <c r="C5" s="500"/>
      <c r="D5" s="500"/>
      <c r="E5" s="500"/>
      <c r="F5" s="501" t="s">
        <v>198</v>
      </c>
      <c r="G5" s="501"/>
      <c r="H5" s="502" t="str">
        <f>IF(清算项目基本情况表!S6="","",清算项目基本情况表!S6)</f>
        <v>Z65280120200027</v>
      </c>
      <c r="I5" s="519"/>
      <c r="J5" s="519"/>
      <c r="K5" s="519"/>
      <c r="L5" s="520"/>
    </row>
    <row r="6" s="492" customFormat="1" ht="34.5" customHeight="1" spans="1:12">
      <c r="A6" s="499" t="s">
        <v>199</v>
      </c>
      <c r="B6" s="500" t="str">
        <f>清算项目基本情况表!D7</f>
        <v>库尔勒市新城辖区杜鹃路79号</v>
      </c>
      <c r="C6" s="500"/>
      <c r="D6" s="500"/>
      <c r="E6" s="500"/>
      <c r="F6" s="503" t="s">
        <v>200</v>
      </c>
      <c r="G6" s="503"/>
      <c r="H6" s="500" t="s">
        <v>201</v>
      </c>
      <c r="I6" s="500"/>
      <c r="J6" s="500"/>
      <c r="K6" s="500"/>
      <c r="L6" s="500"/>
    </row>
    <row r="7" s="492" customFormat="1" ht="34.5" customHeight="1" spans="1:12">
      <c r="A7" s="499" t="s">
        <v>202</v>
      </c>
      <c r="B7" s="504">
        <f>'附表1-面积统计表'!F29</f>
        <v>53009.86</v>
      </c>
      <c r="C7" s="500"/>
      <c r="D7" s="500"/>
      <c r="E7" s="500"/>
      <c r="F7" s="504" t="s">
        <v>203</v>
      </c>
      <c r="G7" s="505">
        <f>'附表1-面积统计表'!I29+'附表1-面积统计表'!J29</f>
        <v>0</v>
      </c>
      <c r="H7" s="503"/>
      <c r="I7" s="503"/>
      <c r="J7" s="503"/>
      <c r="K7" s="503"/>
      <c r="L7" s="521"/>
    </row>
    <row r="8" s="492" customFormat="1" ht="52.6" spans="1:12">
      <c r="A8" s="499" t="s">
        <v>204</v>
      </c>
      <c r="B8" s="506">
        <f>'附表1-面积统计表'!G29</f>
        <v>43791.13</v>
      </c>
      <c r="C8" s="504" t="s">
        <v>205</v>
      </c>
      <c r="D8" s="504">
        <f>'附表1-面积统计表'!G5</f>
        <v>19360.76</v>
      </c>
      <c r="E8" s="504"/>
      <c r="F8" s="507" t="s">
        <v>206</v>
      </c>
      <c r="G8" s="504">
        <f>'附表1-面积统计表'!G6</f>
        <v>23877.12</v>
      </c>
      <c r="H8" s="504"/>
      <c r="I8" s="522" t="s">
        <v>207</v>
      </c>
      <c r="J8" s="523">
        <f>'附表1-面积统计表'!G7</f>
        <v>553.25</v>
      </c>
      <c r="K8" s="524"/>
      <c r="L8" s="525"/>
    </row>
    <row r="9" s="492" customFormat="1" ht="70.1" spans="1:12">
      <c r="A9" s="499" t="s">
        <v>208</v>
      </c>
      <c r="B9" s="506">
        <f>'附表1-面积统计表'!H29</f>
        <v>9218.72999999999</v>
      </c>
      <c r="C9" s="504" t="s">
        <v>209</v>
      </c>
      <c r="D9" s="504">
        <f>'附表1-面积统计表'!H5</f>
        <v>0</v>
      </c>
      <c r="E9" s="504"/>
      <c r="F9" s="507" t="s">
        <v>210</v>
      </c>
      <c r="G9" s="504">
        <f>'附表1-面积统计表'!H6</f>
        <v>0</v>
      </c>
      <c r="H9" s="504"/>
      <c r="I9" s="522" t="s">
        <v>211</v>
      </c>
      <c r="J9" s="523">
        <f>'附表1-面积统计表'!H7</f>
        <v>9218.72999999999</v>
      </c>
      <c r="K9" s="524"/>
      <c r="L9" s="525"/>
    </row>
    <row r="10" s="492" customFormat="1" ht="34.5" customHeight="1" spans="1:12">
      <c r="A10" s="508" t="s">
        <v>212</v>
      </c>
      <c r="B10" s="509"/>
      <c r="C10" s="510" t="s">
        <v>213</v>
      </c>
      <c r="D10" s="510" t="s">
        <v>214</v>
      </c>
      <c r="E10" s="510"/>
      <c r="F10" s="510" t="s">
        <v>215</v>
      </c>
      <c r="G10" s="510"/>
      <c r="H10" s="510" t="s">
        <v>216</v>
      </c>
      <c r="I10" s="510"/>
      <c r="J10" s="510" t="s">
        <v>217</v>
      </c>
      <c r="K10" s="510"/>
      <c r="L10" s="510"/>
    </row>
    <row r="11" ht="34.5" customHeight="1" spans="1:12">
      <c r="A11" s="511" t="s">
        <v>218</v>
      </c>
      <c r="B11" s="511"/>
      <c r="C11" s="512" t="s">
        <v>219</v>
      </c>
      <c r="D11" s="513">
        <f t="shared" ref="D11:H11" si="0">SUM(D12:D14)</f>
        <v>88218234.19</v>
      </c>
      <c r="E11" s="513"/>
      <c r="F11" s="513">
        <f t="shared" si="0"/>
        <v>104503544.05</v>
      </c>
      <c r="G11" s="513"/>
      <c r="H11" s="513">
        <f t="shared" si="0"/>
        <v>7523377.0593578</v>
      </c>
      <c r="I11" s="513"/>
      <c r="J11" s="513">
        <f t="shared" ref="J11:J35" si="1">SUM(D11:I11)</f>
        <v>200245155.299358</v>
      </c>
      <c r="K11" s="513"/>
      <c r="L11" s="513"/>
    </row>
    <row r="12" ht="34.5" customHeight="1" spans="1:17">
      <c r="A12" s="511" t="s">
        <v>220</v>
      </c>
      <c r="B12" s="511"/>
      <c r="C12" s="512">
        <v>2</v>
      </c>
      <c r="D12" s="513">
        <f>'附表2-收入统计表'!C5</f>
        <v>88218234.19</v>
      </c>
      <c r="E12" s="513"/>
      <c r="F12" s="513">
        <f>IF($H$6="三分法",'附表2-收入统计表'!C6,"")</f>
        <v>104503544.05</v>
      </c>
      <c r="G12" s="513"/>
      <c r="H12" s="513">
        <f>IF($H$6="三分法",'附表2-收入统计表'!C7,SUM('附表2-收入统计表'!C6:C7))</f>
        <v>7523377.0593578</v>
      </c>
      <c r="I12" s="513"/>
      <c r="J12" s="513">
        <f t="shared" si="1"/>
        <v>200245155.299358</v>
      </c>
      <c r="K12" s="513"/>
      <c r="L12" s="513"/>
      <c r="O12">
        <f>D12/$D$8</f>
        <v>4556.54809986798</v>
      </c>
      <c r="P12">
        <f>F12/G8</f>
        <v>4376.72315798555</v>
      </c>
      <c r="Q12">
        <f>H12/J8</f>
        <v>13598.5125338596</v>
      </c>
    </row>
    <row r="13" ht="34.5" customHeight="1" spans="1:12">
      <c r="A13" s="511" t="s">
        <v>221</v>
      </c>
      <c r="B13" s="511"/>
      <c r="C13" s="512">
        <v>3</v>
      </c>
      <c r="D13" s="513">
        <f>'附表2-收入统计表'!D5</f>
        <v>0</v>
      </c>
      <c r="E13" s="513"/>
      <c r="F13" s="513">
        <f>IF($H$6="三分法",'附表2-收入统计表'!D6,"")</f>
        <v>0</v>
      </c>
      <c r="G13" s="513"/>
      <c r="H13" s="513">
        <f>IF($H$6="三分法",'附表2-收入统计表'!D7,SUM('附表2-收入统计表'!D6:D7))</f>
        <v>0</v>
      </c>
      <c r="I13" s="513"/>
      <c r="J13" s="513">
        <f t="shared" si="1"/>
        <v>0</v>
      </c>
      <c r="K13" s="513"/>
      <c r="L13" s="513"/>
    </row>
    <row r="14" ht="34.5" customHeight="1" spans="1:12">
      <c r="A14" s="511" t="s">
        <v>222</v>
      </c>
      <c r="B14" s="511"/>
      <c r="C14" s="512">
        <v>4</v>
      </c>
      <c r="D14" s="513">
        <f>'附表2-收入统计表'!E5</f>
        <v>0</v>
      </c>
      <c r="E14" s="513"/>
      <c r="F14" s="513">
        <f>IF($H$6="三分法",'附表2-收入统计表'!E6,"")</f>
        <v>0</v>
      </c>
      <c r="G14" s="513"/>
      <c r="H14" s="513">
        <f>IF($H$6="三分法",'附表2-收入统计表'!E7,SUM('附表2-收入统计表'!E6:E7))</f>
        <v>0</v>
      </c>
      <c r="I14" s="513"/>
      <c r="J14" s="513">
        <f t="shared" si="1"/>
        <v>0</v>
      </c>
      <c r="K14" s="513"/>
      <c r="L14" s="513"/>
    </row>
    <row r="15" ht="34.5" customHeight="1" spans="1:17">
      <c r="A15" s="511" t="s">
        <v>223</v>
      </c>
      <c r="B15" s="511"/>
      <c r="C15" s="512" t="s">
        <v>224</v>
      </c>
      <c r="D15" s="513">
        <f>SUM(D16)+SUM(D18)+SUM(D26)+SUM(D29)+SUM(D33)+SUM(D34)</f>
        <v>75229779.46</v>
      </c>
      <c r="E15" s="513"/>
      <c r="F15" s="513">
        <f t="shared" ref="D15:H15" si="2">SUM(F16)+SUM(F18)+SUM(F26)+SUM(F29)+SUM(F33)+SUM(F34)</f>
        <v>92872055.41</v>
      </c>
      <c r="G15" s="513"/>
      <c r="H15" s="513">
        <f t="shared" si="2"/>
        <v>2302108.62</v>
      </c>
      <c r="I15" s="513"/>
      <c r="J15" s="513">
        <f t="shared" si="1"/>
        <v>170403943.49</v>
      </c>
      <c r="K15" s="513"/>
      <c r="L15" s="513"/>
      <c r="O15" s="526">
        <f t="shared" ref="O15:O24" si="3">D15/$D$8</f>
        <v>3885.68317875951</v>
      </c>
      <c r="P15" s="526">
        <f t="shared" ref="P15:P24" si="4">F15/$G$8</f>
        <v>3889.58364367227</v>
      </c>
      <c r="Q15" s="526">
        <f t="shared" ref="Q15:Q24" si="5">H15/$J$8</f>
        <v>4161.06393131496</v>
      </c>
    </row>
    <row r="16" s="493" customFormat="1" ht="34.5" customHeight="1" spans="1:17">
      <c r="A16" s="511" t="s">
        <v>225</v>
      </c>
      <c r="B16" s="511"/>
      <c r="C16" s="512">
        <v>6</v>
      </c>
      <c r="D16" s="513">
        <f>SUM('附表3-扣除项目分摊表'!K7)</f>
        <v>0</v>
      </c>
      <c r="E16" s="513"/>
      <c r="F16" s="513">
        <f>IF($H$6="三分法",SUM('附表3-扣除项目分摊表'!L7),"")</f>
        <v>0</v>
      </c>
      <c r="G16" s="513"/>
      <c r="H16" s="513">
        <f>IF($H$6="三分法",SUM('附表3-扣除项目分摊表'!M7),SUM('附表3-扣除项目分摊表'!L7:M7))</f>
        <v>0</v>
      </c>
      <c r="I16" s="513"/>
      <c r="J16" s="513">
        <f t="shared" si="1"/>
        <v>0</v>
      </c>
      <c r="K16" s="513"/>
      <c r="L16" s="513"/>
      <c r="O16" s="526">
        <f t="shared" si="3"/>
        <v>0</v>
      </c>
      <c r="P16" s="526">
        <f t="shared" si="4"/>
        <v>0</v>
      </c>
      <c r="Q16" s="526">
        <f t="shared" si="5"/>
        <v>0</v>
      </c>
    </row>
    <row r="17" s="493" customFormat="1" ht="34.5" customHeight="1" spans="1:17">
      <c r="A17" s="511" t="s">
        <v>226</v>
      </c>
      <c r="B17" s="511"/>
      <c r="C17" s="514" t="s">
        <v>227</v>
      </c>
      <c r="D17" s="513">
        <f>SUM('附表3-扣除项目分摊表'!K8)</f>
        <v>0</v>
      </c>
      <c r="E17" s="513"/>
      <c r="F17" s="513">
        <f>IF($H$6="三分法",SUM('附表3-扣除项目分摊表'!L8),"")</f>
        <v>0</v>
      </c>
      <c r="G17" s="513"/>
      <c r="H17" s="513">
        <f>IF($H$6="三分法",SUM('附表3-扣除项目分摊表'!M8),SUM('附表3-扣除项目分摊表'!L8:M8))</f>
        <v>0</v>
      </c>
      <c r="I17" s="513"/>
      <c r="J17" s="513">
        <f t="shared" si="1"/>
        <v>0</v>
      </c>
      <c r="K17" s="513"/>
      <c r="L17" s="513"/>
      <c r="O17" s="526">
        <f t="shared" si="3"/>
        <v>0</v>
      </c>
      <c r="P17" s="526">
        <f t="shared" si="4"/>
        <v>0</v>
      </c>
      <c r="Q17" s="526">
        <f t="shared" si="5"/>
        <v>0</v>
      </c>
    </row>
    <row r="18" s="493" customFormat="1" ht="34.5" customHeight="1" spans="1:17">
      <c r="A18" s="511" t="s">
        <v>228</v>
      </c>
      <c r="B18" s="511"/>
      <c r="C18" s="512" t="s">
        <v>229</v>
      </c>
      <c r="D18" s="513">
        <f t="shared" ref="D18:H18" si="6">SUM(D19:D24)</f>
        <v>57699495.83</v>
      </c>
      <c r="E18" s="513"/>
      <c r="F18" s="513">
        <f t="shared" si="6"/>
        <v>71156569.1</v>
      </c>
      <c r="G18" s="513"/>
      <c r="H18" s="513">
        <f t="shared" si="6"/>
        <v>1750018.82</v>
      </c>
      <c r="I18" s="513"/>
      <c r="J18" s="513">
        <f t="shared" si="1"/>
        <v>130606083.75</v>
      </c>
      <c r="K18" s="513"/>
      <c r="L18" s="513"/>
      <c r="O18" s="526">
        <f t="shared" si="3"/>
        <v>2980.2288665321</v>
      </c>
      <c r="P18" s="526">
        <f t="shared" si="4"/>
        <v>2980.11523584084</v>
      </c>
      <c r="Q18" s="526">
        <f t="shared" si="5"/>
        <v>3163.16099412562</v>
      </c>
    </row>
    <row r="19" s="493" customFormat="1" ht="34.5" customHeight="1" spans="1:17">
      <c r="A19" s="511" t="s">
        <v>230</v>
      </c>
      <c r="B19" s="511"/>
      <c r="C19" s="512">
        <v>8</v>
      </c>
      <c r="D19" s="513">
        <f>SUM('附表3-扣除项目分摊表'!K10)</f>
        <v>490885.04</v>
      </c>
      <c r="E19" s="513"/>
      <c r="F19" s="513">
        <f>IF($H$6="三分法",SUM('附表3-扣除项目分摊表'!L10),"")</f>
        <v>605395.72</v>
      </c>
      <c r="G19" s="513"/>
      <c r="H19" s="513">
        <f>IF($H$6="三分法",SUM('附表3-扣除项目分摊表'!M10),SUM('附表3-扣除项目分摊表'!L10:M10))</f>
        <v>14027.46</v>
      </c>
      <c r="I19" s="513"/>
      <c r="J19" s="513">
        <f t="shared" si="1"/>
        <v>1110308.22</v>
      </c>
      <c r="K19" s="513"/>
      <c r="L19" s="513"/>
      <c r="O19" s="526">
        <f t="shared" si="3"/>
        <v>25.3546369047496</v>
      </c>
      <c r="P19" s="526">
        <f t="shared" si="4"/>
        <v>25.3546374102069</v>
      </c>
      <c r="Q19" s="526">
        <f t="shared" si="5"/>
        <v>25.3546497966561</v>
      </c>
    </row>
    <row r="20" s="493" customFormat="1" ht="34.5" customHeight="1" spans="1:17">
      <c r="A20" s="511" t="s">
        <v>231</v>
      </c>
      <c r="B20" s="511"/>
      <c r="C20" s="512">
        <v>9</v>
      </c>
      <c r="D20" s="513">
        <f>SUM('附表3-扣除项目分摊表'!K11)</f>
        <v>1094400.84</v>
      </c>
      <c r="E20" s="513"/>
      <c r="F20" s="513">
        <f>IF($H$6="三分法",SUM('附表3-扣除项目分摊表'!L11),"")</f>
        <v>1349695.34</v>
      </c>
      <c r="G20" s="513"/>
      <c r="H20" s="513">
        <f>IF($H$6="三分法",SUM('附表3-扣除项目分摊表'!M11),SUM('附表3-扣除项目分摊表'!L11:M11))</f>
        <v>31414.4</v>
      </c>
      <c r="I20" s="513"/>
      <c r="J20" s="513">
        <f t="shared" si="1"/>
        <v>2475510.58</v>
      </c>
      <c r="K20" s="513"/>
      <c r="L20" s="513"/>
      <c r="O20" s="526">
        <f t="shared" si="3"/>
        <v>56.5267499829552</v>
      </c>
      <c r="P20" s="526">
        <f t="shared" si="4"/>
        <v>56.5267226533183</v>
      </c>
      <c r="Q20" s="526">
        <f t="shared" si="5"/>
        <v>56.7815634884772</v>
      </c>
    </row>
    <row r="21" s="493" customFormat="1" ht="34.5" customHeight="1" spans="1:17">
      <c r="A21" s="511" t="s">
        <v>232</v>
      </c>
      <c r="B21" s="511"/>
      <c r="C21" s="512">
        <v>10</v>
      </c>
      <c r="D21" s="513">
        <f>SUM('附表3-扣除项目分摊表'!K12)</f>
        <v>44516941.79</v>
      </c>
      <c r="E21" s="513"/>
      <c r="F21" s="513">
        <f>IF($H$6="三分法",SUM('附表3-扣除项目分摊表'!L12),"")</f>
        <v>54899001.47</v>
      </c>
      <c r="G21" s="513"/>
      <c r="H21" s="513">
        <f>IF($H$6="三分法",SUM('附表3-扣除项目分摊表'!M12),SUM('附表3-扣除项目分摊表'!L12:M12))</f>
        <v>1354935.79</v>
      </c>
      <c r="I21" s="513"/>
      <c r="J21" s="513">
        <f t="shared" si="1"/>
        <v>100770879.05</v>
      </c>
      <c r="K21" s="513"/>
      <c r="L21" s="513"/>
      <c r="O21" s="526">
        <f t="shared" si="3"/>
        <v>2299.33854817683</v>
      </c>
      <c r="P21" s="526">
        <f t="shared" si="4"/>
        <v>2299.23045451043</v>
      </c>
      <c r="Q21" s="526">
        <f t="shared" si="5"/>
        <v>2449.04797107998</v>
      </c>
    </row>
    <row r="22" s="493" customFormat="1" ht="34.5" customHeight="1" spans="1:17">
      <c r="A22" s="511" t="s">
        <v>233</v>
      </c>
      <c r="B22" s="511"/>
      <c r="C22" s="512">
        <v>11</v>
      </c>
      <c r="D22" s="513">
        <f>SUM('附表3-扣除项目分摊表'!K13)</f>
        <v>6071210.8</v>
      </c>
      <c r="E22" s="513"/>
      <c r="F22" s="513">
        <f>IF($H$6="三分法",SUM('附表3-扣除项目分摊表'!L13),"")</f>
        <v>7487334.2</v>
      </c>
      <c r="G22" s="513"/>
      <c r="H22" s="513">
        <f>IF($H$6="三分法",SUM('附表3-扣除项目分摊表'!M13),SUM('附表3-扣除项目分摊表'!L13:M13))</f>
        <v>191743.79</v>
      </c>
      <c r="I22" s="513"/>
      <c r="J22" s="513">
        <f t="shared" si="1"/>
        <v>13750288.79</v>
      </c>
      <c r="K22" s="513"/>
      <c r="L22" s="513"/>
      <c r="O22" s="526">
        <f t="shared" si="3"/>
        <v>313.583289085759</v>
      </c>
      <c r="P22" s="526">
        <f t="shared" si="4"/>
        <v>313.577776549266</v>
      </c>
      <c r="Q22" s="526">
        <f t="shared" si="5"/>
        <v>346.577117035698</v>
      </c>
    </row>
    <row r="23" s="493" customFormat="1" ht="34.5" customHeight="1" spans="1:17">
      <c r="A23" s="511" t="s">
        <v>234</v>
      </c>
      <c r="B23" s="511"/>
      <c r="C23" s="512">
        <v>12</v>
      </c>
      <c r="D23" s="513">
        <f>SUM('附表3-扣除项目分摊表'!K14)</f>
        <v>4992632.95</v>
      </c>
      <c r="E23" s="513"/>
      <c r="F23" s="513">
        <f>IF($H$6="三分法",SUM('附表3-扣除项目分摊表'!L14),"")</f>
        <v>6157283.92</v>
      </c>
      <c r="G23" s="513"/>
      <c r="H23" s="513">
        <f>IF($H$6="三分法",SUM('附表3-扣除项目分摊表'!M14),SUM('附表3-扣除项目分摊表'!L14:M14))</f>
        <v>142654.32</v>
      </c>
      <c r="I23" s="513"/>
      <c r="J23" s="513">
        <f t="shared" si="1"/>
        <v>11292571.19</v>
      </c>
      <c r="K23" s="513"/>
      <c r="L23" s="513"/>
      <c r="O23" s="526">
        <f t="shared" si="3"/>
        <v>257.873810222326</v>
      </c>
      <c r="P23" s="526">
        <f t="shared" si="4"/>
        <v>257.87381057682</v>
      </c>
      <c r="Q23" s="526">
        <f t="shared" si="5"/>
        <v>257.847844554903</v>
      </c>
    </row>
    <row r="24" s="493" customFormat="1" ht="34.5" customHeight="1" spans="1:17">
      <c r="A24" s="511" t="s">
        <v>235</v>
      </c>
      <c r="B24" s="511"/>
      <c r="C24" s="512">
        <v>13</v>
      </c>
      <c r="D24" s="513">
        <f>SUM('附表3-扣除项目分摊表'!K15)</f>
        <v>533424.41</v>
      </c>
      <c r="E24" s="513"/>
      <c r="F24" s="513">
        <f>IF($H$6="三分法",SUM('附表3-扣除项目分摊表'!L15),"")</f>
        <v>657858.45</v>
      </c>
      <c r="G24" s="513"/>
      <c r="H24" s="513">
        <f>IF($H$6="三分法",SUM('附表3-扣除项目分摊表'!M15),SUM('附表3-扣除项目分摊表'!L15:M15))</f>
        <v>15243.06</v>
      </c>
      <c r="I24" s="513"/>
      <c r="J24" s="513">
        <f t="shared" si="1"/>
        <v>1206525.92</v>
      </c>
      <c r="K24" s="513"/>
      <c r="L24" s="513"/>
      <c r="O24" s="526">
        <f t="shared" si="3"/>
        <v>27.5518321594813</v>
      </c>
      <c r="P24" s="526">
        <f t="shared" si="4"/>
        <v>27.5518341408009</v>
      </c>
      <c r="Q24" s="526">
        <f t="shared" si="5"/>
        <v>27.5518481699051</v>
      </c>
    </row>
    <row r="25" s="493" customFormat="1" ht="34.5" customHeight="1" spans="1:12">
      <c r="A25" s="511" t="s">
        <v>226</v>
      </c>
      <c r="B25" s="511"/>
      <c r="C25" s="514" t="s">
        <v>236</v>
      </c>
      <c r="D25" s="513">
        <f>SUM('附表3-扣除项目分摊表'!K16)</f>
        <v>0</v>
      </c>
      <c r="E25" s="513"/>
      <c r="F25" s="513">
        <f>IF($H$6="三分法",SUM('附表3-扣除项目分摊表'!L16),"")</f>
        <v>0</v>
      </c>
      <c r="G25" s="513"/>
      <c r="H25" s="513">
        <f>IF($H$6="三分法",SUM('附表3-扣除项目分摊表'!M16),SUM('附表3-扣除项目分摊表'!L16:M16))</f>
        <v>0</v>
      </c>
      <c r="I25" s="513"/>
      <c r="J25" s="513">
        <f t="shared" si="1"/>
        <v>0</v>
      </c>
      <c r="K25" s="513"/>
      <c r="L25" s="513"/>
    </row>
    <row r="26" ht="34.5" customHeight="1" spans="1:12">
      <c r="A26" s="511" t="s">
        <v>237</v>
      </c>
      <c r="B26" s="511"/>
      <c r="C26" s="512" t="s">
        <v>238</v>
      </c>
      <c r="D26" s="513">
        <f t="shared" ref="D26:H26" si="7">SUM(D27:D28)</f>
        <v>5769949.58</v>
      </c>
      <c r="E26" s="513"/>
      <c r="F26" s="513">
        <f t="shared" si="7"/>
        <v>7115656.91</v>
      </c>
      <c r="G26" s="513"/>
      <c r="H26" s="513">
        <f t="shared" si="7"/>
        <v>175001.88</v>
      </c>
      <c r="I26" s="513"/>
      <c r="J26" s="513">
        <f t="shared" si="1"/>
        <v>13060608.37</v>
      </c>
      <c r="K26" s="513"/>
      <c r="L26" s="513"/>
    </row>
    <row r="27" ht="34.5" customHeight="1" spans="1:12">
      <c r="A27" s="511" t="s">
        <v>239</v>
      </c>
      <c r="B27" s="511"/>
      <c r="C27" s="512">
        <v>15</v>
      </c>
      <c r="D27" s="513">
        <f>SUM('附表3-扣除项目分摊表'!K18)</f>
        <v>0</v>
      </c>
      <c r="E27" s="513"/>
      <c r="F27" s="513">
        <f>IF($H$6="三分法",SUM('附表3-扣除项目分摊表'!L18),"")</f>
        <v>0</v>
      </c>
      <c r="G27" s="513"/>
      <c r="H27" s="513">
        <f>IF($H$6="三分法",SUM('附表3-扣除项目分摊表'!M18),SUM('附表3-扣除项目分摊表'!L18:M18))</f>
        <v>0</v>
      </c>
      <c r="I27" s="513"/>
      <c r="J27" s="513">
        <f t="shared" si="1"/>
        <v>0</v>
      </c>
      <c r="K27" s="513"/>
      <c r="L27" s="513"/>
    </row>
    <row r="28" ht="34.5" customHeight="1" spans="1:12">
      <c r="A28" s="511" t="s">
        <v>240</v>
      </c>
      <c r="B28" s="511"/>
      <c r="C28" s="512">
        <v>16</v>
      </c>
      <c r="D28" s="513">
        <f>SUM('附表3-扣除项目分摊表'!K19)</f>
        <v>5769949.58</v>
      </c>
      <c r="E28" s="513"/>
      <c r="F28" s="513">
        <f>IF($H$6="三分法",SUM('附表3-扣除项目分摊表'!L19),"")</f>
        <v>7115656.91</v>
      </c>
      <c r="G28" s="513"/>
      <c r="H28" s="513">
        <f>IF($H$6="三分法",SUM('附表3-扣除项目分摊表'!M19),SUM('附表3-扣除项目分摊表'!L19:M19))</f>
        <v>175001.88</v>
      </c>
      <c r="I28" s="513"/>
      <c r="J28" s="513">
        <f t="shared" si="1"/>
        <v>13060608.37</v>
      </c>
      <c r="K28" s="513"/>
      <c r="L28" s="513"/>
    </row>
    <row r="29" ht="34.5" customHeight="1" spans="1:12">
      <c r="A29" s="511" t="s">
        <v>241</v>
      </c>
      <c r="B29" s="511"/>
      <c r="C29" s="512" t="s">
        <v>242</v>
      </c>
      <c r="D29" s="513">
        <f t="shared" ref="D29:H29" si="8">SUM(D30:D32)</f>
        <v>220434.88</v>
      </c>
      <c r="E29" s="513"/>
      <c r="F29" s="513">
        <f t="shared" si="8"/>
        <v>368515.58</v>
      </c>
      <c r="G29" s="513"/>
      <c r="H29" s="513">
        <f t="shared" si="8"/>
        <v>27084.16</v>
      </c>
      <c r="I29" s="513"/>
      <c r="J29" s="513">
        <f t="shared" si="1"/>
        <v>616034.62</v>
      </c>
      <c r="K29" s="513"/>
      <c r="L29" s="513"/>
    </row>
    <row r="30" ht="34.5" customHeight="1" spans="1:12">
      <c r="A30" s="511" t="s">
        <v>243</v>
      </c>
      <c r="B30" s="511"/>
      <c r="C30" s="512">
        <v>18</v>
      </c>
      <c r="D30" s="513">
        <f>SUM('附表3-扣除项目分摊表'!K21)</f>
        <v>0</v>
      </c>
      <c r="E30" s="513"/>
      <c r="F30" s="513">
        <f>IF($H$6="三分法",SUM('附表3-扣除项目分摊表'!L21),"")</f>
        <v>0</v>
      </c>
      <c r="G30" s="513"/>
      <c r="H30" s="513">
        <f>IF($H$6="三分法",SUM('附表3-扣除项目分摊表'!M21),SUM('附表3-扣除项目分摊表'!L21:M21))</f>
        <v>0</v>
      </c>
      <c r="I30" s="513"/>
      <c r="J30" s="513">
        <f t="shared" si="1"/>
        <v>0</v>
      </c>
      <c r="K30" s="513"/>
      <c r="L30" s="513"/>
    </row>
    <row r="31" ht="34.5" customHeight="1" spans="1:12">
      <c r="A31" s="511" t="s">
        <v>244</v>
      </c>
      <c r="B31" s="511"/>
      <c r="C31" s="512">
        <v>19</v>
      </c>
      <c r="D31" s="513">
        <f>SUM('附表3-扣除项目分摊表'!K22)</f>
        <v>128587.01</v>
      </c>
      <c r="E31" s="513"/>
      <c r="F31" s="513">
        <f>IF($H$6="三分法",SUM('附表3-扣除项目分摊表'!L22),"")</f>
        <v>214967.43</v>
      </c>
      <c r="G31" s="513"/>
      <c r="H31" s="513">
        <f>IF($H$6="三分法",SUM('附表3-扣除项目分摊表'!M22),SUM('附表3-扣除项目分摊表'!L22:M22))</f>
        <v>15799.09</v>
      </c>
      <c r="I31" s="513"/>
      <c r="J31" s="513">
        <f t="shared" si="1"/>
        <v>359353.53</v>
      </c>
      <c r="K31" s="513"/>
      <c r="L31" s="513"/>
    </row>
    <row r="32" ht="34.5" customHeight="1" spans="1:12">
      <c r="A32" s="511" t="s">
        <v>245</v>
      </c>
      <c r="B32" s="511"/>
      <c r="C32" s="512">
        <v>20</v>
      </c>
      <c r="D32" s="513">
        <f>SUM('附表3-扣除项目分摊表'!K23:K25)</f>
        <v>91847.87</v>
      </c>
      <c r="E32" s="513"/>
      <c r="F32" s="513">
        <f>IF($H$6="三分法",SUM('附表3-扣除项目分摊表'!L23:L25),"")</f>
        <v>153548.15</v>
      </c>
      <c r="G32" s="513"/>
      <c r="H32" s="513">
        <f>IF($H$6="三分法",SUM('附表3-扣除项目分摊表'!M23:M25),SUM('附表3-扣除项目分摊表'!L23:M25))</f>
        <v>11285.07</v>
      </c>
      <c r="I32" s="513"/>
      <c r="J32" s="513">
        <f t="shared" si="1"/>
        <v>256681.09</v>
      </c>
      <c r="K32" s="513"/>
      <c r="L32" s="513"/>
    </row>
    <row r="33" ht="34.5" customHeight="1" spans="1:12">
      <c r="A33" s="511" t="s">
        <v>246</v>
      </c>
      <c r="B33" s="511"/>
      <c r="C33" s="512">
        <v>21</v>
      </c>
      <c r="D33" s="513">
        <f>SUM('附表3-扣除项目分摊表'!K26)</f>
        <v>11539899.17</v>
      </c>
      <c r="E33" s="513"/>
      <c r="F33" s="513">
        <f>IF($H$6="三分法",SUM('附表3-扣除项目分摊表'!L26),"")</f>
        <v>14231313.82</v>
      </c>
      <c r="G33" s="513"/>
      <c r="H33" s="513">
        <f>IF($H$6="三分法",SUM('附表3-扣除项目分摊表'!M26),SUM('附表3-扣除项目分摊表'!L26:M26))</f>
        <v>350003.76</v>
      </c>
      <c r="I33" s="513"/>
      <c r="J33" s="513">
        <f t="shared" si="1"/>
        <v>26121216.75</v>
      </c>
      <c r="K33" s="513"/>
      <c r="L33" s="513"/>
    </row>
    <row r="34" ht="34.5" customHeight="1" spans="1:12">
      <c r="A34" s="511" t="s">
        <v>247</v>
      </c>
      <c r="B34" s="511"/>
      <c r="C34" s="512">
        <v>22</v>
      </c>
      <c r="D34" s="513">
        <f>SUM('附表3-扣除项目分摊表'!K27)</f>
        <v>0</v>
      </c>
      <c r="E34" s="513"/>
      <c r="F34" s="513">
        <f>IF($H$6="三分法",SUM('附表3-扣除项目分摊表'!L27),"")</f>
        <v>0</v>
      </c>
      <c r="G34" s="513"/>
      <c r="H34" s="513">
        <f>IF($H$6="三分法",SUM('附表3-扣除项目分摊表'!M27),SUM('附表3-扣除项目分摊表'!L27:M27))</f>
        <v>0</v>
      </c>
      <c r="I34" s="513"/>
      <c r="J34" s="513">
        <f t="shared" si="1"/>
        <v>0</v>
      </c>
      <c r="K34" s="513"/>
      <c r="L34" s="513"/>
    </row>
    <row r="35" ht="34.5" customHeight="1" spans="1:12">
      <c r="A35" s="511" t="s">
        <v>248</v>
      </c>
      <c r="B35" s="511"/>
      <c r="C35" s="512" t="s">
        <v>249</v>
      </c>
      <c r="D35" s="513">
        <f>D11-D15</f>
        <v>12988454.73</v>
      </c>
      <c r="E35" s="513"/>
      <c r="F35" s="513">
        <f t="shared" ref="D35:H35" si="9">F11-F15</f>
        <v>11631488.64</v>
      </c>
      <c r="G35" s="513"/>
      <c r="H35" s="513">
        <f t="shared" si="9"/>
        <v>5221268.4393578</v>
      </c>
      <c r="I35" s="513"/>
      <c r="J35" s="513">
        <f t="shared" si="1"/>
        <v>29841211.8093578</v>
      </c>
      <c r="K35" s="513"/>
      <c r="L35" s="513"/>
    </row>
    <row r="36" ht="34.5" customHeight="1" spans="1:12">
      <c r="A36" s="511" t="s">
        <v>250</v>
      </c>
      <c r="B36" s="511"/>
      <c r="C36" s="512" t="s">
        <v>251</v>
      </c>
      <c r="D36" s="515">
        <f t="shared" ref="D36:H36" si="10">IF(D15=0,"",ROUND(D35/D15,6))</f>
        <v>0.17265</v>
      </c>
      <c r="E36" s="515"/>
      <c r="F36" s="515">
        <f t="shared" si="10"/>
        <v>0.125242</v>
      </c>
      <c r="G36" s="515"/>
      <c r="H36" s="515">
        <f t="shared" si="10"/>
        <v>2.268037</v>
      </c>
      <c r="I36" s="515"/>
      <c r="J36" s="515">
        <f>IF(J15=0,"",ROUND(J35/J15,6))</f>
        <v>0.17512</v>
      </c>
      <c r="K36" s="515"/>
      <c r="L36" s="515"/>
    </row>
    <row r="37" ht="34.5" customHeight="1" spans="1:12">
      <c r="A37" s="511" t="s">
        <v>252</v>
      </c>
      <c r="B37" s="511"/>
      <c r="C37" s="512">
        <v>25</v>
      </c>
      <c r="D37" s="515">
        <f>IF(D35&lt;0,"",IF(D36="","",IF(D36&gt;200%,60%,IF(D36&gt;100%,50%,IF(D36&gt;50%,40%,30%)))))</f>
        <v>0.3</v>
      </c>
      <c r="E37" s="515"/>
      <c r="F37" s="515">
        <f t="shared" ref="D37:H37" si="11">IF(F35&lt;0,"",IF(F36="","",IF(F36&gt;200%,60%,IF(F36&gt;100%,50%,IF(F36&gt;50%,40%,30%)))))</f>
        <v>0.3</v>
      </c>
      <c r="G37" s="515"/>
      <c r="H37" s="515">
        <f t="shared" si="11"/>
        <v>0.6</v>
      </c>
      <c r="I37" s="515"/>
      <c r="J37" s="515"/>
      <c r="K37" s="515"/>
      <c r="L37" s="515"/>
    </row>
    <row r="38" ht="34.5" customHeight="1" spans="1:12">
      <c r="A38" s="511" t="s">
        <v>253</v>
      </c>
      <c r="B38" s="511"/>
      <c r="C38" s="512">
        <v>26</v>
      </c>
      <c r="D38" s="515">
        <f t="shared" ref="D38:H38" si="12">IF(D36="","",IF(D36&gt;200%,35%,IF(D36&gt;100%,15%,IF(D36&gt;50%,5%,0))))</f>
        <v>0</v>
      </c>
      <c r="E38" s="515"/>
      <c r="F38" s="515">
        <f t="shared" si="12"/>
        <v>0</v>
      </c>
      <c r="G38" s="515"/>
      <c r="H38" s="515">
        <f t="shared" si="12"/>
        <v>0.35</v>
      </c>
      <c r="I38" s="515"/>
      <c r="J38" s="515"/>
      <c r="K38" s="515"/>
      <c r="L38" s="515"/>
    </row>
    <row r="39" ht="34.5" customHeight="1" spans="1:12">
      <c r="A39" s="511" t="s">
        <v>254</v>
      </c>
      <c r="B39" s="511"/>
      <c r="C39" s="512" t="s">
        <v>255</v>
      </c>
      <c r="D39" s="513">
        <f>IF(D35&lt;0,0,ROUND(SUM(D35)*SUM(D37)-SUM(D15)*SUM(D38),2))-0.01</f>
        <v>3896536.41</v>
      </c>
      <c r="E39" s="513"/>
      <c r="F39" s="513">
        <f>IF(F35&lt;0,0,ROUND(SUM(F35)*SUM(F37)-SUM(F15)*SUM(F38),2))+0.01</f>
        <v>3489446.6</v>
      </c>
      <c r="G39" s="513"/>
      <c r="H39" s="513">
        <f>IF(H35&lt;0,0,ROUND(SUM(H35)*SUM(H37)-SUM(H15)*SUM(H38),2))</f>
        <v>2327023.05</v>
      </c>
      <c r="I39" s="513"/>
      <c r="J39" s="513">
        <f t="shared" ref="J39:J42" si="13">SUM(D39:I39)</f>
        <v>9713006.06</v>
      </c>
      <c r="K39" s="513"/>
      <c r="L39" s="513"/>
    </row>
    <row r="40" ht="34.5" customHeight="1" spans="1:12">
      <c r="A40" s="511" t="s">
        <v>256</v>
      </c>
      <c r="B40" s="511"/>
      <c r="C40" s="512" t="s">
        <v>257</v>
      </c>
      <c r="D40" s="513">
        <f>D42+D44+D46</f>
        <v>3896536.41</v>
      </c>
      <c r="E40" s="513"/>
      <c r="F40" s="513">
        <f t="shared" ref="D40:H40" si="14">F42+F44+F46</f>
        <v>0</v>
      </c>
      <c r="G40" s="513"/>
      <c r="H40" s="513">
        <f t="shared" si="14"/>
        <v>0</v>
      </c>
      <c r="I40" s="513"/>
      <c r="J40" s="513">
        <f t="shared" si="13"/>
        <v>3896536.41</v>
      </c>
      <c r="K40" s="513"/>
      <c r="L40" s="513"/>
    </row>
    <row r="41" ht="35.05" spans="1:12">
      <c r="A41" s="511" t="s">
        <v>258</v>
      </c>
      <c r="B41" s="511" t="s">
        <v>259</v>
      </c>
      <c r="C41" s="512">
        <v>29</v>
      </c>
      <c r="D41" s="513" t="str">
        <f>IF(D35&lt;0,"",IF(D36&gt;20%,"","普通住宅增值率不超过20%的土地增值税减免"))</f>
        <v>普通住宅增值率不超过20%的土地增值税减免</v>
      </c>
      <c r="E41" s="513"/>
      <c r="F41" s="513"/>
      <c r="G41" s="513"/>
      <c r="H41" s="513"/>
      <c r="I41" s="513"/>
      <c r="J41" s="513"/>
      <c r="K41" s="513"/>
      <c r="L41" s="513"/>
    </row>
    <row r="42" ht="34.5" customHeight="1" spans="1:12">
      <c r="A42" s="511"/>
      <c r="B42" s="511" t="s">
        <v>260</v>
      </c>
      <c r="C42" s="512">
        <v>30</v>
      </c>
      <c r="D42" s="513">
        <f>IF(D35&lt;0,0,IF(D36&gt;20%,0,ROUND(D35*D37,2)))-0.01</f>
        <v>3896536.41</v>
      </c>
      <c r="E42" s="513"/>
      <c r="F42" s="513">
        <v>0</v>
      </c>
      <c r="G42" s="513"/>
      <c r="H42" s="513">
        <v>0</v>
      </c>
      <c r="I42" s="513"/>
      <c r="J42" s="513">
        <f t="shared" si="13"/>
        <v>3896536.41</v>
      </c>
      <c r="K42" s="513"/>
      <c r="L42" s="513"/>
    </row>
    <row r="43" ht="35.05" spans="1:12">
      <c r="A43" s="511" t="s">
        <v>261</v>
      </c>
      <c r="B43" s="511" t="s">
        <v>262</v>
      </c>
      <c r="C43" s="512">
        <v>31</v>
      </c>
      <c r="D43" s="513"/>
      <c r="E43" s="513"/>
      <c r="F43" s="516"/>
      <c r="G43" s="516"/>
      <c r="H43" s="513"/>
      <c r="I43" s="513"/>
      <c r="J43" s="513"/>
      <c r="K43" s="513"/>
      <c r="L43" s="513"/>
    </row>
    <row r="44" ht="34.5" customHeight="1" spans="1:12">
      <c r="A44" s="511"/>
      <c r="B44" s="511" t="s">
        <v>263</v>
      </c>
      <c r="C44" s="512">
        <v>32</v>
      </c>
      <c r="D44" s="513">
        <v>0</v>
      </c>
      <c r="E44" s="513"/>
      <c r="F44" s="513">
        <v>0</v>
      </c>
      <c r="G44" s="513"/>
      <c r="H44" s="513">
        <v>0</v>
      </c>
      <c r="I44" s="513"/>
      <c r="J44" s="513">
        <f t="shared" ref="J44:J48" si="15">SUM(D44:I44)</f>
        <v>0</v>
      </c>
      <c r="K44" s="513"/>
      <c r="L44" s="513"/>
    </row>
    <row r="45" ht="35.05" spans="1:12">
      <c r="A45" s="511" t="s">
        <v>264</v>
      </c>
      <c r="B45" s="511" t="s">
        <v>265</v>
      </c>
      <c r="C45" s="512">
        <v>33</v>
      </c>
      <c r="D45" s="513"/>
      <c r="E45" s="513"/>
      <c r="F45" s="516"/>
      <c r="G45" s="516"/>
      <c r="H45" s="513"/>
      <c r="I45" s="513"/>
      <c r="J45" s="513"/>
      <c r="K45" s="513"/>
      <c r="L45" s="513"/>
    </row>
    <row r="46" ht="34.5" customHeight="1" spans="1:12">
      <c r="A46" s="511"/>
      <c r="B46" s="511" t="s">
        <v>266</v>
      </c>
      <c r="C46" s="512">
        <v>34</v>
      </c>
      <c r="D46" s="513">
        <v>0</v>
      </c>
      <c r="E46" s="513"/>
      <c r="F46" s="513">
        <v>0</v>
      </c>
      <c r="G46" s="513"/>
      <c r="H46" s="513">
        <v>0</v>
      </c>
      <c r="I46" s="513"/>
      <c r="J46" s="513">
        <f t="shared" si="15"/>
        <v>0</v>
      </c>
      <c r="K46" s="513"/>
      <c r="L46" s="513"/>
    </row>
    <row r="47" ht="34.5" customHeight="1" spans="1:12">
      <c r="A47" s="511" t="s">
        <v>267</v>
      </c>
      <c r="B47" s="511"/>
      <c r="C47" s="512">
        <v>35</v>
      </c>
      <c r="D47" s="517">
        <v>882182.33</v>
      </c>
      <c r="E47" s="517"/>
      <c r="F47" s="518">
        <v>3232585.02</v>
      </c>
      <c r="G47" s="518"/>
      <c r="H47" s="517">
        <v>208312.77</v>
      </c>
      <c r="I47" s="517"/>
      <c r="J47" s="517">
        <f t="shared" si="15"/>
        <v>4323080.12</v>
      </c>
      <c r="K47" s="517"/>
      <c r="L47" s="517"/>
    </row>
    <row r="48" ht="34.5" customHeight="1" spans="1:12">
      <c r="A48" s="511" t="s">
        <v>268</v>
      </c>
      <c r="B48" s="511"/>
      <c r="C48" s="512" t="s">
        <v>269</v>
      </c>
      <c r="D48" s="513">
        <f t="shared" ref="D48:H48" si="16">SUM(D39)-SUM(D40)-SUM(D47)</f>
        <v>-882182.33</v>
      </c>
      <c r="E48" s="513"/>
      <c r="F48" s="513">
        <f t="shared" si="16"/>
        <v>256861.58</v>
      </c>
      <c r="G48" s="513"/>
      <c r="H48" s="513">
        <f t="shared" si="16"/>
        <v>2118710.28</v>
      </c>
      <c r="I48" s="513"/>
      <c r="J48" s="513">
        <f t="shared" si="15"/>
        <v>1493389.53</v>
      </c>
      <c r="K48" s="513"/>
      <c r="L48" s="513"/>
    </row>
    <row r="52" spans="11:11">
      <c r="K52" s="443"/>
    </row>
    <row r="54" spans="9:9">
      <c r="I54" s="443"/>
    </row>
    <row r="61" spans="10:12">
      <c r="J61" s="443"/>
      <c r="K61" s="443"/>
      <c r="L61" s="443"/>
    </row>
    <row r="62" spans="11:12">
      <c r="K62" s="443"/>
      <c r="L62" s="443"/>
    </row>
    <row r="63" spans="11:12">
      <c r="K63" s="443"/>
      <c r="L63" s="443"/>
    </row>
    <row r="64" spans="11:12">
      <c r="K64" s="443"/>
      <c r="L64" s="443"/>
    </row>
  </sheetData>
  <mergeCells count="212">
    <mergeCell ref="A1:L1"/>
    <mergeCell ref="B2:L2"/>
    <mergeCell ref="B3:L3"/>
    <mergeCell ref="B4:F4"/>
    <mergeCell ref="G4:J4"/>
    <mergeCell ref="K4:L4"/>
    <mergeCell ref="B5:E5"/>
    <mergeCell ref="F5:G5"/>
    <mergeCell ref="H5:L5"/>
    <mergeCell ref="B6:E6"/>
    <mergeCell ref="F6:G6"/>
    <mergeCell ref="H6:L6"/>
    <mergeCell ref="B7:E7"/>
    <mergeCell ref="G7:L7"/>
    <mergeCell ref="D8:E8"/>
    <mergeCell ref="G8:H8"/>
    <mergeCell ref="J8:L8"/>
    <mergeCell ref="D9:E9"/>
    <mergeCell ref="G9:H9"/>
    <mergeCell ref="J9:L9"/>
    <mergeCell ref="A10:B10"/>
    <mergeCell ref="D10:E10"/>
    <mergeCell ref="F10:G10"/>
    <mergeCell ref="H10:I10"/>
    <mergeCell ref="J10:L10"/>
    <mergeCell ref="A11:B11"/>
    <mergeCell ref="D11:E11"/>
    <mergeCell ref="F11:G11"/>
    <mergeCell ref="H11:I11"/>
    <mergeCell ref="J11:L11"/>
    <mergeCell ref="A12:B12"/>
    <mergeCell ref="D12:E12"/>
    <mergeCell ref="F12:G12"/>
    <mergeCell ref="H12:I12"/>
    <mergeCell ref="J12:L12"/>
    <mergeCell ref="A13:B13"/>
    <mergeCell ref="D13:E13"/>
    <mergeCell ref="F13:G13"/>
    <mergeCell ref="H13:I13"/>
    <mergeCell ref="J13:L13"/>
    <mergeCell ref="A14:B14"/>
    <mergeCell ref="D14:E14"/>
    <mergeCell ref="F14:G14"/>
    <mergeCell ref="H14:I14"/>
    <mergeCell ref="J14:L14"/>
    <mergeCell ref="A15:B15"/>
    <mergeCell ref="D15:E15"/>
    <mergeCell ref="F15:G15"/>
    <mergeCell ref="H15:I15"/>
    <mergeCell ref="J15:L15"/>
    <mergeCell ref="A16:B16"/>
    <mergeCell ref="D16:E16"/>
    <mergeCell ref="F16:G16"/>
    <mergeCell ref="H16:I16"/>
    <mergeCell ref="J16:L16"/>
    <mergeCell ref="A17:B17"/>
    <mergeCell ref="D17:E17"/>
    <mergeCell ref="F17:G17"/>
    <mergeCell ref="H17:I17"/>
    <mergeCell ref="J17:L17"/>
    <mergeCell ref="A18:B18"/>
    <mergeCell ref="D18:E18"/>
    <mergeCell ref="F18:G18"/>
    <mergeCell ref="H18:I18"/>
    <mergeCell ref="J18:L18"/>
    <mergeCell ref="A19:B19"/>
    <mergeCell ref="D19:E19"/>
    <mergeCell ref="F19:G19"/>
    <mergeCell ref="H19:I19"/>
    <mergeCell ref="J19:L19"/>
    <mergeCell ref="A20:B20"/>
    <mergeCell ref="D20:E20"/>
    <mergeCell ref="F20:G20"/>
    <mergeCell ref="H20:I20"/>
    <mergeCell ref="J20:L20"/>
    <mergeCell ref="A21:B21"/>
    <mergeCell ref="D21:E21"/>
    <mergeCell ref="F21:G21"/>
    <mergeCell ref="H21:I21"/>
    <mergeCell ref="J21:L21"/>
    <mergeCell ref="A22:B22"/>
    <mergeCell ref="D22:E22"/>
    <mergeCell ref="F22:G22"/>
    <mergeCell ref="H22:I22"/>
    <mergeCell ref="J22:L22"/>
    <mergeCell ref="A23:B23"/>
    <mergeCell ref="D23:E23"/>
    <mergeCell ref="F23:G23"/>
    <mergeCell ref="H23:I23"/>
    <mergeCell ref="J23:L23"/>
    <mergeCell ref="A24:B24"/>
    <mergeCell ref="D24:E24"/>
    <mergeCell ref="F24:G24"/>
    <mergeCell ref="H24:I24"/>
    <mergeCell ref="J24:L24"/>
    <mergeCell ref="A25:B25"/>
    <mergeCell ref="D25:E25"/>
    <mergeCell ref="F25:G25"/>
    <mergeCell ref="H25:I25"/>
    <mergeCell ref="J25:L25"/>
    <mergeCell ref="A26:B26"/>
    <mergeCell ref="D26:E26"/>
    <mergeCell ref="F26:G26"/>
    <mergeCell ref="H26:I26"/>
    <mergeCell ref="J26:L26"/>
    <mergeCell ref="A27:B27"/>
    <mergeCell ref="D27:E27"/>
    <mergeCell ref="F27:G27"/>
    <mergeCell ref="H27:I27"/>
    <mergeCell ref="J27:L27"/>
    <mergeCell ref="A28:B28"/>
    <mergeCell ref="D28:E28"/>
    <mergeCell ref="F28:G28"/>
    <mergeCell ref="H28:I28"/>
    <mergeCell ref="J28:L28"/>
    <mergeCell ref="A29:B29"/>
    <mergeCell ref="D29:E29"/>
    <mergeCell ref="F29:G29"/>
    <mergeCell ref="H29:I29"/>
    <mergeCell ref="J29:L29"/>
    <mergeCell ref="A30:B30"/>
    <mergeCell ref="D30:E30"/>
    <mergeCell ref="F30:G30"/>
    <mergeCell ref="H30:I30"/>
    <mergeCell ref="J30:L30"/>
    <mergeCell ref="A31:B31"/>
    <mergeCell ref="D31:E31"/>
    <mergeCell ref="F31:G31"/>
    <mergeCell ref="H31:I31"/>
    <mergeCell ref="J31:L31"/>
    <mergeCell ref="A32:B32"/>
    <mergeCell ref="D32:E32"/>
    <mergeCell ref="F32:G32"/>
    <mergeCell ref="H32:I32"/>
    <mergeCell ref="J32:L32"/>
    <mergeCell ref="A33:B33"/>
    <mergeCell ref="D33:E33"/>
    <mergeCell ref="F33:G33"/>
    <mergeCell ref="H33:I33"/>
    <mergeCell ref="J33:L33"/>
    <mergeCell ref="A34:B34"/>
    <mergeCell ref="D34:E34"/>
    <mergeCell ref="F34:G34"/>
    <mergeCell ref="H34:I34"/>
    <mergeCell ref="J34:L34"/>
    <mergeCell ref="A35:B35"/>
    <mergeCell ref="D35:E35"/>
    <mergeCell ref="F35:G35"/>
    <mergeCell ref="H35:I35"/>
    <mergeCell ref="J35:L35"/>
    <mergeCell ref="A36:B36"/>
    <mergeCell ref="D36:E36"/>
    <mergeCell ref="F36:G36"/>
    <mergeCell ref="H36:I36"/>
    <mergeCell ref="J36:L36"/>
    <mergeCell ref="A37:B37"/>
    <mergeCell ref="D37:E37"/>
    <mergeCell ref="F37:G37"/>
    <mergeCell ref="H37:I37"/>
    <mergeCell ref="J37:L37"/>
    <mergeCell ref="A38:B38"/>
    <mergeCell ref="D38:E38"/>
    <mergeCell ref="F38:G38"/>
    <mergeCell ref="H38:I38"/>
    <mergeCell ref="J38:L38"/>
    <mergeCell ref="A39:B39"/>
    <mergeCell ref="D39:E39"/>
    <mergeCell ref="F39:G39"/>
    <mergeCell ref="H39:I39"/>
    <mergeCell ref="J39:L39"/>
    <mergeCell ref="A40:B40"/>
    <mergeCell ref="D40:E40"/>
    <mergeCell ref="F40:G40"/>
    <mergeCell ref="H40:I40"/>
    <mergeCell ref="J40:L40"/>
    <mergeCell ref="D41:E41"/>
    <mergeCell ref="F41:G41"/>
    <mergeCell ref="H41:I41"/>
    <mergeCell ref="J41:L41"/>
    <mergeCell ref="D42:E42"/>
    <mergeCell ref="F42:G42"/>
    <mergeCell ref="H42:I42"/>
    <mergeCell ref="J42:L42"/>
    <mergeCell ref="D43:E43"/>
    <mergeCell ref="F43:G43"/>
    <mergeCell ref="H43:I43"/>
    <mergeCell ref="J43:L43"/>
    <mergeCell ref="D44:E44"/>
    <mergeCell ref="F44:G44"/>
    <mergeCell ref="H44:I44"/>
    <mergeCell ref="J44:L44"/>
    <mergeCell ref="D45:E45"/>
    <mergeCell ref="F45:G45"/>
    <mergeCell ref="H45:I45"/>
    <mergeCell ref="J45:L45"/>
    <mergeCell ref="D46:E46"/>
    <mergeCell ref="F46:G46"/>
    <mergeCell ref="H46:I46"/>
    <mergeCell ref="J46:L46"/>
    <mergeCell ref="A47:B47"/>
    <mergeCell ref="D47:E47"/>
    <mergeCell ref="F47:G47"/>
    <mergeCell ref="H47:I47"/>
    <mergeCell ref="J47:L47"/>
    <mergeCell ref="A48:B48"/>
    <mergeCell ref="D48:E48"/>
    <mergeCell ref="F48:G48"/>
    <mergeCell ref="H48:I48"/>
    <mergeCell ref="J48:L48"/>
    <mergeCell ref="A41:A42"/>
    <mergeCell ref="A43:A44"/>
    <mergeCell ref="A45:A46"/>
  </mergeCells>
  <dataValidations count="1">
    <dataValidation type="list" allowBlank="1" showInputMessage="1" showErrorMessage="1" sqref="H6:L6">
      <formula1>数据对照表!$AB$1:$AC$1</formula1>
    </dataValidation>
  </dataValidations>
  <printOptions horizontalCentered="1"/>
  <pageMargins left="0.747916666666667" right="0.747916666666667" top="0.747916666666667" bottom="0.747916666666667" header="0.313888888888889" footer="0.313888888888889"/>
  <pageSetup paperSize="9" scale="54" fitToHeight="0" orientation="landscape"/>
  <headerFooter>
    <oddFooter>&amp;C第 &amp;P 页，共 &amp;N 页</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dimension ref="A1:K35"/>
  <sheetViews>
    <sheetView zoomScale="120" zoomScaleNormal="120" topLeftCell="B2" workbookViewId="0">
      <selection activeCell="E34" sqref="E34"/>
    </sheetView>
  </sheetViews>
  <sheetFormatPr defaultColWidth="2.38405797101449" defaultRowHeight="15.65"/>
  <cols>
    <col min="1" max="1" width="4.11594202898551" style="462" customWidth="1"/>
    <col min="2" max="2" width="25" style="462"/>
    <col min="3" max="3" width="5" style="462" customWidth="1"/>
    <col min="4" max="4" width="13" style="463" customWidth="1"/>
    <col min="5" max="5" width="15.1159420289855" style="463" customWidth="1"/>
    <col min="6" max="6" width="13.6159420289855" style="463" customWidth="1"/>
    <col min="7" max="7" width="12.1159420289855" style="463" customWidth="1"/>
    <col min="8" max="8" width="14.8840579710145" style="463" customWidth="1"/>
    <col min="9" max="9" width="14.1159420289855" style="463" customWidth="1"/>
    <col min="10" max="10" width="14.5" style="463" customWidth="1"/>
    <col min="11" max="11" width="9.11594202898551" style="462" customWidth="1"/>
    <col min="12" max="15" width="2.38405797101449" style="462"/>
    <col min="16" max="16" width="9.09420289855072" style="462" customWidth="1"/>
    <col min="17" max="16384" width="2.38405797101449" style="462"/>
  </cols>
  <sheetData>
    <row r="1" ht="23.8" spans="1:11">
      <c r="A1" s="381" t="s">
        <v>270</v>
      </c>
      <c r="B1" s="381"/>
      <c r="C1" s="381"/>
      <c r="D1" s="464"/>
      <c r="E1" s="464"/>
      <c r="F1" s="464"/>
      <c r="G1" s="464"/>
      <c r="H1" s="464"/>
      <c r="I1" s="464"/>
      <c r="J1" s="464"/>
      <c r="K1" s="381"/>
    </row>
    <row r="2" ht="25.5" customHeight="1" spans="1:11">
      <c r="A2" s="351" t="str">
        <f>土地增值税税源明细表!F5&amp;"："&amp;土地增值税税源明细表!H5&amp;"          "&amp;土地增值税税源明细表!A5&amp;"："&amp;土地增值税税源明细表!B5&amp;"          "&amp;"面积单位：㎡"</f>
        <v>项目编码：Z65280120200027          项目名称：沁春锦苑二期          面积单位：㎡</v>
      </c>
      <c r="B2" s="351"/>
      <c r="C2" s="351"/>
      <c r="D2" s="352"/>
      <c r="E2" s="352"/>
      <c r="F2" s="352"/>
      <c r="G2" s="352"/>
      <c r="H2" s="352"/>
      <c r="I2" s="352"/>
      <c r="J2" s="352"/>
      <c r="K2" s="351"/>
    </row>
    <row r="3" spans="1:11">
      <c r="A3" s="465" t="s">
        <v>271</v>
      </c>
      <c r="B3" s="466" t="s">
        <v>272</v>
      </c>
      <c r="C3" s="466" t="s">
        <v>37</v>
      </c>
      <c r="D3" s="467" t="s">
        <v>273</v>
      </c>
      <c r="E3" s="467" t="s">
        <v>274</v>
      </c>
      <c r="F3" s="467" t="s">
        <v>275</v>
      </c>
      <c r="G3" s="467" t="s">
        <v>276</v>
      </c>
      <c r="H3" s="467" t="s">
        <v>277</v>
      </c>
      <c r="I3" s="467" t="s">
        <v>278</v>
      </c>
      <c r="J3" s="467" t="s">
        <v>279</v>
      </c>
      <c r="K3" s="482" t="s">
        <v>280</v>
      </c>
    </row>
    <row r="4" ht="23.8" spans="1:11">
      <c r="A4" s="468"/>
      <c r="B4" s="469"/>
      <c r="C4" s="469"/>
      <c r="D4" s="552" t="s">
        <v>281</v>
      </c>
      <c r="E4" s="552" t="s">
        <v>45</v>
      </c>
      <c r="F4" s="552" t="s">
        <v>48</v>
      </c>
      <c r="G4" s="552" t="s">
        <v>92</v>
      </c>
      <c r="H4" s="552" t="s">
        <v>282</v>
      </c>
      <c r="I4" s="552" t="s">
        <v>99</v>
      </c>
      <c r="J4" s="552" t="s">
        <v>102</v>
      </c>
      <c r="K4" s="553" t="s">
        <v>105</v>
      </c>
    </row>
    <row r="5" spans="1:11">
      <c r="A5" s="468"/>
      <c r="B5" s="470" t="str">
        <f>数据对照表!A2</f>
        <v>普通住宅</v>
      </c>
      <c r="C5" s="471">
        <v>1</v>
      </c>
      <c r="D5" s="472">
        <f>SUMIFS('附表6-收入明细采集底稿'!P:P,'附表6-收入明细采集底稿'!G:G,数据对照表!A2)</f>
        <v>19360.76</v>
      </c>
      <c r="E5" s="472">
        <f>SUMIFS('附表6-收入明细采集底稿'!P:P,'附表6-收入明细采集底稿'!G:G,数据对照表!A2,'附表6-收入明细采集底稿'!H:H,"不可售")</f>
        <v>0</v>
      </c>
      <c r="F5" s="472">
        <f>SUM(SUMIFS('附表6-收入明细采集底稿'!P:P,'附表6-收入明细采集底稿'!G:G,数据对照表!A2,'附表6-收入明细采集底稿'!H:H,"已售"),SUMIFS('附表6-收入明细采集底稿'!P:P,'附表6-收入明细采集底稿'!G:G,数据对照表!A2,'附表6-收入明细采集底稿'!H:H,"出租"),SUMIFS('附表6-收入明细采集底稿'!P:P,'附表6-收入明细采集底稿'!G:G,数据对照表!A2,'附表6-收入明细采集底稿'!H:H,"自用"),SUMIFS('附表6-收入明细采集底稿'!P:P,'附表6-收入明细采集底稿'!G:G,数据对照表!A2,'附表6-收入明细采集底稿'!H:H,"未售"))</f>
        <v>19360.76</v>
      </c>
      <c r="G5" s="472">
        <f>SUMIFS('附表6-收入明细采集底稿'!P:P,'附表6-收入明细采集底稿'!G:G,数据对照表!A2,'附表6-收入明细采集底稿'!H:H,"已售")</f>
        <v>19360.76</v>
      </c>
      <c r="H5" s="472">
        <f t="shared" ref="H5:H11" si="0">F5-G5</f>
        <v>0</v>
      </c>
      <c r="I5" s="472">
        <f>SUMIFS('附表6-收入明细采集底稿'!P:P,'附表6-收入明细采集底稿'!G:G,数据对照表!A2,'附表6-收入明细采集底稿'!H:H,"自用")</f>
        <v>0</v>
      </c>
      <c r="J5" s="472">
        <f>SUMIFS('附表6-收入明细采集底稿'!P:P,'附表6-收入明细采集底稿'!G:G,数据对照表!A2,'附表6-收入明细采集底稿'!H:H,"出租")</f>
        <v>0</v>
      </c>
      <c r="K5" s="484"/>
    </row>
    <row r="6" spans="1:11">
      <c r="A6" s="468"/>
      <c r="B6" s="470" t="str">
        <f>数据对照表!A3</f>
        <v>非普通住宅</v>
      </c>
      <c r="C6" s="471">
        <v>2</v>
      </c>
      <c r="D6" s="472">
        <f>SUMIFS('附表6-收入明细采集底稿'!P:P,'附表6-收入明细采集底稿'!G:G,数据对照表!A3)</f>
        <v>23877.12</v>
      </c>
      <c r="E6" s="472">
        <f>SUMIFS('附表6-收入明细采集底稿'!P:P,'附表6-收入明细采集底稿'!G:G,数据对照表!A3,'附表6-收入明细采集底稿'!H:H,"不可售")</f>
        <v>0</v>
      </c>
      <c r="F6" s="472">
        <f>SUM(SUMIFS('附表6-收入明细采集底稿'!P:P,'附表6-收入明细采集底稿'!G:G,数据对照表!A3,'附表6-收入明细采集底稿'!H:H,"已售"),SUMIFS('附表6-收入明细采集底稿'!P:P,'附表6-收入明细采集底稿'!G:G,数据对照表!A3,'附表6-收入明细采集底稿'!H:H,"出租"),SUMIFS('附表6-收入明细采集底稿'!P:P,'附表6-收入明细采集底稿'!G:G,数据对照表!A3,'附表6-收入明细采集底稿'!H:H,"自用"),SUMIFS('附表6-收入明细采集底稿'!P:P,'附表6-收入明细采集底稿'!G:G,数据对照表!A3,'附表6-收入明细采集底稿'!H:H,"未售"))</f>
        <v>23877.12</v>
      </c>
      <c r="G6" s="472">
        <f>SUMIFS('附表6-收入明细采集底稿'!P:P,'附表6-收入明细采集底稿'!G:G,数据对照表!A3,'附表6-收入明细采集底稿'!H:H,"已售")</f>
        <v>23877.12</v>
      </c>
      <c r="H6" s="472">
        <f t="shared" si="0"/>
        <v>0</v>
      </c>
      <c r="I6" s="472">
        <f>SUMIFS('附表6-收入明细采集底稿'!P:P,'附表6-收入明细采集底稿'!G:G,数据对照表!A3,'附表6-收入明细采集底稿'!H:H,"自用")</f>
        <v>0</v>
      </c>
      <c r="J6" s="472">
        <f>SUMIFS('附表6-收入明细采集底稿'!P:P,'附表6-收入明细采集底稿'!G:G,数据对照表!A3,'附表6-收入明细采集底稿'!H:H,"出租")</f>
        <v>0</v>
      </c>
      <c r="K6" s="484"/>
    </row>
    <row r="7" spans="1:11">
      <c r="A7" s="468"/>
      <c r="B7" s="470" t="s">
        <v>216</v>
      </c>
      <c r="C7" s="471">
        <v>3</v>
      </c>
      <c r="D7" s="472">
        <f>SUM(D8:D12)</f>
        <v>9810.77999999999</v>
      </c>
      <c r="E7" s="472">
        <f t="shared" ref="E7:J7" si="1">SUM(E8:E12)</f>
        <v>38.8</v>
      </c>
      <c r="F7" s="472">
        <f t="shared" si="1"/>
        <v>9771.97999999999</v>
      </c>
      <c r="G7" s="472">
        <f t="shared" si="1"/>
        <v>553.25</v>
      </c>
      <c r="H7" s="472">
        <f t="shared" si="1"/>
        <v>9218.72999999999</v>
      </c>
      <c r="I7" s="472">
        <f t="shared" si="1"/>
        <v>0</v>
      </c>
      <c r="J7" s="472">
        <f t="shared" si="1"/>
        <v>0</v>
      </c>
      <c r="K7" s="484"/>
    </row>
    <row r="8" spans="1:11">
      <c r="A8" s="468"/>
      <c r="B8" s="473" t="str">
        <f>"其中："&amp;数据对照表!A4</f>
        <v>其中：商业用房</v>
      </c>
      <c r="C8" s="471">
        <v>4</v>
      </c>
      <c r="D8" s="472">
        <f>SUMIFS('附表6-收入明细采集底稿'!P:P,'附表6-收入明细采集底稿'!G:G,数据对照表!A4)</f>
        <v>4143.3</v>
      </c>
      <c r="E8" s="472">
        <f>SUMIFS('附表6-收入明细采集底稿'!P:P,'附表6-收入明细采集底稿'!G:G,数据对照表!A4,'附表6-收入明细采集底稿'!H:H,"不可售")</f>
        <v>0</v>
      </c>
      <c r="F8" s="472">
        <f>SUM(SUMIFS('附表6-收入明细采集底稿'!P:P,'附表6-收入明细采集底稿'!G:G,数据对照表!A4,'附表6-收入明细采集底稿'!H:H,"已售"),SUMIFS('附表6-收入明细采集底稿'!P:P,'附表6-收入明细采集底稿'!G:G,数据对照表!A4,'附表6-收入明细采集底稿'!H:H,"出租"),SUMIFS('附表6-收入明细采集底稿'!P:P,'附表6-收入明细采集底稿'!G:G,数据对照表!A4,'附表6-收入明细采集底稿'!H:H,"自用"),SUMIFS('附表6-收入明细采集底稿'!P:P,'附表6-收入明细采集底稿'!G:G,数据对照表!A4,'附表6-收入明细采集底稿'!H:H,"未售"))</f>
        <v>4143.3</v>
      </c>
      <c r="G8" s="472">
        <f>SUMIFS('附表6-收入明细采集底稿'!P:P,'附表6-收入明细采集底稿'!G:G,数据对照表!A4,'附表6-收入明细采集底稿'!H:H,"已售")</f>
        <v>553.25</v>
      </c>
      <c r="H8" s="472">
        <f t="shared" si="0"/>
        <v>3590.05</v>
      </c>
      <c r="I8" s="472">
        <f>SUMIFS('附表6-收入明细采集底稿'!P:P,'附表6-收入明细采集底稿'!G:G,数据对照表!A4,'附表6-收入明细采集底稿'!H:H,"自用")</f>
        <v>0</v>
      </c>
      <c r="J8" s="472">
        <f>SUMIFS('附表6-收入明细采集底稿'!P:P,'附表6-收入明细采集底稿'!G:G,数据对照表!A4,'附表6-收入明细采集底稿'!H:H,"出租")</f>
        <v>0</v>
      </c>
      <c r="K8" s="484"/>
    </row>
    <row r="9" spans="1:11">
      <c r="A9" s="468"/>
      <c r="B9" s="473" t="str">
        <f>"      "&amp;数据对照表!A5</f>
        <v>      办公用房</v>
      </c>
      <c r="C9" s="471">
        <v>5</v>
      </c>
      <c r="D9" s="472">
        <f>SUMIFS('附表6-收入明细采集底稿'!P:P,'附表6-收入明细采集底稿'!G:G,数据对照表!A5)</f>
        <v>0</v>
      </c>
      <c r="E9" s="472">
        <f>SUMIFS('附表6-收入明细采集底稿'!P:P,'附表6-收入明细采集底稿'!G:G,数据对照表!A5,'附表6-收入明细采集底稿'!H:H,"不可售")</f>
        <v>0</v>
      </c>
      <c r="F9" s="472">
        <f>SUM(SUMIFS('附表6-收入明细采集底稿'!P:P,'附表6-收入明细采集底稿'!G:G,数据对照表!A5,'附表6-收入明细采集底稿'!H:H,"已售"),SUMIFS('附表6-收入明细采集底稿'!P:P,'附表6-收入明细采集底稿'!G:G,数据对照表!A5,'附表6-收入明细采集底稿'!H:H,"出租"),SUMIFS('附表6-收入明细采集底稿'!P:P,'附表6-收入明细采集底稿'!G:G,数据对照表!A5,'附表6-收入明细采集底稿'!H:H,"自用"),SUMIFS('附表6-收入明细采集底稿'!P:P,'附表6-收入明细采集底稿'!G:G,数据对照表!A5,'附表6-收入明细采集底稿'!H:H,"未售"))</f>
        <v>0</v>
      </c>
      <c r="G9" s="472">
        <f>SUMIFS('附表6-收入明细采集底稿'!P:P,'附表6-收入明细采集底稿'!G:G,数据对照表!A5,'附表6-收入明细采集底稿'!H:H,"已售")</f>
        <v>0</v>
      </c>
      <c r="H9" s="472">
        <f t="shared" si="0"/>
        <v>0</v>
      </c>
      <c r="I9" s="472">
        <f>SUMIFS('附表6-收入明细采集底稿'!P:P,'附表6-收入明细采集底稿'!G:G,数据对照表!A5,'附表6-收入明细采集底稿'!H:H,"自用")</f>
        <v>0</v>
      </c>
      <c r="J9" s="472">
        <f>SUMIFS('附表6-收入明细采集底稿'!P:P,'附表6-收入明细采集底稿'!G:G,数据对照表!A5,'附表6-收入明细采集底稿'!H:H,"出租")</f>
        <v>0</v>
      </c>
      <c r="K9" s="484"/>
    </row>
    <row r="10" spans="1:11">
      <c r="A10" s="468"/>
      <c r="B10" s="473" t="str">
        <f>"      "&amp;数据对照表!A6</f>
        <v>      车位车库</v>
      </c>
      <c r="C10" s="471">
        <v>6</v>
      </c>
      <c r="D10" s="472">
        <f>SUMIFS('附表6-收入明细采集底稿'!P:P,'附表6-收入明细采集底稿'!G:G,数据对照表!A6)</f>
        <v>0</v>
      </c>
      <c r="E10" s="472">
        <f>SUMIFS('附表6-收入明细采集底稿'!P:P,'附表6-收入明细采集底稿'!G:G,数据对照表!A6,'附表6-收入明细采集底稿'!H:H,"不可售")</f>
        <v>0</v>
      </c>
      <c r="F10" s="472">
        <f>SUM(SUMIFS('附表6-收入明细采集底稿'!P:P,'附表6-收入明细采集底稿'!G:G,数据对照表!A6,'附表6-收入明细采集底稿'!H:H,"已售"),SUMIFS('附表6-收入明细采集底稿'!P:P,'附表6-收入明细采集底稿'!G:G,数据对照表!A6,'附表6-收入明细采集底稿'!H:H,"出租"),SUMIFS('附表6-收入明细采集底稿'!P:P,'附表6-收入明细采集底稿'!G:G,数据对照表!A6,'附表6-收入明细采集底稿'!H:H,"自用"),SUMIFS('附表6-收入明细采集底稿'!P:P,'附表6-收入明细采集底稿'!G:G,数据对照表!A6,'附表6-收入明细采集底稿'!H:H,"未售"))</f>
        <v>0</v>
      </c>
      <c r="G10" s="472">
        <f>SUMIFS('附表6-收入明细采集底稿'!P:P,'附表6-收入明细采集底稿'!G:G,数据对照表!A6,'附表6-收入明细采集底稿'!H:H,"已售")</f>
        <v>0</v>
      </c>
      <c r="H10" s="472">
        <f t="shared" si="0"/>
        <v>0</v>
      </c>
      <c r="I10" s="472">
        <f>SUMIFS('附表6-收入明细采集底稿'!P:P,'附表6-收入明细采集底稿'!G:G,数据对照表!A6,'附表6-收入明细采集底稿'!H:H,"自用")</f>
        <v>0</v>
      </c>
      <c r="J10" s="472">
        <f>SUMIFS('附表6-收入明细采集底稿'!P:P,'附表6-收入明细采集底稿'!G:G,数据对照表!A6,'附表6-收入明细采集底稿'!H:H,"出租")</f>
        <v>0</v>
      </c>
      <c r="K10" s="484"/>
    </row>
    <row r="11" spans="1:11">
      <c r="A11" s="468"/>
      <c r="B11" s="473" t="str">
        <f>"      "&amp;数据对照表!A7</f>
        <v>      其他营业性房产</v>
      </c>
      <c r="C11" s="471">
        <v>7</v>
      </c>
      <c r="D11" s="472">
        <f>SUMIFS('附表6-收入明细采集底稿'!P:P,'附表6-收入明细采集底稿'!G:G,数据对照表!A7)</f>
        <v>5667.47999999999</v>
      </c>
      <c r="E11" s="472">
        <f>SUMIFS('附表6-收入明细采集底稿'!P:P,'附表6-收入明细采集底稿'!G:G,数据对照表!A7,'附表6-收入明细采集底稿'!H:H,"不可售")</f>
        <v>38.8</v>
      </c>
      <c r="F11" s="472">
        <f>SUM(SUMIFS('附表6-收入明细采集底稿'!P:P,'附表6-收入明细采集底稿'!G:G,数据对照表!A7,'附表6-收入明细采集底稿'!H:H,"已售"),SUMIFS('附表6-收入明细采集底稿'!P:P,'附表6-收入明细采集底稿'!G:G,数据对照表!A7,'附表6-收入明细采集底稿'!H:H,"出租"),SUMIFS('附表6-收入明细采集底稿'!P:P,'附表6-收入明细采集底稿'!G:G,数据对照表!A7,'附表6-收入明细采集底稿'!H:H,"自用"),SUMIFS('附表6-收入明细采集底稿'!P:P,'附表6-收入明细采集底稿'!G:G,数据对照表!A7,'附表6-收入明细采集底稿'!H:H,"未售"))</f>
        <v>5628.67999999999</v>
      </c>
      <c r="G11" s="472">
        <f>SUMIFS('附表6-收入明细采集底稿'!P:P,'附表6-收入明细采集底稿'!G:G,数据对照表!A7,'附表6-收入明细采集底稿'!H:H,"已售")</f>
        <v>0</v>
      </c>
      <c r="H11" s="472">
        <f t="shared" si="0"/>
        <v>5628.67999999999</v>
      </c>
      <c r="I11" s="472">
        <f>SUMIFS('附表6-收入明细采集底稿'!P:P,'附表6-收入明细采集底稿'!G:G,数据对照表!A7,'附表6-收入明细采集底稿'!H:H,"自用")</f>
        <v>0</v>
      </c>
      <c r="J11" s="472">
        <f>SUMIFS('附表6-收入明细采集底稿'!P:P,'附表6-收入明细采集底稿'!G:G,数据对照表!A7,'附表6-收入明细采集底稿'!H:H,"出租")</f>
        <v>0</v>
      </c>
      <c r="K11" s="484"/>
    </row>
    <row r="12" spans="1:11">
      <c r="A12" s="468"/>
      <c r="B12" s="473" t="str">
        <f>"      "&amp;"非营业性房产"</f>
        <v>      非营业性房产</v>
      </c>
      <c r="C12" s="471">
        <v>8</v>
      </c>
      <c r="D12" s="472">
        <f>SUM(D13:D28)</f>
        <v>0</v>
      </c>
      <c r="E12" s="472">
        <f t="shared" ref="E12:J12" si="2">SUM(E13:E28)</f>
        <v>0</v>
      </c>
      <c r="F12" s="472">
        <f t="shared" si="2"/>
        <v>0</v>
      </c>
      <c r="G12" s="472">
        <f t="shared" si="2"/>
        <v>0</v>
      </c>
      <c r="H12" s="472">
        <f t="shared" si="2"/>
        <v>0</v>
      </c>
      <c r="I12" s="472">
        <f t="shared" si="2"/>
        <v>0</v>
      </c>
      <c r="J12" s="472">
        <f t="shared" si="2"/>
        <v>0</v>
      </c>
      <c r="K12" s="484"/>
    </row>
    <row r="13" spans="1:11">
      <c r="A13" s="468"/>
      <c r="B13" s="474" t="str">
        <f>"      其中："&amp;数据对照表!A8</f>
        <v>      其中：居委会用房</v>
      </c>
      <c r="C13" s="471">
        <v>9</v>
      </c>
      <c r="D13" s="472">
        <f>SUMIFS('附表6-收入明细采集底稿'!P:P,'附表6-收入明细采集底稿'!G:G,数据对照表!A8)</f>
        <v>0</v>
      </c>
      <c r="E13" s="472">
        <f>SUMIFS('附表6-收入明细采集底稿'!P:P,'附表6-收入明细采集底稿'!G:G,数据对照表!A8,'附表6-收入明细采集底稿'!H:H,"不可售")</f>
        <v>0</v>
      </c>
      <c r="F13" s="472">
        <f>SUM(SUMIFS('附表6-收入明细采集底稿'!P:P,'附表6-收入明细采集底稿'!G:G,数据对照表!A8,'附表6-收入明细采集底稿'!H:H,"已售"),SUMIFS('附表6-收入明细采集底稿'!P:P,'附表6-收入明细采集底稿'!G:G,数据对照表!A8,'附表6-收入明细采集底稿'!H:H,"出租"),SUMIFS('附表6-收入明细采集底稿'!P:P,'附表6-收入明细采集底稿'!G:G,数据对照表!A8,'附表6-收入明细采集底稿'!H:H,"自用"),SUMIFS('附表6-收入明细采集底稿'!P:P,'附表6-收入明细采集底稿'!G:G,数据对照表!A8,'附表6-收入明细采集底稿'!H:H,"未售"))</f>
        <v>0</v>
      </c>
      <c r="G13" s="472">
        <f>SUMIFS('附表6-收入明细采集底稿'!P:P,'附表6-收入明细采集底稿'!G:G,数据对照表!A8,'附表6-收入明细采集底稿'!H:H,"已售")</f>
        <v>0</v>
      </c>
      <c r="H13" s="472">
        <f t="shared" ref="H13:H17" si="3">F13-G13</f>
        <v>0</v>
      </c>
      <c r="I13" s="472">
        <f>SUMIFS('附表6-收入明细采集底稿'!P:P,'附表6-收入明细采集底稿'!G:G,数据对照表!A8,'附表6-收入明细采集底稿'!H:H,"自用")</f>
        <v>0</v>
      </c>
      <c r="J13" s="472">
        <f>SUMIFS('附表6-收入明细采集底稿'!P:P,'附表6-收入明细采集底稿'!G:G,数据对照表!A8,'附表6-收入明细采集底稿'!H:H,"出租")</f>
        <v>0</v>
      </c>
      <c r="K13" s="484"/>
    </row>
    <row r="14" spans="1:11">
      <c r="A14" s="468"/>
      <c r="B14" s="474" t="str">
        <f>"            "&amp;数据对照表!A9</f>
        <v>            派出所用房</v>
      </c>
      <c r="C14" s="471">
        <v>10</v>
      </c>
      <c r="D14" s="472">
        <f>SUMIFS('附表6-收入明细采集底稿'!P:P,'附表6-收入明细采集底稿'!G:G,数据对照表!A9)</f>
        <v>0</v>
      </c>
      <c r="E14" s="472">
        <f>SUMIFS('附表6-收入明细采集底稿'!P:P,'附表6-收入明细采集底稿'!G:G,数据对照表!A9,'附表6-收入明细采集底稿'!H:H,"不可售")</f>
        <v>0</v>
      </c>
      <c r="F14" s="472">
        <f>SUM(SUMIFS('附表6-收入明细采集底稿'!P:P,'附表6-收入明细采集底稿'!G:G,数据对照表!A9,'附表6-收入明细采集底稿'!H:H,"已售"),SUMIFS('附表6-收入明细采集底稿'!P:P,'附表6-收入明细采集底稿'!G:G,数据对照表!A9,'附表6-收入明细采集底稿'!H:H,"出租"),SUMIFS('附表6-收入明细采集底稿'!P:P,'附表6-收入明细采集底稿'!G:G,数据对照表!A9,'附表6-收入明细采集底稿'!H:H,"自用"),SUMIFS('附表6-收入明细采集底稿'!P:P,'附表6-收入明细采集底稿'!G:G,数据对照表!A9,'附表6-收入明细采集底稿'!H:H,"未售"))</f>
        <v>0</v>
      </c>
      <c r="G14" s="472">
        <f>SUMIFS('附表6-收入明细采集底稿'!P:P,'附表6-收入明细采集底稿'!G:G,数据对照表!A9,'附表6-收入明细采集底稿'!H:H,"已售")</f>
        <v>0</v>
      </c>
      <c r="H14" s="472">
        <f t="shared" si="3"/>
        <v>0</v>
      </c>
      <c r="I14" s="472">
        <f>SUMIFS('附表6-收入明细采集底稿'!P:P,'附表6-收入明细采集底稿'!G:G,数据对照表!A9,'附表6-收入明细采集底稿'!H:H,"自用")</f>
        <v>0</v>
      </c>
      <c r="J14" s="472">
        <f>SUMIFS('附表6-收入明细采集底稿'!P:P,'附表6-收入明细采集底稿'!G:G,数据对照表!A9,'附表6-收入明细采集底稿'!H:H,"出租")</f>
        <v>0</v>
      </c>
      <c r="K14" s="484"/>
    </row>
    <row r="15" spans="1:11">
      <c r="A15" s="468"/>
      <c r="B15" s="474" t="str">
        <f>"            "&amp;数据对照表!A10</f>
        <v>            会所</v>
      </c>
      <c r="C15" s="471">
        <v>11</v>
      </c>
      <c r="D15" s="472">
        <f>SUMIFS('附表6-收入明细采集底稿'!P:P,'附表6-收入明细采集底稿'!G:G,数据对照表!A10)</f>
        <v>0</v>
      </c>
      <c r="E15" s="472">
        <f>SUMIFS('附表6-收入明细采集底稿'!P:P,'附表6-收入明细采集底稿'!G:G,数据对照表!A10,'附表6-收入明细采集底稿'!H:H,"不可售")</f>
        <v>0</v>
      </c>
      <c r="F15" s="472">
        <f>SUM(SUMIFS('附表6-收入明细采集底稿'!P:P,'附表6-收入明细采集底稿'!G:G,数据对照表!A10,'附表6-收入明细采集底稿'!H:H,"已售"),SUMIFS('附表6-收入明细采集底稿'!P:P,'附表6-收入明细采集底稿'!G:G,数据对照表!A10,'附表6-收入明细采集底稿'!H:H,"出租"),SUMIFS('附表6-收入明细采集底稿'!P:P,'附表6-收入明细采集底稿'!G:G,数据对照表!A10,'附表6-收入明细采集底稿'!H:H,"自用"),SUMIFS('附表6-收入明细采集底稿'!P:P,'附表6-收入明细采集底稿'!G:G,数据对照表!A10,'附表6-收入明细采集底稿'!H:H,"未售"))</f>
        <v>0</v>
      </c>
      <c r="G15" s="472">
        <f>SUMIFS('附表6-收入明细采集底稿'!P:P,'附表6-收入明细采集底稿'!G:G,数据对照表!A10,'附表6-收入明细采集底稿'!H:H,"已售")</f>
        <v>0</v>
      </c>
      <c r="H15" s="472">
        <f t="shared" si="3"/>
        <v>0</v>
      </c>
      <c r="I15" s="472">
        <f>SUMIFS('附表6-收入明细采集底稿'!P:P,'附表6-收入明细采集底稿'!G:G,数据对照表!A10,'附表6-收入明细采集底稿'!H:H,"自用")</f>
        <v>0</v>
      </c>
      <c r="J15" s="472">
        <f>SUMIFS('附表6-收入明细采集底稿'!P:P,'附表6-收入明细采集底稿'!G:G,数据对照表!A10,'附表6-收入明细采集底稿'!H:H,"出租")</f>
        <v>0</v>
      </c>
      <c r="K15" s="484"/>
    </row>
    <row r="16" spans="1:11">
      <c r="A16" s="468"/>
      <c r="B16" s="474" t="str">
        <f>"            "&amp;数据对照表!A11</f>
        <v>            非机动车库（场）</v>
      </c>
      <c r="C16" s="471">
        <v>12</v>
      </c>
      <c r="D16" s="472">
        <f>SUMIFS('附表6-收入明细采集底稿'!P:P,'附表6-收入明细采集底稿'!G:G,数据对照表!A11)</f>
        <v>0</v>
      </c>
      <c r="E16" s="472">
        <f>SUMIFS('附表6-收入明细采集底稿'!P:P,'附表6-收入明细采集底稿'!G:G,数据对照表!A11,'附表6-收入明细采集底稿'!H:H,"不可售")</f>
        <v>0</v>
      </c>
      <c r="F16" s="472">
        <f>SUM(SUMIFS('附表6-收入明细采集底稿'!P:P,'附表6-收入明细采集底稿'!G:G,数据对照表!A11,'附表6-收入明细采集底稿'!H:H,"已售"),SUMIFS('附表6-收入明细采集底稿'!P:P,'附表6-收入明细采集底稿'!G:G,数据对照表!A11,'附表6-收入明细采集底稿'!H:H,"出租"),SUMIFS('附表6-收入明细采集底稿'!P:P,'附表6-收入明细采集底稿'!G:G,数据对照表!A11,'附表6-收入明细采集底稿'!H:H,"自用"),SUMIFS('附表6-收入明细采集底稿'!P:P,'附表6-收入明细采集底稿'!G:G,数据对照表!A11,'附表6-收入明细采集底稿'!H:H,"未售"))</f>
        <v>0</v>
      </c>
      <c r="G16" s="472">
        <f>SUMIFS('附表6-收入明细采集底稿'!P:P,'附表6-收入明细采集底稿'!G:G,数据对照表!A11,'附表6-收入明细采集底稿'!H:H,"已售")</f>
        <v>0</v>
      </c>
      <c r="H16" s="472">
        <f t="shared" si="3"/>
        <v>0</v>
      </c>
      <c r="I16" s="472">
        <f>SUMIFS('附表6-收入明细采集底稿'!P:P,'附表6-收入明细采集底稿'!G:G,数据对照表!A11,'附表6-收入明细采集底稿'!H:H,"自用")</f>
        <v>0</v>
      </c>
      <c r="J16" s="472">
        <f>SUMIFS('附表6-收入明细采集底稿'!P:P,'附表6-收入明细采集底稿'!G:G,数据对照表!A11,'附表6-收入明细采集底稿'!H:H,"出租")</f>
        <v>0</v>
      </c>
      <c r="K16" s="484"/>
    </row>
    <row r="17" spans="1:11">
      <c r="A17" s="468"/>
      <c r="B17" s="474" t="str">
        <f>"            "&amp;数据对照表!A12</f>
        <v>            地下人防设施</v>
      </c>
      <c r="C17" s="471">
        <v>13</v>
      </c>
      <c r="D17" s="472">
        <f>SUMIFS('附表6-收入明细采集底稿'!P:P,'附表6-收入明细采集底稿'!G:G,数据对照表!A12)</f>
        <v>0</v>
      </c>
      <c r="E17" s="472">
        <f>SUMIFS('附表6-收入明细采集底稿'!P:P,'附表6-收入明细采集底稿'!G:G,数据对照表!A12,'附表6-收入明细采集底稿'!H:H,"不可售")</f>
        <v>0</v>
      </c>
      <c r="F17" s="472">
        <f>SUM(SUMIFS('附表6-收入明细采集底稿'!P:P,'附表6-收入明细采集底稿'!G:G,数据对照表!A12,'附表6-收入明细采集底稿'!H:H,"已售"),SUMIFS('附表6-收入明细采集底稿'!P:P,'附表6-收入明细采集底稿'!G:G,数据对照表!A12,'附表6-收入明细采集底稿'!H:H,"出租"),SUMIFS('附表6-收入明细采集底稿'!P:P,'附表6-收入明细采集底稿'!G:G,数据对照表!A12,'附表6-收入明细采集底稿'!H:H,"自用"),SUMIFS('附表6-收入明细采集底稿'!P:P,'附表6-收入明细采集底稿'!G:G,数据对照表!A12,'附表6-收入明细采集底稿'!H:H,"未售"))</f>
        <v>0</v>
      </c>
      <c r="G17" s="472">
        <f>SUMIFS('附表6-收入明细采集底稿'!P:P,'附表6-收入明细采集底稿'!G:G,数据对照表!A12,'附表6-收入明细采集底稿'!H:H,"已售")</f>
        <v>0</v>
      </c>
      <c r="H17" s="472">
        <f t="shared" si="3"/>
        <v>0</v>
      </c>
      <c r="I17" s="472">
        <f>SUMIFS('附表6-收入明细采集底稿'!P:P,'附表6-收入明细采集底稿'!G:G,数据对照表!A12,'附表6-收入明细采集底稿'!H:H,"自用")</f>
        <v>0</v>
      </c>
      <c r="J17" s="472">
        <f>SUMIFS('附表6-收入明细采集底稿'!P:P,'附表6-收入明细采集底稿'!G:G,数据对照表!A12,'附表6-收入明细采集底稿'!H:H,"出租")</f>
        <v>0</v>
      </c>
      <c r="K17" s="484"/>
    </row>
    <row r="18" spans="1:11">
      <c r="A18" s="468"/>
      <c r="B18" s="474" t="str">
        <f>"            "&amp;数据对照表!A13</f>
        <v>            物业管理场所</v>
      </c>
      <c r="C18" s="471">
        <v>14</v>
      </c>
      <c r="D18" s="472">
        <f>SUMIFS('附表6-收入明细采集底稿'!P:P,'附表6-收入明细采集底稿'!G:G,数据对照表!A13)</f>
        <v>0</v>
      </c>
      <c r="E18" s="472">
        <f>SUMIFS('附表6-收入明细采集底稿'!P:P,'附表6-收入明细采集底稿'!G:G,数据对照表!A13,'附表6-收入明细采集底稿'!H:H,"不可售")</f>
        <v>0</v>
      </c>
      <c r="F18" s="472">
        <f>SUM(SUMIFS('附表6-收入明细采集底稿'!P:P,'附表6-收入明细采集底稿'!G:G,数据对照表!A13,'附表6-收入明细采集底稿'!H:H,"已售"),SUMIFS('附表6-收入明细采集底稿'!P:P,'附表6-收入明细采集底稿'!G:G,数据对照表!A13,'附表6-收入明细采集底稿'!H:H,"出租"),SUMIFS('附表6-收入明细采集底稿'!P:P,'附表6-收入明细采集底稿'!G:G,数据对照表!A13,'附表6-收入明细采集底稿'!H:H,"自用"),SUMIFS('附表6-收入明细采集底稿'!P:P,'附表6-收入明细采集底稿'!G:G,数据对照表!A13,'附表6-收入明细采集底稿'!H:H,"未售"))</f>
        <v>0</v>
      </c>
      <c r="G18" s="472">
        <f>SUMIFS('附表6-收入明细采集底稿'!P:P,'附表6-收入明细采集底稿'!G:G,数据对照表!A13,'附表6-收入明细采集底稿'!H:H,"已售")</f>
        <v>0</v>
      </c>
      <c r="H18" s="472">
        <f t="shared" ref="H18:H28" si="4">F18-G18</f>
        <v>0</v>
      </c>
      <c r="I18" s="472">
        <f>SUMIFS('附表6-收入明细采集底稿'!P:P,'附表6-收入明细采集底稿'!G:G,数据对照表!A13,'附表6-收入明细采集底稿'!H:H,"自用")</f>
        <v>0</v>
      </c>
      <c r="J18" s="472">
        <f>SUMIFS('附表6-收入明细采集底稿'!P:P,'附表6-收入明细采集底稿'!G:G,数据对照表!A13,'附表6-收入明细采集底稿'!H:H,"出租")</f>
        <v>0</v>
      </c>
      <c r="K18" s="484"/>
    </row>
    <row r="19" spans="1:11">
      <c r="A19" s="468"/>
      <c r="B19" s="474" t="str">
        <f>"            "&amp;数据对照表!A14</f>
        <v>            变电站</v>
      </c>
      <c r="C19" s="471">
        <v>15</v>
      </c>
      <c r="D19" s="472">
        <f>SUMIFS('附表6-收入明细采集底稿'!P:P,'附表6-收入明细采集底稿'!G:G,数据对照表!A14)</f>
        <v>0</v>
      </c>
      <c r="E19" s="472">
        <f>SUMIFS('附表6-收入明细采集底稿'!P:P,'附表6-收入明细采集底稿'!G:G,数据对照表!A14,'附表6-收入明细采集底稿'!H:H,"不可售")</f>
        <v>0</v>
      </c>
      <c r="F19" s="472">
        <f>SUM(SUMIFS('附表6-收入明细采集底稿'!P:P,'附表6-收入明细采集底稿'!G:G,数据对照表!A14,'附表6-收入明细采集底稿'!H:H,"已售"),SUMIFS('附表6-收入明细采集底稿'!P:P,'附表6-收入明细采集底稿'!G:G,数据对照表!A14,'附表6-收入明细采集底稿'!H:H,"出租"),SUMIFS('附表6-收入明细采集底稿'!P:P,'附表6-收入明细采集底稿'!G:G,数据对照表!A14,'附表6-收入明细采集底稿'!H:H,"自用"),SUMIFS('附表6-收入明细采集底稿'!P:P,'附表6-收入明细采集底稿'!G:G,数据对照表!A14,'附表6-收入明细采集底稿'!H:H,"未售"))</f>
        <v>0</v>
      </c>
      <c r="G19" s="472">
        <f>SUMIFS('附表6-收入明细采集底稿'!P:P,'附表6-收入明细采集底稿'!G:G,数据对照表!A14,'附表6-收入明细采集底稿'!H:H,"已售")</f>
        <v>0</v>
      </c>
      <c r="H19" s="472">
        <f t="shared" si="4"/>
        <v>0</v>
      </c>
      <c r="I19" s="472">
        <f>SUMIFS('附表6-收入明细采集底稿'!P:P,'附表6-收入明细采集底稿'!G:G,数据对照表!A14,'附表6-收入明细采集底稿'!H:H,"自用")</f>
        <v>0</v>
      </c>
      <c r="J19" s="472">
        <f>SUMIFS('附表6-收入明细采集底稿'!P:P,'附表6-收入明细采集底稿'!G:G,数据对照表!A14,'附表6-收入明细采集底稿'!H:H,"出租")</f>
        <v>0</v>
      </c>
      <c r="K19" s="484"/>
    </row>
    <row r="20" spans="1:11">
      <c r="A20" s="468"/>
      <c r="B20" s="474" t="str">
        <f>"            "&amp;数据对照表!A15</f>
        <v>            热力站</v>
      </c>
      <c r="C20" s="471">
        <v>16</v>
      </c>
      <c r="D20" s="472">
        <f>SUMIFS('附表6-收入明细采集底稿'!P:P,'附表6-收入明细采集底稿'!G:G,数据对照表!A15)</f>
        <v>0</v>
      </c>
      <c r="E20" s="472">
        <f>SUMIFS('附表6-收入明细采集底稿'!P:P,'附表6-收入明细采集底稿'!G:G,数据对照表!A15,'附表6-收入明细采集底稿'!H:H,"不可售")</f>
        <v>0</v>
      </c>
      <c r="F20" s="472">
        <f>SUM(SUMIFS('附表6-收入明细采集底稿'!P:P,'附表6-收入明细采集底稿'!G:G,数据对照表!A15,'附表6-收入明细采集底稿'!H:H,"已售"),SUMIFS('附表6-收入明细采集底稿'!P:P,'附表6-收入明细采集底稿'!G:G,数据对照表!A15,'附表6-收入明细采集底稿'!H:H,"出租"),SUMIFS('附表6-收入明细采集底稿'!P:P,'附表6-收入明细采集底稿'!G:G,数据对照表!A15,'附表6-收入明细采集底稿'!H:H,"自用"),SUMIFS('附表6-收入明细采集底稿'!P:P,'附表6-收入明细采集底稿'!G:G,数据对照表!A15,'附表6-收入明细采集底稿'!H:H,"未售"))</f>
        <v>0</v>
      </c>
      <c r="G20" s="472">
        <f>SUMIFS('附表6-收入明细采集底稿'!P:P,'附表6-收入明细采集底稿'!G:G,数据对照表!A15,'附表6-收入明细采集底稿'!H:H,"已售")</f>
        <v>0</v>
      </c>
      <c r="H20" s="472">
        <f t="shared" si="4"/>
        <v>0</v>
      </c>
      <c r="I20" s="472">
        <f>SUMIFS('附表6-收入明细采集底稿'!P:P,'附表6-收入明细采集底稿'!G:G,数据对照表!A15,'附表6-收入明细采集底稿'!H:H,"自用")</f>
        <v>0</v>
      </c>
      <c r="J20" s="472">
        <f>SUMIFS('附表6-收入明细采集底稿'!P:P,'附表6-收入明细采集底稿'!G:G,数据对照表!A15,'附表6-收入明细采集底稿'!H:H,"出租")</f>
        <v>0</v>
      </c>
      <c r="K20" s="484"/>
    </row>
    <row r="21" spans="1:11">
      <c r="A21" s="468"/>
      <c r="B21" s="474" t="str">
        <f>"            "&amp;数据对照表!A16</f>
        <v>            水厂</v>
      </c>
      <c r="C21" s="471">
        <v>17</v>
      </c>
      <c r="D21" s="472">
        <f>SUMIFS('附表6-收入明细采集底稿'!P:P,'附表6-收入明细采集底稿'!G:G,数据对照表!A16)</f>
        <v>0</v>
      </c>
      <c r="E21" s="472">
        <f>SUMIFS('附表6-收入明细采集底稿'!P:P,'附表6-收入明细采集底稿'!G:G,数据对照表!A16,'附表6-收入明细采集底稿'!H:H,"不可售")</f>
        <v>0</v>
      </c>
      <c r="F21" s="472">
        <f>SUM(SUMIFS('附表6-收入明细采集底稿'!P:P,'附表6-收入明细采集底稿'!G:G,数据对照表!A16,'附表6-收入明细采集底稿'!H:H,"已售"),SUMIFS('附表6-收入明细采集底稿'!P:P,'附表6-收入明细采集底稿'!G:G,数据对照表!A16,'附表6-收入明细采集底稿'!H:H,"出租"),SUMIFS('附表6-收入明细采集底稿'!P:P,'附表6-收入明细采集底稿'!G:G,数据对照表!A16,'附表6-收入明细采集底稿'!H:H,"自用"),SUMIFS('附表6-收入明细采集底稿'!P:P,'附表6-收入明细采集底稿'!G:G,数据对照表!A16,'附表6-收入明细采集底稿'!H:H,"未售"))</f>
        <v>0</v>
      </c>
      <c r="G21" s="472">
        <f>SUMIFS('附表6-收入明细采集底稿'!P:P,'附表6-收入明细采集底稿'!G:G,数据对照表!A16,'附表6-收入明细采集底稿'!H:H,"已售")</f>
        <v>0</v>
      </c>
      <c r="H21" s="472">
        <f t="shared" si="4"/>
        <v>0</v>
      </c>
      <c r="I21" s="472">
        <f>SUMIFS('附表6-收入明细采集底稿'!P:P,'附表6-收入明细采集底稿'!G:G,数据对照表!A16,'附表6-收入明细采集底稿'!H:H,"自用")</f>
        <v>0</v>
      </c>
      <c r="J21" s="472">
        <f>SUMIFS('附表6-收入明细采集底稿'!P:P,'附表6-收入明细采集底稿'!G:G,数据对照表!A16,'附表6-收入明细采集底稿'!H:H,"出租")</f>
        <v>0</v>
      </c>
      <c r="K21" s="484"/>
    </row>
    <row r="22" spans="1:11">
      <c r="A22" s="468"/>
      <c r="B22" s="474" t="str">
        <f>"            "&amp;数据对照表!A17</f>
        <v>            文体场馆</v>
      </c>
      <c r="C22" s="471">
        <v>18</v>
      </c>
      <c r="D22" s="472">
        <f>SUMIFS('附表6-收入明细采集底稿'!P:P,'附表6-收入明细采集底稿'!G:G,数据对照表!A17)</f>
        <v>0</v>
      </c>
      <c r="E22" s="472">
        <f>SUMIFS('附表6-收入明细采集底稿'!P:P,'附表6-收入明细采集底稿'!G:G,数据对照表!A17,'附表6-收入明细采集底稿'!H:H,"不可售")</f>
        <v>0</v>
      </c>
      <c r="F22" s="472">
        <f>SUM(SUMIFS('附表6-收入明细采集底稿'!P:P,'附表6-收入明细采集底稿'!G:G,数据对照表!A17,'附表6-收入明细采集底稿'!H:H,"已售"),SUMIFS('附表6-收入明细采集底稿'!P:P,'附表6-收入明细采集底稿'!G:G,数据对照表!A17,'附表6-收入明细采集底稿'!H:H,"出租"),SUMIFS('附表6-收入明细采集底稿'!P:P,'附表6-收入明细采集底稿'!G:G,数据对照表!A17,'附表6-收入明细采集底稿'!H:H,"自用"),SUMIFS('附表6-收入明细采集底稿'!P:P,'附表6-收入明细采集底稿'!G:G,数据对照表!A17,'附表6-收入明细采集底稿'!H:H,"未售"))</f>
        <v>0</v>
      </c>
      <c r="G22" s="472">
        <f>SUMIFS('附表6-收入明细采集底稿'!P:P,'附表6-收入明细采集底稿'!G:G,数据对照表!A17,'附表6-收入明细采集底稿'!H:H,"已售")</f>
        <v>0</v>
      </c>
      <c r="H22" s="472">
        <f t="shared" si="4"/>
        <v>0</v>
      </c>
      <c r="I22" s="472">
        <f>SUMIFS('附表6-收入明细采集底稿'!P:P,'附表6-收入明细采集底稿'!G:G,数据对照表!A17,'附表6-收入明细采集底稿'!H:H,"自用")</f>
        <v>0</v>
      </c>
      <c r="J22" s="472">
        <f>SUMIFS('附表6-收入明细采集底稿'!P:P,'附表6-收入明细采集底稿'!G:G,数据对照表!A17,'附表6-收入明细采集底稿'!H:H,"出租")</f>
        <v>0</v>
      </c>
      <c r="K22" s="484"/>
    </row>
    <row r="23" spans="1:11">
      <c r="A23" s="468"/>
      <c r="B23" s="474" t="str">
        <f>"            "&amp;数据对照表!A18</f>
        <v>            学校</v>
      </c>
      <c r="C23" s="471">
        <v>19</v>
      </c>
      <c r="D23" s="472">
        <f>SUMIFS('附表6-收入明细采集底稿'!P:P,'附表6-收入明细采集底稿'!G:G,数据对照表!A18)</f>
        <v>0</v>
      </c>
      <c r="E23" s="472">
        <f>SUMIFS('附表6-收入明细采集底稿'!P:P,'附表6-收入明细采集底稿'!G:G,数据对照表!A18,'附表6-收入明细采集底稿'!H:H,"不可售")</f>
        <v>0</v>
      </c>
      <c r="F23" s="472">
        <f>SUM(SUMIFS('附表6-收入明细采集底稿'!P:P,'附表6-收入明细采集底稿'!G:G,数据对照表!A18,'附表6-收入明细采集底稿'!H:H,"已售"),SUMIFS('附表6-收入明细采集底稿'!P:P,'附表6-收入明细采集底稿'!G:G,数据对照表!A18,'附表6-收入明细采集底稿'!H:H,"出租"),SUMIFS('附表6-收入明细采集底稿'!P:P,'附表6-收入明细采集底稿'!G:G,数据对照表!A18,'附表6-收入明细采集底稿'!H:H,"自用"),SUMIFS('附表6-收入明细采集底稿'!P:P,'附表6-收入明细采集底稿'!G:G,数据对照表!A18,'附表6-收入明细采集底稿'!H:H,"未售"))</f>
        <v>0</v>
      </c>
      <c r="G23" s="472">
        <f>SUMIFS('附表6-收入明细采集底稿'!P:P,'附表6-收入明细采集底稿'!G:G,数据对照表!A18,'附表6-收入明细采集底稿'!H:H,"已售")</f>
        <v>0</v>
      </c>
      <c r="H23" s="472">
        <f t="shared" si="4"/>
        <v>0</v>
      </c>
      <c r="I23" s="472">
        <f>SUMIFS('附表6-收入明细采集底稿'!P:P,'附表6-收入明细采集底稿'!G:G,数据对照表!A18,'附表6-收入明细采集底稿'!H:H,"自用")</f>
        <v>0</v>
      </c>
      <c r="J23" s="472">
        <f>SUMIFS('附表6-收入明细采集底稿'!P:P,'附表6-收入明细采集底稿'!G:G,数据对照表!A18,'附表6-收入明细采集底稿'!H:H,"出租")</f>
        <v>0</v>
      </c>
      <c r="K23" s="484"/>
    </row>
    <row r="24" spans="1:11">
      <c r="A24" s="468"/>
      <c r="B24" s="474" t="str">
        <f>"            "&amp;数据对照表!A19</f>
        <v>            幼儿园</v>
      </c>
      <c r="C24" s="471">
        <v>20</v>
      </c>
      <c r="D24" s="472">
        <f>SUMIFS('附表6-收入明细采集底稿'!P:P,'附表6-收入明细采集底稿'!G:G,数据对照表!A19)</f>
        <v>0</v>
      </c>
      <c r="E24" s="472">
        <f>SUMIFS('附表6-收入明细采集底稿'!P:P,'附表6-收入明细采集底稿'!G:G,数据对照表!A19,'附表6-收入明细采集底稿'!H:H,"不可售")</f>
        <v>0</v>
      </c>
      <c r="F24" s="472">
        <f>SUM(SUMIFS('附表6-收入明细采集底稿'!P:P,'附表6-收入明细采集底稿'!G:G,数据对照表!A19,'附表6-收入明细采集底稿'!H:H,"已售"),SUMIFS('附表6-收入明细采集底稿'!P:P,'附表6-收入明细采集底稿'!G:G,数据对照表!A19,'附表6-收入明细采集底稿'!H:H,"出租"),SUMIFS('附表6-收入明细采集底稿'!P:P,'附表6-收入明细采集底稿'!G:G,数据对照表!A19,'附表6-收入明细采集底稿'!H:H,"自用"),SUMIFS('附表6-收入明细采集底稿'!P:P,'附表6-收入明细采集底稿'!G:G,数据对照表!A19,'附表6-收入明细采集底稿'!H:H,"未售"))</f>
        <v>0</v>
      </c>
      <c r="G24" s="472">
        <f>SUMIFS('附表6-收入明细采集底稿'!P:P,'附表6-收入明细采集底稿'!G:G,数据对照表!A19,'附表6-收入明细采集底稿'!H:H,"已售")</f>
        <v>0</v>
      </c>
      <c r="H24" s="472">
        <f t="shared" si="4"/>
        <v>0</v>
      </c>
      <c r="I24" s="472">
        <f>SUMIFS('附表6-收入明细采集底稿'!P:P,'附表6-收入明细采集底稿'!G:G,数据对照表!A19,'附表6-收入明细采集底稿'!H:H,"自用")</f>
        <v>0</v>
      </c>
      <c r="J24" s="472">
        <f>SUMIFS('附表6-收入明细采集底稿'!P:P,'附表6-收入明细采集底稿'!G:G,数据对照表!A19,'附表6-收入明细采集底稿'!H:H,"出租")</f>
        <v>0</v>
      </c>
      <c r="K24" s="484"/>
    </row>
    <row r="25" spans="1:11">
      <c r="A25" s="468"/>
      <c r="B25" s="474" t="str">
        <f>"            "&amp;数据对照表!A20</f>
        <v>            托儿所</v>
      </c>
      <c r="C25" s="471">
        <v>21</v>
      </c>
      <c r="D25" s="472">
        <f>SUMIFS('附表6-收入明细采集底稿'!P:P,'附表6-收入明细采集底稿'!G:G,数据对照表!A20)</f>
        <v>0</v>
      </c>
      <c r="E25" s="472">
        <f>SUMIFS('附表6-收入明细采集底稿'!P:P,'附表6-收入明细采集底稿'!G:G,数据对照表!A20,'附表6-收入明细采集底稿'!H:H,"不可售")</f>
        <v>0</v>
      </c>
      <c r="F25" s="472">
        <f>SUM(SUMIFS('附表6-收入明细采集底稿'!P:P,'附表6-收入明细采集底稿'!G:G,数据对照表!A20,'附表6-收入明细采集底稿'!H:H,"已售"),SUMIFS('附表6-收入明细采集底稿'!P:P,'附表6-收入明细采集底稿'!G:G,数据对照表!A20,'附表6-收入明细采集底稿'!H:H,"出租"),SUMIFS('附表6-收入明细采集底稿'!P:P,'附表6-收入明细采集底稿'!G:G,数据对照表!A20,'附表6-收入明细采集底稿'!H:H,"自用"),SUMIFS('附表6-收入明细采集底稿'!P:P,'附表6-收入明细采集底稿'!G:G,数据对照表!A20,'附表6-收入明细采集底稿'!H:H,"未售"))</f>
        <v>0</v>
      </c>
      <c r="G25" s="472">
        <f>SUMIFS('附表6-收入明细采集底稿'!P:P,'附表6-收入明细采集底稿'!G:G,数据对照表!A20,'附表6-收入明细采集底稿'!H:H,"已售")</f>
        <v>0</v>
      </c>
      <c r="H25" s="472">
        <f t="shared" si="4"/>
        <v>0</v>
      </c>
      <c r="I25" s="472">
        <f>SUMIFS('附表6-收入明细采集底稿'!P:P,'附表6-收入明细采集底稿'!G:G,数据对照表!A20,'附表6-收入明细采集底稿'!H:H,"自用")</f>
        <v>0</v>
      </c>
      <c r="J25" s="472">
        <f>SUMIFS('附表6-收入明细采集底稿'!P:P,'附表6-收入明细采集底稿'!G:G,数据对照表!A20,'附表6-收入明细采集底稿'!H:H,"出租")</f>
        <v>0</v>
      </c>
      <c r="K25" s="484"/>
    </row>
    <row r="26" spans="1:11">
      <c r="A26" s="468"/>
      <c r="B26" s="474" t="str">
        <f>"            "&amp;数据对照表!A21</f>
        <v>            医院</v>
      </c>
      <c r="C26" s="471">
        <v>22</v>
      </c>
      <c r="D26" s="472">
        <f>SUMIFS('附表6-收入明细采集底稿'!P:P,'附表6-收入明细采集底稿'!G:G,数据对照表!A21)</f>
        <v>0</v>
      </c>
      <c r="E26" s="472">
        <f>SUMIFS('附表6-收入明细采集底稿'!P:P,'附表6-收入明细采集底稿'!G:G,数据对照表!A21,'附表6-收入明细采集底稿'!H:H,"不可售")</f>
        <v>0</v>
      </c>
      <c r="F26" s="472">
        <f>SUM(SUMIFS('附表6-收入明细采集底稿'!P:P,'附表6-收入明细采集底稿'!G:G,数据对照表!A21,'附表6-收入明细采集底稿'!H:H,"已售"),SUMIFS('附表6-收入明细采集底稿'!P:P,'附表6-收入明细采集底稿'!G:G,数据对照表!A21,'附表6-收入明细采集底稿'!H:H,"出租"),SUMIFS('附表6-收入明细采集底稿'!P:P,'附表6-收入明细采集底稿'!G:G,数据对照表!A21,'附表6-收入明细采集底稿'!H:H,"自用"),SUMIFS('附表6-收入明细采集底稿'!P:P,'附表6-收入明细采集底稿'!G:G,数据对照表!A21,'附表6-收入明细采集底稿'!H:H,"未售"))</f>
        <v>0</v>
      </c>
      <c r="G26" s="472">
        <f>SUMIFS('附表6-收入明细采集底稿'!P:P,'附表6-收入明细采集底稿'!G:G,数据对照表!A21,'附表6-收入明细采集底稿'!H:H,"已售")</f>
        <v>0</v>
      </c>
      <c r="H26" s="472">
        <f t="shared" si="4"/>
        <v>0</v>
      </c>
      <c r="I26" s="472">
        <f>SUMIFS('附表6-收入明细采集底稿'!P:P,'附表6-收入明细采集底稿'!G:G,数据对照表!A21,'附表6-收入明细采集底稿'!H:H,"自用")</f>
        <v>0</v>
      </c>
      <c r="J26" s="472">
        <f>SUMIFS('附表6-收入明细采集底稿'!P:P,'附表6-收入明细采集底稿'!G:G,数据对照表!A21,'附表6-收入明细采集底稿'!H:H,"出租")</f>
        <v>0</v>
      </c>
      <c r="K26" s="484"/>
    </row>
    <row r="27" spans="1:11">
      <c r="A27" s="468"/>
      <c r="B27" s="474" t="str">
        <f>"            "&amp;数据对照表!A22</f>
        <v>            邮电通讯</v>
      </c>
      <c r="C27" s="471">
        <v>23</v>
      </c>
      <c r="D27" s="472">
        <f>SUMIFS('附表6-收入明细采集底稿'!P:P,'附表6-收入明细采集底稿'!G:G,数据对照表!A22)</f>
        <v>0</v>
      </c>
      <c r="E27" s="472">
        <f>SUMIFS('附表6-收入明细采集底稿'!P:P,'附表6-收入明细采集底稿'!G:G,数据对照表!A22,'附表6-收入明细采集底稿'!H:H,"不可售")</f>
        <v>0</v>
      </c>
      <c r="F27" s="472">
        <f>SUM(SUMIFS('附表6-收入明细采集底稿'!P:P,'附表6-收入明细采集底稿'!G:G,数据对照表!A22,'附表6-收入明细采集底稿'!H:H,"已售"),SUMIFS('附表6-收入明细采集底稿'!P:P,'附表6-收入明细采集底稿'!G:G,数据对照表!A22,'附表6-收入明细采集底稿'!H:H,"出租"),SUMIFS('附表6-收入明细采集底稿'!P:P,'附表6-收入明细采集底稿'!G:G,数据对照表!A22,'附表6-收入明细采集底稿'!H:H,"自用"),SUMIFS('附表6-收入明细采集底稿'!P:P,'附表6-收入明细采集底稿'!G:G,数据对照表!A22,'附表6-收入明细采集底稿'!H:H,"未售"))</f>
        <v>0</v>
      </c>
      <c r="G27" s="472">
        <f>SUMIFS('附表6-收入明细采集底稿'!P:P,'附表6-收入明细采集底稿'!G:G,数据对照表!A22,'附表6-收入明细采集底稿'!H:H,"已售")</f>
        <v>0</v>
      </c>
      <c r="H27" s="472">
        <f t="shared" si="4"/>
        <v>0</v>
      </c>
      <c r="I27" s="472">
        <f>SUMIFS('附表6-收入明细采集底稿'!P:P,'附表6-收入明细采集底稿'!G:G,数据对照表!A22,'附表6-收入明细采集底稿'!H:H,"自用")</f>
        <v>0</v>
      </c>
      <c r="J27" s="472">
        <f>SUMIFS('附表6-收入明细采集底稿'!P:P,'附表6-收入明细采集底稿'!G:G,数据对照表!A22,'附表6-收入明细采集底稿'!H:H,"出租")</f>
        <v>0</v>
      </c>
      <c r="K27" s="484"/>
    </row>
    <row r="28" spans="1:11">
      <c r="A28" s="468"/>
      <c r="B28" s="474" t="str">
        <f>"            "&amp;数据对照表!A23</f>
        <v>            其他非营业性房产</v>
      </c>
      <c r="C28" s="471">
        <v>24</v>
      </c>
      <c r="D28" s="472">
        <f>SUMIFS('附表6-收入明细采集底稿'!P:P,'附表6-收入明细采集底稿'!G:G,数据对照表!A23)</f>
        <v>0</v>
      </c>
      <c r="E28" s="472">
        <f>SUMIFS('附表6-收入明细采集底稿'!P:P,'附表6-收入明细采集底稿'!G:G,数据对照表!A23,'附表6-收入明细采集底稿'!H:H,"不可售")</f>
        <v>0</v>
      </c>
      <c r="F28" s="472">
        <f>SUM(SUMIFS('附表6-收入明细采集底稿'!P:P,'附表6-收入明细采集底稿'!G:G,数据对照表!A23,'附表6-收入明细采集底稿'!H:H,"已售"),SUMIFS('附表6-收入明细采集底稿'!P:P,'附表6-收入明细采集底稿'!G:G,数据对照表!A23,'附表6-收入明细采集底稿'!H:H,"出租"),SUMIFS('附表6-收入明细采集底稿'!P:P,'附表6-收入明细采集底稿'!G:G,数据对照表!A23,'附表6-收入明细采集底稿'!H:H,"自用"),SUMIFS('附表6-收入明细采集底稿'!P:P,'附表6-收入明细采集底稿'!G:G,数据对照表!A23,'附表6-收入明细采集底稿'!H:H,"未售"))</f>
        <v>0</v>
      </c>
      <c r="G28" s="472">
        <f>SUMIFS('附表6-收入明细采集底稿'!P:P,'附表6-收入明细采集底稿'!G:G,数据对照表!A23,'附表6-收入明细采集底稿'!H:H,"已售")</f>
        <v>0</v>
      </c>
      <c r="H28" s="472">
        <f t="shared" si="4"/>
        <v>0</v>
      </c>
      <c r="I28" s="472">
        <f>SUMIFS('附表6-收入明细采集底稿'!P:P,'附表6-收入明细采集底稿'!G:G,数据对照表!A23,'附表6-收入明细采集底稿'!H:H,"自用")</f>
        <v>0</v>
      </c>
      <c r="J28" s="472">
        <f>SUMIFS('附表6-收入明细采集底稿'!P:P,'附表6-收入明细采集底稿'!G:G,数据对照表!A23,'附表6-收入明细采集底稿'!H:H,"出租")</f>
        <v>0</v>
      </c>
      <c r="K28" s="484"/>
    </row>
    <row r="29" spans="1:11">
      <c r="A29" s="475"/>
      <c r="B29" s="476" t="s">
        <v>152</v>
      </c>
      <c r="C29" s="471">
        <v>25</v>
      </c>
      <c r="D29" s="472">
        <f>SUM(D5:D7)</f>
        <v>53048.66</v>
      </c>
      <c r="E29" s="472">
        <f t="shared" ref="E29:J29" si="5">SUM(E5:E7)</f>
        <v>38.8</v>
      </c>
      <c r="F29" s="472">
        <f t="shared" si="5"/>
        <v>53009.86</v>
      </c>
      <c r="G29" s="472">
        <f t="shared" si="5"/>
        <v>43791.13</v>
      </c>
      <c r="H29" s="472">
        <f t="shared" si="5"/>
        <v>9218.72999999999</v>
      </c>
      <c r="I29" s="472">
        <f t="shared" si="5"/>
        <v>0</v>
      </c>
      <c r="J29" s="472">
        <f t="shared" si="5"/>
        <v>0</v>
      </c>
      <c r="K29" s="484"/>
    </row>
    <row r="30" spans="1:11">
      <c r="A30" s="477" t="s">
        <v>283</v>
      </c>
      <c r="B30" s="478" t="s">
        <v>272</v>
      </c>
      <c r="C30" s="478" t="s">
        <v>37</v>
      </c>
      <c r="D30" s="467" t="s">
        <v>284</v>
      </c>
      <c r="E30" s="467" t="s">
        <v>204</v>
      </c>
      <c r="F30" s="467" t="s">
        <v>285</v>
      </c>
      <c r="G30" s="467" t="s">
        <v>286</v>
      </c>
      <c r="H30" s="467" t="s">
        <v>287</v>
      </c>
      <c r="I30" s="485" t="s">
        <v>288</v>
      </c>
      <c r="J30" s="486"/>
      <c r="K30" s="482" t="s">
        <v>280</v>
      </c>
    </row>
    <row r="31" spans="1:11">
      <c r="A31" s="477"/>
      <c r="B31" s="479"/>
      <c r="C31" s="479"/>
      <c r="D31" s="552" t="s">
        <v>110</v>
      </c>
      <c r="E31" s="552" t="s">
        <v>113</v>
      </c>
      <c r="F31" s="552" t="s">
        <v>289</v>
      </c>
      <c r="G31" s="552" t="s">
        <v>120</v>
      </c>
      <c r="H31" s="552" t="s">
        <v>123</v>
      </c>
      <c r="I31" s="554" t="s">
        <v>290</v>
      </c>
      <c r="J31" s="486"/>
      <c r="K31" s="553" t="s">
        <v>291</v>
      </c>
    </row>
    <row r="32" spans="1:11">
      <c r="A32" s="477"/>
      <c r="B32" s="474" t="str">
        <f>B5</f>
        <v>普通住宅</v>
      </c>
      <c r="C32" s="471">
        <v>26</v>
      </c>
      <c r="D32" s="480">
        <f>F5</f>
        <v>19360.76</v>
      </c>
      <c r="E32" s="480">
        <f t="shared" ref="D32:E34" si="6">G5</f>
        <v>19360.76</v>
      </c>
      <c r="F32" s="481">
        <f>IF(D32=0,"",ROUND(E32/D32,6))</f>
        <v>1</v>
      </c>
      <c r="G32" s="481">
        <f>IF(F5=0,"",ROUND(I5/F5,6))</f>
        <v>0</v>
      </c>
      <c r="H32" s="481">
        <f>IF(F5=0,"",ROUND(J5/F5,6))</f>
        <v>0</v>
      </c>
      <c r="I32" s="487">
        <f>IF(F5=0,"",ROUND((G5+I5+J5)/F5,6))</f>
        <v>1</v>
      </c>
      <c r="J32" s="488"/>
      <c r="K32" s="471"/>
    </row>
    <row r="33" spans="1:11">
      <c r="A33" s="477"/>
      <c r="B33" s="474" t="str">
        <f>B6</f>
        <v>非普通住宅</v>
      </c>
      <c r="C33" s="471">
        <v>27</v>
      </c>
      <c r="D33" s="480">
        <f t="shared" si="6"/>
        <v>23877.12</v>
      </c>
      <c r="E33" s="480">
        <f t="shared" si="6"/>
        <v>23877.12</v>
      </c>
      <c r="F33" s="481">
        <f t="shared" ref="F33:F35" si="7">IF(D33=0,"",ROUND(E33/D33,6))</f>
        <v>1</v>
      </c>
      <c r="G33" s="481">
        <f t="shared" ref="G33:G34" si="8">IF(F6=0,"",ROUND(I6/F6,6))</f>
        <v>0</v>
      </c>
      <c r="H33" s="481">
        <f t="shared" ref="H33:H34" si="9">IF(F6=0,"",ROUND(J6/F6,6))</f>
        <v>0</v>
      </c>
      <c r="I33" s="487">
        <f t="shared" ref="I33:I34" si="10">IF(F6=0,"",ROUND((G6+I6+J6)/F6,6))</f>
        <v>1</v>
      </c>
      <c r="J33" s="488"/>
      <c r="K33" s="471"/>
    </row>
    <row r="34" spans="1:11">
      <c r="A34" s="477"/>
      <c r="B34" s="474" t="str">
        <f>B7</f>
        <v>其他类型房产</v>
      </c>
      <c r="C34" s="471">
        <v>28</v>
      </c>
      <c r="D34" s="480">
        <f>F7</f>
        <v>9771.97999999999</v>
      </c>
      <c r="E34" s="480">
        <f t="shared" si="6"/>
        <v>553.25</v>
      </c>
      <c r="F34" s="481">
        <f t="shared" si="7"/>
        <v>0.056616</v>
      </c>
      <c r="G34" s="481">
        <f t="shared" si="8"/>
        <v>0</v>
      </c>
      <c r="H34" s="481">
        <f t="shared" si="9"/>
        <v>0</v>
      </c>
      <c r="I34" s="487">
        <f t="shared" si="10"/>
        <v>0.056616</v>
      </c>
      <c r="J34" s="488"/>
      <c r="K34" s="471"/>
    </row>
    <row r="35" ht="14.25" customHeight="1" spans="1:11">
      <c r="A35" s="477"/>
      <c r="B35" s="461" t="s">
        <v>152</v>
      </c>
      <c r="C35" s="471">
        <v>29</v>
      </c>
      <c r="D35" s="480">
        <f>SUM(D32:D34)</f>
        <v>53009.86</v>
      </c>
      <c r="E35" s="480">
        <f>SUM(E32:E34)</f>
        <v>43791.13</v>
      </c>
      <c r="F35" s="481">
        <f t="shared" si="7"/>
        <v>0.826094</v>
      </c>
      <c r="G35" s="481">
        <f>IF(F29=0,"",ROUND(I29/F29,6))</f>
        <v>0</v>
      </c>
      <c r="H35" s="481">
        <f>IF(F29=0,"",ROUND(J29/F29,6))</f>
        <v>0</v>
      </c>
      <c r="I35" s="489">
        <f>IF(F29=0,"",ROUND((G29+I29+J29)/F29,6))</f>
        <v>0.826094</v>
      </c>
      <c r="J35" s="490"/>
      <c r="K35" s="491"/>
    </row>
  </sheetData>
  <mergeCells count="14">
    <mergeCell ref="A1:K1"/>
    <mergeCell ref="A2:K2"/>
    <mergeCell ref="I30:J30"/>
    <mergeCell ref="I31:J31"/>
    <mergeCell ref="I32:J32"/>
    <mergeCell ref="I33:J33"/>
    <mergeCell ref="I34:J34"/>
    <mergeCell ref="I35:J35"/>
    <mergeCell ref="A3:A29"/>
    <mergeCell ref="A30:A35"/>
    <mergeCell ref="B3:B4"/>
    <mergeCell ref="B30:B31"/>
    <mergeCell ref="C3:C4"/>
    <mergeCell ref="C30:C31"/>
  </mergeCells>
  <printOptions horizontalCentered="1"/>
  <pageMargins left="0.747916666666667" right="0.747916666666667" top="0.984027777777778" bottom="0.984027777777778" header="0.511805555555556" footer="0.511805555555556"/>
  <pageSetup paperSize="9" scale="85" fitToHeight="0" orientation="landscape"/>
  <headerFooter alignWithMargins="0" scaleWithDoc="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
  <dimension ref="A1:I13"/>
  <sheetViews>
    <sheetView zoomScale="120" zoomScaleNormal="120" workbookViewId="0">
      <selection activeCell="D26" sqref="D26"/>
    </sheetView>
  </sheetViews>
  <sheetFormatPr defaultColWidth="8.88405797101449" defaultRowHeight="11.85"/>
  <cols>
    <col min="1" max="1" width="21.5" style="397" customWidth="1"/>
    <col min="2" max="2" width="5.7536231884058" style="397" customWidth="1"/>
    <col min="3" max="6" width="26.6159420289855" style="446" customWidth="1"/>
    <col min="7" max="7" width="15.8840579710145" style="397" customWidth="1"/>
    <col min="8" max="28" width="9" style="397"/>
    <col min="29" max="16384" width="8.88405797101449" style="397"/>
  </cols>
  <sheetData>
    <row r="1" ht="23.8" spans="1:6">
      <c r="A1" s="447" t="s">
        <v>292</v>
      </c>
      <c r="B1" s="447"/>
      <c r="C1" s="448"/>
      <c r="D1" s="448"/>
      <c r="E1" s="448"/>
      <c r="F1" s="448"/>
    </row>
    <row r="2" ht="35.1" customHeight="1" spans="1:9">
      <c r="A2" s="449" t="str">
        <f>土地增值税税源明细表!F5&amp;"："&amp;土地增值税税源明细表!H5&amp;"          "&amp;土地增值税税源明细表!A5&amp;"："&amp;土地增值税税源明细表!B5&amp;"          "&amp;"金额单位:人民币元(列至角分)"</f>
        <v>项目编码：Z65280120200027          项目名称：沁春锦苑二期          金额单位:人民币元(列至角分)</v>
      </c>
      <c r="B2" s="449"/>
      <c r="C2" s="450"/>
      <c r="D2" s="450"/>
      <c r="E2" s="450"/>
      <c r="F2" s="450"/>
      <c r="G2" s="451"/>
      <c r="H2" s="451"/>
      <c r="I2" s="451"/>
    </row>
    <row r="3" ht="35.1" customHeight="1" spans="1:6">
      <c r="A3" s="452" t="s">
        <v>293</v>
      </c>
      <c r="B3" s="452" t="s">
        <v>37</v>
      </c>
      <c r="C3" s="453" t="s">
        <v>294</v>
      </c>
      <c r="D3" s="453" t="s">
        <v>295</v>
      </c>
      <c r="E3" s="453" t="s">
        <v>296</v>
      </c>
      <c r="F3" s="453" t="s">
        <v>297</v>
      </c>
    </row>
    <row r="4" s="444" customFormat="1" ht="35.1" customHeight="1" spans="1:6">
      <c r="A4" s="454"/>
      <c r="B4" s="454"/>
      <c r="C4" s="555" t="s">
        <v>42</v>
      </c>
      <c r="D4" s="555" t="s">
        <v>45</v>
      </c>
      <c r="E4" s="555" t="s">
        <v>48</v>
      </c>
      <c r="F4" s="555" t="s">
        <v>298</v>
      </c>
    </row>
    <row r="5" ht="35.1" customHeight="1" spans="1:6">
      <c r="A5" s="455" t="str">
        <f>数据对照表!A2</f>
        <v>普通住宅</v>
      </c>
      <c r="B5" s="456">
        <v>1</v>
      </c>
      <c r="C5" s="457">
        <f>SUMIFS('附表6-收入明细采集底稿'!X:X,'附表6-收入明细采集底稿'!G:G,"普通住宅",'附表6-收入明细采集底稿'!H:H,"已售",'附表6-收入明细采集底稿'!I:I,"货币收入")</f>
        <v>88218234.19</v>
      </c>
      <c r="D5" s="457">
        <f>SUMIFS('附表6-收入明细采集底稿'!X:X,'附表6-收入明细采集底稿'!G:G,"普通住宅",'附表6-收入明细采集底稿'!H:H,"已售",'附表6-收入明细采集底稿'!I:I,"实物及其他收入")</f>
        <v>0</v>
      </c>
      <c r="E5" s="457">
        <f>SUMIFS('附表6-收入明细采集底稿'!X:X,'附表6-收入明细采集底稿'!G:G,"普通住宅",'附表6-收入明细采集底稿'!H:H,"已售",'附表6-收入明细采集底稿'!I:I,"视同销售收入")</f>
        <v>0</v>
      </c>
      <c r="F5" s="458">
        <f>C5+D5+E5</f>
        <v>88218234.19</v>
      </c>
    </row>
    <row r="6" ht="35.1" customHeight="1" spans="1:6">
      <c r="A6" s="455" t="str">
        <f>数据对照表!A3</f>
        <v>非普通住宅</v>
      </c>
      <c r="B6" s="456">
        <v>2</v>
      </c>
      <c r="C6" s="457">
        <f>SUMIFS('附表6-收入明细采集底稿'!X:X,'附表6-收入明细采集底稿'!G:G,"非普通住宅",'附表6-收入明细采集底稿'!H:H,"已售",'附表6-收入明细采集底稿'!I:I,"货币收入")</f>
        <v>104503544.05</v>
      </c>
      <c r="D6" s="457">
        <f>SUMIFS('附表6-收入明细采集底稿'!X:X,'附表6-收入明细采集底稿'!G:G,"非普通住宅",'附表6-收入明细采集底稿'!H:H,"已售",'附表6-收入明细采集底稿'!I:I,"实物及其他收入")</f>
        <v>0</v>
      </c>
      <c r="E6" s="457">
        <f>SUMIFS('附表6-收入明细采集底稿'!X:X,'附表6-收入明细采集底稿'!G:G,"非普通住宅",'附表6-收入明细采集底稿'!H:H,"已售",'附表6-收入明细采集底稿'!I:I,"视同销售收入")</f>
        <v>0</v>
      </c>
      <c r="F6" s="458">
        <f t="shared" ref="F6:F13" si="0">C6+D6+E6</f>
        <v>104503544.05</v>
      </c>
    </row>
    <row r="7" ht="35.1" customHeight="1" spans="1:6">
      <c r="A7" s="455" t="s">
        <v>216</v>
      </c>
      <c r="B7" s="456">
        <v>3</v>
      </c>
      <c r="C7" s="457">
        <f>SUM(C8:C12)</f>
        <v>7523377.0593578</v>
      </c>
      <c r="D7" s="457">
        <f>SUM(D8:D12)</f>
        <v>0</v>
      </c>
      <c r="E7" s="457">
        <f>SUM(E8:E12)</f>
        <v>0</v>
      </c>
      <c r="F7" s="458">
        <f t="shared" si="0"/>
        <v>7523377.0593578</v>
      </c>
    </row>
    <row r="8" ht="35.1" customHeight="1" spans="1:6">
      <c r="A8" s="459" t="str">
        <f>"其中："&amp;数据对照表!A4</f>
        <v>其中：商业用房</v>
      </c>
      <c r="B8" s="456">
        <v>4</v>
      </c>
      <c r="C8" s="457">
        <f>SUMIFS('附表6-收入明细采集底稿'!X:X,'附表6-收入明细采集底稿'!G:G,"商业用房",'附表6-收入明细采集底稿'!H:H,"已售",'附表6-收入明细采集底稿'!I:I,"货币收入")</f>
        <v>7523377.0593578</v>
      </c>
      <c r="D8" s="457">
        <f>SUMIFS('附表6-收入明细采集底稿'!X:X,'附表6-收入明细采集底稿'!G:G,"商业用房",'附表6-收入明细采集底稿'!H:H,"已售",'附表6-收入明细采集底稿'!I:I,"实物及其他收入")</f>
        <v>0</v>
      </c>
      <c r="E8" s="457">
        <f>SUMIFS('附表6-收入明细采集底稿'!X:X,'附表6-收入明细采集底稿'!G:G,"商业用房",'附表6-收入明细采集底稿'!H:H,"已售",'附表6-收入明细采集底稿'!I:I,"视同销售收入")</f>
        <v>0</v>
      </c>
      <c r="F8" s="458">
        <f t="shared" si="0"/>
        <v>7523377.0593578</v>
      </c>
    </row>
    <row r="9" ht="35.1" customHeight="1" spans="1:6">
      <c r="A9" s="459" t="str">
        <f>"      "&amp;数据对照表!A5</f>
        <v>      办公用房</v>
      </c>
      <c r="B9" s="456">
        <v>5</v>
      </c>
      <c r="C9" s="457">
        <f>SUMIFS('附表6-收入明细采集底稿'!X:X,'附表6-收入明细采集底稿'!G:G,"办公用房",'附表6-收入明细采集底稿'!H:H,"已售",'附表6-收入明细采集底稿'!I:I,"货币收入")</f>
        <v>0</v>
      </c>
      <c r="D9" s="457">
        <f>SUMIFS('附表6-收入明细采集底稿'!X:X,'附表6-收入明细采集底稿'!G:G,"办公用房",'附表6-收入明细采集底稿'!H:H,"已售",'附表6-收入明细采集底稿'!I:I,"实物及其他收入")</f>
        <v>0</v>
      </c>
      <c r="E9" s="457">
        <f>SUMIFS('附表6-收入明细采集底稿'!X:X,'附表6-收入明细采集底稿'!G:G,"办公用房",'附表6-收入明细采集底稿'!H:H,"已售",'附表6-收入明细采集底稿'!I:I,"视同销售收入")</f>
        <v>0</v>
      </c>
      <c r="F9" s="458">
        <f t="shared" si="0"/>
        <v>0</v>
      </c>
    </row>
    <row r="10" ht="35.1" customHeight="1" spans="1:6">
      <c r="A10" s="459" t="str">
        <f>"      "&amp;数据对照表!A6</f>
        <v>      车位车库</v>
      </c>
      <c r="B10" s="456">
        <v>6</v>
      </c>
      <c r="C10" s="457">
        <f>SUMIFS('附表6-收入明细采集底稿'!X:X,'附表6-收入明细采集底稿'!G:G,"车位车库",'附表6-收入明细采集底稿'!H:H,"已售",'附表6-收入明细采集底稿'!I:I,"货币收入")</f>
        <v>0</v>
      </c>
      <c r="D10" s="457">
        <f>SUMIFS('附表6-收入明细采集底稿'!X:X,'附表6-收入明细采集底稿'!G:G,"车位车库",'附表6-收入明细采集底稿'!H:H,"已售",'附表6-收入明细采集底稿'!I:I,"实物及其他收入")</f>
        <v>0</v>
      </c>
      <c r="E10" s="457">
        <f>SUMIFS('附表6-收入明细采集底稿'!X:X,'附表6-收入明细采集底稿'!G:G,"车位车库",'附表6-收入明细采集底稿'!H:H,"已售",'附表6-收入明细采集底稿'!I:I,"视同销售收入")</f>
        <v>0</v>
      </c>
      <c r="F10" s="458">
        <f t="shared" si="0"/>
        <v>0</v>
      </c>
    </row>
    <row r="11" ht="35.1" customHeight="1" spans="1:6">
      <c r="A11" s="459" t="str">
        <f>"      "&amp;数据对照表!A7</f>
        <v>      其他营业性房产</v>
      </c>
      <c r="B11" s="456">
        <v>7</v>
      </c>
      <c r="C11" s="457">
        <f>SUMIFS('附表6-收入明细采集底稿'!X:X,'附表6-收入明细采集底稿'!G:G,"其他营业性房产",'附表6-收入明细采集底稿'!H:H,"已售",'附表6-收入明细采集底稿'!I:I,"货币收入")</f>
        <v>0</v>
      </c>
      <c r="D11" s="457">
        <f>SUMIFS('附表6-收入明细采集底稿'!X:X,'附表6-收入明细采集底稿'!G:G,"其他营业性房产",'附表6-收入明细采集底稿'!H:H,"已售",'附表6-收入明细采集底稿'!I:I,"实物及其他收入")</f>
        <v>0</v>
      </c>
      <c r="E11" s="457">
        <f>SUMIFS('附表6-收入明细采集底稿'!X:X,'附表6-收入明细采集底稿'!G:G,"其他营业性房产",'附表6-收入明细采集底稿'!H:H,"已售",'附表6-收入明细采集底稿'!I:I,"视同销售收入")</f>
        <v>0</v>
      </c>
      <c r="F11" s="458">
        <f t="shared" si="0"/>
        <v>0</v>
      </c>
    </row>
    <row r="12" ht="35.1" customHeight="1" spans="1:6">
      <c r="A12" s="459" t="str">
        <f>"      "&amp;"非营业性房产"</f>
        <v>      非营业性房产</v>
      </c>
      <c r="B12" s="456">
        <v>8</v>
      </c>
      <c r="C12" s="460">
        <f>ROUND(SUMIFS('附表6-收入明细采集底稿'!X:X,'附表6-收入明细采集底稿'!H:H,"已售",'附表6-收入明细采集底稿'!I:I,"货币收入")-C5-C6-C8-C9-C10-C11,2)</f>
        <v>0</v>
      </c>
      <c r="D12" s="460">
        <f>ROUND(SUMIFS('附表6-收入明细采集底稿'!X:X,'附表6-收入明细采集底稿'!H:H,"已售",'附表6-收入明细采集底稿'!I:I,"实物及其他收入")-D5-D6-D8-D9-D10-D11,2)</f>
        <v>0</v>
      </c>
      <c r="E12" s="460">
        <f>ROUND(SUMIFS('附表6-收入明细采集底稿'!X:X,'附表6-收入明细采集底稿'!H:H,"已售",'附表6-收入明细采集底稿'!I:I,"视同销售收入")-E5-E6-E8-E9-E10-E11,2)</f>
        <v>0</v>
      </c>
      <c r="F12" s="458">
        <f t="shared" si="0"/>
        <v>0</v>
      </c>
    </row>
    <row r="13" s="445" customFormat="1" ht="35.1" customHeight="1" spans="1:6">
      <c r="A13" s="461" t="s">
        <v>152</v>
      </c>
      <c r="B13" s="456">
        <v>9</v>
      </c>
      <c r="C13" s="458">
        <f>C5+C6+C7</f>
        <v>200245155.299358</v>
      </c>
      <c r="D13" s="458">
        <f>D5+D6+D7</f>
        <v>0</v>
      </c>
      <c r="E13" s="458">
        <f>E5+E6+E7</f>
        <v>0</v>
      </c>
      <c r="F13" s="458">
        <f t="shared" si="0"/>
        <v>200245155.299358</v>
      </c>
    </row>
  </sheetData>
  <mergeCells count="4">
    <mergeCell ref="A1:F1"/>
    <mergeCell ref="A2:F2"/>
    <mergeCell ref="A3:A4"/>
    <mergeCell ref="B3:B4"/>
  </mergeCells>
  <printOptions horizontalCentered="1"/>
  <pageMargins left="0.747916666666667" right="0.747916666666667" top="0.984027777777778" bottom="0.984027777777778" header="0.511805555555556" footer="0.511805555555556"/>
  <pageSetup paperSize="9" scale="80" fitToHeight="0" orientation="landscape"/>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
    <pageSetUpPr fitToPage="1"/>
  </sheetPr>
  <dimension ref="A1:U36"/>
  <sheetViews>
    <sheetView zoomScale="90" zoomScaleNormal="90" topLeftCell="A6" workbookViewId="0">
      <selection activeCell="K26" sqref="K26"/>
    </sheetView>
  </sheetViews>
  <sheetFormatPr defaultColWidth="8.88405797101449" defaultRowHeight="15.65"/>
  <cols>
    <col min="1" max="1" width="25.5" style="400" customWidth="1"/>
    <col min="2" max="2" width="21.5" style="401" customWidth="1"/>
    <col min="3" max="3" width="13.3840579710145" style="402" customWidth="1"/>
    <col min="4" max="4" width="15" style="402" customWidth="1"/>
    <col min="5" max="5" width="14.1159420289855" style="402" customWidth="1"/>
    <col min="6" max="6" width="13.1086956521739" style="402" customWidth="1"/>
    <col min="7" max="7" width="13.3840579710145" style="403" customWidth="1"/>
    <col min="8" max="8" width="12.5" style="404" customWidth="1"/>
    <col min="9" max="10" width="12.8840579710145" style="404" customWidth="1"/>
    <col min="11" max="13" width="17.3840579710145" style="402" customWidth="1"/>
    <col min="14" max="14" width="15.5" style="402" customWidth="1"/>
    <col min="15" max="16384" width="8.88405797101449" style="400"/>
  </cols>
  <sheetData>
    <row r="1" s="396" customFormat="1" ht="20.65" spans="1:14">
      <c r="A1" s="405" t="s">
        <v>299</v>
      </c>
      <c r="B1" s="405"/>
      <c r="C1" s="406"/>
      <c r="D1" s="406"/>
      <c r="E1" s="406"/>
      <c r="F1" s="406"/>
      <c r="G1" s="405"/>
      <c r="H1" s="407"/>
      <c r="I1" s="407"/>
      <c r="J1" s="407"/>
      <c r="K1" s="406"/>
      <c r="L1" s="406"/>
      <c r="M1" s="406"/>
      <c r="N1" s="406"/>
    </row>
    <row r="2" s="397" customFormat="1" ht="19.5" customHeight="1" spans="1:21">
      <c r="A2" s="288" t="str">
        <f>土地增值税税源明细表!F5&amp;"："&amp;土地增值税税源明细表!H5&amp;"          "&amp;土地增值税税源明细表!A5&amp;"："&amp;土地增值税税源明细表!B5&amp;"          "&amp;"金额单位:人民币元(列至角分)"</f>
        <v>项目编码：Z65280120200027          项目名称：沁春锦苑二期          金额单位:人民币元(列至角分)</v>
      </c>
      <c r="B2" s="288"/>
      <c r="C2" s="300"/>
      <c r="D2" s="300"/>
      <c r="E2" s="300"/>
      <c r="F2" s="300"/>
      <c r="G2" s="288"/>
      <c r="H2" s="408"/>
      <c r="I2" s="408"/>
      <c r="J2" s="408"/>
      <c r="K2" s="300"/>
      <c r="L2" s="300"/>
      <c r="M2" s="300"/>
      <c r="N2" s="300"/>
      <c r="O2" s="441"/>
      <c r="P2" s="441"/>
      <c r="Q2" s="441"/>
      <c r="R2" s="441"/>
      <c r="S2" s="441"/>
      <c r="T2" s="441"/>
      <c r="U2" s="441"/>
    </row>
    <row r="3" s="347" customFormat="1" ht="27.95" customHeight="1" spans="1:14">
      <c r="A3" s="409" t="s">
        <v>300</v>
      </c>
      <c r="B3" s="410" t="s">
        <v>37</v>
      </c>
      <c r="C3" s="302" t="s">
        <v>301</v>
      </c>
      <c r="D3" s="302"/>
      <c r="E3" s="302"/>
      <c r="F3" s="302"/>
      <c r="G3" s="411" t="s">
        <v>302</v>
      </c>
      <c r="H3" s="412"/>
      <c r="I3" s="412"/>
      <c r="J3" s="412"/>
      <c r="K3" s="302" t="s">
        <v>303</v>
      </c>
      <c r="L3" s="302"/>
      <c r="M3" s="302"/>
      <c r="N3" s="302"/>
    </row>
    <row r="4" s="347" customFormat="1" ht="27.95" customHeight="1" spans="1:14">
      <c r="A4" s="413"/>
      <c r="B4" s="414"/>
      <c r="C4" s="302" t="s">
        <v>214</v>
      </c>
      <c r="D4" s="302" t="s">
        <v>215</v>
      </c>
      <c r="E4" s="302" t="s">
        <v>216</v>
      </c>
      <c r="F4" s="302" t="s">
        <v>297</v>
      </c>
      <c r="G4" s="415" t="s">
        <v>304</v>
      </c>
      <c r="H4" s="416" t="s">
        <v>214</v>
      </c>
      <c r="I4" s="416" t="s">
        <v>215</v>
      </c>
      <c r="J4" s="416" t="s">
        <v>216</v>
      </c>
      <c r="K4" s="302" t="s">
        <v>214</v>
      </c>
      <c r="L4" s="302" t="s">
        <v>215</v>
      </c>
      <c r="M4" s="302" t="s">
        <v>216</v>
      </c>
      <c r="N4" s="302" t="s">
        <v>297</v>
      </c>
    </row>
    <row r="5" s="347" customFormat="1" ht="27.95" customHeight="1" spans="1:14">
      <c r="A5" s="417"/>
      <c r="B5" s="418"/>
      <c r="C5" s="556" t="s">
        <v>42</v>
      </c>
      <c r="D5" s="556" t="s">
        <v>45</v>
      </c>
      <c r="E5" s="556" t="s">
        <v>48</v>
      </c>
      <c r="F5" s="556" t="s">
        <v>298</v>
      </c>
      <c r="G5" s="557" t="s">
        <v>95</v>
      </c>
      <c r="H5" s="558" t="s">
        <v>99</v>
      </c>
      <c r="I5" s="558" t="s">
        <v>102</v>
      </c>
      <c r="J5" s="558" t="s">
        <v>105</v>
      </c>
      <c r="K5" s="556" t="s">
        <v>305</v>
      </c>
      <c r="L5" s="556" t="s">
        <v>306</v>
      </c>
      <c r="M5" s="556" t="s">
        <v>307</v>
      </c>
      <c r="N5" s="556" t="s">
        <v>308</v>
      </c>
    </row>
    <row r="6" s="347" customFormat="1" ht="27.95" customHeight="1" spans="1:14">
      <c r="A6" s="419" t="s">
        <v>309</v>
      </c>
      <c r="B6" s="420" t="s">
        <v>310</v>
      </c>
      <c r="C6" s="421">
        <f>'附表5-扣除项目统计表'!E87+'附表5-扣除项目统计表'!I87</f>
        <v>75229779.4571265</v>
      </c>
      <c r="D6" s="421">
        <f>'附表5-扣除项目统计表'!F87+'附表5-扣除项目统计表'!J87</f>
        <v>92872055.41</v>
      </c>
      <c r="E6" s="421">
        <f>'附表5-扣除项目统计表'!G87+'附表5-扣除项目统计表'!K87</f>
        <v>40210503.462</v>
      </c>
      <c r="F6" s="421">
        <f>SUM(C6:E6)</f>
        <v>208312338.329126</v>
      </c>
      <c r="G6" s="422"/>
      <c r="H6" s="423"/>
      <c r="I6" s="423"/>
      <c r="J6" s="423"/>
      <c r="K6" s="442">
        <f>SUM(K7)+SUM(K9)+SUM(K17)+SUM(K20)+SUM(K26)+SUM(K27)</f>
        <v>75229779.46</v>
      </c>
      <c r="L6" s="442">
        <f>SUM(L7)+SUM(L9)+SUM(L17)+SUM(L20)+SUM(L26)+SUM(L27)</f>
        <v>92872055.41</v>
      </c>
      <c r="M6" s="442">
        <f>SUM(M7)+SUM(M9)+SUM(M17)+SUM(M20)+SUM(M26)+SUM(M27)</f>
        <v>2302108.62</v>
      </c>
      <c r="N6" s="442">
        <f>SUM(K6:M6)</f>
        <v>170403943.49</v>
      </c>
    </row>
    <row r="7" s="347" customFormat="1" ht="27.95" customHeight="1" spans="1:14">
      <c r="A7" s="424" t="s">
        <v>225</v>
      </c>
      <c r="B7" s="420" t="s">
        <v>45</v>
      </c>
      <c r="C7" s="421">
        <f>'附表5-扣除项目统计表'!E6+'附表5-扣除项目统计表'!I6</f>
        <v>0</v>
      </c>
      <c r="D7" s="421">
        <f>'附表5-扣除项目统计表'!F6+'附表5-扣除项目统计表'!J6</f>
        <v>0</v>
      </c>
      <c r="E7" s="421">
        <f>'附表5-扣除项目统计表'!G6+'附表5-扣除项目统计表'!K6</f>
        <v>0</v>
      </c>
      <c r="F7" s="421">
        <f t="shared" ref="F7:F19" si="0">SUM(C7:E7)</f>
        <v>0</v>
      </c>
      <c r="G7" s="425" t="s">
        <v>311</v>
      </c>
      <c r="H7" s="426">
        <f>IF(OR($G7="可售建筑面积法",$G7="可售建筑面积法（二分法）"),'附表1-面积统计表'!$F$32,IF($G7="其他合理方法","请填写","请选择分摊方法"))</f>
        <v>1</v>
      </c>
      <c r="I7" s="426">
        <f>IF($G7="可售建筑面积法（二分法）",IF('附表1-面积统计表'!$D$33+'附表1-面积统计表'!$D$34=0,"",ROUND(('附表1-面积统计表'!$E$33+'附表1-面积统计表'!$E$34)/('附表1-面积统计表'!$D$33+'附表1-面积统计表'!$D$34),6)),IF($G7="可售建筑面积法",'附表1-面积统计表'!$F$33,IF($G7="其他合理方法","请填写","请选择分摊方法")))</f>
        <v>1</v>
      </c>
      <c r="J7" s="426">
        <f>IF($G7="可售建筑面积法（二分法）",IF('附表1-面积统计表'!$D$33+'附表1-面积统计表'!$D$34=0,"",ROUND(('附表1-面积统计表'!$E$33+'附表1-面积统计表'!$E$34)/('附表1-面积统计表'!$D$33+'附表1-面积统计表'!$D$34),6)),IF($G7="可售建筑面积法",'附表1-面积统计表'!$F$34,IF($G7="其他合理方法","请填写","请选择分摊方法")))</f>
        <v>0.056616</v>
      </c>
      <c r="K7" s="442">
        <f t="shared" ref="K7:K14" si="1">IF(AND(H7&lt;=1,H7&gt;=0),ROUND(C7*H7,2),"请准确填写扣除比例")</f>
        <v>0</v>
      </c>
      <c r="L7" s="442">
        <f t="shared" ref="L7:L14" si="2">IF(AND(I7&lt;=1,I7&gt;=0),ROUND(D7*I7,2),"请准确填写扣除比例")</f>
        <v>0</v>
      </c>
      <c r="M7" s="442">
        <f t="shared" ref="M7:M14" si="3">IF(AND(J7&lt;=1,J7&gt;=0),ROUND(E7*J7,2),"请准确填写扣除比例")</f>
        <v>0</v>
      </c>
      <c r="N7" s="442">
        <f t="shared" ref="N7:N27" si="4">SUM(K7:M7)</f>
        <v>0</v>
      </c>
    </row>
    <row r="8" s="347" customFormat="1" ht="27.95" customHeight="1" spans="1:14">
      <c r="A8" s="427" t="s">
        <v>226</v>
      </c>
      <c r="B8" s="420" t="s">
        <v>48</v>
      </c>
      <c r="C8" s="421">
        <f>'附表5-扣除项目统计表'!E10+'附表5-扣除项目统计表'!I10</f>
        <v>0</v>
      </c>
      <c r="D8" s="421">
        <f>'附表5-扣除项目统计表'!F10+'附表5-扣除项目统计表'!J10</f>
        <v>0</v>
      </c>
      <c r="E8" s="421">
        <f>'附表5-扣除项目统计表'!G10+'附表5-扣除项目统计表'!K10</f>
        <v>0</v>
      </c>
      <c r="F8" s="421">
        <f t="shared" si="0"/>
        <v>0</v>
      </c>
      <c r="G8" s="425" t="s">
        <v>311</v>
      </c>
      <c r="H8" s="426">
        <f>IF(OR($G8="可售建筑面积法",$G8="可售建筑面积法（二分法）"),'附表1-面积统计表'!$F$32,IF($G8="其他合理方法","请填写","请选择分摊方法"))</f>
        <v>1</v>
      </c>
      <c r="I8" s="426">
        <f>IF($G8="可售建筑面积法（二分法）",IF('附表1-面积统计表'!$D$33+'附表1-面积统计表'!$D$34=0,"",ROUND(('附表1-面积统计表'!$E$33+'附表1-面积统计表'!$E$34)/('附表1-面积统计表'!$D$33+'附表1-面积统计表'!$D$34),6)),IF($G8="可售建筑面积法",'附表1-面积统计表'!$F$33,IF($G8="其他合理方法","请填写","请选择分摊方法")))</f>
        <v>1</v>
      </c>
      <c r="J8" s="426">
        <f>IF($G8="可售建筑面积法（二分法）",IF('附表1-面积统计表'!$D$33+'附表1-面积统计表'!$D$34=0,"",ROUND(('附表1-面积统计表'!$E$33+'附表1-面积统计表'!$E$34)/('附表1-面积统计表'!$D$33+'附表1-面积统计表'!$D$34),6)),IF($G8="可售建筑面积法",'附表1-面积统计表'!$F$34,IF($G8="其他合理方法","请填写","请选择分摊方法")))</f>
        <v>0.056616</v>
      </c>
      <c r="K8" s="442">
        <f t="shared" si="1"/>
        <v>0</v>
      </c>
      <c r="L8" s="442">
        <f t="shared" si="2"/>
        <v>0</v>
      </c>
      <c r="M8" s="442">
        <f t="shared" si="3"/>
        <v>0</v>
      </c>
      <c r="N8" s="442">
        <f t="shared" si="4"/>
        <v>0</v>
      </c>
    </row>
    <row r="9" s="347" customFormat="1" ht="27.95" customHeight="1" spans="1:14">
      <c r="A9" s="424" t="s">
        <v>228</v>
      </c>
      <c r="B9" s="420" t="s">
        <v>312</v>
      </c>
      <c r="C9" s="421">
        <f>'附表5-扣除项目统计表'!E11+'附表5-扣除项目统计表'!I11</f>
        <v>57699495.83</v>
      </c>
      <c r="D9" s="421">
        <f>'附表5-扣除项目统计表'!F11+'附表5-扣除项目统计表'!J11</f>
        <v>71156569.1</v>
      </c>
      <c r="E9" s="421">
        <f>'附表5-扣除项目统计表'!G11+'附表5-扣除项目统计表'!K11</f>
        <v>30910322.54</v>
      </c>
      <c r="F9" s="421">
        <f t="shared" si="0"/>
        <v>159766387.47</v>
      </c>
      <c r="G9" s="423"/>
      <c r="H9" s="423"/>
      <c r="I9" s="423"/>
      <c r="J9" s="423"/>
      <c r="K9" s="442">
        <f>SUM(K10:K15)</f>
        <v>57699495.83</v>
      </c>
      <c r="L9" s="442">
        <f>SUM(L10:L15)</f>
        <v>71156569.1</v>
      </c>
      <c r="M9" s="442">
        <f>SUM(M10:M15)</f>
        <v>1750018.82</v>
      </c>
      <c r="N9" s="442">
        <f t="shared" si="4"/>
        <v>130606083.75</v>
      </c>
    </row>
    <row r="10" s="347" customFormat="1" ht="27.95" customHeight="1" spans="1:14">
      <c r="A10" s="427" t="s">
        <v>230</v>
      </c>
      <c r="B10" s="420" t="s">
        <v>95</v>
      </c>
      <c r="C10" s="421">
        <f>'附表5-扣除项目统计表'!E12+'附表5-扣除项目统计表'!I12</f>
        <v>490885.04</v>
      </c>
      <c r="D10" s="421">
        <f>'附表5-扣除项目统计表'!F12+'附表5-扣除项目统计表'!J12</f>
        <v>605395.72</v>
      </c>
      <c r="E10" s="421">
        <f>'附表5-扣除项目统计表'!G12+'附表5-扣除项目统计表'!K12</f>
        <v>247765.01</v>
      </c>
      <c r="F10" s="421">
        <f t="shared" si="0"/>
        <v>1344045.77</v>
      </c>
      <c r="G10" s="425" t="s">
        <v>311</v>
      </c>
      <c r="H10" s="426">
        <f>IF(OR($G10="可售建筑面积法",$G10="可售建筑面积法（二分法）"),'附表1-面积统计表'!$F$32,IF($G10="其他合理方法","请填写","请选择分摊方法"))</f>
        <v>1</v>
      </c>
      <c r="I10" s="426">
        <f>IF($G10="可售建筑面积法（二分法）",IF('附表1-面积统计表'!$D$33+'附表1-面积统计表'!$D$34=0,"",ROUND(('附表1-面积统计表'!$E$33+'附表1-面积统计表'!$E$34)/('附表1-面积统计表'!$D$33+'附表1-面积统计表'!$D$34),6)),IF($G10="可售建筑面积法",'附表1-面积统计表'!$F$33,IF($G10="其他合理方法","请填写","请选择分摊方法")))</f>
        <v>1</v>
      </c>
      <c r="J10" s="426">
        <f>IF($G10="可售建筑面积法（二分法）",IF('附表1-面积统计表'!$D$33+'附表1-面积统计表'!$D$34=0,"",ROUND(('附表1-面积统计表'!$E$33+'附表1-面积统计表'!$E$34)/('附表1-面积统计表'!$D$33+'附表1-面积统计表'!$D$34),6)),IF($G10="可售建筑面积法",'附表1-面积统计表'!$F$34,IF($G10="其他合理方法","请填写","请选择分摊方法")))</f>
        <v>0.056616</v>
      </c>
      <c r="K10" s="442">
        <f t="shared" si="1"/>
        <v>490885.04</v>
      </c>
      <c r="L10" s="442">
        <f t="shared" si="2"/>
        <v>605395.72</v>
      </c>
      <c r="M10" s="442">
        <f t="shared" si="3"/>
        <v>14027.46</v>
      </c>
      <c r="N10" s="442">
        <f t="shared" si="4"/>
        <v>1110308.22</v>
      </c>
    </row>
    <row r="11" s="347" customFormat="1" ht="27.95" customHeight="1" spans="1:14">
      <c r="A11" s="427" t="s">
        <v>231</v>
      </c>
      <c r="B11" s="420" t="s">
        <v>99</v>
      </c>
      <c r="C11" s="421">
        <f>'附表5-扣除项目统计表'!E19+'附表5-扣除项目统计表'!I19</f>
        <v>1094400.84</v>
      </c>
      <c r="D11" s="421">
        <f>'附表5-扣除项目统计表'!F19+'附表5-扣除项目统计表'!J19</f>
        <v>1349695.34</v>
      </c>
      <c r="E11" s="421">
        <f>'附表5-扣除项目统计表'!G19+'附表5-扣除项目统计表'!K19</f>
        <v>554867.83</v>
      </c>
      <c r="F11" s="421">
        <f t="shared" si="0"/>
        <v>2998964.01</v>
      </c>
      <c r="G11" s="425" t="s">
        <v>311</v>
      </c>
      <c r="H11" s="426">
        <f>IF(OR($G11="可售建筑面积法",$G11="可售建筑面积法（二分法）"),'附表1-面积统计表'!$F$32,IF($G11="其他合理方法","请填写","请选择分摊方法"))</f>
        <v>1</v>
      </c>
      <c r="I11" s="426">
        <f>IF($G11="可售建筑面积法（二分法）",IF('附表1-面积统计表'!$D$33+'附表1-面积统计表'!$D$34=0,"",ROUND(('附表1-面积统计表'!$E$33+'附表1-面积统计表'!$E$34)/('附表1-面积统计表'!$D$33+'附表1-面积统计表'!$D$34),6)),IF($G11="可售建筑面积法",'附表1-面积统计表'!$F$33,IF($G11="其他合理方法","请填写","请选择分摊方法")))</f>
        <v>1</v>
      </c>
      <c r="J11" s="426">
        <f>IF($G11="可售建筑面积法（二分法）",IF('附表1-面积统计表'!$D$33+'附表1-面积统计表'!$D$34=0,"",ROUND(('附表1-面积统计表'!$E$33+'附表1-面积统计表'!$E$34)/('附表1-面积统计表'!$D$33+'附表1-面积统计表'!$D$34),6)),IF($G11="可售建筑面积法",'附表1-面积统计表'!$F$34,IF($G11="其他合理方法","请填写","请选择分摊方法")))</f>
        <v>0.056616</v>
      </c>
      <c r="K11" s="442">
        <f t="shared" si="1"/>
        <v>1094400.84</v>
      </c>
      <c r="L11" s="442">
        <f t="shared" si="2"/>
        <v>1349695.34</v>
      </c>
      <c r="M11" s="442">
        <f t="shared" si="3"/>
        <v>31414.4</v>
      </c>
      <c r="N11" s="442">
        <f t="shared" si="4"/>
        <v>2475510.58</v>
      </c>
    </row>
    <row r="12" s="347" customFormat="1" ht="27.95" customHeight="1" spans="1:14">
      <c r="A12" s="427" t="s">
        <v>232</v>
      </c>
      <c r="B12" s="420" t="s">
        <v>102</v>
      </c>
      <c r="C12" s="421">
        <f>'附表5-扣除项目统计表'!E29+'附表5-扣除项目统计表'!I29</f>
        <v>44516941.79</v>
      </c>
      <c r="D12" s="421">
        <f>'附表5-扣除项目统计表'!F29+'附表5-扣除项目统计表'!J29</f>
        <v>54899001.47</v>
      </c>
      <c r="E12" s="421">
        <f>'附表5-扣除项目统计表'!G29+'附表5-扣除项目统计表'!K29</f>
        <v>23932029.57</v>
      </c>
      <c r="F12" s="421">
        <f t="shared" si="0"/>
        <v>123347972.83</v>
      </c>
      <c r="G12" s="425" t="s">
        <v>311</v>
      </c>
      <c r="H12" s="426">
        <f>IF(OR($G12="可售建筑面积法",$G12="可售建筑面积法（二分法）"),'附表1-面积统计表'!$F$32,IF($G12="其他合理方法","请填写","请选择分摊方法"))</f>
        <v>1</v>
      </c>
      <c r="I12" s="426">
        <f>IF($G12="可售建筑面积法（二分法）",IF('附表1-面积统计表'!$D$33+'附表1-面积统计表'!$D$34=0,"",ROUND(('附表1-面积统计表'!$E$33+'附表1-面积统计表'!$E$34)/('附表1-面积统计表'!$D$33+'附表1-面积统计表'!$D$34),6)),IF($G12="可售建筑面积法",'附表1-面积统计表'!$F$33,IF($G12="其他合理方法","请填写","请选择分摊方法")))</f>
        <v>1</v>
      </c>
      <c r="J12" s="426">
        <f>IF($G12="可售建筑面积法（二分法）",IF('附表1-面积统计表'!$D$33+'附表1-面积统计表'!$D$34=0,"",ROUND(('附表1-面积统计表'!$E$33+'附表1-面积统计表'!$E$34)/('附表1-面积统计表'!$D$33+'附表1-面积统计表'!$D$34),6)),IF($G12="可售建筑面积法",'附表1-面积统计表'!$F$34,IF($G12="其他合理方法","请填写","请选择分摊方法")))</f>
        <v>0.056616</v>
      </c>
      <c r="K12" s="442">
        <f t="shared" si="1"/>
        <v>44516941.79</v>
      </c>
      <c r="L12" s="442">
        <f t="shared" si="2"/>
        <v>54899001.47</v>
      </c>
      <c r="M12" s="442">
        <f t="shared" si="3"/>
        <v>1354935.79</v>
      </c>
      <c r="N12" s="442">
        <f t="shared" si="4"/>
        <v>100770879.05</v>
      </c>
    </row>
    <row r="13" s="347" customFormat="1" ht="27.95" customHeight="1" spans="1:14">
      <c r="A13" s="427" t="s">
        <v>233</v>
      </c>
      <c r="B13" s="420" t="s">
        <v>105</v>
      </c>
      <c r="C13" s="421">
        <f>'附表5-扣除项目统计表'!E36+'附表5-扣除项目统计表'!I36</f>
        <v>6071210.8</v>
      </c>
      <c r="D13" s="421">
        <f>'附表5-扣除项目统计表'!F36+'附表5-扣除项目统计表'!J36</f>
        <v>7487334.2</v>
      </c>
      <c r="E13" s="421">
        <f>'附表5-扣除项目统计表'!G36+'附表5-扣除项目统计表'!K36</f>
        <v>3386742.07</v>
      </c>
      <c r="F13" s="421">
        <f t="shared" si="0"/>
        <v>16945287.07</v>
      </c>
      <c r="G13" s="425" t="s">
        <v>311</v>
      </c>
      <c r="H13" s="426">
        <f>IF(OR($G13="可售建筑面积法",$G13="可售建筑面积法（二分法）"),'附表1-面积统计表'!$F$32,IF($G13="其他合理方法","请填写","请选择分摊方法"))</f>
        <v>1</v>
      </c>
      <c r="I13" s="426">
        <f>IF($G13="可售建筑面积法（二分法）",IF('附表1-面积统计表'!$D$33+'附表1-面积统计表'!$D$34=0,"",ROUND(('附表1-面积统计表'!$E$33+'附表1-面积统计表'!$E$34)/('附表1-面积统计表'!$D$33+'附表1-面积统计表'!$D$34),6)),IF($G13="可售建筑面积法",'附表1-面积统计表'!$F$33,IF($G13="其他合理方法","请填写","请选择分摊方法")))</f>
        <v>1</v>
      </c>
      <c r="J13" s="426">
        <f>IF($G13="可售建筑面积法（二分法）",IF('附表1-面积统计表'!$D$33+'附表1-面积统计表'!$D$34=0,"",ROUND(('附表1-面积统计表'!$E$33+'附表1-面积统计表'!$E$34)/('附表1-面积统计表'!$D$33+'附表1-面积统计表'!$D$34),6)),IF($G13="可售建筑面积法",'附表1-面积统计表'!$F$34,IF($G13="其他合理方法","请填写","请选择分摊方法")))</f>
        <v>0.056616</v>
      </c>
      <c r="K13" s="442">
        <f t="shared" si="1"/>
        <v>6071210.8</v>
      </c>
      <c r="L13" s="442">
        <f t="shared" si="2"/>
        <v>7487334.2</v>
      </c>
      <c r="M13" s="442">
        <f t="shared" si="3"/>
        <v>191743.79</v>
      </c>
      <c r="N13" s="442">
        <f t="shared" si="4"/>
        <v>13750288.79</v>
      </c>
    </row>
    <row r="14" s="398" customFormat="1" ht="27.95" customHeight="1" spans="1:14">
      <c r="A14" s="427" t="s">
        <v>234</v>
      </c>
      <c r="B14" s="420" t="s">
        <v>110</v>
      </c>
      <c r="C14" s="421">
        <f>'附表5-扣除项目统计表'!E48+'附表5-扣除项目统计表'!I48</f>
        <v>4992632.95</v>
      </c>
      <c r="D14" s="421">
        <f>'附表5-扣除项目统计表'!F48+'附表5-扣除项目统计表'!J48</f>
        <v>6157283.92</v>
      </c>
      <c r="E14" s="421">
        <f>'附表5-扣除项目统计表'!G48+'附表5-扣除项目统计表'!K48</f>
        <v>2519682.09</v>
      </c>
      <c r="F14" s="421">
        <f t="shared" si="0"/>
        <v>13669598.96</v>
      </c>
      <c r="G14" s="425" t="s">
        <v>311</v>
      </c>
      <c r="H14" s="426">
        <f>IF(OR($G14="可售建筑面积法",$G14="可售建筑面积法（二分法）"),'附表1-面积统计表'!$F$32,IF($G14="其他合理方法","请填写","请选择分摊方法"))</f>
        <v>1</v>
      </c>
      <c r="I14" s="426">
        <f>IF($G14="可售建筑面积法（二分法）",IF('附表1-面积统计表'!$D$33+'附表1-面积统计表'!$D$34=0,"",ROUND(('附表1-面积统计表'!$E$33+'附表1-面积统计表'!$E$34)/('附表1-面积统计表'!$D$33+'附表1-面积统计表'!$D$34),6)),IF($G14="可售建筑面积法",'附表1-面积统计表'!$F$33,IF($G14="其他合理方法","请填写","请选择分摊方法")))</f>
        <v>1</v>
      </c>
      <c r="J14" s="426">
        <f>IF($G14="可售建筑面积法（二分法）",IF('附表1-面积统计表'!$D$33+'附表1-面积统计表'!$D$34=0,"",ROUND(('附表1-面积统计表'!$E$33+'附表1-面积统计表'!$E$34)/('附表1-面积统计表'!$D$33+'附表1-面积统计表'!$D$34),6)),IF($G14="可售建筑面积法",'附表1-面积统计表'!$F$34,IF($G14="其他合理方法","请填写","请选择分摊方法")))</f>
        <v>0.056616</v>
      </c>
      <c r="K14" s="442">
        <f t="shared" si="1"/>
        <v>4992632.95</v>
      </c>
      <c r="L14" s="442">
        <f t="shared" si="2"/>
        <v>6157283.92</v>
      </c>
      <c r="M14" s="442">
        <f t="shared" si="3"/>
        <v>142654.32</v>
      </c>
      <c r="N14" s="442">
        <f t="shared" si="4"/>
        <v>11292571.19</v>
      </c>
    </row>
    <row r="15" s="398" customFormat="1" ht="27.95" customHeight="1" spans="1:14">
      <c r="A15" s="427" t="s">
        <v>235</v>
      </c>
      <c r="B15" s="420" t="s">
        <v>113</v>
      </c>
      <c r="C15" s="421">
        <f>'附表5-扣除项目统计表'!E65+'附表5-扣除项目统计表'!I65</f>
        <v>533424.41</v>
      </c>
      <c r="D15" s="421">
        <f>'附表5-扣除项目统计表'!F65+'附表5-扣除项目统计表'!J65</f>
        <v>657858.45</v>
      </c>
      <c r="E15" s="421">
        <f>'附表5-扣除项目统计表'!G65+'附表5-扣除项目统计表'!K65</f>
        <v>269235.97</v>
      </c>
      <c r="F15" s="421">
        <f t="shared" si="0"/>
        <v>1460518.83</v>
      </c>
      <c r="G15" s="425" t="s">
        <v>311</v>
      </c>
      <c r="H15" s="426">
        <f>IF(OR($G15="可售建筑面积法",$G15="可售建筑面积法（二分法）"),'附表1-面积统计表'!$F$32,IF($G15="其他合理方法","请填写","请选择分摊方法"))</f>
        <v>1</v>
      </c>
      <c r="I15" s="426">
        <f>IF($G15="可售建筑面积法（二分法）",IF('附表1-面积统计表'!$D$33+'附表1-面积统计表'!$D$34=0,"",ROUND(('附表1-面积统计表'!$E$33+'附表1-面积统计表'!$E$34)/('附表1-面积统计表'!$D$33+'附表1-面积统计表'!$D$34),6)),IF($G15="可售建筑面积法",'附表1-面积统计表'!$F$33,IF($G15="其他合理方法","请填写","请选择分摊方法")))</f>
        <v>1</v>
      </c>
      <c r="J15" s="426">
        <f>IF($G15="可售建筑面积法（二分法）",IF('附表1-面积统计表'!$D$33+'附表1-面积统计表'!$D$34=0,"",ROUND(('附表1-面积统计表'!$E$33+'附表1-面积统计表'!$E$34)/('附表1-面积统计表'!$D$33+'附表1-面积统计表'!$D$34),6)),IF($G15="可售建筑面积法",'附表1-面积统计表'!$F$34,IF($G15="其他合理方法","请填写","请选择分摊方法")))</f>
        <v>0.056616</v>
      </c>
      <c r="K15" s="442">
        <f t="shared" ref="K15:M16" si="5">IF(AND(H15&lt;=1,H15&gt;=0),ROUND(C15*H15,2),"请准确填写扣除比例")</f>
        <v>533424.41</v>
      </c>
      <c r="L15" s="442">
        <f t="shared" si="5"/>
        <v>657858.45</v>
      </c>
      <c r="M15" s="442">
        <f t="shared" si="5"/>
        <v>15243.06</v>
      </c>
      <c r="N15" s="442">
        <f t="shared" si="4"/>
        <v>1206525.92</v>
      </c>
    </row>
    <row r="16" s="398" customFormat="1" ht="27.95" customHeight="1" spans="1:14">
      <c r="A16" s="427" t="s">
        <v>226</v>
      </c>
      <c r="B16" s="420" t="s">
        <v>117</v>
      </c>
      <c r="C16" s="421">
        <f>'附表5-扣除项目统计表'!E75+'附表5-扣除项目统计表'!I75</f>
        <v>0</v>
      </c>
      <c r="D16" s="421">
        <f>'附表5-扣除项目统计表'!F75+'附表5-扣除项目统计表'!J75</f>
        <v>0</v>
      </c>
      <c r="E16" s="421">
        <f>'附表5-扣除项目统计表'!G75+'附表5-扣除项目统计表'!K75</f>
        <v>0</v>
      </c>
      <c r="F16" s="421">
        <f t="shared" si="0"/>
        <v>0</v>
      </c>
      <c r="G16" s="425" t="s">
        <v>311</v>
      </c>
      <c r="H16" s="426">
        <f>IF(OR($G16="可售建筑面积法",$G16="可售建筑面积法（二分法）"),'附表1-面积统计表'!$F$32,IF($G16="其他合理方法","请填写","请选择分摊方法"))</f>
        <v>1</v>
      </c>
      <c r="I16" s="426">
        <f>IF($G16="可售建筑面积法（二分法）",IF('附表1-面积统计表'!$D$33+'附表1-面积统计表'!$D$34=0,"",ROUND(('附表1-面积统计表'!$E$33+'附表1-面积统计表'!$E$34)/('附表1-面积统计表'!$D$33+'附表1-面积统计表'!$D$34),6)),IF($G16="可售建筑面积法",'附表1-面积统计表'!$F$33,IF($G16="其他合理方法","请填写","请选择分摊方法")))</f>
        <v>1</v>
      </c>
      <c r="J16" s="426">
        <f>IF($G16="可售建筑面积法（二分法）",IF('附表1-面积统计表'!$D$33+'附表1-面积统计表'!$D$34=0,"",ROUND(('附表1-面积统计表'!$E$33+'附表1-面积统计表'!$E$34)/('附表1-面积统计表'!$D$33+'附表1-面积统计表'!$D$34),6)),IF($G16="可售建筑面积法",'附表1-面积统计表'!$F$34,IF($G16="其他合理方法","请填写","请选择分摊方法")))</f>
        <v>0.056616</v>
      </c>
      <c r="K16" s="442">
        <f t="shared" si="5"/>
        <v>0</v>
      </c>
      <c r="L16" s="442">
        <f t="shared" si="5"/>
        <v>0</v>
      </c>
      <c r="M16" s="442">
        <f t="shared" si="5"/>
        <v>0</v>
      </c>
      <c r="N16" s="442">
        <f t="shared" si="4"/>
        <v>0</v>
      </c>
    </row>
    <row r="17" s="398" customFormat="1" ht="27.95" customHeight="1" spans="1:14">
      <c r="A17" s="424" t="s">
        <v>237</v>
      </c>
      <c r="B17" s="420" t="s">
        <v>313</v>
      </c>
      <c r="C17" s="421">
        <f>'附表5-扣除项目统计表'!E76+'附表5-扣除项目统计表'!I76</f>
        <v>5769949.583</v>
      </c>
      <c r="D17" s="421">
        <f>'附表5-扣除项目统计表'!F76+'附表5-扣除项目统计表'!J76</f>
        <v>7115656.91</v>
      </c>
      <c r="E17" s="421">
        <f>'附表5-扣除项目统计表'!G76+'附表5-扣除项目统计表'!K76</f>
        <v>3091032.254</v>
      </c>
      <c r="F17" s="421">
        <f t="shared" si="0"/>
        <v>15976638.747</v>
      </c>
      <c r="G17" s="423"/>
      <c r="H17" s="423"/>
      <c r="I17" s="423"/>
      <c r="J17" s="423"/>
      <c r="K17" s="442">
        <f>SUM(K18:K19)</f>
        <v>5769949.58</v>
      </c>
      <c r="L17" s="442">
        <f>SUM(L18:L19)</f>
        <v>7115656.91</v>
      </c>
      <c r="M17" s="442">
        <f>SUM(M18:M19)</f>
        <v>175001.88</v>
      </c>
      <c r="N17" s="442">
        <f t="shared" si="4"/>
        <v>13060608.37</v>
      </c>
    </row>
    <row r="18" s="347" customFormat="1" ht="27.95" customHeight="1" spans="1:14">
      <c r="A18" s="427" t="s">
        <v>239</v>
      </c>
      <c r="B18" s="420" t="s">
        <v>123</v>
      </c>
      <c r="C18" s="421">
        <f>'附表5-扣除项目统计表'!E77+'附表5-扣除项目统计表'!I77</f>
        <v>0</v>
      </c>
      <c r="D18" s="421">
        <f>'附表5-扣除项目统计表'!F77+'附表5-扣除项目统计表'!J77</f>
        <v>0</v>
      </c>
      <c r="E18" s="421">
        <f>'附表5-扣除项目统计表'!G77+'附表5-扣除项目统计表'!K77</f>
        <v>0</v>
      </c>
      <c r="F18" s="421">
        <f t="shared" si="0"/>
        <v>0</v>
      </c>
      <c r="G18" s="425" t="s">
        <v>311</v>
      </c>
      <c r="H18" s="426">
        <f>IF(OR($G18="可售建筑面积法",$G18="可售建筑面积法（二分法）"),'附表1-面积统计表'!$F$32,IF($G18="其他合理方法","请填写","请选择分摊方法"))</f>
        <v>1</v>
      </c>
      <c r="I18" s="426">
        <f>IF($G18="可售建筑面积法（二分法）",IF('附表1-面积统计表'!$D$33+'附表1-面积统计表'!$D$34=0,"",ROUND(('附表1-面积统计表'!$E$33+'附表1-面积统计表'!$E$34)/('附表1-面积统计表'!$D$33+'附表1-面积统计表'!$D$34),6)),IF($G18="可售建筑面积法",'附表1-面积统计表'!$F$33,IF($G18="其他合理方法","请填写","请选择分摊方法")))</f>
        <v>1</v>
      </c>
      <c r="J18" s="426">
        <f>IF($G18="可售建筑面积法（二分法）",IF('附表1-面积统计表'!$D$33+'附表1-面积统计表'!$D$34=0,"",ROUND(('附表1-面积统计表'!$E$33+'附表1-面积统计表'!$E$34)/('附表1-面积统计表'!$D$33+'附表1-面积统计表'!$D$34),6)),IF($G18="可售建筑面积法",'附表1-面积统计表'!$F$34,IF($G18="其他合理方法","请填写","请选择分摊方法")))</f>
        <v>0.056616</v>
      </c>
      <c r="K18" s="442">
        <f>IF('附表5-扣除项目统计表'!$D$77="据实扣除",IF(AND(H18&lt;=1,H18&gt;=0),ROUND(C18*H18,2),"请准确填写扣除比例"),0)</f>
        <v>0</v>
      </c>
      <c r="L18" s="442">
        <f>IF('附表5-扣除项目统计表'!$D$77="据实扣除",IF(AND(I18&lt;=1,I18&gt;=0),ROUND(D18*I18,2),"请准确填写扣除比例"),0)</f>
        <v>0</v>
      </c>
      <c r="M18" s="442">
        <f>IF('附表5-扣除项目统计表'!$D$77="据实扣除",IF(AND(J18&lt;=1,J18&gt;=0),ROUND(E18*J18,2),"请准确填写扣除比例"),0)</f>
        <v>0</v>
      </c>
      <c r="N18" s="442">
        <f t="shared" si="4"/>
        <v>0</v>
      </c>
    </row>
    <row r="19" s="347" customFormat="1" ht="27.95" customHeight="1" spans="1:14">
      <c r="A19" s="427" t="s">
        <v>240</v>
      </c>
      <c r="B19" s="420" t="s">
        <v>290</v>
      </c>
      <c r="C19" s="421">
        <f>'附表5-扣除项目统计表'!E78+'附表5-扣除项目统计表'!I78</f>
        <v>5769949.583</v>
      </c>
      <c r="D19" s="421">
        <f>'附表5-扣除项目统计表'!F78+'附表5-扣除项目统计表'!J78</f>
        <v>7115656.91</v>
      </c>
      <c r="E19" s="421">
        <f>'附表5-扣除项目统计表'!G78+'附表5-扣除项目统计表'!K78</f>
        <v>3091032.254</v>
      </c>
      <c r="F19" s="421">
        <f t="shared" si="0"/>
        <v>15976638.747</v>
      </c>
      <c r="G19" s="347" t="s">
        <v>314</v>
      </c>
      <c r="H19" s="423"/>
      <c r="I19" s="423"/>
      <c r="J19" s="423"/>
      <c r="K19" s="442">
        <f>IF(G19="与加计扣除一致",ROUND(IF('附表5-扣除项目统计表'!$D$77="计算扣除",((SUM(K7)-SUM(K8))+(SUM(K9)-SUM(K16)))*10%,((SUM(K7)-SUM(K8))+(SUM(K9)-SUM(K16)))*5%),2),"请准确填写普通住宅扣除金额。")</f>
        <v>5769949.58</v>
      </c>
      <c r="L19" s="442">
        <f>IF(G19="与加计扣除一致",ROUND(IF('附表5-扣除项目统计表'!$D$77="计算扣除",((SUM(L7)-SUM(L8))+(SUM(L9)-SUM(L16)))*10%,((SUM(L7)-SUM(L8))+(SUM(L9)-SUM(L16)))*5%),2),"请准确填写非普通住宅扣除金额。")</f>
        <v>7115656.91</v>
      </c>
      <c r="M19" s="442">
        <f>IF(G19="与加计扣除一致",ROUND(IF('附表5-扣除项目统计表'!$D$77="计算扣除",((SUM(M7)-SUM(M8))+(SUM(M9)-SUM(M16)))*10%,((SUM(M7)-SUM(M8))+(SUM(M9)-SUM(M16)))*5%),2),"请准确填写其他类型房地产扣除金额。")</f>
        <v>175001.88</v>
      </c>
      <c r="N19" s="442">
        <f t="shared" si="4"/>
        <v>13060608.37</v>
      </c>
    </row>
    <row r="20" s="347" customFormat="1" ht="27.95" customHeight="1" spans="1:14">
      <c r="A20" s="424" t="s">
        <v>241</v>
      </c>
      <c r="B20" s="420" t="s">
        <v>315</v>
      </c>
      <c r="C20" s="428"/>
      <c r="D20" s="428"/>
      <c r="E20" s="428"/>
      <c r="F20" s="428"/>
      <c r="G20" s="429"/>
      <c r="H20" s="429"/>
      <c r="I20" s="423"/>
      <c r="J20" s="423"/>
      <c r="K20" s="442">
        <f>SUM(K21:K25)</f>
        <v>220434.88</v>
      </c>
      <c r="L20" s="442">
        <f>SUM(L21:L25)</f>
        <v>368515.58</v>
      </c>
      <c r="M20" s="442">
        <f>SUM(M21:M25)</f>
        <v>27084.16</v>
      </c>
      <c r="N20" s="442">
        <f t="shared" si="4"/>
        <v>616034.62</v>
      </c>
    </row>
    <row r="21" s="347" customFormat="1" ht="27.95" customHeight="1" spans="1:14">
      <c r="A21" s="427" t="s">
        <v>243</v>
      </c>
      <c r="B21" s="420" t="s">
        <v>316</v>
      </c>
      <c r="C21" s="428"/>
      <c r="D21" s="428"/>
      <c r="E21" s="428"/>
      <c r="F21" s="428"/>
      <c r="G21" s="429"/>
      <c r="H21" s="429"/>
      <c r="I21" s="423"/>
      <c r="J21" s="423"/>
      <c r="K21" s="442">
        <f>ROUND(SUM('附表5-扣除项目统计表'!E80),2)</f>
        <v>0</v>
      </c>
      <c r="L21" s="442">
        <f>ROUND(SUM('附表5-扣除项目统计表'!F80),2)</f>
        <v>0</v>
      </c>
      <c r="M21" s="442">
        <f>ROUND(SUM('附表5-扣除项目统计表'!G80),2)</f>
        <v>0</v>
      </c>
      <c r="N21" s="442">
        <f t="shared" si="4"/>
        <v>0</v>
      </c>
    </row>
    <row r="22" s="347" customFormat="1" ht="27.95" customHeight="1" spans="1:14">
      <c r="A22" s="427" t="s">
        <v>244</v>
      </c>
      <c r="B22" s="420" t="s">
        <v>317</v>
      </c>
      <c r="C22" s="428"/>
      <c r="D22" s="428"/>
      <c r="E22" s="428"/>
      <c r="F22" s="428"/>
      <c r="G22" s="429"/>
      <c r="H22" s="429"/>
      <c r="I22" s="423"/>
      <c r="J22" s="423"/>
      <c r="K22" s="442">
        <f>ROUND(SUM('附表5-扣除项目统计表'!E81),2)</f>
        <v>128587.01</v>
      </c>
      <c r="L22" s="442">
        <f>ROUND(SUM('附表5-扣除项目统计表'!F81),2)</f>
        <v>214967.43</v>
      </c>
      <c r="M22" s="442">
        <f>ROUND(SUM('附表5-扣除项目统计表'!G81),2)</f>
        <v>15799.09</v>
      </c>
      <c r="N22" s="442">
        <f t="shared" si="4"/>
        <v>359353.53</v>
      </c>
    </row>
    <row r="23" s="347" customFormat="1" ht="27.95" customHeight="1" spans="1:14">
      <c r="A23" s="427" t="s">
        <v>245</v>
      </c>
      <c r="B23" s="420" t="s">
        <v>318</v>
      </c>
      <c r="C23" s="428"/>
      <c r="D23" s="428"/>
      <c r="E23" s="428"/>
      <c r="F23" s="428"/>
      <c r="G23" s="429"/>
      <c r="H23" s="429"/>
      <c r="I23" s="423"/>
      <c r="J23" s="423"/>
      <c r="K23" s="442">
        <f>ROUND(SUM('附表5-扣除项目统计表'!E82),2)</f>
        <v>55108.71</v>
      </c>
      <c r="L23" s="442">
        <f>ROUND(SUM('附表5-扣除项目统计表'!F82),2)</f>
        <v>92128.89</v>
      </c>
      <c r="M23" s="442">
        <f>ROUND(SUM('附表5-扣除项目统计表'!G82),2)</f>
        <v>6771.04</v>
      </c>
      <c r="N23" s="442">
        <f t="shared" si="4"/>
        <v>154008.64</v>
      </c>
    </row>
    <row r="24" s="347" customFormat="1" ht="27.95" customHeight="1" spans="1:14">
      <c r="A24" s="427" t="s">
        <v>319</v>
      </c>
      <c r="B24" s="420" t="s">
        <v>320</v>
      </c>
      <c r="C24" s="428"/>
      <c r="D24" s="428"/>
      <c r="E24" s="428"/>
      <c r="F24" s="428"/>
      <c r="G24" s="429"/>
      <c r="H24" s="429"/>
      <c r="I24" s="423"/>
      <c r="J24" s="423"/>
      <c r="K24" s="442">
        <f>ROUND(SUM('附表5-扣除项目统计表'!E83),2)</f>
        <v>36739.16</v>
      </c>
      <c r="L24" s="442">
        <f>ROUND(SUM('附表5-扣除项目统计表'!F83),2)</f>
        <v>61419.26</v>
      </c>
      <c r="M24" s="442">
        <f>ROUND(SUM('附表5-扣除项目统计表'!G83),2)</f>
        <v>4514.03</v>
      </c>
      <c r="N24" s="442">
        <f t="shared" si="4"/>
        <v>102672.45</v>
      </c>
    </row>
    <row r="25" s="347" customFormat="1" ht="27.95" customHeight="1" spans="1:14">
      <c r="A25" s="427" t="s">
        <v>321</v>
      </c>
      <c r="B25" s="420" t="s">
        <v>322</v>
      </c>
      <c r="C25" s="428"/>
      <c r="D25" s="428"/>
      <c r="E25" s="428"/>
      <c r="F25" s="428"/>
      <c r="G25" s="429"/>
      <c r="H25" s="429"/>
      <c r="I25" s="423"/>
      <c r="J25" s="423"/>
      <c r="K25" s="442">
        <f>ROUND(SUM('附表5-扣除项目统计表'!E84),2)</f>
        <v>0</v>
      </c>
      <c r="L25" s="442">
        <f>ROUND(SUM('附表5-扣除项目统计表'!F84),2)</f>
        <v>0</v>
      </c>
      <c r="M25" s="442">
        <f>ROUND(SUM('附表5-扣除项目统计表'!G84),2)</f>
        <v>0</v>
      </c>
      <c r="N25" s="442">
        <f t="shared" si="4"/>
        <v>0</v>
      </c>
    </row>
    <row r="26" s="347" customFormat="1" ht="27.95" customHeight="1" spans="1:14">
      <c r="A26" s="424" t="s">
        <v>246</v>
      </c>
      <c r="B26" s="420" t="s">
        <v>323</v>
      </c>
      <c r="C26" s="421">
        <f>'附表5-扣除项目统计表'!E85+'附表5-扣除项目统计表'!I85</f>
        <v>11539899.166</v>
      </c>
      <c r="D26" s="421">
        <f>'附表5-扣除项目统计表'!F85+'附表5-扣除项目统计表'!J85</f>
        <v>14231313.82</v>
      </c>
      <c r="E26" s="421">
        <f>'附表5-扣除项目统计表'!G85+'附表5-扣除项目统计表'!K85</f>
        <v>6182064.508</v>
      </c>
      <c r="F26" s="421">
        <f>SUM(C26:E26)</f>
        <v>31953277.494</v>
      </c>
      <c r="G26" s="429"/>
      <c r="H26" s="429"/>
      <c r="I26" s="423"/>
      <c r="J26" s="423"/>
      <c r="K26" s="442">
        <f>ROUND((SUM(K7)-SUM(K8)+SUM(K9)-SUM(K16))*20%,2)</f>
        <v>11539899.17</v>
      </c>
      <c r="L26" s="442">
        <f>ROUND((SUM(L7)-SUM(L8)+SUM(L9)-SUM(L16))*20%,2)</f>
        <v>14231313.82</v>
      </c>
      <c r="M26" s="442">
        <f>ROUND((SUM(M7)-SUM(M8)+SUM(M9)-SUM(M16))*20%,2)</f>
        <v>350003.76</v>
      </c>
      <c r="N26" s="442">
        <f t="shared" si="4"/>
        <v>26121216.75</v>
      </c>
    </row>
    <row r="27" s="347" customFormat="1" ht="27.95" customHeight="1" spans="1:14">
      <c r="A27" s="424" t="s">
        <v>247</v>
      </c>
      <c r="B27" s="420" t="s">
        <v>324</v>
      </c>
      <c r="C27" s="421">
        <f>SUM('附表5-扣除项目统计表'!E86)+SUM('附表5-扣除项目统计表'!I86)</f>
        <v>0</v>
      </c>
      <c r="D27" s="421">
        <f>SUM('附表5-扣除项目统计表'!F86)+SUM('附表5-扣除项目统计表'!J86)</f>
        <v>0</v>
      </c>
      <c r="E27" s="421">
        <f>SUM('附表5-扣除项目统计表'!G86)+SUM('附表5-扣除项目统计表'!K86)</f>
        <v>0</v>
      </c>
      <c r="F27" s="421">
        <f>SUM(C27:E27)</f>
        <v>0</v>
      </c>
      <c r="G27" s="425" t="s">
        <v>311</v>
      </c>
      <c r="H27" s="426">
        <f>IF(OR($G27="可售建筑面积法",$G27="可售建筑面积法（二分法）"),'附表1-面积统计表'!$F$32,IF($G27="其他合理方法","请填写","请选择分摊方法"))</f>
        <v>1</v>
      </c>
      <c r="I27" s="426">
        <f>IF($G27="可售建筑面积法（二分法）",IF('附表1-面积统计表'!$D$33+'附表1-面积统计表'!$D$34=0,"",ROUND(('附表1-面积统计表'!$E$33+'附表1-面积统计表'!$E$34)/('附表1-面积统计表'!$D$33+'附表1-面积统计表'!$D$34),6)),IF($G27="可售建筑面积法",'附表1-面积统计表'!$F$33,IF($G27="其他合理方法","请填写","请选择分摊方法")))</f>
        <v>1</v>
      </c>
      <c r="J27" s="426">
        <f>IF($G27="可售建筑面积法（二分法）",IF('附表1-面积统计表'!$D$33+'附表1-面积统计表'!$D$34=0,"",ROUND(('附表1-面积统计表'!$E$33+'附表1-面积统计表'!$E$34)/('附表1-面积统计表'!$D$33+'附表1-面积统计表'!$D$34),6)),IF($G27="可售建筑面积法",'附表1-面积统计表'!$F$34,IF($G27="其他合理方法","请填写","请选择分摊方法")))</f>
        <v>0.056616</v>
      </c>
      <c r="K27" s="442">
        <f>IF(AND(H27&lt;=1,H27&gt;=0),ROUND(C27*H27,2),"请准确填写扣除比例")</f>
        <v>0</v>
      </c>
      <c r="L27" s="442">
        <f>IF(AND(I27&lt;=1,I27&gt;=0),ROUND(D27*I27,2),"请准确填写扣除比例")</f>
        <v>0</v>
      </c>
      <c r="M27" s="442">
        <f>IF(AND(J27&lt;=1,J27&gt;=0),ROUND(E27*J27,2),"请准确填写扣除比例")</f>
        <v>0</v>
      </c>
      <c r="N27" s="442">
        <f t="shared" si="4"/>
        <v>0</v>
      </c>
    </row>
    <row r="28" spans="1:14">
      <c r="A28" s="430"/>
      <c r="B28" s="431"/>
      <c r="C28" s="432"/>
      <c r="D28" s="432"/>
      <c r="E28" s="432"/>
      <c r="F28" s="432"/>
      <c r="G28" s="431"/>
      <c r="H28" s="433"/>
      <c r="I28" s="433"/>
      <c r="J28" s="433"/>
      <c r="K28" s="400"/>
      <c r="L28" s="400"/>
      <c r="M28" s="400"/>
      <c r="N28" s="400"/>
    </row>
    <row r="29" spans="1:14">
      <c r="A29" s="430"/>
      <c r="B29" s="431"/>
      <c r="C29" s="432"/>
      <c r="D29" s="432"/>
      <c r="E29" s="432"/>
      <c r="F29" s="432"/>
      <c r="G29" s="431"/>
      <c r="H29" s="433"/>
      <c r="I29" s="433"/>
      <c r="J29" s="433"/>
      <c r="K29" s="400"/>
      <c r="L29" s="400"/>
      <c r="M29" s="400"/>
      <c r="N29" s="400"/>
    </row>
    <row r="30" spans="11:14">
      <c r="K30" s="400"/>
      <c r="L30" s="400"/>
      <c r="M30" s="400"/>
      <c r="N30" s="400"/>
    </row>
    <row r="31" spans="11:14">
      <c r="K31" s="443"/>
      <c r="L31" s="443"/>
      <c r="M31" s="443"/>
      <c r="N31" s="400"/>
    </row>
    <row r="34" s="399" customFormat="1" spans="1:10">
      <c r="A34" s="434"/>
      <c r="B34" s="435"/>
      <c r="C34" s="436"/>
      <c r="D34" s="436"/>
      <c r="E34" s="436"/>
      <c r="F34" s="436"/>
      <c r="G34" s="437"/>
      <c r="H34" s="438"/>
      <c r="I34" s="438"/>
      <c r="J34" s="438"/>
    </row>
    <row r="35" s="399" customFormat="1" spans="2:10">
      <c r="B35" s="439"/>
      <c r="C35" s="440"/>
      <c r="D35" s="440"/>
      <c r="E35" s="440"/>
      <c r="F35" s="440"/>
      <c r="G35" s="437"/>
      <c r="H35" s="438"/>
      <c r="I35" s="438"/>
      <c r="J35" s="438"/>
    </row>
    <row r="36" s="399" customFormat="1" spans="2:10">
      <c r="B36" s="439"/>
      <c r="C36" s="440"/>
      <c r="D36" s="440"/>
      <c r="E36" s="440"/>
      <c r="F36" s="440"/>
      <c r="G36" s="437"/>
      <c r="H36" s="438"/>
      <c r="I36" s="438"/>
      <c r="J36" s="438"/>
    </row>
  </sheetData>
  <mergeCells count="7">
    <mergeCell ref="A1:N1"/>
    <mergeCell ref="A2:N2"/>
    <mergeCell ref="C3:F3"/>
    <mergeCell ref="G3:J3"/>
    <mergeCell ref="K3:N3"/>
    <mergeCell ref="A3:A5"/>
    <mergeCell ref="B3:B5"/>
  </mergeCells>
  <dataValidations count="4">
    <dataValidation allowBlank="1" showInputMessage="1" showErrorMessage="1" sqref="G6 F6:F19 F26:F27"/>
    <dataValidation type="list" allowBlank="1" showInputMessage="1" showErrorMessage="1" sqref="G18 G27 G7:G8 G10:G16">
      <formula1>IF(土地增值税税源明细表!$H$6="三分法",数据对照表!$AB$2:$AB$3,数据对照表!$AC$2:$AC$4)</formula1>
    </dataValidation>
    <dataValidation type="list" allowBlank="1" showInputMessage="1" showErrorMessage="1" sqref="G19">
      <formula1>OFFSET(数据对照表!$AD$2,,,COUNTA(数据对照表!AD:AD)-1,1)</formula1>
    </dataValidation>
    <dataValidation type="list" allowBlank="1" showInputMessage="1" showErrorMessage="1" sqref="G20:H26">
      <formula1>"建筑面积法,其他合理方法"</formula1>
    </dataValidation>
  </dataValidations>
  <printOptions horizontalCentered="1"/>
  <pageMargins left="0.747916666666667" right="0.747916666666667" top="0.984027777777778" bottom="0.984027777777778" header="0.511805555555556" footer="0.511805555555556"/>
  <pageSetup paperSize="9" scale="57" fitToHeight="0" orientation="landscape"/>
  <headerFooter>
    <oddFooter>&amp;C第 &amp;P 页，共 &amp;N 页</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
    <pageSetUpPr fitToPage="1"/>
  </sheetPr>
  <dimension ref="A1:I18"/>
  <sheetViews>
    <sheetView zoomScale="115" zoomScaleNormal="115" topLeftCell="B1" workbookViewId="0">
      <selection activeCell="K13" sqref="K13"/>
    </sheetView>
  </sheetViews>
  <sheetFormatPr defaultColWidth="8.88405797101449" defaultRowHeight="17.5"/>
  <cols>
    <col min="1" max="1" width="5" style="377" customWidth="1"/>
    <col min="2" max="2" width="23.1159420289855" style="378" customWidth="1"/>
    <col min="3" max="3" width="8.5" style="379" customWidth="1"/>
    <col min="4" max="4" width="20.1159420289855" style="380" customWidth="1"/>
    <col min="5" max="5" width="21.1159420289855" style="380" customWidth="1"/>
    <col min="6" max="6" width="19" style="380" customWidth="1"/>
    <col min="7" max="7" width="21.8840579710145" style="380" customWidth="1"/>
    <col min="8" max="8" width="20.1159420289855" style="380" customWidth="1"/>
    <col min="9" max="9" width="16" customWidth="1"/>
  </cols>
  <sheetData>
    <row r="1" ht="20.65" spans="1:9">
      <c r="A1" s="381" t="s">
        <v>325</v>
      </c>
      <c r="B1" s="381"/>
      <c r="C1" s="381"/>
      <c r="D1" s="381"/>
      <c r="E1" s="381"/>
      <c r="F1" s="381"/>
      <c r="G1" s="381"/>
      <c r="H1" s="381"/>
      <c r="I1" s="381"/>
    </row>
    <row r="2" spans="1:9">
      <c r="A2" s="382" t="str">
        <f>土地增值税税源明细表!F5&amp;"："&amp;土地增值税税源明细表!H5&amp;"          "&amp;土地增值税税源明细表!A5&amp;"："&amp;土地增值税税源明细表!B5&amp;"          "&amp;"金额单位:人民币元(列至角分)"</f>
        <v>项目编码：Z65280120200027          项目名称：沁春锦苑二期          金额单位:人民币元(列至角分)</v>
      </c>
      <c r="B2" s="382"/>
      <c r="C2" s="382"/>
      <c r="D2" s="382"/>
      <c r="E2" s="382"/>
      <c r="F2" s="382"/>
      <c r="G2" s="382"/>
      <c r="H2" s="382"/>
      <c r="I2" s="382"/>
    </row>
    <row r="3" ht="23.8" spans="1:9">
      <c r="A3" s="383" t="s">
        <v>37</v>
      </c>
      <c r="B3" s="384" t="s">
        <v>11</v>
      </c>
      <c r="C3" s="384" t="s">
        <v>326</v>
      </c>
      <c r="D3" s="385" t="s">
        <v>13</v>
      </c>
      <c r="E3" s="386" t="s">
        <v>327</v>
      </c>
      <c r="F3" s="386" t="s">
        <v>273</v>
      </c>
      <c r="G3" s="386" t="s">
        <v>275</v>
      </c>
      <c r="H3" s="384" t="s">
        <v>328</v>
      </c>
      <c r="I3" s="384" t="s">
        <v>329</v>
      </c>
    </row>
    <row r="4" spans="1:9">
      <c r="A4" s="383"/>
      <c r="B4" s="559" t="s">
        <v>42</v>
      </c>
      <c r="C4" s="559" t="s">
        <v>45</v>
      </c>
      <c r="D4" s="559" t="s">
        <v>48</v>
      </c>
      <c r="E4" s="559" t="s">
        <v>92</v>
      </c>
      <c r="F4" s="559" t="s">
        <v>95</v>
      </c>
      <c r="G4" s="559" t="s">
        <v>99</v>
      </c>
      <c r="H4" s="559" t="s">
        <v>102</v>
      </c>
      <c r="I4" s="559" t="s">
        <v>105</v>
      </c>
    </row>
    <row r="5" spans="1:9">
      <c r="A5" s="388">
        <v>1</v>
      </c>
      <c r="B5" s="389" t="s">
        <v>12</v>
      </c>
      <c r="C5" s="390" t="s">
        <v>16</v>
      </c>
      <c r="D5" s="391" t="str">
        <f>IF(清算项目基本情况表!S6="","",清算项目基本情况表!S6)</f>
        <v>Z65280120200027</v>
      </c>
      <c r="E5" s="390">
        <f>IF(清算项目基本情况表!D9="","",清算项目基本情况表!D9)</f>
        <v>37660.54</v>
      </c>
      <c r="F5" s="390">
        <f>IF(SUM('附表1-面积统计表'!D29)=0,"",'附表1-面积统计表'!D29)</f>
        <v>53048.66</v>
      </c>
      <c r="G5" s="390">
        <v>53009.86</v>
      </c>
      <c r="H5" s="392">
        <v>1901.66</v>
      </c>
      <c r="I5" s="393" t="s">
        <v>330</v>
      </c>
    </row>
    <row r="6" spans="1:9">
      <c r="A6" s="7">
        <v>1</v>
      </c>
      <c r="B6" s="8" t="s">
        <v>331</v>
      </c>
      <c r="C6" s="392" t="s">
        <v>332</v>
      </c>
      <c r="D6" s="10"/>
      <c r="E6" s="392">
        <v>40521.01</v>
      </c>
      <c r="F6" s="392">
        <v>54544.16</v>
      </c>
      <c r="G6" s="392">
        <v>54463.47</v>
      </c>
      <c r="H6" s="392">
        <v>655.35</v>
      </c>
      <c r="I6" s="394"/>
    </row>
    <row r="7" spans="1:9">
      <c r="A7" s="7">
        <v>3</v>
      </c>
      <c r="B7" s="8" t="s">
        <v>333</v>
      </c>
      <c r="C7" s="392" t="s">
        <v>332</v>
      </c>
      <c r="D7" s="10"/>
      <c r="E7" s="392">
        <v>35429.51</v>
      </c>
      <c r="F7" s="392">
        <v>53435.89</v>
      </c>
      <c r="G7" s="392">
        <v>53396.65</v>
      </c>
      <c r="H7" s="392">
        <v>3409.98</v>
      </c>
      <c r="I7" s="394"/>
    </row>
    <row r="8" spans="1:9">
      <c r="A8" s="7">
        <v>4</v>
      </c>
      <c r="B8" s="8"/>
      <c r="C8" s="392"/>
      <c r="D8" s="10"/>
      <c r="E8" s="392"/>
      <c r="F8" s="392"/>
      <c r="G8" s="392"/>
      <c r="H8" s="392"/>
      <c r="I8" s="394"/>
    </row>
    <row r="9" spans="1:9">
      <c r="A9" s="7">
        <v>5</v>
      </c>
      <c r="B9" s="8"/>
      <c r="C9" s="392"/>
      <c r="D9" s="10"/>
      <c r="E9" s="392"/>
      <c r="F9" s="392"/>
      <c r="G9" s="392"/>
      <c r="H9" s="392"/>
      <c r="I9" s="394"/>
    </row>
    <row r="10" spans="1:9">
      <c r="A10" s="7">
        <v>6</v>
      </c>
      <c r="B10" s="8"/>
      <c r="C10" s="392"/>
      <c r="D10" s="10"/>
      <c r="E10" s="392"/>
      <c r="F10" s="392"/>
      <c r="G10" s="392"/>
      <c r="H10" s="392"/>
      <c r="I10" s="394"/>
    </row>
    <row r="11" spans="1:9">
      <c r="A11" s="7">
        <v>7</v>
      </c>
      <c r="B11" s="8"/>
      <c r="C11" s="392"/>
      <c r="D11" s="10"/>
      <c r="E11" s="392"/>
      <c r="F11" s="392"/>
      <c r="G11" s="392"/>
      <c r="H11" s="392"/>
      <c r="I11" s="394"/>
    </row>
    <row r="12" spans="1:9">
      <c r="A12" s="7">
        <v>8</v>
      </c>
      <c r="B12" s="8"/>
      <c r="C12" s="392"/>
      <c r="D12" s="10"/>
      <c r="E12" s="392"/>
      <c r="F12" s="392"/>
      <c r="G12" s="392"/>
      <c r="H12" s="392"/>
      <c r="I12" s="394"/>
    </row>
    <row r="13" spans="1:9">
      <c r="A13" s="7">
        <v>9</v>
      </c>
      <c r="B13" s="8"/>
      <c r="C13" s="392"/>
      <c r="D13" s="10"/>
      <c r="E13" s="392"/>
      <c r="F13" s="392"/>
      <c r="G13" s="392"/>
      <c r="H13" s="392"/>
      <c r="I13" s="394"/>
    </row>
    <row r="14" spans="1:9">
      <c r="A14" s="7">
        <v>10</v>
      </c>
      <c r="B14" s="8"/>
      <c r="C14" s="392"/>
      <c r="D14" s="10"/>
      <c r="E14" s="392"/>
      <c r="F14" s="392"/>
      <c r="G14" s="392"/>
      <c r="H14" s="392"/>
      <c r="I14" s="394"/>
    </row>
    <row r="18" spans="9:9">
      <c r="I18" s="395"/>
    </row>
  </sheetData>
  <mergeCells count="3">
    <mergeCell ref="A1:I1"/>
    <mergeCell ref="A2:I2"/>
    <mergeCell ref="A3:A4"/>
  </mergeCells>
  <dataValidations count="1">
    <dataValidation type="list" allowBlank="1" showInputMessage="1" showErrorMessage="1" sqref="C1:C2 C5:C1048576">
      <formula1>"是,否"</formula1>
    </dataValidation>
  </dataValidations>
  <pageMargins left="0.747916666666667" right="0.747916666666667" top="0.984027777777778" bottom="0.984027777777778" header="0.511805555555556" footer="0.511805555555556"/>
  <pageSetup paperSize="9" scale="78" fitToHeight="0" orientation="landscape"/>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
    <pageSetUpPr fitToPage="1"/>
  </sheetPr>
  <dimension ref="A1:M87"/>
  <sheetViews>
    <sheetView zoomScale="90" zoomScaleNormal="90" workbookViewId="0">
      <pane xSplit="4" ySplit="5" topLeftCell="F60" activePane="bottomRight" state="frozen"/>
      <selection/>
      <selection pane="topRight"/>
      <selection pane="bottomLeft"/>
      <selection pane="bottomRight" activeCell="L11" sqref="H11 L11"/>
    </sheetView>
  </sheetViews>
  <sheetFormatPr defaultColWidth="3.61594202898551" defaultRowHeight="17.5"/>
  <cols>
    <col min="1" max="2" width="3.61594202898551" style="351"/>
    <col min="3" max="3" width="10.3840579710145" style="351" customWidth="1"/>
    <col min="4" max="4" width="16.8840579710145" style="351" customWidth="1"/>
    <col min="5" max="5" width="21.1159420289855" style="352" customWidth="1"/>
    <col min="6" max="6" width="20.6159420289855" style="352" customWidth="1"/>
    <col min="7" max="7" width="22.6159420289855" style="352" customWidth="1"/>
    <col min="8" max="8" width="13.3260869565217" style="352" customWidth="1"/>
    <col min="9" max="11" width="23.3840579710145" style="352" customWidth="1"/>
    <col min="12" max="12" width="12.768115942029" style="352" customWidth="1"/>
    <col min="13" max="13" width="12.5942028985507" style="352" customWidth="1"/>
  </cols>
  <sheetData>
    <row r="1" s="347" customFormat="1" ht="20.65" spans="1:13">
      <c r="A1" s="353" t="s">
        <v>334</v>
      </c>
      <c r="B1" s="353"/>
      <c r="C1" s="353"/>
      <c r="D1" s="353"/>
      <c r="E1" s="354"/>
      <c r="F1" s="354"/>
      <c r="G1" s="354"/>
      <c r="H1" s="354"/>
      <c r="I1" s="354"/>
      <c r="J1" s="354"/>
      <c r="K1" s="354"/>
      <c r="L1" s="354"/>
      <c r="M1" s="354"/>
    </row>
    <row r="2" s="347" customFormat="1" ht="18.75" customHeight="1" spans="1:13">
      <c r="A2" s="355" t="str">
        <f>土地增值税税源明细表!F5&amp;"："&amp;土地增值税税源明细表!H5&amp;"          "&amp;土地增值税税源明细表!A5&amp;"："&amp;土地增值税税源明细表!B5&amp;"          "&amp;"金额单位:人民币元(列至角分)"</f>
        <v>项目编码：Z65280120200027          项目名称：沁春锦苑二期          金额单位:人民币元(列至角分)</v>
      </c>
      <c r="B2" s="355"/>
      <c r="C2" s="355"/>
      <c r="D2" s="355"/>
      <c r="E2" s="356"/>
      <c r="F2" s="356"/>
      <c r="G2" s="356"/>
      <c r="H2" s="356"/>
      <c r="I2" s="356"/>
      <c r="J2" s="356"/>
      <c r="K2" s="356"/>
      <c r="L2" s="356"/>
      <c r="M2" s="356"/>
    </row>
    <row r="3" s="348" customFormat="1" ht="24" customHeight="1" spans="1:13">
      <c r="A3" s="357" t="s">
        <v>37</v>
      </c>
      <c r="B3" s="358" t="s">
        <v>300</v>
      </c>
      <c r="C3" s="358"/>
      <c r="D3" s="358"/>
      <c r="E3" s="359" t="s">
        <v>335</v>
      </c>
      <c r="F3" s="359"/>
      <c r="G3" s="359"/>
      <c r="H3" s="359"/>
      <c r="I3" s="370" t="s">
        <v>336</v>
      </c>
      <c r="J3" s="371"/>
      <c r="K3" s="371"/>
      <c r="L3" s="372"/>
      <c r="M3" s="361" t="s">
        <v>152</v>
      </c>
    </row>
    <row r="4" s="349" customFormat="1" ht="24" customHeight="1" spans="1:13">
      <c r="A4" s="360"/>
      <c r="B4" s="358"/>
      <c r="C4" s="358"/>
      <c r="D4" s="358"/>
      <c r="E4" s="361" t="s">
        <v>214</v>
      </c>
      <c r="F4" s="361" t="s">
        <v>215</v>
      </c>
      <c r="G4" s="361" t="s">
        <v>216</v>
      </c>
      <c r="H4" s="361" t="s">
        <v>297</v>
      </c>
      <c r="I4" s="361" t="s">
        <v>214</v>
      </c>
      <c r="J4" s="361" t="s">
        <v>215</v>
      </c>
      <c r="K4" s="361" t="s">
        <v>216</v>
      </c>
      <c r="L4" s="361" t="s">
        <v>297</v>
      </c>
      <c r="M4" s="361"/>
    </row>
    <row r="5" s="350" customFormat="1" ht="24" customHeight="1" spans="1:13">
      <c r="A5" s="362"/>
      <c r="B5" s="358"/>
      <c r="C5" s="358"/>
      <c r="D5" s="358"/>
      <c r="E5" s="560" t="s">
        <v>42</v>
      </c>
      <c r="F5" s="560" t="s">
        <v>45</v>
      </c>
      <c r="G5" s="560" t="s">
        <v>48</v>
      </c>
      <c r="H5" s="560" t="s">
        <v>298</v>
      </c>
      <c r="I5" s="560" t="s">
        <v>95</v>
      </c>
      <c r="J5" s="561" t="s">
        <v>99</v>
      </c>
      <c r="K5" s="560" t="s">
        <v>102</v>
      </c>
      <c r="L5" s="560" t="s">
        <v>337</v>
      </c>
      <c r="M5" s="560" t="s">
        <v>338</v>
      </c>
    </row>
    <row r="6" s="347" customFormat="1" ht="24" customHeight="1" spans="1:13">
      <c r="A6" s="363">
        <v>1</v>
      </c>
      <c r="B6" s="364" t="str">
        <f>数据对照表!B1</f>
        <v>取得土地使用权所支付的金额</v>
      </c>
      <c r="C6" s="364"/>
      <c r="D6" s="364"/>
      <c r="E6" s="365">
        <f>SUMIFS('附表7-扣除项目明细采集底稿'!W:W,'附表7-扣除项目明细采集底稿'!D:D,数据对照表!B1,'附表7-扣除项目明细采集底稿'!V:V,"直接归集成本费用")</f>
        <v>0</v>
      </c>
      <c r="F6" s="365">
        <f>SUMIFS('附表7-扣除项目明细采集底稿'!X:X,'附表7-扣除项目明细采集底稿'!D:D,数据对照表!B1,'附表7-扣除项目明细采集底稿'!V:V,"直接归集成本费用")</f>
        <v>0</v>
      </c>
      <c r="G6" s="365">
        <f>SUMIFS('附表7-扣除项目明细采集底稿'!Y:Y,'附表7-扣除项目明细采集底稿'!D:D,数据对照表!B1,'附表7-扣除项目明细采集底稿'!V:V,"直接归集成本费用")</f>
        <v>0</v>
      </c>
      <c r="H6" s="366">
        <f t="shared" ref="H6:H20" si="0">SUM(E6:G6)</f>
        <v>0</v>
      </c>
      <c r="I6" s="365">
        <f>SUMIFS('附表7-扣除项目明细采集底稿'!W:W,'附表7-扣除项目明细采集底稿'!D:D,数据对照表!B1,'附表7-扣除项目明细采集底稿'!V:V,"共同成本费用")</f>
        <v>0</v>
      </c>
      <c r="J6" s="365">
        <f>SUMIFS('附表7-扣除项目明细采集底稿'!X:X,'附表7-扣除项目明细采集底稿'!D:D,数据对照表!B1,'附表7-扣除项目明细采集底稿'!V:V,"共同成本费用")</f>
        <v>0</v>
      </c>
      <c r="K6" s="365">
        <f>SUMIFS('附表7-扣除项目明细采集底稿'!Y:Y,'附表7-扣除项目明细采集底稿'!D:D,数据对照表!B1,'附表7-扣除项目明细采集底稿'!V:V,"共同成本费用")</f>
        <v>0</v>
      </c>
      <c r="L6" s="366">
        <f t="shared" ref="L6:L20" si="1">SUM(I6:K6)</f>
        <v>0</v>
      </c>
      <c r="M6" s="366">
        <f t="shared" ref="M6:M20" si="2">H6+L6</f>
        <v>0</v>
      </c>
    </row>
    <row r="7" s="347" customFormat="1" ht="24" customHeight="1" spans="1:13">
      <c r="A7" s="363">
        <v>2</v>
      </c>
      <c r="B7" s="363" t="s">
        <v>339</v>
      </c>
      <c r="C7" s="367" t="str">
        <f>数据对照表!B2</f>
        <v>支付的土地出让金额</v>
      </c>
      <c r="D7" s="367"/>
      <c r="E7" s="365">
        <f>SUMIFS('附表7-扣除项目明细采集底稿'!W:W,'附表7-扣除项目明细采集底稿'!E:E,数据对照表!B2,'附表7-扣除项目明细采集底稿'!V:V,"直接归集成本费用")</f>
        <v>0</v>
      </c>
      <c r="F7" s="365">
        <f>SUMIFS('附表7-扣除项目明细采集底稿'!X:X,'附表7-扣除项目明细采集底稿'!E:E,数据对照表!B2,'附表7-扣除项目明细采集底稿'!V:V,"直接归集成本费用")</f>
        <v>0</v>
      </c>
      <c r="G7" s="365">
        <f>SUMIFS('附表7-扣除项目明细采集底稿'!Y:Y,'附表7-扣除项目明细采集底稿'!E:E,数据对照表!B2,'附表7-扣除项目明细采集底稿'!V:V,"直接归集成本费用")</f>
        <v>0</v>
      </c>
      <c r="H7" s="366">
        <f t="shared" si="0"/>
        <v>0</v>
      </c>
      <c r="I7" s="365">
        <f>SUMIFS('附表7-扣除项目明细采集底稿'!W:W,'附表7-扣除项目明细采集底稿'!E:E,数据对照表!B2,'附表7-扣除项目明细采集底稿'!V:V,"共同成本费用")</f>
        <v>0</v>
      </c>
      <c r="J7" s="365">
        <f>SUMIFS('附表7-扣除项目明细采集底稿'!X:X,'附表7-扣除项目明细采集底稿'!E:E,数据对照表!B2,'附表7-扣除项目明细采集底稿'!V:V,"共同成本费用")</f>
        <v>0</v>
      </c>
      <c r="K7" s="365">
        <f>SUMIFS('附表7-扣除项目明细采集底稿'!Y:Y,'附表7-扣除项目明细采集底稿'!E:E,数据对照表!B2,'附表7-扣除项目明细采集底稿'!V:V,"共同成本费用")</f>
        <v>0</v>
      </c>
      <c r="L7" s="366">
        <f t="shared" si="1"/>
        <v>0</v>
      </c>
      <c r="M7" s="366">
        <f t="shared" si="2"/>
        <v>0</v>
      </c>
    </row>
    <row r="8" s="347" customFormat="1" ht="24" customHeight="1" spans="1:13">
      <c r="A8" s="363">
        <v>3</v>
      </c>
      <c r="B8" s="363"/>
      <c r="C8" s="367" t="str">
        <f>数据对照表!B3</f>
        <v>支付的地价款金额</v>
      </c>
      <c r="D8" s="367"/>
      <c r="E8" s="365">
        <f>SUMIFS('附表7-扣除项目明细采集底稿'!W:W,'附表7-扣除项目明细采集底稿'!E:E,数据对照表!B3,'附表7-扣除项目明细采集底稿'!V:V,"直接归集成本费用")</f>
        <v>0</v>
      </c>
      <c r="F8" s="365">
        <f>SUMIFS('附表7-扣除项目明细采集底稿'!X:X,'附表7-扣除项目明细采集底稿'!E:E,数据对照表!B3,'附表7-扣除项目明细采集底稿'!V:V,"直接归集成本费用")</f>
        <v>0</v>
      </c>
      <c r="G8" s="365">
        <f>SUMIFS('附表7-扣除项目明细采集底稿'!Y:Y,'附表7-扣除项目明细采集底稿'!E:E,数据对照表!B3,'附表7-扣除项目明细采集底稿'!V:V,"直接归集成本费用")</f>
        <v>0</v>
      </c>
      <c r="H8" s="366">
        <f t="shared" si="0"/>
        <v>0</v>
      </c>
      <c r="I8" s="365">
        <f>SUMIFS('附表7-扣除项目明细采集底稿'!W:W,'附表7-扣除项目明细采集底稿'!E:E,数据对照表!B3,'附表7-扣除项目明细采集底稿'!V:V,"共同成本费用")</f>
        <v>0</v>
      </c>
      <c r="J8" s="365">
        <f>SUMIFS('附表7-扣除项目明细采集底稿'!X:X,'附表7-扣除项目明细采集底稿'!E:E,数据对照表!B3,'附表7-扣除项目明细采集底稿'!V:V,"共同成本费用")</f>
        <v>0</v>
      </c>
      <c r="K8" s="365">
        <f>SUMIFS('附表7-扣除项目明细采集底稿'!Y:Y,'附表7-扣除项目明细采集底稿'!E:E,数据对照表!B3,'附表7-扣除项目明细采集底稿'!V:V,"共同成本费用")</f>
        <v>0</v>
      </c>
      <c r="L8" s="366">
        <f t="shared" si="1"/>
        <v>0</v>
      </c>
      <c r="M8" s="366">
        <f t="shared" si="2"/>
        <v>0</v>
      </c>
    </row>
    <row r="9" s="347" customFormat="1" ht="24" customHeight="1" spans="1:13">
      <c r="A9" s="363">
        <v>4</v>
      </c>
      <c r="B9" s="363"/>
      <c r="C9" s="367" t="str">
        <f>数据对照表!B4</f>
        <v>交纳的有关税费</v>
      </c>
      <c r="D9" s="367"/>
      <c r="E9" s="368">
        <f>SUMIFS('附表7-扣除项目明细采集底稿'!W:W,'附表7-扣除项目明细采集底稿'!E:E,数据对照表!B4,'附表7-扣除项目明细采集底稿'!V:V,"直接归集成本费用")</f>
        <v>0</v>
      </c>
      <c r="F9" s="368">
        <f>SUMIFS('附表7-扣除项目明细采集底稿'!X:X,'附表7-扣除项目明细采集底稿'!E:E,数据对照表!B4,'附表7-扣除项目明细采集底稿'!V:V,"直接归集成本费用")</f>
        <v>0</v>
      </c>
      <c r="G9" s="368">
        <f>SUMIFS('附表7-扣除项目明细采集底稿'!Y:Y,'附表7-扣除项目明细采集底稿'!E:E,数据对照表!B4,'附表7-扣除项目明细采集底稿'!V:V,"直接归集成本费用")</f>
        <v>0</v>
      </c>
      <c r="H9" s="369">
        <f t="shared" si="0"/>
        <v>0</v>
      </c>
      <c r="I9" s="368">
        <f>SUMIFS('附表7-扣除项目明细采集底稿'!W:W,'附表7-扣除项目明细采集底稿'!E:E,数据对照表!B4,'附表7-扣除项目明细采集底稿'!V:V,"共同成本费用")</f>
        <v>0</v>
      </c>
      <c r="J9" s="368">
        <f>SUMIFS('附表7-扣除项目明细采集底稿'!X:X,'附表7-扣除项目明细采集底稿'!E:E,数据对照表!B4,'附表7-扣除项目明细采集底稿'!V:V,"共同成本费用")</f>
        <v>0</v>
      </c>
      <c r="K9" s="368">
        <f>SUMIFS('附表7-扣除项目明细采集底稿'!Y:Y,'附表7-扣除项目明细采集底稿'!E:E,数据对照表!B4,'附表7-扣除项目明细采集底稿'!V:V,"共同成本费用")</f>
        <v>0</v>
      </c>
      <c r="L9" s="366">
        <f t="shared" si="1"/>
        <v>0</v>
      </c>
      <c r="M9" s="366">
        <f t="shared" si="2"/>
        <v>0</v>
      </c>
    </row>
    <row r="10" s="347" customFormat="1" ht="24" customHeight="1" spans="1:13">
      <c r="A10" s="363">
        <v>5</v>
      </c>
      <c r="B10" s="367" t="s">
        <v>226</v>
      </c>
      <c r="C10" s="367"/>
      <c r="D10" s="367"/>
      <c r="E10" s="365">
        <f>SUMIFS('附表7-扣除项目明细采集底稿'!W:W,'附表7-扣除项目明细采集底稿'!D:D,数据对照表!B1,'附表7-扣除项目明细采集底稿'!V:V,"直接归集成本费用",'附表7-扣除项目明细采集底稿'!AB:AB,"不可加计")</f>
        <v>0</v>
      </c>
      <c r="F10" s="365">
        <f>SUMIFS('附表7-扣除项目明细采集底稿'!X:X,'附表7-扣除项目明细采集底稿'!D:D,数据对照表!B1,'附表7-扣除项目明细采集底稿'!V:V,"直接归集成本费用",'附表7-扣除项目明细采集底稿'!AB:AB,"不可加计")</f>
        <v>0</v>
      </c>
      <c r="G10" s="365">
        <f>SUMIFS('附表7-扣除项目明细采集底稿'!Y:Y,'附表7-扣除项目明细采集底稿'!D:D,数据对照表!B1,'附表7-扣除项目明细采集底稿'!V:V,"直接归集成本费用",'附表7-扣除项目明细采集底稿'!AB:AB,"不可加计")</f>
        <v>0</v>
      </c>
      <c r="H10" s="366">
        <f t="shared" si="0"/>
        <v>0</v>
      </c>
      <c r="I10" s="365">
        <f>SUMIFS('附表7-扣除项目明细采集底稿'!W:W,'附表7-扣除项目明细采集底稿'!D:D,数据对照表!B1,'附表7-扣除项目明细采集底稿'!V:V,"共同成本费用",'附表7-扣除项目明细采集底稿'!AB:AB,"不可加计")</f>
        <v>0</v>
      </c>
      <c r="J10" s="365">
        <f>SUMIFS('附表7-扣除项目明细采集底稿'!X:X,'附表7-扣除项目明细采集底稿'!D:D,数据对照表!B1,'附表7-扣除项目明细采集底稿'!V:V,"共同成本费用",'附表7-扣除项目明细采集底稿'!AB:AB,"不可加计")</f>
        <v>0</v>
      </c>
      <c r="K10" s="365">
        <f>SUMIFS('附表7-扣除项目明细采集底稿'!Y:Y,'附表7-扣除项目明细采集底稿'!D:D,数据对照表!B1,'附表7-扣除项目明细采集底稿'!V:V,"共同成本费用",'附表7-扣除项目明细采集底稿'!AB:AB,"不可加计")</f>
        <v>0</v>
      </c>
      <c r="L10" s="366">
        <f t="shared" si="1"/>
        <v>0</v>
      </c>
      <c r="M10" s="366">
        <f t="shared" si="2"/>
        <v>0</v>
      </c>
    </row>
    <row r="11" s="347" customFormat="1" ht="24" customHeight="1" spans="1:13">
      <c r="A11" s="363">
        <v>6</v>
      </c>
      <c r="B11" s="367" t="s">
        <v>340</v>
      </c>
      <c r="C11" s="367"/>
      <c r="D11" s="367"/>
      <c r="E11" s="365">
        <f>SUM(SUMIFS('附表7-扣除项目明细采集底稿'!W:W,'附表7-扣除项目明细采集底稿'!D:D,"土地征用及拆迁补偿费",'附表7-扣除项目明细采集底稿'!V:V,"直接归集成本费用"),SUMIFS('附表7-扣除项目明细采集底稿'!W:W,'附表7-扣除项目明细采集底稿'!D:D,"前期工程费",'附表7-扣除项目明细采集底稿'!V:V,"直接归集成本费用"),SUMIFS('附表7-扣除项目明细采集底稿'!W:W,'附表7-扣除项目明细采集底稿'!D:D,"建筑安装工程费",'附表7-扣除项目明细采集底稿'!V:V,"直接归集成本费用"),SUMIFS('附表7-扣除项目明细采集底稿'!W:W,'附表7-扣除项目明细采集底稿'!D:D,"基础设施费",'附表7-扣除项目明细采集底稿'!V:V,"直接归集成本费用"),SUMIFS('附表7-扣除项目明细采集底稿'!W:W,'附表7-扣除项目明细采集底稿'!D:D,"公共配套设施费",'附表7-扣除项目明细采集底稿'!V:V,"直接归集成本费用"),SUMIFS('附表7-扣除项目明细采集底稿'!W:W,'附表7-扣除项目明细采集底稿'!D:D,"开发间接费用",'附表7-扣除项目明细采集底稿'!V:V,"直接归集成本费用"))</f>
        <v>46497401.75</v>
      </c>
      <c r="F11" s="365">
        <f>SUM(SUMIFS('附表7-扣除项目明细采集底稿'!X:X,'附表7-扣除项目明细采集底稿'!D:D,"土地征用及拆迁补偿费",'附表7-扣除项目明细采集底稿'!V:V,"直接归集成本费用"),SUMIFS('附表7-扣除项目明细采集底稿'!X:X,'附表7-扣除项目明细采集底稿'!D:D,"前期工程费",'附表7-扣除项目明细采集底稿'!V:V,"直接归集成本费用"),SUMIFS('附表7-扣除项目明细采集底稿'!X:X,'附表7-扣除项目明细采集底稿'!D:D,"建筑安装工程费",'附表7-扣除项目明细采集底稿'!V:V,"直接归集成本费用"),SUMIFS('附表7-扣除项目明细采集底稿'!X:X,'附表7-扣除项目明细采集底稿'!D:D,"基础设施费",'附表7-扣除项目明细采集底稿'!V:V,"直接归集成本费用"),SUMIFS('附表7-扣除项目明细采集底稿'!X:X,'附表7-扣除项目明细采集底稿'!D:D,"公共配套设施费",'附表7-扣除项目明细采集底稿'!V:V,"直接归集成本费用"),SUMIFS('附表7-扣除项目明细采集底稿'!X:X,'附表7-扣除项目明细采集底稿'!D:D,"开发间接费用",'附表7-扣除项目明细采集底稿'!V:V,"直接归集成本费用"))</f>
        <v>57341318.77</v>
      </c>
      <c r="G11" s="365">
        <f>SUM(SUMIFS('附表7-扣除项目明细采集底稿'!Y:Y,'附表7-扣除项目明细采集底稿'!D:D,"土地征用及拆迁补偿费",'附表7-扣除项目明细采集底稿'!V:V,"直接归集成本费用"),SUMIFS('附表7-扣除项目明细采集底稿'!Y:Y,'附表7-扣除项目明细采集底稿'!D:D,"前期工程费",'附表7-扣除项目明细采集底稿'!V:V,"直接归集成本费用"),SUMIFS('附表7-扣除项目明细采集底稿'!Y:Y,'附表7-扣除项目明细采集底稿'!D:D,"建筑安装工程费",'附表7-扣除项目明细采集底稿'!V:V,"直接归集成本费用"),SUMIFS('附表7-扣除项目明细采集底稿'!Y:Y,'附表7-扣除项目明细采集底稿'!D:D,"基础设施费",'附表7-扣除项目明细采集底稿'!V:V,"直接归集成本费用"),SUMIFS('附表7-扣除项目明细采集底稿'!Y:Y,'附表7-扣除项目明细采集底稿'!D:D,"公共配套设施费",'附表7-扣除项目明细采集底稿'!V:V,"直接归集成本费用"),SUMIFS('附表7-扣除项目明细采集底稿'!Y:Y,'附表7-扣除项目明细采集底稿'!D:D,"开发间接费用",'附表7-扣除项目明细采集底稿'!V:V,"直接归集成本费用"))</f>
        <v>25256276.03</v>
      </c>
      <c r="H11" s="366">
        <f t="shared" si="0"/>
        <v>129094996.55</v>
      </c>
      <c r="I11" s="365">
        <f>SUM(SUMIFS('附表7-扣除项目明细采集底稿'!W:W,'附表7-扣除项目明细采集底稿'!D:D,"土地征用及拆迁补偿费",'附表7-扣除项目明细采集底稿'!V:V,"共同成本费用"),SUMIFS('附表7-扣除项目明细采集底稿'!W:W,'附表7-扣除项目明细采集底稿'!D:D,"前期工程费",'附表7-扣除项目明细采集底稿'!V:V,"共同成本费用"),SUMIFS('附表7-扣除项目明细采集底稿'!W:W,'附表7-扣除项目明细采集底稿'!D:D,"建筑安装工程费",'附表7-扣除项目明细采集底稿'!V:V,"共同成本费用"),SUMIFS('附表7-扣除项目明细采集底稿'!W:W,'附表7-扣除项目明细采集底稿'!D:D,"基础设施费",'附表7-扣除项目明细采集底稿'!V:V,"共同成本费用"),SUMIFS('附表7-扣除项目明细采集底稿'!W:W,'附表7-扣除项目明细采集底稿'!D:D,"公共配套设施费",'附表7-扣除项目明细采集底稿'!V:V,"共同成本费用"),SUMIFS('附表7-扣除项目明细采集底稿'!W:W,'附表7-扣除项目明细采集底稿'!D:D,"开发间接费用",'附表7-扣除项目明细采集底稿'!V:V,"共同成本费用"))</f>
        <v>11202094.08</v>
      </c>
      <c r="J11" s="365">
        <f>SUM(SUMIFS('附表7-扣除项目明细采集底稿'!X:X,'附表7-扣除项目明细采集底稿'!D:D,"土地征用及拆迁补偿费",'附表7-扣除项目明细采集底稿'!V:V,"共同成本费用"),SUMIFS('附表7-扣除项目明细采集底稿'!X:X,'附表7-扣除项目明细采集底稿'!D:D,"前期工程费",'附表7-扣除项目明细采集底稿'!V:V,"共同成本费用"),SUMIFS('附表7-扣除项目明细采集底稿'!X:X,'附表7-扣除项目明细采集底稿'!D:D,"建筑安装工程费",'附表7-扣除项目明细采集底稿'!V:V,"共同成本费用"),SUMIFS('附表7-扣除项目明细采集底稿'!X:X,'附表7-扣除项目明细采集底稿'!D:D,"基础设施费",'附表7-扣除项目明细采集底稿'!V:V,"共同成本费用"),SUMIFS('附表7-扣除项目明细采集底稿'!X:X,'附表7-扣除项目明细采集底稿'!D:D,"公共配套设施费",'附表7-扣除项目明细采集底稿'!V:V,"共同成本费用"),SUMIFS('附表7-扣除项目明细采集底稿'!X:X,'附表7-扣除项目明细采集底稿'!D:D,"开发间接费用",'附表7-扣除项目明细采集底稿'!V:V,"共同成本费用"))</f>
        <v>13815250.33</v>
      </c>
      <c r="K11" s="365">
        <f>SUM(SUMIFS('附表7-扣除项目明细采集底稿'!Y:Y,'附表7-扣除项目明细采集底稿'!D:D,"土地征用及拆迁补偿费",'附表7-扣除项目明细采集底稿'!V:V,"共同成本费用"),SUMIFS('附表7-扣除项目明细采集底稿'!Y:Y,'附表7-扣除项目明细采集底稿'!D:D,"前期工程费",'附表7-扣除项目明细采集底稿'!V:V,"共同成本费用"),SUMIFS('附表7-扣除项目明细采集底稿'!Y:Y,'附表7-扣除项目明细采集底稿'!D:D,"建筑安装工程费",'附表7-扣除项目明细采集底稿'!V:V,"共同成本费用"),SUMIFS('附表7-扣除项目明细采集底稿'!Y:Y,'附表7-扣除项目明细采集底稿'!D:D,"基础设施费",'附表7-扣除项目明细采集底稿'!V:V,"共同成本费用"),SUMIFS('附表7-扣除项目明细采集底稿'!Y:Y,'附表7-扣除项目明细采集底稿'!D:D,"公共配套设施费",'附表7-扣除项目明细采集底稿'!V:V,"共同成本费用"),SUMIFS('附表7-扣除项目明细采集底稿'!Y:Y,'附表7-扣除项目明细采集底稿'!D:D,"开发间接费用",'附表7-扣除项目明细采集底稿'!V:V,"共同成本费用"))</f>
        <v>5654046.51</v>
      </c>
      <c r="L11" s="366">
        <f t="shared" si="1"/>
        <v>30671390.92</v>
      </c>
      <c r="M11" s="366">
        <f t="shared" si="2"/>
        <v>159766387.47</v>
      </c>
    </row>
    <row r="12" s="347" customFormat="1" ht="24" customHeight="1" spans="1:13">
      <c r="A12" s="363">
        <v>7</v>
      </c>
      <c r="B12" s="363" t="s">
        <v>339</v>
      </c>
      <c r="C12" s="364" t="str">
        <f>数据对照表!C1</f>
        <v>土地征用及拆迁补偿费</v>
      </c>
      <c r="D12" s="364"/>
      <c r="E12" s="365">
        <f>SUMIFS('附表7-扣除项目明细采集底稿'!W:W,'附表7-扣除项目明细采集底稿'!D:D,数据对照表!C1,'附表7-扣除项目明细采集底稿'!V:V,"直接归集成本费用")</f>
        <v>0</v>
      </c>
      <c r="F12" s="365">
        <f>SUMIFS('附表7-扣除项目明细采集底稿'!X:X,'附表7-扣除项目明细采集底稿'!D:D,数据对照表!C1,'附表7-扣除项目明细采集底稿'!V:V,"直接归集成本费用")</f>
        <v>0</v>
      </c>
      <c r="G12" s="365">
        <f>SUMIFS('附表7-扣除项目明细采集底稿'!Y:Y,'附表7-扣除项目明细采集底稿'!D:D,数据对照表!C1,'附表7-扣除项目明细采集底稿'!V:V,"直接归集成本费用")</f>
        <v>0</v>
      </c>
      <c r="H12" s="366">
        <f t="shared" si="0"/>
        <v>0</v>
      </c>
      <c r="I12" s="365">
        <f>SUMIFS('附表7-扣除项目明细采集底稿'!W:W,'附表7-扣除项目明细采集底稿'!D:D,数据对照表!C1,'附表7-扣除项目明细采集底稿'!V:V,"共同成本费用")</f>
        <v>490885.04</v>
      </c>
      <c r="J12" s="365">
        <f>SUMIFS('附表7-扣除项目明细采集底稿'!X:X,'附表7-扣除项目明细采集底稿'!D:D,数据对照表!C1,'附表7-扣除项目明细采集底稿'!V:V,"共同成本费用")</f>
        <v>605395.72</v>
      </c>
      <c r="K12" s="365">
        <f>SUMIFS('附表7-扣除项目明细采集底稿'!Y:Y,'附表7-扣除项目明细采集底稿'!D:D,数据对照表!C1,'附表7-扣除项目明细采集底稿'!V:V,"共同成本费用")</f>
        <v>247765.01</v>
      </c>
      <c r="L12" s="366">
        <f t="shared" si="1"/>
        <v>1344045.77</v>
      </c>
      <c r="M12" s="366">
        <f t="shared" si="2"/>
        <v>1344045.77</v>
      </c>
    </row>
    <row r="13" s="347" customFormat="1" ht="24" customHeight="1" spans="1:13">
      <c r="A13" s="363">
        <v>8</v>
      </c>
      <c r="B13" s="363"/>
      <c r="C13" s="363" t="s">
        <v>339</v>
      </c>
      <c r="D13" s="367" t="str">
        <f>数据对照表!C2</f>
        <v>土地征用费用</v>
      </c>
      <c r="E13" s="365">
        <f>SUMIFS('附表7-扣除项目明细采集底稿'!W:W,'附表7-扣除项目明细采集底稿'!E:E,数据对照表!C2,'附表7-扣除项目明细采集底稿'!V:V,"直接归集成本费用")</f>
        <v>0</v>
      </c>
      <c r="F13" s="365">
        <f>SUMIFS('附表7-扣除项目明细采集底稿'!X:X,'附表7-扣除项目明细采集底稿'!E:E,数据对照表!C2,'附表7-扣除项目明细采集底稿'!V:V,"直接归集成本费用")</f>
        <v>0</v>
      </c>
      <c r="G13" s="365">
        <f>SUMIFS('附表7-扣除项目明细采集底稿'!Y:Y,'附表7-扣除项目明细采集底稿'!E:E,数据对照表!C2,'附表7-扣除项目明细采集底稿'!V:V,"直接归集成本费用")</f>
        <v>0</v>
      </c>
      <c r="H13" s="366">
        <f t="shared" si="0"/>
        <v>0</v>
      </c>
      <c r="I13" s="365">
        <f>SUMIFS('附表7-扣除项目明细采集底稿'!W:W,'附表7-扣除项目明细采集底稿'!E:E,数据对照表!C2,'附表7-扣除项目明细采集底稿'!V:V,"共同成本费用")</f>
        <v>476587.42</v>
      </c>
      <c r="J13" s="365">
        <f>SUMIFS('附表7-扣除项目明细采集底稿'!X:X,'附表7-扣除项目明细采集底稿'!E:E,数据对照表!C2,'附表7-扣除项目明细采集底稿'!V:V,"共同成本费用")</f>
        <v>587762.84</v>
      </c>
      <c r="K13" s="365">
        <f>SUMIFS('附表7-扣除项目明细采集底稿'!Y:Y,'附表7-扣除项目明细采集底稿'!E:E,数据对照表!C2,'附表7-扣除项目明细采集底稿'!V:V,"共同成本费用")</f>
        <v>240548.55</v>
      </c>
      <c r="L13" s="366">
        <f t="shared" si="1"/>
        <v>1304898.81</v>
      </c>
      <c r="M13" s="366">
        <f t="shared" si="2"/>
        <v>1304898.81</v>
      </c>
    </row>
    <row r="14" s="347" customFormat="1" ht="24" customHeight="1" spans="1:13">
      <c r="A14" s="363">
        <v>9</v>
      </c>
      <c r="B14" s="363"/>
      <c r="C14" s="363"/>
      <c r="D14" s="367" t="str">
        <f>数据对照表!C3</f>
        <v>耕地占用税</v>
      </c>
      <c r="E14" s="365">
        <f>SUMIFS('附表7-扣除项目明细采集底稿'!W:W,'附表7-扣除项目明细采集底稿'!E:E,数据对照表!C3,'附表7-扣除项目明细采集底稿'!V:V,"直接归集成本费用")</f>
        <v>0</v>
      </c>
      <c r="F14" s="365">
        <f>SUMIFS('附表7-扣除项目明细采集底稿'!X:X,'附表7-扣除项目明细采集底稿'!E:E,数据对照表!C3,'附表7-扣除项目明细采集底稿'!V:V,"直接归集成本费用")</f>
        <v>0</v>
      </c>
      <c r="G14" s="365">
        <f>SUMIFS('附表7-扣除项目明细采集底稿'!Y:Y,'附表7-扣除项目明细采集底稿'!E:E,数据对照表!C3,'附表7-扣除项目明细采集底稿'!V:V,"直接归集成本费用")</f>
        <v>0</v>
      </c>
      <c r="H14" s="366">
        <f t="shared" si="0"/>
        <v>0</v>
      </c>
      <c r="I14" s="365">
        <f>SUMIFS('附表7-扣除项目明细采集底稿'!W:W,'附表7-扣除项目明细采集底稿'!E:E,数据对照表!C3,'附表7-扣除项目明细采集底稿'!V:V,"共同成本费用")</f>
        <v>0</v>
      </c>
      <c r="J14" s="365">
        <f>SUMIFS('附表7-扣除项目明细采集底稿'!X:X,'附表7-扣除项目明细采集底稿'!E:E,数据对照表!C3,'附表7-扣除项目明细采集底稿'!V:V,"共同成本费用")</f>
        <v>0</v>
      </c>
      <c r="K14" s="365">
        <f>SUMIFS('附表7-扣除项目明细采集底稿'!Y:Y,'附表7-扣除项目明细采集底稿'!E:E,数据对照表!C3,'附表7-扣除项目明细采集底稿'!V:V,"共同成本费用")</f>
        <v>0</v>
      </c>
      <c r="L14" s="366">
        <f t="shared" si="1"/>
        <v>0</v>
      </c>
      <c r="M14" s="366">
        <f t="shared" si="2"/>
        <v>0</v>
      </c>
    </row>
    <row r="15" s="347" customFormat="1" ht="24" customHeight="1" spans="1:13">
      <c r="A15" s="363">
        <v>10</v>
      </c>
      <c r="B15" s="363"/>
      <c r="C15" s="363"/>
      <c r="D15" s="367" t="str">
        <f>数据对照表!C4</f>
        <v>劳动力安置费</v>
      </c>
      <c r="E15" s="365">
        <f>SUMIFS('附表7-扣除项目明细采集底稿'!W:W,'附表7-扣除项目明细采集底稿'!E:E,数据对照表!C4,'附表7-扣除项目明细采集底稿'!V:V,"直接归集成本费用")</f>
        <v>0</v>
      </c>
      <c r="F15" s="365">
        <f>SUMIFS('附表7-扣除项目明细采集底稿'!X:X,'附表7-扣除项目明细采集底稿'!E:E,数据对照表!C4,'附表7-扣除项目明细采集底稿'!V:V,"直接归集成本费用")</f>
        <v>0</v>
      </c>
      <c r="G15" s="365">
        <f>SUMIFS('附表7-扣除项目明细采集底稿'!Y:Y,'附表7-扣除项目明细采集底稿'!E:E,数据对照表!C4,'附表7-扣除项目明细采集底稿'!V:V,"直接归集成本费用")</f>
        <v>0</v>
      </c>
      <c r="H15" s="366">
        <f t="shared" si="0"/>
        <v>0</v>
      </c>
      <c r="I15" s="365">
        <f>SUMIFS('附表7-扣除项目明细采集底稿'!W:W,'附表7-扣除项目明细采集底稿'!E:E,数据对照表!C4,'附表7-扣除项目明细采集底稿'!V:V,"共同成本费用")</f>
        <v>0</v>
      </c>
      <c r="J15" s="365">
        <f>SUMIFS('附表7-扣除项目明细采集底稿'!X:X,'附表7-扣除项目明细采集底稿'!E:E,数据对照表!C4,'附表7-扣除项目明细采集底稿'!V:V,"共同成本费用")</f>
        <v>0</v>
      </c>
      <c r="K15" s="365">
        <f>SUMIFS('附表7-扣除项目明细采集底稿'!Y:Y,'附表7-扣除项目明细采集底稿'!E:E,数据对照表!C4,'附表7-扣除项目明细采集底稿'!V:V,"共同成本费用")</f>
        <v>0</v>
      </c>
      <c r="L15" s="366">
        <f t="shared" si="1"/>
        <v>0</v>
      </c>
      <c r="M15" s="366">
        <f t="shared" si="2"/>
        <v>0</v>
      </c>
    </row>
    <row r="16" s="347" customFormat="1" ht="24" customHeight="1" spans="1:13">
      <c r="A16" s="363">
        <v>11</v>
      </c>
      <c r="B16" s="363"/>
      <c r="C16" s="363"/>
      <c r="D16" s="367" t="str">
        <f>数据对照表!C5</f>
        <v>安置动迁用房支出</v>
      </c>
      <c r="E16" s="365">
        <f>SUMIFS('附表7-扣除项目明细采集底稿'!W:W,'附表7-扣除项目明细采集底稿'!E:E,数据对照表!C5,'附表7-扣除项目明细采集底稿'!V:V,"直接归集成本费用")</f>
        <v>0</v>
      </c>
      <c r="F16" s="365">
        <f>SUMIFS('附表7-扣除项目明细采集底稿'!X:X,'附表7-扣除项目明细采集底稿'!E:E,数据对照表!C5,'附表7-扣除项目明细采集底稿'!V:V,"直接归集成本费用")</f>
        <v>0</v>
      </c>
      <c r="G16" s="365">
        <f>SUMIFS('附表7-扣除项目明细采集底稿'!Y:Y,'附表7-扣除项目明细采集底稿'!E:E,数据对照表!C5,'附表7-扣除项目明细采集底稿'!V:V,"直接归集成本费用")</f>
        <v>0</v>
      </c>
      <c r="H16" s="366">
        <f t="shared" si="0"/>
        <v>0</v>
      </c>
      <c r="I16" s="365">
        <f>SUMIFS('附表7-扣除项目明细采集底稿'!W:W,'附表7-扣除项目明细采集底稿'!E:E,数据对照表!C5,'附表7-扣除项目明细采集底稿'!V:V,"共同成本费用")</f>
        <v>0</v>
      </c>
      <c r="J16" s="365">
        <f>SUMIFS('附表7-扣除项目明细采集底稿'!X:X,'附表7-扣除项目明细采集底稿'!E:E,数据对照表!C5,'附表7-扣除项目明细采集底稿'!V:V,"共同成本费用")</f>
        <v>0</v>
      </c>
      <c r="K16" s="365">
        <f>SUMIFS('附表7-扣除项目明细采集底稿'!Y:Y,'附表7-扣除项目明细采集底稿'!E:E,数据对照表!C5,'附表7-扣除项目明细采集底稿'!V:V,"共同成本费用")</f>
        <v>0</v>
      </c>
      <c r="L16" s="366">
        <f t="shared" si="1"/>
        <v>0</v>
      </c>
      <c r="M16" s="366">
        <f t="shared" si="2"/>
        <v>0</v>
      </c>
    </row>
    <row r="17" s="347" customFormat="1" ht="24" customHeight="1" spans="1:13">
      <c r="A17" s="363">
        <v>12</v>
      </c>
      <c r="B17" s="363"/>
      <c r="C17" s="363"/>
      <c r="D17" s="367" t="str">
        <f>数据对照表!C6</f>
        <v>拆迁补偿费</v>
      </c>
      <c r="E17" s="365">
        <f>SUMIFS('附表7-扣除项目明细采集底稿'!W:W,'附表7-扣除项目明细采集底稿'!E:E,数据对照表!C6,'附表7-扣除项目明细采集底稿'!V:V,"直接归集成本费用")</f>
        <v>0</v>
      </c>
      <c r="F17" s="365">
        <f>SUMIFS('附表7-扣除项目明细采集底稿'!X:X,'附表7-扣除项目明细采集底稿'!E:E,数据对照表!C6,'附表7-扣除项目明细采集底稿'!V:V,"直接归集成本费用")</f>
        <v>0</v>
      </c>
      <c r="G17" s="365">
        <f>SUMIFS('附表7-扣除项目明细采集底稿'!Y:Y,'附表7-扣除项目明细采集底稿'!E:E,数据对照表!C6,'附表7-扣除项目明细采集底稿'!V:V,"直接归集成本费用")</f>
        <v>0</v>
      </c>
      <c r="H17" s="366">
        <f t="shared" si="0"/>
        <v>0</v>
      </c>
      <c r="I17" s="365">
        <f>SUMIFS('附表7-扣除项目明细采集底稿'!W:W,'附表7-扣除项目明细采集底稿'!E:E,数据对照表!C6,'附表7-扣除项目明细采集底稿'!V:V,"共同成本费用")</f>
        <v>0</v>
      </c>
      <c r="J17" s="365">
        <f>SUMIFS('附表7-扣除项目明细采集底稿'!X:X,'附表7-扣除项目明细采集底稿'!E:E,数据对照表!C6,'附表7-扣除项目明细采集底稿'!V:V,"共同成本费用")</f>
        <v>0</v>
      </c>
      <c r="K17" s="365">
        <f>SUMIFS('附表7-扣除项目明细采集底稿'!Y:Y,'附表7-扣除项目明细采集底稿'!E:E,数据对照表!C6,'附表7-扣除项目明细采集底稿'!V:V,"共同成本费用")</f>
        <v>0</v>
      </c>
      <c r="L17" s="366">
        <f t="shared" si="1"/>
        <v>0</v>
      </c>
      <c r="M17" s="366">
        <f t="shared" si="2"/>
        <v>0</v>
      </c>
    </row>
    <row r="18" s="347" customFormat="1" ht="27.95" customHeight="1" spans="1:13">
      <c r="A18" s="363">
        <v>13</v>
      </c>
      <c r="B18" s="363"/>
      <c r="C18" s="363"/>
      <c r="D18" s="367" t="str">
        <f>数据对照表!C7</f>
        <v>其他土地征用及拆迁补偿费</v>
      </c>
      <c r="E18" s="365">
        <f>SUMIFS('附表7-扣除项目明细采集底稿'!W:W,'附表7-扣除项目明细采集底稿'!E:E,数据对照表!C7,'附表7-扣除项目明细采集底稿'!V:V,"直接归集成本费用")</f>
        <v>0</v>
      </c>
      <c r="F18" s="365">
        <f>SUMIFS('附表7-扣除项目明细采集底稿'!X:X,'附表7-扣除项目明细采集底稿'!E:E,数据对照表!C7,'附表7-扣除项目明细采集底稿'!V:V,"直接归集成本费用")</f>
        <v>0</v>
      </c>
      <c r="G18" s="365">
        <f>SUMIFS('附表7-扣除项目明细采集底稿'!Y:Y,'附表7-扣除项目明细采集底稿'!E:E,数据对照表!C7,'附表7-扣除项目明细采集底稿'!V:V,"直接归集成本费用")</f>
        <v>0</v>
      </c>
      <c r="H18" s="366">
        <f t="shared" si="0"/>
        <v>0</v>
      </c>
      <c r="I18" s="365">
        <f>SUMIFS('附表7-扣除项目明细采集底稿'!W:W,'附表7-扣除项目明细采集底稿'!E:E,数据对照表!C7,'附表7-扣除项目明细采集底稿'!V:V,"共同成本费用")</f>
        <v>14297.62</v>
      </c>
      <c r="J18" s="365">
        <f>SUMIFS('附表7-扣除项目明细采集底稿'!X:X,'附表7-扣除项目明细采集底稿'!E:E,数据对照表!C7,'附表7-扣除项目明细采集底稿'!V:V,"共同成本费用")</f>
        <v>17632.88</v>
      </c>
      <c r="K18" s="365">
        <f>SUMIFS('附表7-扣除项目明细采集底稿'!Y:Y,'附表7-扣除项目明细采集底稿'!E:E,数据对照表!C7,'附表7-扣除项目明细采集底稿'!V:V,"共同成本费用")</f>
        <v>7216.46</v>
      </c>
      <c r="L18" s="366">
        <f t="shared" si="1"/>
        <v>39146.96</v>
      </c>
      <c r="M18" s="366">
        <f t="shared" si="2"/>
        <v>39146.96</v>
      </c>
    </row>
    <row r="19" s="347" customFormat="1" ht="24" customHeight="1" spans="1:13">
      <c r="A19" s="363">
        <v>14</v>
      </c>
      <c r="B19" s="363"/>
      <c r="C19" s="367" t="str">
        <f>数据对照表!D1</f>
        <v>前期工程费</v>
      </c>
      <c r="D19" s="367"/>
      <c r="E19" s="365">
        <f>SUMIFS('附表7-扣除项目明细采集底稿'!W:W,'附表7-扣除项目明细采集底稿'!D:D,数据对照表!D1,'附表7-扣除项目明细采集底稿'!V:V,"直接归集成本费用")</f>
        <v>10266.29</v>
      </c>
      <c r="F19" s="365">
        <f>SUMIFS('附表7-扣除项目明细采集底稿'!X:X,'附表7-扣除项目明细采集底稿'!D:D,数据对照表!D1,'附表7-扣除项目明细采集底稿'!V:V,"直接归集成本费用")</f>
        <v>12660.55</v>
      </c>
      <c r="G19" s="365">
        <f>SUMIFS('附表7-扣除项目明细采集底稿'!Y:Y,'附表7-扣除项目明细采集底稿'!D:D,数据对照表!D1,'附表7-扣除项目明细采集底稿'!V:V,"直接归集成本费用")</f>
        <v>7671.29</v>
      </c>
      <c r="H19" s="366">
        <f t="shared" si="0"/>
        <v>30598.13</v>
      </c>
      <c r="I19" s="365">
        <f>SUMIFS('附表7-扣除项目明细采集底稿'!W:W,'附表7-扣除项目明细采集底稿'!D:D,数据对照表!D1,'附表7-扣除项目明细采集底稿'!V:V,"共同成本费用")</f>
        <v>1084134.55</v>
      </c>
      <c r="J19" s="365">
        <f>SUMIFS('附表7-扣除项目明细采集底稿'!X:X,'附表7-扣除项目明细采集底稿'!D:D,数据对照表!D1,'附表7-扣除项目明细采集底稿'!V:V,"共同成本费用")</f>
        <v>1337034.79</v>
      </c>
      <c r="K19" s="365">
        <f>SUMIFS('附表7-扣除项目明细采集底稿'!Y:Y,'附表7-扣除项目明细采集底稿'!D:D,数据对照表!D1,'附表7-扣除项目明细采集底稿'!V:V,"共同成本费用")</f>
        <v>547196.54</v>
      </c>
      <c r="L19" s="366">
        <f t="shared" si="1"/>
        <v>2968365.88</v>
      </c>
      <c r="M19" s="366">
        <f t="shared" si="2"/>
        <v>2998964.01</v>
      </c>
    </row>
    <row r="20" s="347" customFormat="1" ht="24" customHeight="1" spans="1:13">
      <c r="A20" s="363">
        <v>15</v>
      </c>
      <c r="B20" s="363"/>
      <c r="C20" s="363" t="s">
        <v>339</v>
      </c>
      <c r="D20" s="367" t="str">
        <f>数据对照表!D2</f>
        <v>规划费用</v>
      </c>
      <c r="E20" s="365">
        <f>SUMIFS('附表7-扣除项目明细采集底稿'!W:W,'附表7-扣除项目明细采集底稿'!E:E,数据对照表!D2,'附表7-扣除项目明细采集底稿'!V:V,"直接归集成本费用")</f>
        <v>0</v>
      </c>
      <c r="F20" s="365">
        <f>SUMIFS('附表7-扣除项目明细采集底稿'!X:X,'附表7-扣除项目明细采集底稿'!E:E,数据对照表!D2,'附表7-扣除项目明细采集底稿'!V:V,"直接归集成本费用")</f>
        <v>0</v>
      </c>
      <c r="G20" s="365">
        <f>SUMIFS('附表7-扣除项目明细采集底稿'!Y:Y,'附表7-扣除项目明细采集底稿'!E:E,数据对照表!D2,'附表7-扣除项目明细采集底稿'!V:V,"直接归集成本费用")</f>
        <v>0</v>
      </c>
      <c r="H20" s="366">
        <f t="shared" si="0"/>
        <v>0</v>
      </c>
      <c r="I20" s="365">
        <f>SUMIFS('附表7-扣除项目明细采集底稿'!W:W,'附表7-扣除项目明细采集底稿'!E:E,数据对照表!D2,'附表7-扣除项目明细采集底稿'!V:V,"共同成本费用")</f>
        <v>5526.01</v>
      </c>
      <c r="J20" s="365">
        <f>SUMIFS('附表7-扣除项目明细采集底稿'!X:X,'附表7-扣除项目明细采集底稿'!E:E,数据对照表!D2,'附表7-扣除项目明细采集底稿'!V:V,"共同成本费用")</f>
        <v>6815.09</v>
      </c>
      <c r="K20" s="365">
        <f>SUMIFS('附表7-扣除项目明细采集底稿'!Y:Y,'附表7-扣除项目明细采集底稿'!E:E,数据对照表!D2,'附表7-扣除项目明细采集底稿'!V:V,"共同成本费用")</f>
        <v>2789.15</v>
      </c>
      <c r="L20" s="366">
        <f t="shared" si="1"/>
        <v>15130.25</v>
      </c>
      <c r="M20" s="366">
        <f t="shared" si="2"/>
        <v>15130.25</v>
      </c>
    </row>
    <row r="21" s="347" customFormat="1" ht="24" customHeight="1" spans="1:13">
      <c r="A21" s="363">
        <v>16</v>
      </c>
      <c r="B21" s="363"/>
      <c r="C21" s="363"/>
      <c r="D21" s="367" t="str">
        <f>数据对照表!D3</f>
        <v>设计费用</v>
      </c>
      <c r="E21" s="365">
        <f>SUMIFS('附表7-扣除项目明细采集底稿'!W:W,'附表7-扣除项目明细采集底稿'!E:E,数据对照表!D3,'附表7-扣除项目明细采集底稿'!V:V,"直接归集成本费用")</f>
        <v>0</v>
      </c>
      <c r="F21" s="365">
        <f>SUMIFS('附表7-扣除项目明细采集底稿'!X:X,'附表7-扣除项目明细采集底稿'!E:E,数据对照表!D3,'附表7-扣除项目明细采集底稿'!V:V,"直接归集成本费用")</f>
        <v>0</v>
      </c>
      <c r="G21" s="365">
        <f>SUMIFS('附表7-扣除项目明细采集底稿'!Y:Y,'附表7-扣除项目明细采集底稿'!E:E,数据对照表!D3,'附表7-扣除项目明细采集底稿'!V:V,"直接归集成本费用")</f>
        <v>0</v>
      </c>
      <c r="H21" s="366">
        <f t="shared" ref="H21:H37" si="3">SUM(E21:G21)</f>
        <v>0</v>
      </c>
      <c r="I21" s="365">
        <f>SUMIFS('附表7-扣除项目明细采集底稿'!W:W,'附表7-扣除项目明细采集底稿'!E:E,数据对照表!D3,'附表7-扣除项目明细采集底稿'!V:V,"共同成本费用")</f>
        <v>332466.37</v>
      </c>
      <c r="J21" s="365">
        <f>SUMIFS('附表7-扣除项目明细采集底稿'!X:X,'附表7-扣除项目明细采集底稿'!E:E,数据对照表!D3,'附表7-扣除项目明细采集底稿'!V:V,"共同成本费用")</f>
        <v>410022.06</v>
      </c>
      <c r="K21" s="365">
        <f>SUMIFS('附表7-扣除项目明细采集底稿'!Y:Y,'附表7-扣除项目明细采集底稿'!E:E,数据对照表!D3,'附表7-扣除项目明细采集底稿'!V:V,"共同成本费用")</f>
        <v>167806.13</v>
      </c>
      <c r="L21" s="366">
        <f t="shared" ref="L21:L37" si="4">SUM(I21:K21)</f>
        <v>910294.56</v>
      </c>
      <c r="M21" s="366">
        <f t="shared" ref="M21:M37" si="5">H21+L21</f>
        <v>910294.56</v>
      </c>
    </row>
    <row r="22" s="347" customFormat="1" ht="24" customHeight="1" spans="1:13">
      <c r="A22" s="363">
        <v>17</v>
      </c>
      <c r="B22" s="363"/>
      <c r="C22" s="363"/>
      <c r="D22" s="367" t="str">
        <f>数据对照表!D4</f>
        <v>项目可行性研究费用</v>
      </c>
      <c r="E22" s="365">
        <f>SUMIFS('附表7-扣除项目明细采集底稿'!W:W,'附表7-扣除项目明细采集底稿'!E:E,数据对照表!D4,'附表7-扣除项目明细采集底稿'!V:V,"直接归集成本费用")</f>
        <v>0</v>
      </c>
      <c r="F22" s="365">
        <f>SUMIFS('附表7-扣除项目明细采集底稿'!X:X,'附表7-扣除项目明细采集底稿'!E:E,数据对照表!D4,'附表7-扣除项目明细采集底稿'!V:V,"直接归集成本费用")</f>
        <v>0</v>
      </c>
      <c r="G22" s="365">
        <f>SUMIFS('附表7-扣除项目明细采集底稿'!Y:Y,'附表7-扣除项目明细采集底稿'!E:E,数据对照表!D4,'附表7-扣除项目明细采集底稿'!V:V,"直接归集成本费用")</f>
        <v>0</v>
      </c>
      <c r="H22" s="366">
        <f t="shared" si="3"/>
        <v>0</v>
      </c>
      <c r="I22" s="365">
        <f>SUMIFS('附表7-扣除项目明细采集底稿'!W:W,'附表7-扣除项目明细采集底稿'!E:E,数据对照表!D4,'附表7-扣除项目明细采集底稿'!V:V,"共同成本费用")</f>
        <v>0</v>
      </c>
      <c r="J22" s="365">
        <f>SUMIFS('附表7-扣除项目明细采集底稿'!X:X,'附表7-扣除项目明细采集底稿'!E:E,数据对照表!D4,'附表7-扣除项目明细采集底稿'!V:V,"共同成本费用")</f>
        <v>0</v>
      </c>
      <c r="K22" s="365">
        <f>SUMIFS('附表7-扣除项目明细采集底稿'!Y:Y,'附表7-扣除项目明细采集底稿'!E:E,数据对照表!D4,'附表7-扣除项目明细采集底稿'!V:V,"共同成本费用")</f>
        <v>0</v>
      </c>
      <c r="L22" s="366">
        <f t="shared" si="4"/>
        <v>0</v>
      </c>
      <c r="M22" s="366">
        <f t="shared" si="5"/>
        <v>0</v>
      </c>
    </row>
    <row r="23" s="347" customFormat="1" ht="24" customHeight="1" spans="1:13">
      <c r="A23" s="363">
        <v>18</v>
      </c>
      <c r="B23" s="363"/>
      <c r="C23" s="363"/>
      <c r="D23" s="367" t="str">
        <f>数据对照表!D5</f>
        <v>水文费用</v>
      </c>
      <c r="E23" s="365">
        <f>SUMIFS('附表7-扣除项目明细采集底稿'!W:W,'附表7-扣除项目明细采集底稿'!E:E,数据对照表!D5,'附表7-扣除项目明细采集底稿'!V:V,"直接归集成本费用")</f>
        <v>0</v>
      </c>
      <c r="F23" s="365">
        <f>SUMIFS('附表7-扣除项目明细采集底稿'!X:X,'附表7-扣除项目明细采集底稿'!E:E,数据对照表!D5,'附表7-扣除项目明细采集底稿'!V:V,"直接归集成本费用")</f>
        <v>0</v>
      </c>
      <c r="G23" s="365">
        <f>SUMIFS('附表7-扣除项目明细采集底稿'!Y:Y,'附表7-扣除项目明细采集底稿'!E:E,数据对照表!D5,'附表7-扣除项目明细采集底稿'!V:V,"直接归集成本费用")</f>
        <v>0</v>
      </c>
      <c r="H23" s="366">
        <f t="shared" si="3"/>
        <v>0</v>
      </c>
      <c r="I23" s="365">
        <f>SUMIFS('附表7-扣除项目明细采集底稿'!W:W,'附表7-扣除项目明细采集底稿'!E:E,数据对照表!D5,'附表7-扣除项目明细采集底稿'!V:V,"共同成本费用")</f>
        <v>10805.79</v>
      </c>
      <c r="J23" s="365">
        <f>SUMIFS('附表7-扣除项目明细采集底稿'!X:X,'附表7-扣除项目明细采集底稿'!E:E,数据对照表!D5,'附表7-扣除项目明细采集底稿'!V:V,"共同成本费用")</f>
        <v>13326.51</v>
      </c>
      <c r="K23" s="365">
        <f>SUMIFS('附表7-扣除项目明细采集底稿'!Y:Y,'附表7-扣除项目明细采集底稿'!E:E,数据对照表!D5,'附表7-扣除项目明细采集底稿'!V:V,"共同成本费用")</f>
        <v>5454.02</v>
      </c>
      <c r="L23" s="366">
        <f t="shared" si="4"/>
        <v>29586.32</v>
      </c>
      <c r="M23" s="366">
        <f t="shared" si="5"/>
        <v>29586.32</v>
      </c>
    </row>
    <row r="24" s="347" customFormat="1" ht="24" customHeight="1" spans="1:13">
      <c r="A24" s="363">
        <v>19</v>
      </c>
      <c r="B24" s="363"/>
      <c r="C24" s="363"/>
      <c r="D24" s="367" t="str">
        <f>数据对照表!D6</f>
        <v>地质费用</v>
      </c>
      <c r="E24" s="365">
        <f>SUMIFS('附表7-扣除项目明细采集底稿'!W:W,'附表7-扣除项目明细采集底稿'!E:E,数据对照表!D6,'附表7-扣除项目明细采集底稿'!V:V,"直接归集成本费用")</f>
        <v>0</v>
      </c>
      <c r="F24" s="365">
        <f>SUMIFS('附表7-扣除项目明细采集底稿'!X:X,'附表7-扣除项目明细采集底稿'!E:E,数据对照表!D6,'附表7-扣除项目明细采集底稿'!V:V,"直接归集成本费用")</f>
        <v>0</v>
      </c>
      <c r="G24" s="365">
        <f>SUMIFS('附表7-扣除项目明细采集底稿'!Y:Y,'附表7-扣除项目明细采集底稿'!E:E,数据对照表!D6,'附表7-扣除项目明细采集底稿'!V:V,"直接归集成本费用")</f>
        <v>0</v>
      </c>
      <c r="H24" s="366">
        <f t="shared" si="3"/>
        <v>0</v>
      </c>
      <c r="I24" s="365">
        <f>SUMIFS('附表7-扣除项目明细采集底稿'!W:W,'附表7-扣除项目明细采集底稿'!E:E,数据对照表!D6,'附表7-扣除项目明细采集底稿'!V:V,"共同成本费用")</f>
        <v>0</v>
      </c>
      <c r="J24" s="365">
        <f>SUMIFS('附表7-扣除项目明细采集底稿'!X:X,'附表7-扣除项目明细采集底稿'!E:E,数据对照表!D6,'附表7-扣除项目明细采集底稿'!V:V,"共同成本费用")</f>
        <v>0</v>
      </c>
      <c r="K24" s="365">
        <f>SUMIFS('附表7-扣除项目明细采集底稿'!Y:Y,'附表7-扣除项目明细采集底稿'!E:E,数据对照表!D6,'附表7-扣除项目明细采集底稿'!V:V,"共同成本费用")</f>
        <v>0</v>
      </c>
      <c r="L24" s="366">
        <f t="shared" si="4"/>
        <v>0</v>
      </c>
      <c r="M24" s="366">
        <f t="shared" si="5"/>
        <v>0</v>
      </c>
    </row>
    <row r="25" s="347" customFormat="1" ht="24" customHeight="1" spans="1:13">
      <c r="A25" s="363">
        <v>20</v>
      </c>
      <c r="B25" s="363"/>
      <c r="C25" s="363"/>
      <c r="D25" s="367" t="str">
        <f>数据对照表!D7</f>
        <v>勘探费用</v>
      </c>
      <c r="E25" s="365">
        <f>SUMIFS('附表7-扣除项目明细采集底稿'!W:W,'附表7-扣除项目明细采集底稿'!E:E,数据对照表!D7,'附表7-扣除项目明细采集底稿'!V:V,"直接归集成本费用")</f>
        <v>0</v>
      </c>
      <c r="F25" s="365">
        <f>SUMIFS('附表7-扣除项目明细采集底稿'!X:X,'附表7-扣除项目明细采集底稿'!E:E,数据对照表!D7,'附表7-扣除项目明细采集底稿'!V:V,"直接归集成本费用")</f>
        <v>0</v>
      </c>
      <c r="G25" s="365">
        <f>SUMIFS('附表7-扣除项目明细采集底稿'!Y:Y,'附表7-扣除项目明细采集底稿'!E:E,数据对照表!D7,'附表7-扣除项目明细采集底稿'!V:V,"直接归集成本费用")</f>
        <v>0</v>
      </c>
      <c r="H25" s="366">
        <f t="shared" si="3"/>
        <v>0</v>
      </c>
      <c r="I25" s="365">
        <f>SUMIFS('附表7-扣除项目明细采集底稿'!W:W,'附表7-扣除项目明细采集底稿'!E:E,数据对照表!D7,'附表7-扣除项目明细采集底稿'!V:V,"共同成本费用")</f>
        <v>3973.83</v>
      </c>
      <c r="J25" s="365">
        <f>SUMIFS('附表7-扣除项目明细采集底稿'!X:X,'附表7-扣除项目明细采集底稿'!E:E,数据对照表!D7,'附表7-扣除项目明细采集底稿'!V:V,"共同成本费用")</f>
        <v>4900.82</v>
      </c>
      <c r="K25" s="365">
        <f>SUMIFS('附表7-扣除项目明细采集底稿'!Y:Y,'附表7-扣除项目明细采集底稿'!E:E,数据对照表!D7,'附表7-扣除项目明细采集底稿'!V:V,"共同成本费用")</f>
        <v>2005.72</v>
      </c>
      <c r="L25" s="366">
        <f t="shared" si="4"/>
        <v>10880.37</v>
      </c>
      <c r="M25" s="366">
        <f t="shared" si="5"/>
        <v>10880.37</v>
      </c>
    </row>
    <row r="26" s="347" customFormat="1" ht="24" customHeight="1" spans="1:13">
      <c r="A26" s="363">
        <v>21</v>
      </c>
      <c r="B26" s="363"/>
      <c r="C26" s="363"/>
      <c r="D26" s="367" t="str">
        <f>数据对照表!D8</f>
        <v>测绘费用</v>
      </c>
      <c r="E26" s="365">
        <f>SUMIFS('附表7-扣除项目明细采集底稿'!W:W,'附表7-扣除项目明细采集底稿'!E:E,数据对照表!D8,'附表7-扣除项目明细采集底稿'!V:V,"直接归集成本费用")</f>
        <v>6063.84</v>
      </c>
      <c r="F26" s="365">
        <f>SUMIFS('附表7-扣除项目明细采集底稿'!X:X,'附表7-扣除项目明细采集底稿'!E:E,数据对照表!D8,'附表7-扣除项目明细采集底稿'!V:V,"直接归集成本费用")</f>
        <v>7478.02</v>
      </c>
      <c r="G26" s="365">
        <f>SUMIFS('附表7-扣除项目明细采集底稿'!Y:Y,'附表7-扣除项目明细采集底稿'!E:E,数据对照表!D8,'附表7-扣除项目明细采集底稿'!V:V,"直接归集成本费用")</f>
        <v>2794.66</v>
      </c>
      <c r="H26" s="366">
        <f t="shared" si="3"/>
        <v>16336.52</v>
      </c>
      <c r="I26" s="365">
        <f>SUMIFS('附表7-扣除项目明细采集底稿'!W:W,'附表7-扣除项目明细采集底稿'!E:E,数据对照表!D8,'附表7-扣除项目明细采集底稿'!V:V,"共同成本费用")</f>
        <v>1424.4</v>
      </c>
      <c r="J26" s="365">
        <f>SUMIFS('附表7-扣除项目明细采集底稿'!X:X,'附表7-扣除项目明细采集底稿'!E:E,数据对照表!D8,'附表7-扣除项目明细采集底稿'!V:V,"共同成本费用")</f>
        <v>1756.66</v>
      </c>
      <c r="K26" s="365">
        <f>SUMIFS('附表7-扣除项目明细采集底稿'!Y:Y,'附表7-扣除项目明细采集底稿'!E:E,数据对照表!D8,'附表7-扣除项目明细采集底稿'!V:V,"共同成本费用")</f>
        <v>718.94</v>
      </c>
      <c r="L26" s="366">
        <f t="shared" si="4"/>
        <v>3900</v>
      </c>
      <c r="M26" s="366">
        <f t="shared" si="5"/>
        <v>20236.52</v>
      </c>
    </row>
    <row r="27" s="347" customFormat="1" ht="24" customHeight="1" spans="1:13">
      <c r="A27" s="363">
        <v>22</v>
      </c>
      <c r="B27" s="363"/>
      <c r="C27" s="363"/>
      <c r="D27" s="367" t="str">
        <f>数据对照表!D9</f>
        <v>七通一平支出</v>
      </c>
      <c r="E27" s="365">
        <f>SUMIFS('附表7-扣除项目明细采集底稿'!W:W,'附表7-扣除项目明细采集底稿'!E:E,数据对照表!D9,'附表7-扣除项目明细采集底稿'!V:V,"直接归集成本费用")</f>
        <v>0</v>
      </c>
      <c r="F27" s="365">
        <f>SUMIFS('附表7-扣除项目明细采集底稿'!X:X,'附表7-扣除项目明细采集底稿'!E:E,数据对照表!D9,'附表7-扣除项目明细采集底稿'!V:V,"直接归集成本费用")</f>
        <v>0</v>
      </c>
      <c r="G27" s="365">
        <f>SUMIFS('附表7-扣除项目明细采集底稿'!Y:Y,'附表7-扣除项目明细采集底稿'!E:E,数据对照表!D9,'附表7-扣除项目明细采集底稿'!V:V,"直接归集成本费用")</f>
        <v>0</v>
      </c>
      <c r="H27" s="366">
        <f t="shared" si="3"/>
        <v>0</v>
      </c>
      <c r="I27" s="365">
        <f>SUMIFS('附表7-扣除项目明细采集底稿'!W:W,'附表7-扣除项目明细采集底稿'!E:E,数据对照表!D9,'附表7-扣除项目明细采集底稿'!V:V,"共同成本费用")</f>
        <v>69297.56</v>
      </c>
      <c r="J27" s="365">
        <f>SUMIFS('附表7-扣除项目明细采集底稿'!X:X,'附表7-扣除项目明细采集底稿'!E:E,数据对照表!D9,'附表7-扣除项目明细采集底稿'!V:V,"共同成本费用")</f>
        <v>85462.85</v>
      </c>
      <c r="K27" s="365">
        <f>SUMIFS('附表7-扣除项目明细采集底稿'!Y:Y,'附表7-扣除项目明细采集底稿'!E:E,数据对照表!D9,'附表7-扣除项目明细采集底稿'!V:V,"共同成本费用")</f>
        <v>34976.64</v>
      </c>
      <c r="L27" s="366">
        <f t="shared" si="4"/>
        <v>189737.05</v>
      </c>
      <c r="M27" s="366">
        <f t="shared" si="5"/>
        <v>189737.05</v>
      </c>
    </row>
    <row r="28" s="347" customFormat="1" ht="24" customHeight="1" spans="1:13">
      <c r="A28" s="363">
        <v>23</v>
      </c>
      <c r="B28" s="363"/>
      <c r="C28" s="363"/>
      <c r="D28" s="367" t="str">
        <f>数据对照表!D10</f>
        <v>其他前期工程费</v>
      </c>
      <c r="E28" s="365">
        <f>SUMIFS('附表7-扣除项目明细采集底稿'!W:W,'附表7-扣除项目明细采集底稿'!E:E,数据对照表!D10,'附表7-扣除项目明细采集底稿'!V:V,"直接归集成本费用")</f>
        <v>4202.45</v>
      </c>
      <c r="F28" s="365">
        <f>SUMIFS('附表7-扣除项目明细采集底稿'!X:X,'附表7-扣除项目明细采集底稿'!E:E,数据对照表!D10,'附表7-扣除项目明细采集底稿'!V:V,"直接归集成本费用")</f>
        <v>5182.53</v>
      </c>
      <c r="G28" s="365">
        <f>SUMIFS('附表7-扣除项目明细采集底稿'!Y:Y,'附表7-扣除项目明细采集底稿'!E:E,数据对照表!D10,'附表7-扣除项目明细采集底稿'!V:V,"直接归集成本费用")</f>
        <v>4876.63</v>
      </c>
      <c r="H28" s="366">
        <f t="shared" si="3"/>
        <v>14261.61</v>
      </c>
      <c r="I28" s="365">
        <f>SUMIFS('附表7-扣除项目明细采集底稿'!W:W,'附表7-扣除项目明细采集底稿'!E:E,数据对照表!D10,'附表7-扣除项目明细采集底稿'!V:V,"共同成本费用")</f>
        <v>660640.59</v>
      </c>
      <c r="J28" s="365">
        <f>SUMIFS('附表7-扣除项目明细采集底稿'!X:X,'附表7-扣除项目明细采集底稿'!E:E,数据对照表!D10,'附表7-扣除项目明细采集底稿'!V:V,"共同成本费用")</f>
        <v>814750.8</v>
      </c>
      <c r="K28" s="365">
        <f>SUMIFS('附表7-扣除项目明细采集底稿'!Y:Y,'附表7-扣除项目明细采集底稿'!E:E,数据对照表!D10,'附表7-扣除项目明细采集底稿'!V:V,"共同成本费用")</f>
        <v>333445.94</v>
      </c>
      <c r="L28" s="366">
        <f t="shared" si="4"/>
        <v>1808837.33</v>
      </c>
      <c r="M28" s="366">
        <f t="shared" si="5"/>
        <v>1823098.94</v>
      </c>
    </row>
    <row r="29" s="347" customFormat="1" ht="24" customHeight="1" spans="1:13">
      <c r="A29" s="363">
        <v>24</v>
      </c>
      <c r="B29" s="363"/>
      <c r="C29" s="364" t="str">
        <f>数据对照表!E1</f>
        <v>建筑安装工程费</v>
      </c>
      <c r="D29" s="364"/>
      <c r="E29" s="365">
        <f>SUMIFS('附表7-扣除项目明细采集底稿'!W:W,'附表7-扣除项目明细采集底稿'!D:D,数据对照表!E1,'附表7-扣除项目明细采集底稿'!V:V,"直接归集成本费用")</f>
        <v>44231183.96</v>
      </c>
      <c r="F29" s="365">
        <f>SUMIFS('附表7-扣除项目明细采集底稿'!X:X,'附表7-扣除项目明细采集底稿'!D:D,数据对照表!E1,'附表7-扣除项目明细采集底稿'!V:V,"直接归集成本费用")</f>
        <v>54546583.81</v>
      </c>
      <c r="G29" s="365">
        <f>SUMIFS('附表7-扣除项目明细采集底稿'!Y:Y,'附表7-扣除项目明细采集底稿'!D:D,数据对照表!E1,'附表7-扣除项目明细采集底稿'!V:V,"直接归集成本费用")</f>
        <v>23787798.68</v>
      </c>
      <c r="H29" s="366">
        <f t="shared" si="3"/>
        <v>122565566.45</v>
      </c>
      <c r="I29" s="365">
        <f>SUMIFS('附表7-扣除项目明细采集底稿'!W:W,'附表7-扣除项目明细采集底稿'!D:D,数据对照表!E1,'附表7-扣除项目明细采集底稿'!V:V,"共同成本费用")</f>
        <v>285757.83</v>
      </c>
      <c r="J29" s="365">
        <f>SUMIFS('附表7-扣除项目明细采集底稿'!X:X,'附表7-扣除项目明细采集底稿'!D:D,数据对照表!E1,'附表7-扣除项目明细采集底稿'!V:V,"共同成本费用")</f>
        <v>352417.66</v>
      </c>
      <c r="K29" s="365">
        <f>SUMIFS('附表7-扣除项目明细采集底稿'!Y:Y,'附表7-扣除项目明细采集底稿'!D:D,数据对照表!E1,'附表7-扣除项目明细采集底稿'!V:V,"共同成本费用")</f>
        <v>144230.89</v>
      </c>
      <c r="L29" s="366">
        <f t="shared" si="4"/>
        <v>782406.38</v>
      </c>
      <c r="M29" s="366">
        <f t="shared" si="5"/>
        <v>123347972.83</v>
      </c>
    </row>
    <row r="30" s="347" customFormat="1" ht="24" customHeight="1" spans="1:13">
      <c r="A30" s="363">
        <v>25</v>
      </c>
      <c r="B30" s="363"/>
      <c r="C30" s="363" t="s">
        <v>339</v>
      </c>
      <c r="D30" s="367" t="str">
        <f>数据对照表!E2</f>
        <v>桩基础工程费用</v>
      </c>
      <c r="E30" s="365">
        <f>SUMIFS('附表7-扣除项目明细采集底稿'!W:W,'附表7-扣除项目明细采集底稿'!E:E,数据对照表!E2,'附表7-扣除项目明细采集底稿'!V:V,"直接归集成本费用")</f>
        <v>0</v>
      </c>
      <c r="F30" s="365">
        <f>SUMIFS('附表7-扣除项目明细采集底稿'!X:X,'附表7-扣除项目明细采集底稿'!E:E,数据对照表!E2,'附表7-扣除项目明细采集底稿'!V:V,"直接归集成本费用")</f>
        <v>0</v>
      </c>
      <c r="G30" s="365">
        <f>SUMIFS('附表7-扣除项目明细采集底稿'!Y:Y,'附表7-扣除项目明细采集底稿'!E:E,数据对照表!E2,'附表7-扣除项目明细采集底稿'!V:V,"直接归集成本费用")</f>
        <v>0</v>
      </c>
      <c r="H30" s="366">
        <f t="shared" si="3"/>
        <v>0</v>
      </c>
      <c r="I30" s="365">
        <f>SUMIFS('附表7-扣除项目明细采集底稿'!W:W,'附表7-扣除项目明细采集底稿'!E:E,数据对照表!E2,'附表7-扣除项目明细采集底稿'!V:V,"共同成本费用")</f>
        <v>0</v>
      </c>
      <c r="J30" s="365">
        <f>SUMIFS('附表7-扣除项目明细采集底稿'!X:X,'附表7-扣除项目明细采集底稿'!E:E,数据对照表!E2,'附表7-扣除项目明细采集底稿'!V:V,"共同成本费用")</f>
        <v>0</v>
      </c>
      <c r="K30" s="365">
        <f>SUMIFS('附表7-扣除项目明细采集底稿'!Y:Y,'附表7-扣除项目明细采集底稿'!E:E,数据对照表!E2,'附表7-扣除项目明细采集底稿'!V:V,"共同成本费用")</f>
        <v>0</v>
      </c>
      <c r="L30" s="366">
        <f t="shared" si="4"/>
        <v>0</v>
      </c>
      <c r="M30" s="366">
        <f t="shared" si="5"/>
        <v>0</v>
      </c>
    </row>
    <row r="31" s="347" customFormat="1" ht="24" customHeight="1" spans="1:13">
      <c r="A31" s="363">
        <v>26</v>
      </c>
      <c r="B31" s="363"/>
      <c r="C31" s="363"/>
      <c r="D31" s="367" t="str">
        <f>数据对照表!E3</f>
        <v>地下室工程费用</v>
      </c>
      <c r="E31" s="365">
        <f>SUMIFS('附表7-扣除项目明细采集底稿'!W:W,'附表7-扣除项目明细采集底稿'!E:E,数据对照表!E3,'附表7-扣除项目明细采集底稿'!V:V,"直接归集成本费用")</f>
        <v>0</v>
      </c>
      <c r="F31" s="365">
        <f>SUMIFS('附表7-扣除项目明细采集底稿'!X:X,'附表7-扣除项目明细采集底稿'!E:E,数据对照表!E3,'附表7-扣除项目明细采集底稿'!V:V,"直接归集成本费用")</f>
        <v>0</v>
      </c>
      <c r="G31" s="365">
        <f>SUMIFS('附表7-扣除项目明细采集底稿'!Y:Y,'附表7-扣除项目明细采集底稿'!E:E,数据对照表!E3,'附表7-扣除项目明细采集底稿'!V:V,"直接归集成本费用")</f>
        <v>0</v>
      </c>
      <c r="H31" s="366">
        <f t="shared" si="3"/>
        <v>0</v>
      </c>
      <c r="I31" s="365">
        <f>SUMIFS('附表7-扣除项目明细采集底稿'!W:W,'附表7-扣除项目明细采集底稿'!E:E,数据对照表!E3,'附表7-扣除项目明细采集底稿'!V:V,"共同成本费用")</f>
        <v>0</v>
      </c>
      <c r="J31" s="365">
        <f>SUMIFS('附表7-扣除项目明细采集底稿'!X:X,'附表7-扣除项目明细采集底稿'!E:E,数据对照表!E3,'附表7-扣除项目明细采集底稿'!V:V,"共同成本费用")</f>
        <v>0</v>
      </c>
      <c r="K31" s="365">
        <f>SUMIFS('附表7-扣除项目明细采集底稿'!Y:Y,'附表7-扣除项目明细采集底稿'!E:E,数据对照表!E3,'附表7-扣除项目明细采集底稿'!V:V,"共同成本费用")</f>
        <v>0</v>
      </c>
      <c r="L31" s="366">
        <f t="shared" si="4"/>
        <v>0</v>
      </c>
      <c r="M31" s="366">
        <f t="shared" si="5"/>
        <v>0</v>
      </c>
    </row>
    <row r="32" s="347" customFormat="1" ht="24" customHeight="1" spans="1:13">
      <c r="A32" s="363">
        <v>27</v>
      </c>
      <c r="B32" s="363"/>
      <c r="C32" s="363"/>
      <c r="D32" s="367" t="str">
        <f>数据对照表!E4</f>
        <v>地上建筑工程费用</v>
      </c>
      <c r="E32" s="365">
        <f>SUMIFS('附表7-扣除项目明细采集底稿'!W:W,'附表7-扣除项目明细采集底稿'!E:E,数据对照表!E4,'附表7-扣除项目明细采集底稿'!V:V,"直接归集成本费用")</f>
        <v>44231183.96</v>
      </c>
      <c r="F32" s="365">
        <f>SUMIFS('附表7-扣除项目明细采集底稿'!X:X,'附表7-扣除项目明细采集底稿'!E:E,数据对照表!E4,'附表7-扣除项目明细采集底稿'!V:V,"直接归集成本费用")</f>
        <v>54546583.81</v>
      </c>
      <c r="G32" s="365">
        <f>SUMIFS('附表7-扣除项目明细采集底稿'!Y:Y,'附表7-扣除项目明细采集底稿'!E:E,数据对照表!E4,'附表7-扣除项目明细采集底稿'!V:V,"直接归集成本费用")</f>
        <v>23787798.68</v>
      </c>
      <c r="H32" s="366">
        <f t="shared" si="3"/>
        <v>122565566.45</v>
      </c>
      <c r="I32" s="365">
        <f>SUMIFS('附表7-扣除项目明细采集底稿'!W:W,'附表7-扣除项目明细采集底稿'!E:E,数据对照表!E4,'附表7-扣除项目明细采集底稿'!V:V,"共同成本费用")</f>
        <v>285757.83</v>
      </c>
      <c r="J32" s="365">
        <f>SUMIFS('附表7-扣除项目明细采集底稿'!X:X,'附表7-扣除项目明细采集底稿'!E:E,数据对照表!E4,'附表7-扣除项目明细采集底稿'!V:V,"共同成本费用")</f>
        <v>352417.66</v>
      </c>
      <c r="K32" s="365">
        <f>SUMIFS('附表7-扣除项目明细采集底稿'!Y:Y,'附表7-扣除项目明细采集底稿'!E:E,数据对照表!E4,'附表7-扣除项目明细采集底稿'!V:V,"共同成本费用")</f>
        <v>144230.89</v>
      </c>
      <c r="L32" s="366">
        <f t="shared" si="4"/>
        <v>782406.38</v>
      </c>
      <c r="M32" s="366">
        <f t="shared" si="5"/>
        <v>123347972.83</v>
      </c>
    </row>
    <row r="33" s="347" customFormat="1" ht="24" customHeight="1" spans="1:13">
      <c r="A33" s="363">
        <v>28</v>
      </c>
      <c r="B33" s="363"/>
      <c r="C33" s="363"/>
      <c r="D33" s="367" t="str">
        <f>数据对照表!E5</f>
        <v>户内装修费用</v>
      </c>
      <c r="E33" s="365">
        <f>SUMIFS('附表7-扣除项目明细采集底稿'!W:W,'附表7-扣除项目明细采集底稿'!E:E,数据对照表!E5,'附表7-扣除项目明细采集底稿'!V:V,"直接归集成本费用")</f>
        <v>0</v>
      </c>
      <c r="F33" s="365">
        <f>SUMIFS('附表7-扣除项目明细采集底稿'!X:X,'附表7-扣除项目明细采集底稿'!E:E,数据对照表!E5,'附表7-扣除项目明细采集底稿'!V:V,"直接归集成本费用")</f>
        <v>0</v>
      </c>
      <c r="G33" s="365">
        <f>SUMIFS('附表7-扣除项目明细采集底稿'!Y:Y,'附表7-扣除项目明细采集底稿'!E:E,数据对照表!E5,'附表7-扣除项目明细采集底稿'!V:V,"直接归集成本费用")</f>
        <v>0</v>
      </c>
      <c r="H33" s="366">
        <f t="shared" si="3"/>
        <v>0</v>
      </c>
      <c r="I33" s="365">
        <f>SUMIFS('附表7-扣除项目明细采集底稿'!W:W,'附表7-扣除项目明细采集底稿'!E:E,数据对照表!E5,'附表7-扣除项目明细采集底稿'!V:V,"共同成本费用")</f>
        <v>0</v>
      </c>
      <c r="J33" s="365">
        <f>SUMIFS('附表7-扣除项目明细采集底稿'!X:X,'附表7-扣除项目明细采集底稿'!E:E,数据对照表!E5,'附表7-扣除项目明细采集底稿'!V:V,"共同成本费用")</f>
        <v>0</v>
      </c>
      <c r="K33" s="365">
        <f>SUMIFS('附表7-扣除项目明细采集底稿'!Y:Y,'附表7-扣除项目明细采集底稿'!E:E,数据对照表!E5,'附表7-扣除项目明细采集底稿'!V:V,"共同成本费用")</f>
        <v>0</v>
      </c>
      <c r="L33" s="366">
        <f t="shared" si="4"/>
        <v>0</v>
      </c>
      <c r="M33" s="366">
        <f t="shared" si="5"/>
        <v>0</v>
      </c>
    </row>
    <row r="34" s="347" customFormat="1" ht="24" customHeight="1" spans="1:13">
      <c r="A34" s="363">
        <v>29</v>
      </c>
      <c r="B34" s="363"/>
      <c r="C34" s="363"/>
      <c r="D34" s="367" t="str">
        <f>数据对照表!E6</f>
        <v>高档外立面工程费用</v>
      </c>
      <c r="E34" s="365">
        <f>SUMIFS('附表7-扣除项目明细采集底稿'!W:W,'附表7-扣除项目明细采集底稿'!E:E,数据对照表!E6,'附表7-扣除项目明细采集底稿'!V:V,"直接归集成本费用")</f>
        <v>0</v>
      </c>
      <c r="F34" s="365">
        <f>SUMIFS('附表7-扣除项目明细采集底稿'!X:X,'附表7-扣除项目明细采集底稿'!E:E,数据对照表!E6,'附表7-扣除项目明细采集底稿'!V:V,"直接归集成本费用")</f>
        <v>0</v>
      </c>
      <c r="G34" s="365">
        <f>SUMIFS('附表7-扣除项目明细采集底稿'!Y:Y,'附表7-扣除项目明细采集底稿'!E:E,数据对照表!E6,'附表7-扣除项目明细采集底稿'!V:V,"直接归集成本费用")</f>
        <v>0</v>
      </c>
      <c r="H34" s="366">
        <f t="shared" si="3"/>
        <v>0</v>
      </c>
      <c r="I34" s="365">
        <f>SUMIFS('附表7-扣除项目明细采集底稿'!W:W,'附表7-扣除项目明细采集底稿'!E:E,数据对照表!E6,'附表7-扣除项目明细采集底稿'!V:V,"共同成本费用")</f>
        <v>0</v>
      </c>
      <c r="J34" s="365">
        <f>SUMIFS('附表7-扣除项目明细采集底稿'!X:X,'附表7-扣除项目明细采集底稿'!E:E,数据对照表!E6,'附表7-扣除项目明细采集底稿'!V:V,"共同成本费用")</f>
        <v>0</v>
      </c>
      <c r="K34" s="365">
        <f>SUMIFS('附表7-扣除项目明细采集底稿'!Y:Y,'附表7-扣除项目明细采集底稿'!E:E,数据对照表!E6,'附表7-扣除项目明细采集底稿'!V:V,"共同成本费用")</f>
        <v>0</v>
      </c>
      <c r="L34" s="366">
        <f t="shared" si="4"/>
        <v>0</v>
      </c>
      <c r="M34" s="366">
        <f t="shared" si="5"/>
        <v>0</v>
      </c>
    </row>
    <row r="35" s="347" customFormat="1" ht="24" customHeight="1" spans="1:13">
      <c r="A35" s="363">
        <v>30</v>
      </c>
      <c r="B35" s="363"/>
      <c r="C35" s="363"/>
      <c r="D35" s="367" t="str">
        <f>数据对照表!E7</f>
        <v>其他建筑安装工程费</v>
      </c>
      <c r="E35" s="365">
        <f>SUMIFS('附表7-扣除项目明细采集底稿'!W:W,'附表7-扣除项目明细采集底稿'!E:E,数据对照表!E7,'附表7-扣除项目明细采集底稿'!V:V,"直接归集成本费用")</f>
        <v>0</v>
      </c>
      <c r="F35" s="365">
        <f>SUMIFS('附表7-扣除项目明细采集底稿'!X:X,'附表7-扣除项目明细采集底稿'!E:E,数据对照表!E7,'附表7-扣除项目明细采集底稿'!V:V,"直接归集成本费用")</f>
        <v>0</v>
      </c>
      <c r="G35" s="365">
        <f>SUMIFS('附表7-扣除项目明细采集底稿'!Y:Y,'附表7-扣除项目明细采集底稿'!E:E,数据对照表!E7,'附表7-扣除项目明细采集底稿'!V:V,"直接归集成本费用")</f>
        <v>0</v>
      </c>
      <c r="H35" s="366">
        <f t="shared" si="3"/>
        <v>0</v>
      </c>
      <c r="I35" s="365">
        <f>SUMIFS('附表7-扣除项目明细采集底稿'!W:W,'附表7-扣除项目明细采集底稿'!E:E,数据对照表!E7,'附表7-扣除项目明细采集底稿'!V:V,"共同成本费用")</f>
        <v>0</v>
      </c>
      <c r="J35" s="365">
        <f>SUMIFS('附表7-扣除项目明细采集底稿'!X:X,'附表7-扣除项目明细采集底稿'!E:E,数据对照表!E7,'附表7-扣除项目明细采集底稿'!V:V,"共同成本费用")</f>
        <v>0</v>
      </c>
      <c r="K35" s="365">
        <f>SUMIFS('附表7-扣除项目明细采集底稿'!Y:Y,'附表7-扣除项目明细采集底稿'!E:E,数据对照表!E7,'附表7-扣除项目明细采集底稿'!V:V,"共同成本费用")</f>
        <v>0</v>
      </c>
      <c r="L35" s="366">
        <f t="shared" si="4"/>
        <v>0</v>
      </c>
      <c r="M35" s="366">
        <f t="shared" si="5"/>
        <v>0</v>
      </c>
    </row>
    <row r="36" s="347" customFormat="1" ht="24" customHeight="1" spans="1:13">
      <c r="A36" s="363">
        <v>31</v>
      </c>
      <c r="B36" s="363"/>
      <c r="C36" s="367" t="str">
        <f>数据对照表!F1</f>
        <v>基础设施费</v>
      </c>
      <c r="D36" s="367"/>
      <c r="E36" s="365">
        <f>SUMIFS('附表7-扣除项目明细采集底稿'!W:W,'附表7-扣除项目明细采集底稿'!D:D,数据对照表!F1,'附表7-扣除项目明细采集底稿'!V:V,"直接归集成本费用")</f>
        <v>2254756.95</v>
      </c>
      <c r="F36" s="365">
        <f>SUMIFS('附表7-扣除项目明细采集底稿'!X:X,'附表7-扣除项目明细采集底稿'!D:D,数据对照表!F1,'附表7-扣除项目明细采集底稿'!V:V,"直接归集成本费用")</f>
        <v>2780601.27</v>
      </c>
      <c r="G36" s="365">
        <f>SUMIFS('附表7-扣除项目明细采集底稿'!Y:Y,'附表7-扣除项目明细采集底稿'!D:D,数据对照表!F1,'附表7-扣除项目明细采集底稿'!V:V,"直接归集成本费用")</f>
        <v>1460458.73</v>
      </c>
      <c r="H36" s="366">
        <f t="shared" si="3"/>
        <v>6495816.95</v>
      </c>
      <c r="I36" s="365">
        <f>SUMIFS('附表7-扣除项目明细采集底稿'!W:W,'附表7-扣除项目明细采集底稿'!D:D,数据对照表!F1,'附表7-扣除项目明细采集底稿'!V:V,"共同成本费用")</f>
        <v>3816453.85</v>
      </c>
      <c r="J36" s="365">
        <f>SUMIFS('附表7-扣除项目明细采集底稿'!X:X,'附表7-扣除项目明细采集底稿'!D:D,数据对照表!F1,'附表7-扣除项目明细采集底稿'!V:V,"共同成本费用")</f>
        <v>4706732.93</v>
      </c>
      <c r="K36" s="365">
        <f>SUMIFS('附表7-扣除项目明细采集底稿'!Y:Y,'附表7-扣除项目明细采集底稿'!D:D,数据对照表!F1,'附表7-扣除项目明细采集底稿'!V:V,"共同成本费用")</f>
        <v>1926283.34</v>
      </c>
      <c r="L36" s="366">
        <f t="shared" si="4"/>
        <v>10449470.12</v>
      </c>
      <c r="M36" s="366">
        <f t="shared" si="5"/>
        <v>16945287.07</v>
      </c>
    </row>
    <row r="37" s="347" customFormat="1" ht="27.95" customHeight="1" spans="1:13">
      <c r="A37" s="363">
        <v>32</v>
      </c>
      <c r="B37" s="363"/>
      <c r="C37" s="363" t="s">
        <v>339</v>
      </c>
      <c r="D37" s="367" t="str">
        <f>数据对照表!F2</f>
        <v>开发小区内道路工程支出</v>
      </c>
      <c r="E37" s="365">
        <f>SUMIFS('附表7-扣除项目明细采集底稿'!W:W,'附表7-扣除项目明细采集底稿'!E:E,数据对照表!F2,'附表7-扣除项目明细采集底稿'!V:V,"直接归集成本费用")</f>
        <v>280761.35</v>
      </c>
      <c r="F37" s="365">
        <f>SUMIFS('附表7-扣除项目明细采集底稿'!X:X,'附表7-扣除项目明细采集底稿'!E:E,数据对照表!F2,'附表7-扣除项目明细采集底稿'!V:V,"直接归集成本费用")</f>
        <v>346239.25</v>
      </c>
      <c r="G37" s="365">
        <f>SUMIFS('附表7-扣除项目明细采集底稿'!Y:Y,'附表7-扣除项目明细采集底稿'!E:E,数据对照表!F2,'附表7-扣除项目明细采集底稿'!V:V,"直接归集成本费用")</f>
        <v>195638.34</v>
      </c>
      <c r="H37" s="366">
        <f t="shared" si="3"/>
        <v>822638.94</v>
      </c>
      <c r="I37" s="365">
        <f>SUMIFS('附表7-扣除项目明细采集底稿'!W:W,'附表7-扣除项目明细采集底稿'!E:E,数据对照表!F2,'附表7-扣除项目明细采集底稿'!V:V,"共同成本费用")</f>
        <v>1169921.44</v>
      </c>
      <c r="J37" s="365">
        <f>SUMIFS('附表7-扣除项目明细采集底稿'!X:X,'附表7-扣除项目明细采集底稿'!E:E,数据对照表!F2,'附表7-扣除项目明细采集底稿'!V:V,"共同成本费用")</f>
        <v>1442833.57</v>
      </c>
      <c r="K37" s="365">
        <f>SUMIFS('附表7-扣除项目明细采集底稿'!Y:Y,'附表7-扣除项目明细采集底稿'!E:E,数据对照表!F2,'附表7-扣除项目明细采集底稿'!V:V,"共同成本费用")</f>
        <v>590495.86</v>
      </c>
      <c r="L37" s="366">
        <f t="shared" si="4"/>
        <v>3203250.87</v>
      </c>
      <c r="M37" s="366">
        <f t="shared" si="5"/>
        <v>4025889.81</v>
      </c>
    </row>
    <row r="38" s="347" customFormat="1" ht="24" customHeight="1" spans="1:13">
      <c r="A38" s="363">
        <v>33</v>
      </c>
      <c r="B38" s="363"/>
      <c r="C38" s="363"/>
      <c r="D38" s="367" t="str">
        <f>数据对照表!F3</f>
        <v>供水工程支出</v>
      </c>
      <c r="E38" s="365">
        <f>SUMIFS('附表7-扣除项目明细采集底稿'!W:W,'附表7-扣除项目明细采集底稿'!E:E,数据对照表!F3,'附表7-扣除项目明细采集底稿'!V:V,"直接归集成本费用")</f>
        <v>0</v>
      </c>
      <c r="F38" s="365">
        <f>SUMIFS('附表7-扣除项目明细采集底稿'!X:X,'附表7-扣除项目明细采集底稿'!E:E,数据对照表!F3,'附表7-扣除项目明细采集底稿'!V:V,"直接归集成本费用")</f>
        <v>0</v>
      </c>
      <c r="G38" s="365">
        <f>SUMIFS('附表7-扣除项目明细采集底稿'!Y:Y,'附表7-扣除项目明细采集底稿'!E:E,数据对照表!F3,'附表7-扣除项目明细采集底稿'!V:V,"直接归集成本费用")</f>
        <v>0</v>
      </c>
      <c r="H38" s="366">
        <f t="shared" ref="H38:H49" si="6">SUM(E38:G38)</f>
        <v>0</v>
      </c>
      <c r="I38" s="365">
        <f>SUMIFS('附表7-扣除项目明细采集底稿'!W:W,'附表7-扣除项目明细采集底稿'!E:E,数据对照表!F3,'附表7-扣除项目明细采集底稿'!V:V,"共同成本费用")</f>
        <v>1166.95</v>
      </c>
      <c r="J38" s="365">
        <f>SUMIFS('附表7-扣除项目明细采集底稿'!X:X,'附表7-扣除项目明细采集底稿'!E:E,数据对照表!F3,'附表7-扣除项目明细采集底稿'!V:V,"共同成本费用")</f>
        <v>1439.17</v>
      </c>
      <c r="K38" s="365">
        <f>SUMIFS('附表7-扣除项目明细采集底稿'!Y:Y,'附表7-扣除项目明细采集底稿'!E:E,数据对照表!F3,'附表7-扣除项目明细采集底稿'!V:V,"共同成本费用")</f>
        <v>589</v>
      </c>
      <c r="L38" s="366">
        <f t="shared" ref="L38:L49" si="7">SUM(I38:K38)</f>
        <v>3195.12</v>
      </c>
      <c r="M38" s="366">
        <f t="shared" ref="M38:M49" si="8">H38+L38</f>
        <v>3195.12</v>
      </c>
    </row>
    <row r="39" s="347" customFormat="1" ht="24" customHeight="1" spans="1:13">
      <c r="A39" s="363">
        <v>34</v>
      </c>
      <c r="B39" s="363"/>
      <c r="C39" s="363"/>
      <c r="D39" s="367" t="str">
        <f>数据对照表!F4</f>
        <v>供电工程支出</v>
      </c>
      <c r="E39" s="365">
        <f>SUMIFS('附表7-扣除项目明细采集底稿'!W:W,'附表7-扣除项目明细采集底稿'!E:E,数据对照表!F4,'附表7-扣除项目明细采集底稿'!V:V,"直接归集成本费用")</f>
        <v>122826.2</v>
      </c>
      <c r="F39" s="365">
        <f>SUMIFS('附表7-扣除项目明细采集底稿'!X:X,'附表7-扣除项目明细采集底稿'!E:E,数据对照表!F4,'附表7-扣除项目明细采集底稿'!V:V,"直接归集成本费用")</f>
        <v>151471.19</v>
      </c>
      <c r="G39" s="365">
        <f>SUMIFS('附表7-扣除项目明细采集底稿'!Y:Y,'附表7-扣除项目明细采集底稿'!E:E,数据对照表!F4,'附表7-扣除项目明细采集底稿'!V:V,"直接归集成本费用")</f>
        <v>89782.73</v>
      </c>
      <c r="H39" s="366">
        <f t="shared" si="6"/>
        <v>364080.12</v>
      </c>
      <c r="I39" s="365">
        <f>SUMIFS('附表7-扣除项目明细采集底稿'!W:W,'附表7-扣除项目明细采集底稿'!E:E,数据对照表!F4,'附表7-扣除项目明细采集底稿'!V:V,"共同成本费用")</f>
        <v>92862.09</v>
      </c>
      <c r="J39" s="365">
        <f>SUMIFS('附表7-扣除项目明细采集底稿'!X:X,'附表7-扣除项目明细采集底稿'!E:E,数据对照表!F4,'附表7-扣除项目明细采集底稿'!V:V,"共同成本费用")</f>
        <v>114524.39</v>
      </c>
      <c r="K39" s="365">
        <f>SUMIFS('附表7-扣除项目明细采集底稿'!Y:Y,'附表7-扣除项目明细采集底稿'!E:E,数据对照表!F4,'附表7-扣除项目明细采集底稿'!V:V,"共同成本费用")</f>
        <v>46870.4</v>
      </c>
      <c r="L39" s="366">
        <f t="shared" si="7"/>
        <v>254256.88</v>
      </c>
      <c r="M39" s="366">
        <f t="shared" si="8"/>
        <v>618337</v>
      </c>
    </row>
    <row r="40" s="347" customFormat="1" ht="24" customHeight="1" spans="1:13">
      <c r="A40" s="363">
        <v>35</v>
      </c>
      <c r="B40" s="363"/>
      <c r="C40" s="363"/>
      <c r="D40" s="367" t="str">
        <f>数据对照表!F5</f>
        <v>供气工程支出</v>
      </c>
      <c r="E40" s="365">
        <f>SUMIFS('附表7-扣除项目明细采集底稿'!W:W,'附表7-扣除项目明细采集底稿'!E:E,数据对照表!F5,'附表7-扣除项目明细采集底稿'!V:V,"直接归集成本费用")</f>
        <v>419438.23</v>
      </c>
      <c r="F40" s="365">
        <f>SUMIFS('附表7-扣除项目明细采集底稿'!X:X,'附表7-扣除项目明细采集底稿'!E:E,数据对照表!F5,'附表7-扣除项目明细采集底稿'!V:V,"直接归集成本费用")</f>
        <v>517257.75</v>
      </c>
      <c r="G40" s="365">
        <f>SUMIFS('附表7-扣除项目明细采集底稿'!Y:Y,'附表7-扣除项目明细采集底稿'!E:E,数据对照表!F5,'附表7-扣除项目明细采集底稿'!V:V,"直接归集成本费用")</f>
        <v>370687.66</v>
      </c>
      <c r="H40" s="366">
        <f t="shared" si="6"/>
        <v>1307383.64</v>
      </c>
      <c r="I40" s="365">
        <f>SUMIFS('附表7-扣除项目明细采集底稿'!W:W,'附表7-扣除项目明细采集底稿'!E:E,数据对照表!F5,'附表7-扣除项目明细采集底稿'!V:V,"共同成本费用")</f>
        <v>0</v>
      </c>
      <c r="J40" s="365">
        <f>SUMIFS('附表7-扣除项目明细采集底稿'!X:X,'附表7-扣除项目明细采集底稿'!E:E,数据对照表!F5,'附表7-扣除项目明细采集底稿'!V:V,"共同成本费用")</f>
        <v>0</v>
      </c>
      <c r="K40" s="365">
        <f>SUMIFS('附表7-扣除项目明细采集底稿'!Y:Y,'附表7-扣除项目明细采集底稿'!E:E,数据对照表!F5,'附表7-扣除项目明细采集底稿'!V:V,"共同成本费用")</f>
        <v>0</v>
      </c>
      <c r="L40" s="366">
        <f t="shared" si="7"/>
        <v>0</v>
      </c>
      <c r="M40" s="366">
        <f t="shared" si="8"/>
        <v>1307383.64</v>
      </c>
    </row>
    <row r="41" s="347" customFormat="1" ht="24" customHeight="1" spans="1:13">
      <c r="A41" s="363">
        <v>36</v>
      </c>
      <c r="B41" s="363"/>
      <c r="C41" s="363"/>
      <c r="D41" s="367" t="str">
        <f>数据对照表!F6</f>
        <v>排污工程支出</v>
      </c>
      <c r="E41" s="365">
        <f>SUMIFS('附表7-扣除项目明细采集底稿'!W:W,'附表7-扣除项目明细采集底稿'!E:E,数据对照表!F6,'附表7-扣除项目明细采集底稿'!V:V,"直接归集成本费用")</f>
        <v>0</v>
      </c>
      <c r="F41" s="365">
        <f>SUMIFS('附表7-扣除项目明细采集底稿'!X:X,'附表7-扣除项目明细采集底稿'!E:E,数据对照表!F6,'附表7-扣除项目明细采集底稿'!V:V,"直接归集成本费用")</f>
        <v>0</v>
      </c>
      <c r="G41" s="365">
        <f>SUMIFS('附表7-扣除项目明细采集底稿'!Y:Y,'附表7-扣除项目明细采集底稿'!E:E,数据对照表!F6,'附表7-扣除项目明细采集底稿'!V:V,"直接归集成本费用")</f>
        <v>0</v>
      </c>
      <c r="H41" s="366">
        <f t="shared" si="6"/>
        <v>0</v>
      </c>
      <c r="I41" s="365">
        <f>SUMIFS('附表7-扣除项目明细采集底稿'!W:W,'附表7-扣除项目明细采集底稿'!E:E,数据对照表!F6,'附表7-扣除项目明细采集底稿'!V:V,"共同成本费用")</f>
        <v>430547.02</v>
      </c>
      <c r="J41" s="365">
        <f>SUMIFS('附表7-扣除项目明细采集底稿'!X:X,'附表7-扣除项目明细采集底稿'!E:E,数据对照表!F6,'附表7-扣除项目明细采集底稿'!V:V,"共同成本费用")</f>
        <v>530982.41</v>
      </c>
      <c r="K41" s="365">
        <f>SUMIFS('附表7-扣除项目明细采集底稿'!Y:Y,'附表7-扣除项目明细采集底稿'!E:E,数据对照表!F6,'附表7-扣除项目明细采集底稿'!V:V,"共同成本费用")</f>
        <v>217310.52</v>
      </c>
      <c r="L41" s="366">
        <f t="shared" si="7"/>
        <v>1178839.95</v>
      </c>
      <c r="M41" s="366">
        <f t="shared" si="8"/>
        <v>1178839.95</v>
      </c>
    </row>
    <row r="42" s="347" customFormat="1" ht="24" customHeight="1" spans="1:13">
      <c r="A42" s="363">
        <v>37</v>
      </c>
      <c r="B42" s="363"/>
      <c r="C42" s="363"/>
      <c r="D42" s="367" t="str">
        <f>数据对照表!F7</f>
        <v>排洪工程支出</v>
      </c>
      <c r="E42" s="365">
        <f>SUMIFS('附表7-扣除项目明细采集底稿'!W:W,'附表7-扣除项目明细采集底稿'!E:E,数据对照表!F7,'附表7-扣除项目明细采集底稿'!V:V,"直接归集成本费用")</f>
        <v>0</v>
      </c>
      <c r="F42" s="365">
        <f>SUMIFS('附表7-扣除项目明细采集底稿'!X:X,'附表7-扣除项目明细采集底稿'!E:E,数据对照表!F7,'附表7-扣除项目明细采集底稿'!V:V,"直接归集成本费用")</f>
        <v>0</v>
      </c>
      <c r="G42" s="365">
        <f>SUMIFS('附表7-扣除项目明细采集底稿'!Y:Y,'附表7-扣除项目明细采集底稿'!E:E,数据对照表!F7,'附表7-扣除项目明细采集底稿'!V:V,"直接归集成本费用")</f>
        <v>0</v>
      </c>
      <c r="H42" s="366">
        <f t="shared" si="6"/>
        <v>0</v>
      </c>
      <c r="I42" s="365">
        <f>SUMIFS('附表7-扣除项目明细采集底稿'!W:W,'附表7-扣除项目明细采集底稿'!E:E,数据对照表!F7,'附表7-扣除项目明细采集底稿'!V:V,"共同成本费用")</f>
        <v>0</v>
      </c>
      <c r="J42" s="365">
        <f>SUMIFS('附表7-扣除项目明细采集底稿'!X:X,'附表7-扣除项目明细采集底稿'!E:E,数据对照表!F7,'附表7-扣除项目明细采集底稿'!V:V,"共同成本费用")</f>
        <v>0</v>
      </c>
      <c r="K42" s="365">
        <f>SUMIFS('附表7-扣除项目明细采集底稿'!Y:Y,'附表7-扣除项目明细采集底稿'!E:E,数据对照表!F7,'附表7-扣除项目明细采集底稿'!V:V,"共同成本费用")</f>
        <v>0</v>
      </c>
      <c r="L42" s="366">
        <f t="shared" si="7"/>
        <v>0</v>
      </c>
      <c r="M42" s="366">
        <f t="shared" si="8"/>
        <v>0</v>
      </c>
    </row>
    <row r="43" s="347" customFormat="1" ht="24" customHeight="1" spans="1:13">
      <c r="A43" s="363">
        <v>38</v>
      </c>
      <c r="B43" s="363"/>
      <c r="C43" s="363"/>
      <c r="D43" s="367" t="str">
        <f>数据对照表!F8</f>
        <v>通讯工程支出</v>
      </c>
      <c r="E43" s="365">
        <f>SUMIFS('附表7-扣除项目明细采集底稿'!W:W,'附表7-扣除项目明细采集底稿'!E:E,数据对照表!F8,'附表7-扣除项目明细采集底稿'!V:V,"直接归集成本费用")</f>
        <v>223082.86</v>
      </c>
      <c r="F43" s="365">
        <f>SUMIFS('附表7-扣除项目明细采集底稿'!X:X,'附表7-扣除项目明细采集底稿'!E:E,数据对照表!F8,'附表7-扣除项目明细采集底稿'!V:V,"直接归集成本费用")</f>
        <v>275109.24</v>
      </c>
      <c r="G43" s="365">
        <f>SUMIFS('附表7-扣除项目明细采集底稿'!Y:Y,'附表7-扣除项目明细采集底稿'!E:E,数据对照表!F8,'附表7-扣除项目明细采集底稿'!V:V,"直接归集成本费用")</f>
        <v>63058.12</v>
      </c>
      <c r="H43" s="366">
        <f t="shared" si="6"/>
        <v>561250.22</v>
      </c>
      <c r="I43" s="365">
        <f>SUMIFS('附表7-扣除项目明细采集底稿'!W:W,'附表7-扣除项目明细采集底稿'!E:E,数据对照表!F8,'附表7-扣除项目明细采集底稿'!V:V,"共同成本费用")</f>
        <v>15989.54</v>
      </c>
      <c r="J43" s="365">
        <f>SUMIFS('附表7-扣除项目明细采集底稿'!X:X,'附表7-扣除项目明细采集底稿'!E:E,数据对照表!F8,'附表7-扣除项目明细采集底稿'!V:V,"共同成本费用")</f>
        <v>19719.47</v>
      </c>
      <c r="K43" s="365">
        <f>SUMIFS('附表7-扣除项目明细采集底稿'!Y:Y,'附表7-扣除项目明细采集底稿'!E:E,数据对照表!F8,'附表7-扣除项目明细采集底稿'!V:V,"共同成本费用")</f>
        <v>8070.42</v>
      </c>
      <c r="L43" s="366">
        <f t="shared" si="7"/>
        <v>43779.43</v>
      </c>
      <c r="M43" s="366">
        <f t="shared" si="8"/>
        <v>605029.65</v>
      </c>
    </row>
    <row r="44" s="347" customFormat="1" ht="24" customHeight="1" spans="1:13">
      <c r="A44" s="363">
        <v>39</v>
      </c>
      <c r="B44" s="363"/>
      <c r="C44" s="363"/>
      <c r="D44" s="367" t="str">
        <f>数据对照表!F9</f>
        <v>照明工程支出</v>
      </c>
      <c r="E44" s="365">
        <f>SUMIFS('附表7-扣除项目明细采集底稿'!W:W,'附表7-扣除项目明细采集底稿'!E:E,数据对照表!F9,'附表7-扣除项目明细采集底稿'!V:V,"直接归集成本费用")</f>
        <v>0</v>
      </c>
      <c r="F44" s="365">
        <f>SUMIFS('附表7-扣除项目明细采集底稿'!X:X,'附表7-扣除项目明细采集底稿'!E:E,数据对照表!F9,'附表7-扣除项目明细采集底稿'!V:V,"直接归集成本费用")</f>
        <v>0</v>
      </c>
      <c r="G44" s="365">
        <f>SUMIFS('附表7-扣除项目明细采集底稿'!Y:Y,'附表7-扣除项目明细采集底稿'!E:E,数据对照表!F9,'附表7-扣除项目明细采集底稿'!V:V,"直接归集成本费用")</f>
        <v>0</v>
      </c>
      <c r="H44" s="366">
        <f t="shared" si="6"/>
        <v>0</v>
      </c>
      <c r="I44" s="365">
        <f>SUMIFS('附表7-扣除项目明细采集底稿'!W:W,'附表7-扣除项目明细采集底稿'!E:E,数据对照表!F9,'附表7-扣除项目明细采集底稿'!V:V,"共同成本费用")</f>
        <v>38292.76</v>
      </c>
      <c r="J44" s="365">
        <f>SUMIFS('附表7-扣除项目明细采集底稿'!X:X,'附表7-扣除项目明细采集底稿'!E:E,数据对照表!F9,'附表7-扣除项目明细采集底稿'!V:V,"共同成本费用")</f>
        <v>47225.46</v>
      </c>
      <c r="K44" s="365">
        <f>SUMIFS('附表7-扣除项目明细采集底稿'!Y:Y,'附表7-扣除项目明细采集底稿'!E:E,数据对照表!F9,'附表7-扣除项目明细采集底稿'!V:V,"共同成本费用")</f>
        <v>19327.55</v>
      </c>
      <c r="L44" s="366">
        <f t="shared" si="7"/>
        <v>104845.77</v>
      </c>
      <c r="M44" s="366">
        <f t="shared" si="8"/>
        <v>104845.77</v>
      </c>
    </row>
    <row r="45" s="347" customFormat="1" ht="24" customHeight="1" spans="1:13">
      <c r="A45" s="363">
        <v>40</v>
      </c>
      <c r="B45" s="363"/>
      <c r="C45" s="363"/>
      <c r="D45" s="367" t="str">
        <f>数据对照表!F10</f>
        <v>环卫工程支出</v>
      </c>
      <c r="E45" s="365">
        <f>SUMIFS('附表7-扣除项目明细采集底稿'!W:W,'附表7-扣除项目明细采集底稿'!E:E,数据对照表!F10,'附表7-扣除项目明细采集底稿'!V:V,"直接归集成本费用")</f>
        <v>0</v>
      </c>
      <c r="F45" s="365">
        <f>SUMIFS('附表7-扣除项目明细采集底稿'!X:X,'附表7-扣除项目明细采集底稿'!E:E,数据对照表!F10,'附表7-扣除项目明细采集底稿'!V:V,"直接归集成本费用")</f>
        <v>0</v>
      </c>
      <c r="G45" s="365">
        <f>SUMIFS('附表7-扣除项目明细采集底稿'!Y:Y,'附表7-扣除项目明细采集底稿'!E:E,数据对照表!F10,'附表7-扣除项目明细采集底稿'!V:V,"直接归集成本费用")</f>
        <v>0</v>
      </c>
      <c r="H45" s="366">
        <f t="shared" si="6"/>
        <v>0</v>
      </c>
      <c r="I45" s="365">
        <f>SUMIFS('附表7-扣除项目明细采集底稿'!W:W,'附表7-扣除项目明细采集底稿'!E:E,数据对照表!F10,'附表7-扣除项目明细采集底稿'!V:V,"共同成本费用")</f>
        <v>0</v>
      </c>
      <c r="J45" s="365">
        <f>SUMIFS('附表7-扣除项目明细采集底稿'!X:X,'附表7-扣除项目明细采集底稿'!E:E,数据对照表!F10,'附表7-扣除项目明细采集底稿'!V:V,"共同成本费用")</f>
        <v>0</v>
      </c>
      <c r="K45" s="365">
        <f>SUMIFS('附表7-扣除项目明细采集底稿'!Y:Y,'附表7-扣除项目明细采集底稿'!E:E,数据对照表!F10,'附表7-扣除项目明细采集底稿'!V:V,"共同成本费用")</f>
        <v>0</v>
      </c>
      <c r="L45" s="366">
        <f t="shared" si="7"/>
        <v>0</v>
      </c>
      <c r="M45" s="366">
        <f t="shared" si="8"/>
        <v>0</v>
      </c>
    </row>
    <row r="46" s="347" customFormat="1" ht="24" customHeight="1" spans="1:13">
      <c r="A46" s="363">
        <v>41</v>
      </c>
      <c r="B46" s="363"/>
      <c r="C46" s="363"/>
      <c r="D46" s="367" t="str">
        <f>数据对照表!F11</f>
        <v>绿化费用</v>
      </c>
      <c r="E46" s="365">
        <f>SUMIFS('附表7-扣除项目明细采集底稿'!W:W,'附表7-扣除项目明细采集底稿'!E:E,数据对照表!F11,'附表7-扣除项目明细采集底稿'!V:V,"直接归集成本费用")</f>
        <v>0</v>
      </c>
      <c r="F46" s="365">
        <f>SUMIFS('附表7-扣除项目明细采集底稿'!X:X,'附表7-扣除项目明细采集底稿'!E:E,数据对照表!F11,'附表7-扣除项目明细采集底稿'!V:V,"直接归集成本费用")</f>
        <v>0</v>
      </c>
      <c r="G46" s="365">
        <f>SUMIFS('附表7-扣除项目明细采集底稿'!Y:Y,'附表7-扣除项目明细采集底稿'!E:E,数据对照表!F11,'附表7-扣除项目明细采集底稿'!V:V,"直接归集成本费用")</f>
        <v>0</v>
      </c>
      <c r="H46" s="366">
        <f t="shared" si="6"/>
        <v>0</v>
      </c>
      <c r="I46" s="365">
        <f>SUMIFS('附表7-扣除项目明细采集底稿'!W:W,'附表7-扣除项目明细采集底稿'!E:E,数据对照表!F11,'附表7-扣除项目明细采集底稿'!V:V,"共同成本费用")</f>
        <v>1431188.58</v>
      </c>
      <c r="J46" s="365">
        <f>SUMIFS('附表7-扣除项目明细采集底稿'!X:X,'附表7-扣除项目明细采集底稿'!E:E,数据对照表!F11,'附表7-扣除项目明细采集底稿'!V:V,"共同成本费用")</f>
        <v>1765047.55</v>
      </c>
      <c r="K46" s="365">
        <f>SUMIFS('附表7-扣除项目明细采集底稿'!Y:Y,'附表7-扣除项目明细采集底稿'!E:E,数据对照表!F11,'附表7-扣除项目明细采集底稿'!V:V,"共同成本费用")</f>
        <v>722365.51</v>
      </c>
      <c r="L46" s="366">
        <f t="shared" si="7"/>
        <v>3918601.64</v>
      </c>
      <c r="M46" s="366">
        <f t="shared" si="8"/>
        <v>3918601.64</v>
      </c>
    </row>
    <row r="47" s="347" customFormat="1" ht="27.95" customHeight="1" spans="1:13">
      <c r="A47" s="363">
        <v>42</v>
      </c>
      <c r="B47" s="363"/>
      <c r="C47" s="363"/>
      <c r="D47" s="367" t="str">
        <f>数据对照表!F12</f>
        <v>其他设施工程发生的支出</v>
      </c>
      <c r="E47" s="365">
        <f>SUMIFS('附表7-扣除项目明细采集底稿'!W:W,'附表7-扣除项目明细采集底稿'!E:E,数据对照表!F12,'附表7-扣除项目明细采集底稿'!V:V,"直接归集成本费用")</f>
        <v>1208648.31</v>
      </c>
      <c r="F47" s="365">
        <f>SUMIFS('附表7-扣除项目明细采集底稿'!X:X,'附表7-扣除项目明细采集底稿'!E:E,数据对照表!F12,'附表7-扣除项目明细采集底稿'!V:V,"直接归集成本费用")</f>
        <v>1490523.84</v>
      </c>
      <c r="G47" s="365">
        <f>SUMIFS('附表7-扣除项目明细采集底稿'!Y:Y,'附表7-扣除项目明细采集底稿'!E:E,数据对照表!F12,'附表7-扣除项目明细采集底稿'!V:V,"直接归集成本费用")</f>
        <v>741291.88</v>
      </c>
      <c r="H47" s="366">
        <f t="shared" si="6"/>
        <v>3440464.03</v>
      </c>
      <c r="I47" s="365">
        <f>SUMIFS('附表7-扣除项目明细采集底稿'!W:W,'附表7-扣除项目明细采集底稿'!E:E,数据对照表!F12,'附表7-扣除项目明细采集底稿'!V:V,"共同成本费用")</f>
        <v>636485.47</v>
      </c>
      <c r="J47" s="365">
        <f>SUMIFS('附表7-扣除项目明细采集底稿'!X:X,'附表7-扣除项目明细采集底稿'!E:E,数据对照表!F12,'附表7-扣除项目明细采集底稿'!V:V,"共同成本费用")</f>
        <v>784960.91</v>
      </c>
      <c r="K47" s="365">
        <f>SUMIFS('附表7-扣除项目明细采集底稿'!Y:Y,'附表7-扣除项目明细采集底稿'!E:E,数据对照表!F12,'附表7-扣除项目明细采集底稿'!V:V,"共同成本费用")</f>
        <v>321254.08</v>
      </c>
      <c r="L47" s="366">
        <f t="shared" si="7"/>
        <v>1742700.46</v>
      </c>
      <c r="M47" s="366">
        <f t="shared" si="8"/>
        <v>5183164.49</v>
      </c>
    </row>
    <row r="48" s="347" customFormat="1" ht="24" customHeight="1" spans="1:13">
      <c r="A48" s="363">
        <v>43</v>
      </c>
      <c r="B48" s="363"/>
      <c r="C48" s="367" t="str">
        <f>数据对照表!G1</f>
        <v>公共配套设施费</v>
      </c>
      <c r="D48" s="367"/>
      <c r="E48" s="365">
        <f>SUMIFS('附表7-扣除项目明细采集底稿'!W:W,'附表7-扣除项目明细采集底稿'!D:D,数据对照表!G1,'附表7-扣除项目明细采集底稿'!V:V,"直接归集成本费用")</f>
        <v>1194.55</v>
      </c>
      <c r="F48" s="365">
        <f>SUMIFS('附表7-扣除项目明细采集底稿'!X:X,'附表7-扣除项目明细采集底稿'!D:D,数据对照表!G1,'附表7-扣除项目明细采集底稿'!V:V,"直接归集成本费用")</f>
        <v>1473.14</v>
      </c>
      <c r="G48" s="365">
        <f>SUMIFS('附表7-扣除项目明细采集底稿'!Y:Y,'附表7-扣除项目明细采集底稿'!D:D,数据对照表!G1,'附表7-扣除项目明细采集底稿'!V:V,"直接归集成本费用")</f>
        <v>347.33</v>
      </c>
      <c r="H48" s="366">
        <f t="shared" si="6"/>
        <v>3015.02</v>
      </c>
      <c r="I48" s="365">
        <f>SUMIFS('附表7-扣除项目明细采集底稿'!W:W,'附表7-扣除项目明细采集底稿'!D:D,数据对照表!G1,'附表7-扣除项目明细采集底稿'!V:V,"共同成本费用")</f>
        <v>4991438.4</v>
      </c>
      <c r="J48" s="365">
        <f>SUMIFS('附表7-扣除项目明细采集底稿'!X:X,'附表7-扣除项目明细采集底稿'!D:D,数据对照表!G1,'附表7-扣除项目明细采集底稿'!V:V,"共同成本费用")</f>
        <v>6155810.78</v>
      </c>
      <c r="K48" s="365">
        <f>SUMIFS('附表7-扣除项目明细采集底稿'!Y:Y,'附表7-扣除项目明细采集底稿'!D:D,数据对照表!G1,'附表7-扣除项目明细采集底稿'!V:V,"共同成本费用")</f>
        <v>2519334.76</v>
      </c>
      <c r="L48" s="366">
        <f t="shared" si="7"/>
        <v>13666583.94</v>
      </c>
      <c r="M48" s="366">
        <f t="shared" si="8"/>
        <v>13669598.96</v>
      </c>
    </row>
    <row r="49" s="347" customFormat="1" ht="24" customHeight="1" spans="1:13">
      <c r="A49" s="363">
        <v>44</v>
      </c>
      <c r="B49" s="363"/>
      <c r="C49" s="363" t="s">
        <v>339</v>
      </c>
      <c r="D49" s="367" t="str">
        <f>数据对照表!G2</f>
        <v>居委会用房费用</v>
      </c>
      <c r="E49" s="365">
        <f>SUMIFS('附表7-扣除项目明细采集底稿'!W:W,'附表7-扣除项目明细采集底稿'!E:E,数据对照表!G2,'附表7-扣除项目明细采集底稿'!V:V,"直接归集成本费用")</f>
        <v>0</v>
      </c>
      <c r="F49" s="365">
        <f>SUMIFS('附表7-扣除项目明细采集底稿'!X:X,'附表7-扣除项目明细采集底稿'!E:E,数据对照表!G2,'附表7-扣除项目明细采集底稿'!V:V,"直接归集成本费用")</f>
        <v>0</v>
      </c>
      <c r="G49" s="365">
        <f>SUMIFS('附表7-扣除项目明细采集底稿'!Y:Y,'附表7-扣除项目明细采集底稿'!E:E,数据对照表!G2,'附表7-扣除项目明细采集底稿'!V:V,"直接归集成本费用")</f>
        <v>0</v>
      </c>
      <c r="H49" s="366">
        <f t="shared" si="6"/>
        <v>0</v>
      </c>
      <c r="I49" s="365">
        <f>SUMIFS('附表7-扣除项目明细采集底稿'!W:W,'附表7-扣除项目明细采集底稿'!E:E,数据对照表!G2,'附表7-扣除项目明细采集底稿'!V:V,"共同成本费用")</f>
        <v>432607.97</v>
      </c>
      <c r="J49" s="365">
        <f>SUMIFS('附表7-扣除项目明细采集底稿'!X:X,'附表7-扣除项目明细采集底稿'!E:E,数据对照表!G2,'附表7-扣除项目明细采集底稿'!V:V,"共同成本费用")</f>
        <v>533524.17</v>
      </c>
      <c r="K49" s="365">
        <f>SUMIFS('附表7-扣除项目明细采集底稿'!Y:Y,'附表7-扣除项目明细采集底稿'!E:E,数据对照表!G2,'附表7-扣除项目明细采集底稿'!V:V,"共同成本费用")</f>
        <v>218350.74</v>
      </c>
      <c r="L49" s="366">
        <f t="shared" si="7"/>
        <v>1184482.88</v>
      </c>
      <c r="M49" s="366">
        <f t="shared" si="8"/>
        <v>1184482.88</v>
      </c>
    </row>
    <row r="50" s="347" customFormat="1" ht="24" customHeight="1" spans="1:13">
      <c r="A50" s="363">
        <v>45</v>
      </c>
      <c r="B50" s="363"/>
      <c r="C50" s="363"/>
      <c r="D50" s="367" t="str">
        <f>数据对照表!G3</f>
        <v>派出所用房费用</v>
      </c>
      <c r="E50" s="365">
        <f>SUMIFS('附表7-扣除项目明细采集底稿'!W:W,'附表7-扣除项目明细采集底稿'!E:E,数据对照表!G3,'附表7-扣除项目明细采集底稿'!V:V,"直接归集成本费用")</f>
        <v>0</v>
      </c>
      <c r="F50" s="365">
        <f>SUMIFS('附表7-扣除项目明细采集底稿'!X:X,'附表7-扣除项目明细采集底稿'!E:E,数据对照表!G3,'附表7-扣除项目明细采集底稿'!V:V,"直接归集成本费用")</f>
        <v>0</v>
      </c>
      <c r="G50" s="365">
        <f>SUMIFS('附表7-扣除项目明细采集底稿'!Y:Y,'附表7-扣除项目明细采集底稿'!E:E,数据对照表!G3,'附表7-扣除项目明细采集底稿'!V:V,"直接归集成本费用")</f>
        <v>0</v>
      </c>
      <c r="H50" s="366">
        <f t="shared" ref="H50:H66" si="9">SUM(E50:G50)</f>
        <v>0</v>
      </c>
      <c r="I50" s="365">
        <f>SUMIFS('附表7-扣除项目明细采集底稿'!W:W,'附表7-扣除项目明细采集底稿'!E:E,数据对照表!G3,'附表7-扣除项目明细采集底稿'!V:V,"共同成本费用")</f>
        <v>2407.01</v>
      </c>
      <c r="J50" s="365">
        <f>SUMIFS('附表7-扣除项目明细采集底稿'!X:X,'附表7-扣除项目明细采集底稿'!E:E,数据对照表!G3,'附表7-扣除项目明细采集底稿'!V:V,"共同成本费用")</f>
        <v>2968.5</v>
      </c>
      <c r="K50" s="365">
        <f>SUMIFS('附表7-扣除项目明细采集底稿'!Y:Y,'附表7-扣除项目明细采集底稿'!E:E,数据对照表!G3,'附表7-扣除项目明细采集底稿'!V:V,"共同成本费用")</f>
        <v>1214.89</v>
      </c>
      <c r="L50" s="366">
        <f t="shared" ref="L50:L66" si="10">SUM(I50:K50)</f>
        <v>6590.4</v>
      </c>
      <c r="M50" s="366">
        <f t="shared" ref="M50:M66" si="11">H50+L50</f>
        <v>6590.4</v>
      </c>
    </row>
    <row r="51" s="347" customFormat="1" ht="24" customHeight="1" spans="1:13">
      <c r="A51" s="363">
        <v>46</v>
      </c>
      <c r="B51" s="363"/>
      <c r="C51" s="363"/>
      <c r="D51" s="367" t="str">
        <f>数据对照表!G4</f>
        <v>会所费用</v>
      </c>
      <c r="E51" s="365">
        <f>SUMIFS('附表7-扣除项目明细采集底稿'!W:W,'附表7-扣除项目明细采集底稿'!E:E,数据对照表!G4,'附表7-扣除项目明细采集底稿'!V:V,"直接归集成本费用")</f>
        <v>0</v>
      </c>
      <c r="F51" s="365">
        <f>SUMIFS('附表7-扣除项目明细采集底稿'!X:X,'附表7-扣除项目明细采集底稿'!E:E,数据对照表!G4,'附表7-扣除项目明细采集底稿'!V:V,"直接归集成本费用")</f>
        <v>0</v>
      </c>
      <c r="G51" s="365">
        <f>SUMIFS('附表7-扣除项目明细采集底稿'!Y:Y,'附表7-扣除项目明细采集底稿'!E:E,数据对照表!G4,'附表7-扣除项目明细采集底稿'!V:V,"直接归集成本费用")</f>
        <v>0</v>
      </c>
      <c r="H51" s="366">
        <f t="shared" si="9"/>
        <v>0</v>
      </c>
      <c r="I51" s="365">
        <f>SUMIFS('附表7-扣除项目明细采集底稿'!W:W,'附表7-扣除项目明细采集底稿'!E:E,数据对照表!G4,'附表7-扣除项目明细采集底稿'!V:V,"共同成本费用")</f>
        <v>0</v>
      </c>
      <c r="J51" s="365">
        <f>SUMIFS('附表7-扣除项目明细采集底稿'!X:X,'附表7-扣除项目明细采集底稿'!E:E,数据对照表!G4,'附表7-扣除项目明细采集底稿'!V:V,"共同成本费用")</f>
        <v>0</v>
      </c>
      <c r="K51" s="365">
        <f>SUMIFS('附表7-扣除项目明细采集底稿'!Y:Y,'附表7-扣除项目明细采集底稿'!E:E,数据对照表!G4,'附表7-扣除项目明细采集底稿'!V:V,"共同成本费用")</f>
        <v>0</v>
      </c>
      <c r="L51" s="366">
        <f t="shared" si="10"/>
        <v>0</v>
      </c>
      <c r="M51" s="366">
        <f t="shared" si="11"/>
        <v>0</v>
      </c>
    </row>
    <row r="52" s="347" customFormat="1" ht="24" customHeight="1" spans="1:13">
      <c r="A52" s="363">
        <v>47</v>
      </c>
      <c r="B52" s="363"/>
      <c r="C52" s="363"/>
      <c r="D52" s="367" t="str">
        <f>数据对照表!G5</f>
        <v>非机动车库（场）费用</v>
      </c>
      <c r="E52" s="365">
        <f>SUMIFS('附表7-扣除项目明细采集底稿'!W:W,'附表7-扣除项目明细采集底稿'!E:E,数据对照表!G5,'附表7-扣除项目明细采集底稿'!V:V,"直接归集成本费用")</f>
        <v>0</v>
      </c>
      <c r="F52" s="365">
        <f>SUMIFS('附表7-扣除项目明细采集底稿'!X:X,'附表7-扣除项目明细采集底稿'!E:E,数据对照表!G5,'附表7-扣除项目明细采集底稿'!V:V,"直接归集成本费用")</f>
        <v>0</v>
      </c>
      <c r="G52" s="365">
        <f>SUMIFS('附表7-扣除项目明细采集底稿'!Y:Y,'附表7-扣除项目明细采集底稿'!E:E,数据对照表!G5,'附表7-扣除项目明细采集底稿'!V:V,"直接归集成本费用")</f>
        <v>0</v>
      </c>
      <c r="H52" s="366">
        <f t="shared" si="9"/>
        <v>0</v>
      </c>
      <c r="I52" s="365">
        <f>SUMIFS('附表7-扣除项目明细采集底稿'!W:W,'附表7-扣除项目明细采集底稿'!E:E,数据对照表!G5,'附表7-扣除项目明细采集底稿'!V:V,"共同成本费用")</f>
        <v>3237.74</v>
      </c>
      <c r="J52" s="365">
        <f>SUMIFS('附表7-扣除项目明细采集底稿'!X:X,'附表7-扣除项目明细采集底稿'!E:E,数据对照表!G5,'附表7-扣除项目明细采集底稿'!V:V,"共同成本费用")</f>
        <v>3993.03</v>
      </c>
      <c r="K52" s="365">
        <f>SUMIFS('附表7-扣除项目明细采集底稿'!Y:Y,'附表7-扣除项目明细采集底稿'!E:E,数据对照表!G5,'附表7-扣除项目明细采集底稿'!V:V,"共同成本费用")</f>
        <v>1634.19</v>
      </c>
      <c r="L52" s="366">
        <f t="shared" si="10"/>
        <v>8864.96</v>
      </c>
      <c r="M52" s="366">
        <f t="shared" si="11"/>
        <v>8864.96</v>
      </c>
    </row>
    <row r="53" s="347" customFormat="1" ht="24" customHeight="1" spans="1:13">
      <c r="A53" s="363">
        <v>48</v>
      </c>
      <c r="B53" s="363"/>
      <c r="C53" s="363"/>
      <c r="D53" s="367" t="str">
        <f>数据对照表!G6</f>
        <v>地下人防设施费用</v>
      </c>
      <c r="E53" s="365">
        <f>SUMIFS('附表7-扣除项目明细采集底稿'!W:W,'附表7-扣除项目明细采集底稿'!E:E,数据对照表!G6,'附表7-扣除项目明细采集底稿'!V:V,"直接归集成本费用")</f>
        <v>1194.55</v>
      </c>
      <c r="F53" s="365">
        <f>SUMIFS('附表7-扣除项目明细采集底稿'!X:X,'附表7-扣除项目明细采集底稿'!E:E,数据对照表!G6,'附表7-扣除项目明细采集底稿'!V:V,"直接归集成本费用")</f>
        <v>1473.14</v>
      </c>
      <c r="G53" s="365">
        <f>SUMIFS('附表7-扣除项目明细采集底稿'!Y:Y,'附表7-扣除项目明细采集底稿'!E:E,数据对照表!G6,'附表7-扣除项目明细采集底稿'!V:V,"直接归集成本费用")</f>
        <v>347.33</v>
      </c>
      <c r="H53" s="366">
        <f t="shared" si="9"/>
        <v>3015.02</v>
      </c>
      <c r="I53" s="365">
        <f>SUMIFS('附表7-扣除项目明细采集底稿'!W:W,'附表7-扣除项目明细采集底稿'!E:E,数据对照表!G6,'附表7-扣除项目明细采集底稿'!V:V,"共同成本费用")</f>
        <v>3324653.29</v>
      </c>
      <c r="J53" s="365">
        <f>SUMIFS('附表7-扣除项目明细采集底稿'!X:X,'附表7-扣除项目明细采集底稿'!E:E,数据对照表!G6,'附表7-扣除项目明细采集底稿'!V:V,"共同成本费用")</f>
        <v>4100208.16</v>
      </c>
      <c r="K53" s="365">
        <f>SUMIFS('附表7-扣除项目明细采集底稿'!Y:Y,'附表7-扣除项目明细采集底稿'!E:E,数据对照表!G6,'附表7-扣除项目明细采集底稿'!V:V,"共同成本费用")</f>
        <v>1678056.3</v>
      </c>
      <c r="L53" s="366">
        <f t="shared" si="10"/>
        <v>9102917.75</v>
      </c>
      <c r="M53" s="366">
        <f t="shared" si="11"/>
        <v>9105932.77</v>
      </c>
    </row>
    <row r="54" s="347" customFormat="1" ht="24" customHeight="1" spans="1:13">
      <c r="A54" s="363">
        <v>49</v>
      </c>
      <c r="B54" s="363"/>
      <c r="C54" s="363"/>
      <c r="D54" s="367" t="str">
        <f>数据对照表!G7</f>
        <v>物业管理场所费用</v>
      </c>
      <c r="E54" s="365">
        <f>SUMIFS('附表7-扣除项目明细采集底稿'!W:W,'附表7-扣除项目明细采集底稿'!E:E,数据对照表!G7,'附表7-扣除项目明细采集底稿'!V:V,"直接归集成本费用")</f>
        <v>0</v>
      </c>
      <c r="F54" s="365">
        <f>SUMIFS('附表7-扣除项目明细采集底稿'!X:X,'附表7-扣除项目明细采集底稿'!E:E,数据对照表!G7,'附表7-扣除项目明细采集底稿'!V:V,"直接归集成本费用")</f>
        <v>0</v>
      </c>
      <c r="G54" s="365">
        <f>SUMIFS('附表7-扣除项目明细采集底稿'!Y:Y,'附表7-扣除项目明细采集底稿'!E:E,数据对照表!G7,'附表7-扣除项目明细采集底稿'!V:V,"直接归集成本费用")</f>
        <v>0</v>
      </c>
      <c r="H54" s="366">
        <f t="shared" si="9"/>
        <v>0</v>
      </c>
      <c r="I54" s="365">
        <f>SUMIFS('附表7-扣除项目明细采集底稿'!W:W,'附表7-扣除项目明细采集底稿'!E:E,数据对照表!G7,'附表7-扣除项目明细采集底稿'!V:V,"共同成本费用")</f>
        <v>0</v>
      </c>
      <c r="J54" s="365">
        <f>SUMIFS('附表7-扣除项目明细采集底稿'!X:X,'附表7-扣除项目明细采集底稿'!E:E,数据对照表!G7,'附表7-扣除项目明细采集底稿'!V:V,"共同成本费用")</f>
        <v>0</v>
      </c>
      <c r="K54" s="365">
        <f>SUMIFS('附表7-扣除项目明细采集底稿'!Y:Y,'附表7-扣除项目明细采集底稿'!E:E,数据对照表!G7,'附表7-扣除项目明细采集底稿'!V:V,"共同成本费用")</f>
        <v>0</v>
      </c>
      <c r="L54" s="366">
        <f t="shared" si="10"/>
        <v>0</v>
      </c>
      <c r="M54" s="366">
        <f t="shared" si="11"/>
        <v>0</v>
      </c>
    </row>
    <row r="55" s="347" customFormat="1" ht="24" customHeight="1" spans="1:13">
      <c r="A55" s="363">
        <v>50</v>
      </c>
      <c r="B55" s="363"/>
      <c r="C55" s="363"/>
      <c r="D55" s="367" t="str">
        <f>数据对照表!G8</f>
        <v>变电站费用</v>
      </c>
      <c r="E55" s="365">
        <f>SUMIFS('附表7-扣除项目明细采集底稿'!W:W,'附表7-扣除项目明细采集底稿'!E:E,数据对照表!G8,'附表7-扣除项目明细采集底稿'!V:V,"直接归集成本费用")</f>
        <v>0</v>
      </c>
      <c r="F55" s="365">
        <f>SUMIFS('附表7-扣除项目明细采集底稿'!X:X,'附表7-扣除项目明细采集底稿'!E:E,数据对照表!G8,'附表7-扣除项目明细采集底稿'!V:V,"直接归集成本费用")</f>
        <v>0</v>
      </c>
      <c r="G55" s="365">
        <f>SUMIFS('附表7-扣除项目明细采集底稿'!Y:Y,'附表7-扣除项目明细采集底稿'!E:E,数据对照表!G8,'附表7-扣除项目明细采集底稿'!V:V,"直接归集成本费用")</f>
        <v>0</v>
      </c>
      <c r="H55" s="366">
        <f t="shared" si="9"/>
        <v>0</v>
      </c>
      <c r="I55" s="365">
        <f>SUMIFS('附表7-扣除项目明细采集底稿'!W:W,'附表7-扣除项目明细采集底稿'!E:E,数据对照表!G8,'附表7-扣除项目明细采集底稿'!V:V,"共同成本费用")</f>
        <v>0</v>
      </c>
      <c r="J55" s="365">
        <f>SUMIFS('附表7-扣除项目明细采集底稿'!X:X,'附表7-扣除项目明细采集底稿'!E:E,数据对照表!G8,'附表7-扣除项目明细采集底稿'!V:V,"共同成本费用")</f>
        <v>0</v>
      </c>
      <c r="K55" s="365">
        <f>SUMIFS('附表7-扣除项目明细采集底稿'!Y:Y,'附表7-扣除项目明细采集底稿'!E:E,数据对照表!G8,'附表7-扣除项目明细采集底稿'!V:V,"共同成本费用")</f>
        <v>0</v>
      </c>
      <c r="L55" s="366">
        <f t="shared" si="10"/>
        <v>0</v>
      </c>
      <c r="M55" s="366">
        <f t="shared" si="11"/>
        <v>0</v>
      </c>
    </row>
    <row r="56" s="347" customFormat="1" ht="24" customHeight="1" spans="1:13">
      <c r="A56" s="363">
        <v>51</v>
      </c>
      <c r="B56" s="363"/>
      <c r="C56" s="363"/>
      <c r="D56" s="367" t="str">
        <f>数据对照表!G9</f>
        <v>热力站费用</v>
      </c>
      <c r="E56" s="365">
        <f>SUMIFS('附表7-扣除项目明细采集底稿'!W:W,'附表7-扣除项目明细采集底稿'!E:E,数据对照表!G9,'附表7-扣除项目明细采集底稿'!V:V,"直接归集成本费用")</f>
        <v>0</v>
      </c>
      <c r="F56" s="365">
        <f>SUMIFS('附表7-扣除项目明细采集底稿'!X:X,'附表7-扣除项目明细采集底稿'!E:E,数据对照表!G9,'附表7-扣除项目明细采集底稿'!V:V,"直接归集成本费用")</f>
        <v>0</v>
      </c>
      <c r="G56" s="365">
        <f>SUMIFS('附表7-扣除项目明细采集底稿'!Y:Y,'附表7-扣除项目明细采集底稿'!E:E,数据对照表!G9,'附表7-扣除项目明细采集底稿'!V:V,"直接归集成本费用")</f>
        <v>0</v>
      </c>
      <c r="H56" s="366">
        <f t="shared" si="9"/>
        <v>0</v>
      </c>
      <c r="I56" s="365">
        <f>SUMIFS('附表7-扣除项目明细采集底稿'!W:W,'附表7-扣除项目明细采集底稿'!E:E,数据对照表!G9,'附表7-扣除项目明细采集底稿'!V:V,"共同成本费用")</f>
        <v>0</v>
      </c>
      <c r="J56" s="365">
        <f>SUMIFS('附表7-扣除项目明细采集底稿'!X:X,'附表7-扣除项目明细采集底稿'!E:E,数据对照表!G9,'附表7-扣除项目明细采集底稿'!V:V,"共同成本费用")</f>
        <v>0</v>
      </c>
      <c r="K56" s="365">
        <f>SUMIFS('附表7-扣除项目明细采集底稿'!Y:Y,'附表7-扣除项目明细采集底稿'!E:E,数据对照表!G9,'附表7-扣除项目明细采集底稿'!V:V,"共同成本费用")</f>
        <v>0</v>
      </c>
      <c r="L56" s="366">
        <f t="shared" si="10"/>
        <v>0</v>
      </c>
      <c r="M56" s="366">
        <f t="shared" si="11"/>
        <v>0</v>
      </c>
    </row>
    <row r="57" s="347" customFormat="1" ht="24" customHeight="1" spans="1:13">
      <c r="A57" s="363">
        <v>52</v>
      </c>
      <c r="B57" s="363"/>
      <c r="C57" s="363"/>
      <c r="D57" s="367" t="str">
        <f>数据对照表!G10</f>
        <v>水厂费用</v>
      </c>
      <c r="E57" s="365">
        <f>SUMIFS('附表7-扣除项目明细采集底稿'!W:W,'附表7-扣除项目明细采集底稿'!E:E,数据对照表!G10,'附表7-扣除项目明细采集底稿'!V:V,"直接归集成本费用")</f>
        <v>0</v>
      </c>
      <c r="F57" s="365">
        <f>SUMIFS('附表7-扣除项目明细采集底稿'!X:X,'附表7-扣除项目明细采集底稿'!E:E,数据对照表!G10,'附表7-扣除项目明细采集底稿'!V:V,"直接归集成本费用")</f>
        <v>0</v>
      </c>
      <c r="G57" s="365">
        <f>SUMIFS('附表7-扣除项目明细采集底稿'!Y:Y,'附表7-扣除项目明细采集底稿'!E:E,数据对照表!G10,'附表7-扣除项目明细采集底稿'!V:V,"直接归集成本费用")</f>
        <v>0</v>
      </c>
      <c r="H57" s="366">
        <f t="shared" si="9"/>
        <v>0</v>
      </c>
      <c r="I57" s="365">
        <f>SUMIFS('附表7-扣除项目明细采集底稿'!W:W,'附表7-扣除项目明细采集底稿'!E:E,数据对照表!G10,'附表7-扣除项目明细采集底稿'!V:V,"共同成本费用")</f>
        <v>0</v>
      </c>
      <c r="J57" s="365">
        <f>SUMIFS('附表7-扣除项目明细采集底稿'!X:X,'附表7-扣除项目明细采集底稿'!E:E,数据对照表!G10,'附表7-扣除项目明细采集底稿'!V:V,"共同成本费用")</f>
        <v>0</v>
      </c>
      <c r="K57" s="365">
        <f>SUMIFS('附表7-扣除项目明细采集底稿'!Y:Y,'附表7-扣除项目明细采集底稿'!E:E,数据对照表!G10,'附表7-扣除项目明细采集底稿'!V:V,"共同成本费用")</f>
        <v>0</v>
      </c>
      <c r="L57" s="366">
        <f t="shared" si="10"/>
        <v>0</v>
      </c>
      <c r="M57" s="366">
        <f t="shared" si="11"/>
        <v>0</v>
      </c>
    </row>
    <row r="58" s="347" customFormat="1" ht="24" customHeight="1" spans="1:13">
      <c r="A58" s="363">
        <v>53</v>
      </c>
      <c r="B58" s="363"/>
      <c r="C58" s="363"/>
      <c r="D58" s="367" t="str">
        <f>数据对照表!G11</f>
        <v>文体场馆费用</v>
      </c>
      <c r="E58" s="365">
        <f>SUMIFS('附表7-扣除项目明细采集底稿'!W:W,'附表7-扣除项目明细采集底稿'!E:E,数据对照表!G11,'附表7-扣除项目明细采集底稿'!V:V,"直接归集成本费用")</f>
        <v>0</v>
      </c>
      <c r="F58" s="365">
        <f>SUMIFS('附表7-扣除项目明细采集底稿'!X:X,'附表7-扣除项目明细采集底稿'!E:E,数据对照表!G11,'附表7-扣除项目明细采集底稿'!V:V,"直接归集成本费用")</f>
        <v>0</v>
      </c>
      <c r="G58" s="365">
        <f>SUMIFS('附表7-扣除项目明细采集底稿'!Y:Y,'附表7-扣除项目明细采集底稿'!E:E,数据对照表!G11,'附表7-扣除项目明细采集底稿'!V:V,"直接归集成本费用")</f>
        <v>0</v>
      </c>
      <c r="H58" s="366">
        <f t="shared" si="9"/>
        <v>0</v>
      </c>
      <c r="I58" s="365">
        <f>SUMIFS('附表7-扣除项目明细采集底稿'!W:W,'附表7-扣除项目明细采集底稿'!E:E,数据对照表!G11,'附表7-扣除项目明细采集底稿'!V:V,"共同成本费用")</f>
        <v>0</v>
      </c>
      <c r="J58" s="365">
        <f>SUMIFS('附表7-扣除项目明细采集底稿'!X:X,'附表7-扣除项目明细采集底稿'!E:E,数据对照表!G11,'附表7-扣除项目明细采集底稿'!V:V,"共同成本费用")</f>
        <v>0</v>
      </c>
      <c r="K58" s="365">
        <f>SUMIFS('附表7-扣除项目明细采集底稿'!Y:Y,'附表7-扣除项目明细采集底稿'!E:E,数据对照表!G11,'附表7-扣除项目明细采集底稿'!V:V,"共同成本费用")</f>
        <v>0</v>
      </c>
      <c r="L58" s="366">
        <f t="shared" si="10"/>
        <v>0</v>
      </c>
      <c r="M58" s="366">
        <f t="shared" si="11"/>
        <v>0</v>
      </c>
    </row>
    <row r="59" s="347" customFormat="1" ht="24" customHeight="1" spans="1:13">
      <c r="A59" s="363">
        <v>54</v>
      </c>
      <c r="B59" s="363"/>
      <c r="C59" s="363"/>
      <c r="D59" s="367" t="str">
        <f>数据对照表!G12</f>
        <v>学校费用</v>
      </c>
      <c r="E59" s="365">
        <f>SUMIFS('附表7-扣除项目明细采集底稿'!W:W,'附表7-扣除项目明细采集底稿'!E:E,数据对照表!G12,'附表7-扣除项目明细采集底稿'!V:V,"直接归集成本费用")</f>
        <v>0</v>
      </c>
      <c r="F59" s="365">
        <f>SUMIFS('附表7-扣除项目明细采集底稿'!X:X,'附表7-扣除项目明细采集底稿'!E:E,数据对照表!G12,'附表7-扣除项目明细采集底稿'!V:V,"直接归集成本费用")</f>
        <v>0</v>
      </c>
      <c r="G59" s="365">
        <f>SUMIFS('附表7-扣除项目明细采集底稿'!Y:Y,'附表7-扣除项目明细采集底稿'!E:E,数据对照表!G12,'附表7-扣除项目明细采集底稿'!V:V,"直接归集成本费用")</f>
        <v>0</v>
      </c>
      <c r="H59" s="366">
        <f t="shared" si="9"/>
        <v>0</v>
      </c>
      <c r="I59" s="365">
        <f>SUMIFS('附表7-扣除项目明细采集底稿'!W:W,'附表7-扣除项目明细采集底稿'!E:E,数据对照表!G12,'附表7-扣除项目明细采集底稿'!V:V,"共同成本费用")</f>
        <v>0</v>
      </c>
      <c r="J59" s="365">
        <f>SUMIFS('附表7-扣除项目明细采集底稿'!X:X,'附表7-扣除项目明细采集底稿'!E:E,数据对照表!G12,'附表7-扣除项目明细采集底稿'!V:V,"共同成本费用")</f>
        <v>0</v>
      </c>
      <c r="K59" s="365">
        <f>SUMIFS('附表7-扣除项目明细采集底稿'!Y:Y,'附表7-扣除项目明细采集底稿'!E:E,数据对照表!G12,'附表7-扣除项目明细采集底稿'!V:V,"共同成本费用")</f>
        <v>0</v>
      </c>
      <c r="L59" s="366">
        <f t="shared" si="10"/>
        <v>0</v>
      </c>
      <c r="M59" s="366">
        <f t="shared" si="11"/>
        <v>0</v>
      </c>
    </row>
    <row r="60" s="347" customFormat="1" ht="24" customHeight="1" spans="1:13">
      <c r="A60" s="363">
        <v>55</v>
      </c>
      <c r="B60" s="363"/>
      <c r="C60" s="363"/>
      <c r="D60" s="367" t="str">
        <f>数据对照表!G13</f>
        <v>幼儿园费用</v>
      </c>
      <c r="E60" s="365">
        <f>SUMIFS('附表7-扣除项目明细采集底稿'!W:W,'附表7-扣除项目明细采集底稿'!E:E,数据对照表!G13,'附表7-扣除项目明细采集底稿'!V:V,"直接归集成本费用")</f>
        <v>0</v>
      </c>
      <c r="F60" s="365">
        <f>SUMIFS('附表7-扣除项目明细采集底稿'!X:X,'附表7-扣除项目明细采集底稿'!E:E,数据对照表!G13,'附表7-扣除项目明细采集底稿'!V:V,"直接归集成本费用")</f>
        <v>0</v>
      </c>
      <c r="G60" s="365">
        <f>SUMIFS('附表7-扣除项目明细采集底稿'!Y:Y,'附表7-扣除项目明细采集底稿'!E:E,数据对照表!G13,'附表7-扣除项目明细采集底稿'!V:V,"直接归集成本费用")</f>
        <v>0</v>
      </c>
      <c r="H60" s="366">
        <f t="shared" si="9"/>
        <v>0</v>
      </c>
      <c r="I60" s="365">
        <f>SUMIFS('附表7-扣除项目明细采集底稿'!W:W,'附表7-扣除项目明细采集底稿'!E:E,数据对照表!G13,'附表7-扣除项目明细采集底稿'!V:V,"共同成本费用")</f>
        <v>705137.71</v>
      </c>
      <c r="J60" s="365">
        <f>SUMIFS('附表7-扣除项目明细采集底稿'!X:X,'附表7-扣除项目明细采集底稿'!E:E,数据对照表!G13,'附表7-扣除项目明细采集底稿'!V:V,"共同成本费用")</f>
        <v>869627.92</v>
      </c>
      <c r="K60" s="365">
        <f>SUMIFS('附表7-扣除项目明细采集底稿'!Y:Y,'附表7-扣除项目明细采集底稿'!E:E,数据对照表!G13,'附表7-扣除项目明细采集底稿'!V:V,"共同成本费用")</f>
        <v>355905.02</v>
      </c>
      <c r="L60" s="366">
        <f t="shared" si="10"/>
        <v>1930670.65</v>
      </c>
      <c r="M60" s="366">
        <f t="shared" si="11"/>
        <v>1930670.65</v>
      </c>
    </row>
    <row r="61" s="347" customFormat="1" ht="24" customHeight="1" spans="1:13">
      <c r="A61" s="363">
        <v>56</v>
      </c>
      <c r="B61" s="363"/>
      <c r="C61" s="363"/>
      <c r="D61" s="367" t="str">
        <f>数据对照表!G14</f>
        <v>托儿所费用</v>
      </c>
      <c r="E61" s="365">
        <f>SUMIFS('附表7-扣除项目明细采集底稿'!W:W,'附表7-扣除项目明细采集底稿'!E:E,数据对照表!G14,'附表7-扣除项目明细采集底稿'!V:V,"直接归集成本费用")</f>
        <v>0</v>
      </c>
      <c r="F61" s="365">
        <f>SUMIFS('附表7-扣除项目明细采集底稿'!X:X,'附表7-扣除项目明细采集底稿'!E:E,数据对照表!G14,'附表7-扣除项目明细采集底稿'!V:V,"直接归集成本费用")</f>
        <v>0</v>
      </c>
      <c r="G61" s="365">
        <f>SUMIFS('附表7-扣除项目明细采集底稿'!Y:Y,'附表7-扣除项目明细采集底稿'!E:E,数据对照表!G14,'附表7-扣除项目明细采集底稿'!V:V,"直接归集成本费用")</f>
        <v>0</v>
      </c>
      <c r="H61" s="366">
        <f t="shared" si="9"/>
        <v>0</v>
      </c>
      <c r="I61" s="365">
        <f>SUMIFS('附表7-扣除项目明细采集底稿'!W:W,'附表7-扣除项目明细采集底稿'!E:E,数据对照表!G14,'附表7-扣除项目明细采集底稿'!V:V,"共同成本费用")</f>
        <v>0</v>
      </c>
      <c r="J61" s="365">
        <f>SUMIFS('附表7-扣除项目明细采集底稿'!X:X,'附表7-扣除项目明细采集底稿'!E:E,数据对照表!G14,'附表7-扣除项目明细采集底稿'!V:V,"共同成本费用")</f>
        <v>0</v>
      </c>
      <c r="K61" s="365">
        <f>SUMIFS('附表7-扣除项目明细采集底稿'!Y:Y,'附表7-扣除项目明细采集底稿'!E:E,数据对照表!G14,'附表7-扣除项目明细采集底稿'!V:V,"共同成本费用")</f>
        <v>0</v>
      </c>
      <c r="L61" s="366">
        <f t="shared" si="10"/>
        <v>0</v>
      </c>
      <c r="M61" s="366">
        <f t="shared" si="11"/>
        <v>0</v>
      </c>
    </row>
    <row r="62" s="347" customFormat="1" ht="24" customHeight="1" spans="1:13">
      <c r="A62" s="363">
        <v>57</v>
      </c>
      <c r="B62" s="363"/>
      <c r="C62" s="363"/>
      <c r="D62" s="367" t="str">
        <f>数据对照表!G15</f>
        <v>医院费用</v>
      </c>
      <c r="E62" s="365">
        <f>SUMIFS('附表7-扣除项目明细采集底稿'!W:W,'附表7-扣除项目明细采集底稿'!E:E,数据对照表!G15,'附表7-扣除项目明细采集底稿'!V:V,"直接归集成本费用")</f>
        <v>0</v>
      </c>
      <c r="F62" s="365">
        <f>SUMIFS('附表7-扣除项目明细采集底稿'!X:X,'附表7-扣除项目明细采集底稿'!E:E,数据对照表!G15,'附表7-扣除项目明细采集底稿'!V:V,"直接归集成本费用")</f>
        <v>0</v>
      </c>
      <c r="G62" s="365">
        <f>SUMIFS('附表7-扣除项目明细采集底稿'!Y:Y,'附表7-扣除项目明细采集底稿'!E:E,数据对照表!G15,'附表7-扣除项目明细采集底稿'!V:V,"直接归集成本费用")</f>
        <v>0</v>
      </c>
      <c r="H62" s="366">
        <f t="shared" si="9"/>
        <v>0</v>
      </c>
      <c r="I62" s="365">
        <f>SUMIFS('附表7-扣除项目明细采集底稿'!W:W,'附表7-扣除项目明细采集底稿'!E:E,数据对照表!G15,'附表7-扣除项目明细采集底稿'!V:V,"共同成本费用")</f>
        <v>0</v>
      </c>
      <c r="J62" s="365">
        <f>SUMIFS('附表7-扣除项目明细采集底稿'!X:X,'附表7-扣除项目明细采集底稿'!E:E,数据对照表!G15,'附表7-扣除项目明细采集底稿'!V:V,"共同成本费用")</f>
        <v>0</v>
      </c>
      <c r="K62" s="365">
        <f>SUMIFS('附表7-扣除项目明细采集底稿'!Y:Y,'附表7-扣除项目明细采集底稿'!E:E,数据对照表!G15,'附表7-扣除项目明细采集底稿'!V:V,"共同成本费用")</f>
        <v>0</v>
      </c>
      <c r="L62" s="366">
        <f t="shared" si="10"/>
        <v>0</v>
      </c>
      <c r="M62" s="366">
        <f t="shared" si="11"/>
        <v>0</v>
      </c>
    </row>
    <row r="63" s="347" customFormat="1" ht="24" customHeight="1" spans="1:13">
      <c r="A63" s="363">
        <v>58</v>
      </c>
      <c r="B63" s="363"/>
      <c r="C63" s="363"/>
      <c r="D63" s="367" t="str">
        <f>数据对照表!G16</f>
        <v>邮电通讯费用</v>
      </c>
      <c r="E63" s="365">
        <f>SUMIFS('附表7-扣除项目明细采集底稿'!W:W,'附表7-扣除项目明细采集底稿'!E:E,数据对照表!G16,'附表7-扣除项目明细采集底稿'!V:V,"直接归集成本费用")</f>
        <v>0</v>
      </c>
      <c r="F63" s="365">
        <f>SUMIFS('附表7-扣除项目明细采集底稿'!X:X,'附表7-扣除项目明细采集底稿'!E:E,数据对照表!G16,'附表7-扣除项目明细采集底稿'!V:V,"直接归集成本费用")</f>
        <v>0</v>
      </c>
      <c r="G63" s="365">
        <f>SUMIFS('附表7-扣除项目明细采集底稿'!Y:Y,'附表7-扣除项目明细采集底稿'!E:E,数据对照表!G16,'附表7-扣除项目明细采集底稿'!V:V,"直接归集成本费用")</f>
        <v>0</v>
      </c>
      <c r="H63" s="366">
        <f t="shared" si="9"/>
        <v>0</v>
      </c>
      <c r="I63" s="365">
        <f>SUMIFS('附表7-扣除项目明细采集底稿'!W:W,'附表7-扣除项目明细采集底稿'!E:E,数据对照表!G16,'附表7-扣除项目明细采集底稿'!V:V,"共同成本费用")</f>
        <v>0</v>
      </c>
      <c r="J63" s="365">
        <f>SUMIFS('附表7-扣除项目明细采集底稿'!X:X,'附表7-扣除项目明细采集底稿'!E:E,数据对照表!G16,'附表7-扣除项目明细采集底稿'!V:V,"共同成本费用")</f>
        <v>0</v>
      </c>
      <c r="K63" s="365">
        <f>SUMIFS('附表7-扣除项目明细采集底稿'!Y:Y,'附表7-扣除项目明细采集底稿'!E:E,数据对照表!G16,'附表7-扣除项目明细采集底稿'!V:V,"共同成本费用")</f>
        <v>0</v>
      </c>
      <c r="L63" s="366">
        <f t="shared" si="10"/>
        <v>0</v>
      </c>
      <c r="M63" s="366">
        <f t="shared" si="11"/>
        <v>0</v>
      </c>
    </row>
    <row r="64" s="347" customFormat="1" ht="27.95" customHeight="1" spans="1:13">
      <c r="A64" s="363">
        <v>59</v>
      </c>
      <c r="B64" s="363"/>
      <c r="C64" s="363"/>
      <c r="D64" s="367" t="str">
        <f>数据对照表!G17</f>
        <v>其他非营业性房产费用</v>
      </c>
      <c r="E64" s="365">
        <f>SUMIFS('附表7-扣除项目明细采集底稿'!W:W,'附表7-扣除项目明细采集底稿'!E:E,数据对照表!G17,'附表7-扣除项目明细采集底稿'!V:V,"直接归集成本费用")</f>
        <v>0</v>
      </c>
      <c r="F64" s="365">
        <f>SUMIFS('附表7-扣除项目明细采集底稿'!X:X,'附表7-扣除项目明细采集底稿'!E:E,数据对照表!G17,'附表7-扣除项目明细采集底稿'!V:V,"直接归集成本费用")</f>
        <v>0</v>
      </c>
      <c r="G64" s="365">
        <f>SUMIFS('附表7-扣除项目明细采集底稿'!Y:Y,'附表7-扣除项目明细采集底稿'!E:E,数据对照表!G17,'附表7-扣除项目明细采集底稿'!V:V,"直接归集成本费用")</f>
        <v>0</v>
      </c>
      <c r="H64" s="366">
        <f t="shared" si="9"/>
        <v>0</v>
      </c>
      <c r="I64" s="365">
        <f>SUMIFS('附表7-扣除项目明细采集底稿'!W:W,'附表7-扣除项目明细采集底稿'!E:E,数据对照表!G17,'附表7-扣除项目明细采集底稿'!V:V,"共同成本费用")</f>
        <v>330392.71</v>
      </c>
      <c r="J64" s="365">
        <f>SUMIFS('附表7-扣除项目明细采集底稿'!X:X,'附表7-扣除项目明细采集底稿'!E:E,数据对照表!G17,'附表7-扣除项目明细采集底稿'!V:V,"共同成本费用")</f>
        <v>407464.72</v>
      </c>
      <c r="K64" s="365">
        <f>SUMIFS('附表7-扣除项目明细采集底稿'!Y:Y,'附表7-扣除项目明细采集底稿'!E:E,数据对照表!G17,'附表7-扣除项目明细采集底稿'!V:V,"共同成本费用")</f>
        <v>166759.5</v>
      </c>
      <c r="L64" s="366">
        <f t="shared" si="10"/>
        <v>904616.93</v>
      </c>
      <c r="M64" s="366">
        <f t="shared" si="11"/>
        <v>904616.93</v>
      </c>
    </row>
    <row r="65" s="347" customFormat="1" ht="24" customHeight="1" spans="1:13">
      <c r="A65" s="363">
        <v>60</v>
      </c>
      <c r="B65" s="363"/>
      <c r="C65" s="364" t="str">
        <f>数据对照表!H1</f>
        <v>开发间接费用</v>
      </c>
      <c r="D65" s="364"/>
      <c r="E65" s="365">
        <f>SUMIFS('附表7-扣除项目明细采集底稿'!W:W,'附表7-扣除项目明细采集底稿'!D:D,数据对照表!H1,'附表7-扣除项目明细采集底稿'!V:V,"直接归集成本费用")</f>
        <v>0</v>
      </c>
      <c r="F65" s="365">
        <f>SUMIFS('附表7-扣除项目明细采集底稿'!X:X,'附表7-扣除项目明细采集底稿'!D:D,数据对照表!H1,'附表7-扣除项目明细采集底稿'!V:V,"直接归集成本费用")</f>
        <v>0</v>
      </c>
      <c r="G65" s="365">
        <f>SUMIFS('附表7-扣除项目明细采集底稿'!Y:Y,'附表7-扣除项目明细采集底稿'!D:D,数据对照表!H1,'附表7-扣除项目明细采集底稿'!V:V,"直接归集成本费用")</f>
        <v>0</v>
      </c>
      <c r="H65" s="366">
        <f t="shared" si="9"/>
        <v>0</v>
      </c>
      <c r="I65" s="365">
        <f>SUMIFS('附表7-扣除项目明细采集底稿'!W:W,'附表7-扣除项目明细采集底稿'!D:D,数据对照表!H1,'附表7-扣除项目明细采集底稿'!V:V,"共同成本费用")</f>
        <v>533424.41</v>
      </c>
      <c r="J65" s="365">
        <f>SUMIFS('附表7-扣除项目明细采集底稿'!X:X,'附表7-扣除项目明细采集底稿'!D:D,数据对照表!H1,'附表7-扣除项目明细采集底稿'!V:V,"共同成本费用")</f>
        <v>657858.45</v>
      </c>
      <c r="K65" s="365">
        <f>SUMIFS('附表7-扣除项目明细采集底稿'!Y:Y,'附表7-扣除项目明细采集底稿'!D:D,数据对照表!H1,'附表7-扣除项目明细采集底稿'!V:V,"共同成本费用")</f>
        <v>269235.97</v>
      </c>
      <c r="L65" s="366">
        <f t="shared" si="10"/>
        <v>1460518.83</v>
      </c>
      <c r="M65" s="366">
        <f t="shared" si="11"/>
        <v>1460518.83</v>
      </c>
    </row>
    <row r="66" s="347" customFormat="1" ht="24" customHeight="1" spans="1:13">
      <c r="A66" s="363">
        <v>61</v>
      </c>
      <c r="B66" s="363"/>
      <c r="C66" s="363" t="s">
        <v>339</v>
      </c>
      <c r="D66" s="367" t="str">
        <f>数据对照表!H2</f>
        <v>管理人员工资</v>
      </c>
      <c r="E66" s="365">
        <f>SUMIFS('附表7-扣除项目明细采集底稿'!W:W,'附表7-扣除项目明细采集底稿'!E:E,数据对照表!H2,'附表7-扣除项目明细采集底稿'!V:V,"直接归集成本费用")</f>
        <v>0</v>
      </c>
      <c r="F66" s="365">
        <f>SUMIFS('附表7-扣除项目明细采集底稿'!X:X,'附表7-扣除项目明细采集底稿'!E:E,数据对照表!H2,'附表7-扣除项目明细采集底稿'!V:V,"直接归集成本费用")</f>
        <v>0</v>
      </c>
      <c r="G66" s="365">
        <f>SUMIFS('附表7-扣除项目明细采集底稿'!Y:Y,'附表7-扣除项目明细采集底稿'!E:E,数据对照表!H2,'附表7-扣除项目明细采集底稿'!V:V,"直接归集成本费用")</f>
        <v>0</v>
      </c>
      <c r="H66" s="366">
        <f t="shared" si="9"/>
        <v>0</v>
      </c>
      <c r="I66" s="365">
        <f>SUMIFS('附表7-扣除项目明细采集底稿'!W:W,'附表7-扣除项目明细采集底稿'!E:E,数据对照表!H2,'附表7-扣除项目明细采集底稿'!V:V,"共同成本费用")</f>
        <v>527585.63</v>
      </c>
      <c r="J66" s="365">
        <f>SUMIFS('附表7-扣除项目明细采集底稿'!X:X,'附表7-扣除项目明细采集底稿'!E:E,数据对照表!H2,'附表7-扣除项目明细采集底稿'!V:V,"共同成本费用")</f>
        <v>650657.63</v>
      </c>
      <c r="K66" s="365">
        <f>SUMIFS('附表7-扣除项目明细采集底稿'!Y:Y,'附表7-扣除项目明细采集底稿'!E:E,数据对照表!H2,'附表7-扣除项目明细采集底稿'!V:V,"共同成本费用")</f>
        <v>266288.96</v>
      </c>
      <c r="L66" s="366">
        <f t="shared" si="10"/>
        <v>1444532.22</v>
      </c>
      <c r="M66" s="366">
        <f t="shared" si="11"/>
        <v>1444532.22</v>
      </c>
    </row>
    <row r="67" s="347" customFormat="1" ht="24" customHeight="1" spans="1:13">
      <c r="A67" s="363">
        <v>62</v>
      </c>
      <c r="B67" s="363"/>
      <c r="C67" s="363"/>
      <c r="D67" s="367" t="str">
        <f>数据对照表!H3</f>
        <v>职工福利费</v>
      </c>
      <c r="E67" s="365">
        <f>SUMIFS('附表7-扣除项目明细采集底稿'!W:W,'附表7-扣除项目明细采集底稿'!E:E,数据对照表!H3,'附表7-扣除项目明细采集底稿'!V:V,"直接归集成本费用")</f>
        <v>0</v>
      </c>
      <c r="F67" s="365">
        <f>SUMIFS('附表7-扣除项目明细采集底稿'!X:X,'附表7-扣除项目明细采集底稿'!E:E,数据对照表!H3,'附表7-扣除项目明细采集底稿'!V:V,"直接归集成本费用")</f>
        <v>0</v>
      </c>
      <c r="G67" s="365">
        <f>SUMIFS('附表7-扣除项目明细采集底稿'!Y:Y,'附表7-扣除项目明细采集底稿'!E:E,数据对照表!H3,'附表7-扣除项目明细采集底稿'!V:V,"直接归集成本费用")</f>
        <v>0</v>
      </c>
      <c r="H67" s="366">
        <f t="shared" ref="H67:H74" si="12">SUM(E67:G67)</f>
        <v>0</v>
      </c>
      <c r="I67" s="365">
        <f>SUMIFS('附表7-扣除项目明细采集底稿'!W:W,'附表7-扣除项目明细采集底稿'!E:E,数据对照表!H3,'附表7-扣除项目明细采集底稿'!V:V,"共同成本费用")</f>
        <v>0</v>
      </c>
      <c r="J67" s="365">
        <f>SUMIFS('附表7-扣除项目明细采集底稿'!X:X,'附表7-扣除项目明细采集底稿'!E:E,数据对照表!H3,'附表7-扣除项目明细采集底稿'!V:V,"共同成本费用")</f>
        <v>0</v>
      </c>
      <c r="K67" s="365">
        <f>SUMIFS('附表7-扣除项目明细采集底稿'!Y:Y,'附表7-扣除项目明细采集底稿'!E:E,数据对照表!H3,'附表7-扣除项目明细采集底稿'!V:V,"共同成本费用")</f>
        <v>0</v>
      </c>
      <c r="L67" s="366">
        <f t="shared" ref="L67:L78" si="13">SUM(I67:K67)</f>
        <v>0</v>
      </c>
      <c r="M67" s="366">
        <f t="shared" ref="M67:M74" si="14">H67+L67</f>
        <v>0</v>
      </c>
    </row>
    <row r="68" s="347" customFormat="1" ht="24" customHeight="1" spans="1:13">
      <c r="A68" s="363">
        <v>63</v>
      </c>
      <c r="B68" s="363"/>
      <c r="C68" s="363"/>
      <c r="D68" s="367" t="str">
        <f>数据对照表!H4</f>
        <v>折旧费</v>
      </c>
      <c r="E68" s="365">
        <f>SUMIFS('附表7-扣除项目明细采集底稿'!W:W,'附表7-扣除项目明细采集底稿'!E:E,数据对照表!H4,'附表7-扣除项目明细采集底稿'!V:V,"直接归集成本费用")</f>
        <v>0</v>
      </c>
      <c r="F68" s="365">
        <f>SUMIFS('附表7-扣除项目明细采集底稿'!X:X,'附表7-扣除项目明细采集底稿'!E:E,数据对照表!H4,'附表7-扣除项目明细采集底稿'!V:V,"直接归集成本费用")</f>
        <v>0</v>
      </c>
      <c r="G68" s="365">
        <f>SUMIFS('附表7-扣除项目明细采集底稿'!Y:Y,'附表7-扣除项目明细采集底稿'!E:E,数据对照表!H4,'附表7-扣除项目明细采集底稿'!V:V,"直接归集成本费用")</f>
        <v>0</v>
      </c>
      <c r="H68" s="366">
        <f t="shared" si="12"/>
        <v>0</v>
      </c>
      <c r="I68" s="365">
        <f>SUMIFS('附表7-扣除项目明细采集底稿'!W:W,'附表7-扣除项目明细采集底稿'!E:E,数据对照表!H4,'附表7-扣除项目明细采集底稿'!V:V,"共同成本费用")</f>
        <v>0</v>
      </c>
      <c r="J68" s="365">
        <f>SUMIFS('附表7-扣除项目明细采集底稿'!X:X,'附表7-扣除项目明细采集底稿'!E:E,数据对照表!H4,'附表7-扣除项目明细采集底稿'!V:V,"共同成本费用")</f>
        <v>0</v>
      </c>
      <c r="K68" s="365">
        <f>SUMIFS('附表7-扣除项目明细采集底稿'!Y:Y,'附表7-扣除项目明细采集底稿'!E:E,数据对照表!H4,'附表7-扣除项目明细采集底稿'!V:V,"共同成本费用")</f>
        <v>0</v>
      </c>
      <c r="L68" s="366">
        <f t="shared" si="13"/>
        <v>0</v>
      </c>
      <c r="M68" s="366">
        <f t="shared" si="14"/>
        <v>0</v>
      </c>
    </row>
    <row r="69" s="347" customFormat="1" ht="24" customHeight="1" spans="1:13">
      <c r="A69" s="363">
        <v>64</v>
      </c>
      <c r="B69" s="363"/>
      <c r="C69" s="363"/>
      <c r="D69" s="367" t="str">
        <f>数据对照表!H5</f>
        <v>修理费</v>
      </c>
      <c r="E69" s="365">
        <f>SUMIFS('附表7-扣除项目明细采集底稿'!W:W,'附表7-扣除项目明细采集底稿'!E:E,数据对照表!H5,'附表7-扣除项目明细采集底稿'!V:V,"直接归集成本费用")</f>
        <v>0</v>
      </c>
      <c r="F69" s="365">
        <f>SUMIFS('附表7-扣除项目明细采集底稿'!X:X,'附表7-扣除项目明细采集底稿'!E:E,数据对照表!H5,'附表7-扣除项目明细采集底稿'!V:V,"直接归集成本费用")</f>
        <v>0</v>
      </c>
      <c r="G69" s="365">
        <f>SUMIFS('附表7-扣除项目明细采集底稿'!Y:Y,'附表7-扣除项目明细采集底稿'!E:E,数据对照表!H5,'附表7-扣除项目明细采集底稿'!V:V,"直接归集成本费用")</f>
        <v>0</v>
      </c>
      <c r="H69" s="366">
        <f t="shared" si="12"/>
        <v>0</v>
      </c>
      <c r="I69" s="365">
        <f>SUMIFS('附表7-扣除项目明细采集底稿'!W:W,'附表7-扣除项目明细采集底稿'!E:E,数据对照表!H5,'附表7-扣除项目明细采集底稿'!V:V,"共同成本费用")</f>
        <v>0</v>
      </c>
      <c r="J69" s="365">
        <f>SUMIFS('附表7-扣除项目明细采集底稿'!X:X,'附表7-扣除项目明细采集底稿'!E:E,数据对照表!H5,'附表7-扣除项目明细采集底稿'!V:V,"共同成本费用")</f>
        <v>0</v>
      </c>
      <c r="K69" s="365">
        <f>SUMIFS('附表7-扣除项目明细采集底稿'!Y:Y,'附表7-扣除项目明细采集底稿'!E:E,数据对照表!H5,'附表7-扣除项目明细采集底稿'!V:V,"共同成本费用")</f>
        <v>0</v>
      </c>
      <c r="L69" s="366">
        <f t="shared" si="13"/>
        <v>0</v>
      </c>
      <c r="M69" s="366">
        <f t="shared" si="14"/>
        <v>0</v>
      </c>
    </row>
    <row r="70" s="347" customFormat="1" ht="24" customHeight="1" spans="1:13">
      <c r="A70" s="363">
        <v>65</v>
      </c>
      <c r="B70" s="363"/>
      <c r="C70" s="363"/>
      <c r="D70" s="367" t="str">
        <f>数据对照表!H6</f>
        <v>办公费</v>
      </c>
      <c r="E70" s="365">
        <f>SUMIFS('附表7-扣除项目明细采集底稿'!W:W,'附表7-扣除项目明细采集底稿'!E:E,数据对照表!H6,'附表7-扣除项目明细采集底稿'!V:V,"直接归集成本费用")</f>
        <v>0</v>
      </c>
      <c r="F70" s="365">
        <f>SUMIFS('附表7-扣除项目明细采集底稿'!X:X,'附表7-扣除项目明细采集底稿'!E:E,数据对照表!H6,'附表7-扣除项目明细采集底稿'!V:V,"直接归集成本费用")</f>
        <v>0</v>
      </c>
      <c r="G70" s="365">
        <f>SUMIFS('附表7-扣除项目明细采集底稿'!Y:Y,'附表7-扣除项目明细采集底稿'!E:E,数据对照表!H6,'附表7-扣除项目明细采集底稿'!V:V,"直接归集成本费用")</f>
        <v>0</v>
      </c>
      <c r="H70" s="366">
        <f t="shared" si="12"/>
        <v>0</v>
      </c>
      <c r="I70" s="365">
        <f>SUMIFS('附表7-扣除项目明细采集底稿'!W:W,'附表7-扣除项目明细采集底稿'!E:E,数据对照表!H6,'附表7-扣除项目明细采集底稿'!V:V,"共同成本费用")</f>
        <v>0</v>
      </c>
      <c r="J70" s="365">
        <f>SUMIFS('附表7-扣除项目明细采集底稿'!X:X,'附表7-扣除项目明细采集底稿'!E:E,数据对照表!H6,'附表7-扣除项目明细采集底稿'!V:V,"共同成本费用")</f>
        <v>0</v>
      </c>
      <c r="K70" s="365">
        <f>SUMIFS('附表7-扣除项目明细采集底稿'!Y:Y,'附表7-扣除项目明细采集底稿'!E:E,数据对照表!H6,'附表7-扣除项目明细采集底稿'!V:V,"共同成本费用")</f>
        <v>0</v>
      </c>
      <c r="L70" s="366">
        <f t="shared" si="13"/>
        <v>0</v>
      </c>
      <c r="M70" s="366">
        <f t="shared" si="14"/>
        <v>0</v>
      </c>
    </row>
    <row r="71" s="347" customFormat="1" ht="24" customHeight="1" spans="1:13">
      <c r="A71" s="363">
        <v>66</v>
      </c>
      <c r="B71" s="363"/>
      <c r="C71" s="363"/>
      <c r="D71" s="367" t="str">
        <f>数据对照表!H7</f>
        <v>水电费</v>
      </c>
      <c r="E71" s="365">
        <f>SUMIFS('附表7-扣除项目明细采集底稿'!W:W,'附表7-扣除项目明细采集底稿'!E:E,数据对照表!H7,'附表7-扣除项目明细采集底稿'!V:V,"直接归集成本费用")</f>
        <v>0</v>
      </c>
      <c r="F71" s="365">
        <f>SUMIFS('附表7-扣除项目明细采集底稿'!X:X,'附表7-扣除项目明细采集底稿'!E:E,数据对照表!H7,'附表7-扣除项目明细采集底稿'!V:V,"直接归集成本费用")</f>
        <v>0</v>
      </c>
      <c r="G71" s="365">
        <f>SUMIFS('附表7-扣除项目明细采集底稿'!Y:Y,'附表7-扣除项目明细采集底稿'!E:E,数据对照表!H7,'附表7-扣除项目明细采集底稿'!V:V,"直接归集成本费用")</f>
        <v>0</v>
      </c>
      <c r="H71" s="366">
        <f t="shared" si="12"/>
        <v>0</v>
      </c>
      <c r="I71" s="365">
        <f>SUMIFS('附表7-扣除项目明细采集底稿'!W:W,'附表7-扣除项目明细采集底稿'!E:E,数据对照表!H7,'附表7-扣除项目明细采集底稿'!V:V,"共同成本费用")</f>
        <v>0</v>
      </c>
      <c r="J71" s="365">
        <f>SUMIFS('附表7-扣除项目明细采集底稿'!X:X,'附表7-扣除项目明细采集底稿'!E:E,数据对照表!H7,'附表7-扣除项目明细采集底稿'!V:V,"共同成本费用")</f>
        <v>0</v>
      </c>
      <c r="K71" s="365">
        <f>SUMIFS('附表7-扣除项目明细采集底稿'!Y:Y,'附表7-扣除项目明细采集底稿'!E:E,数据对照表!H7,'附表7-扣除项目明细采集底稿'!V:V,"共同成本费用")</f>
        <v>0</v>
      </c>
      <c r="L71" s="366">
        <f t="shared" si="13"/>
        <v>0</v>
      </c>
      <c r="M71" s="366">
        <f t="shared" si="14"/>
        <v>0</v>
      </c>
    </row>
    <row r="72" s="347" customFormat="1" ht="24" customHeight="1" spans="1:13">
      <c r="A72" s="363">
        <v>67</v>
      </c>
      <c r="B72" s="363"/>
      <c r="C72" s="363"/>
      <c r="D72" s="367" t="str">
        <f>数据对照表!H8</f>
        <v>劳动保护费</v>
      </c>
      <c r="E72" s="365">
        <f>SUMIFS('附表7-扣除项目明细采集底稿'!W:W,'附表7-扣除项目明细采集底稿'!E:E,数据对照表!H8,'附表7-扣除项目明细采集底稿'!V:V,"直接归集成本费用")</f>
        <v>0</v>
      </c>
      <c r="F72" s="365">
        <f>SUMIFS('附表7-扣除项目明细采集底稿'!X:X,'附表7-扣除项目明细采集底稿'!E:E,数据对照表!H8,'附表7-扣除项目明细采集底稿'!V:V,"直接归集成本费用")</f>
        <v>0</v>
      </c>
      <c r="G72" s="365">
        <f>SUMIFS('附表7-扣除项目明细采集底稿'!Y:Y,'附表7-扣除项目明细采集底稿'!E:E,数据对照表!H8,'附表7-扣除项目明细采集底稿'!V:V,"直接归集成本费用")</f>
        <v>0</v>
      </c>
      <c r="H72" s="366">
        <f t="shared" si="12"/>
        <v>0</v>
      </c>
      <c r="I72" s="365">
        <f>SUMIFS('附表7-扣除项目明细采集底稿'!W:W,'附表7-扣除项目明细采集底稿'!E:E,数据对照表!H8,'附表7-扣除项目明细采集底稿'!V:V,"共同成本费用")</f>
        <v>0</v>
      </c>
      <c r="J72" s="365">
        <f>SUMIFS('附表7-扣除项目明细采集底稿'!X:X,'附表7-扣除项目明细采集底稿'!E:E,数据对照表!H8,'附表7-扣除项目明细采集底稿'!V:V,"共同成本费用")</f>
        <v>0</v>
      </c>
      <c r="K72" s="365">
        <f>SUMIFS('附表7-扣除项目明细采集底稿'!Y:Y,'附表7-扣除项目明细采集底稿'!E:E,数据对照表!H8,'附表7-扣除项目明细采集底稿'!V:V,"共同成本费用")</f>
        <v>0</v>
      </c>
      <c r="L72" s="366">
        <f t="shared" si="13"/>
        <v>0</v>
      </c>
      <c r="M72" s="366">
        <f t="shared" si="14"/>
        <v>0</v>
      </c>
    </row>
    <row r="73" s="347" customFormat="1" ht="24" customHeight="1" spans="1:13">
      <c r="A73" s="363">
        <v>68</v>
      </c>
      <c r="B73" s="363"/>
      <c r="C73" s="363"/>
      <c r="D73" s="367" t="str">
        <f>数据对照表!H9</f>
        <v>周转房摊销费</v>
      </c>
      <c r="E73" s="365">
        <f>SUMIFS('附表7-扣除项目明细采集底稿'!W:W,'附表7-扣除项目明细采集底稿'!E:E,数据对照表!H9,'附表7-扣除项目明细采集底稿'!V:V,"直接归集成本费用")</f>
        <v>0</v>
      </c>
      <c r="F73" s="365">
        <f>SUMIFS('附表7-扣除项目明细采集底稿'!X:X,'附表7-扣除项目明细采集底稿'!E:E,数据对照表!H9,'附表7-扣除项目明细采集底稿'!V:V,"直接归集成本费用")</f>
        <v>0</v>
      </c>
      <c r="G73" s="365">
        <f>SUMIFS('附表7-扣除项目明细采集底稿'!Y:Y,'附表7-扣除项目明细采集底稿'!E:E,数据对照表!H9,'附表7-扣除项目明细采集底稿'!V:V,"直接归集成本费用")</f>
        <v>0</v>
      </c>
      <c r="H73" s="366">
        <f t="shared" si="12"/>
        <v>0</v>
      </c>
      <c r="I73" s="365">
        <f>SUMIFS('附表7-扣除项目明细采集底稿'!W:W,'附表7-扣除项目明细采集底稿'!E:E,数据对照表!H9,'附表7-扣除项目明细采集底稿'!V:V,"共同成本费用")</f>
        <v>0</v>
      </c>
      <c r="J73" s="365">
        <f>SUMIFS('附表7-扣除项目明细采集底稿'!X:X,'附表7-扣除项目明细采集底稿'!E:E,数据对照表!H9,'附表7-扣除项目明细采集底稿'!V:V,"共同成本费用")</f>
        <v>0</v>
      </c>
      <c r="K73" s="365">
        <f>SUMIFS('附表7-扣除项目明细采集底稿'!Y:Y,'附表7-扣除项目明细采集底稿'!E:E,数据对照表!H9,'附表7-扣除项目明细采集底稿'!V:V,"共同成本费用")</f>
        <v>0</v>
      </c>
      <c r="L73" s="366">
        <f t="shared" si="13"/>
        <v>0</v>
      </c>
      <c r="M73" s="366">
        <f t="shared" si="14"/>
        <v>0</v>
      </c>
    </row>
    <row r="74" s="347" customFormat="1" ht="24" customHeight="1" spans="1:13">
      <c r="A74" s="363">
        <v>69</v>
      </c>
      <c r="B74" s="363"/>
      <c r="C74" s="363"/>
      <c r="D74" s="367" t="str">
        <f>数据对照表!H10</f>
        <v>其他发生的间接费用</v>
      </c>
      <c r="E74" s="365">
        <f>SUMIFS('附表7-扣除项目明细采集底稿'!W:W,'附表7-扣除项目明细采集底稿'!E:E,数据对照表!H10,'附表7-扣除项目明细采集底稿'!V:V,"直接归集成本费用")</f>
        <v>0</v>
      </c>
      <c r="F74" s="365">
        <f>SUMIFS('附表7-扣除项目明细采集底稿'!X:X,'附表7-扣除项目明细采集底稿'!E:E,数据对照表!H10,'附表7-扣除项目明细采集底稿'!V:V,"直接归集成本费用")</f>
        <v>0</v>
      </c>
      <c r="G74" s="365">
        <f>SUMIFS('附表7-扣除项目明细采集底稿'!Y:Y,'附表7-扣除项目明细采集底稿'!E:E,数据对照表!H10,'附表7-扣除项目明细采集底稿'!V:V,"直接归集成本费用")</f>
        <v>0</v>
      </c>
      <c r="H74" s="366">
        <f t="shared" si="12"/>
        <v>0</v>
      </c>
      <c r="I74" s="365">
        <f>SUMIFS('附表7-扣除项目明细采集底稿'!W:W,'附表7-扣除项目明细采集底稿'!E:E,数据对照表!H10,'附表7-扣除项目明细采集底稿'!V:V,"共同成本费用")</f>
        <v>5838.78</v>
      </c>
      <c r="J74" s="365">
        <f>SUMIFS('附表7-扣除项目明细采集底稿'!X:X,'附表7-扣除项目明细采集底稿'!E:E,数据对照表!H10,'附表7-扣除项目明细采集底稿'!V:V,"共同成本费用")</f>
        <v>7200.82</v>
      </c>
      <c r="K74" s="365">
        <f>SUMIFS('附表7-扣除项目明细采集底稿'!Y:Y,'附表7-扣除项目明细采集底稿'!E:E,数据对照表!H10,'附表7-扣除项目明细采集底稿'!V:V,"共同成本费用")</f>
        <v>2947.01</v>
      </c>
      <c r="L74" s="366">
        <f t="shared" si="13"/>
        <v>15986.61</v>
      </c>
      <c r="M74" s="366">
        <f t="shared" si="14"/>
        <v>15986.61</v>
      </c>
    </row>
    <row r="75" s="347" customFormat="1" ht="24" customHeight="1" spans="1:13">
      <c r="A75" s="363">
        <v>70</v>
      </c>
      <c r="B75" s="373" t="s">
        <v>226</v>
      </c>
      <c r="C75" s="374"/>
      <c r="D75" s="375"/>
      <c r="E75" s="365">
        <f>SUM(SUMIFS('附表7-扣除项目明细采集底稿'!W:W,'附表7-扣除项目明细采集底稿'!D:D,"土地征用及拆迁补偿费",'附表7-扣除项目明细采集底稿'!V:V,"直接归集成本费用",'附表7-扣除项目明细采集底稿'!AB:AB,"不可加计"),SUMIFS('附表7-扣除项目明细采集底稿'!W:W,'附表7-扣除项目明细采集底稿'!D:D,"前期工程费",'附表7-扣除项目明细采集底稿'!V:V,"直接归集成本费用",'附表7-扣除项目明细采集底稿'!AB:AB,"不可加计"),SUMIFS('附表7-扣除项目明细采集底稿'!W:W,'附表7-扣除项目明细采集底稿'!D:D,"建筑安装工程费",'附表7-扣除项目明细采集底稿'!V:V,"直接归集成本费用",'附表7-扣除项目明细采集底稿'!AB:AB,"不可加计"),SUMIFS('附表7-扣除项目明细采集底稿'!W:W,'附表7-扣除项目明细采集底稿'!D:D,"基础设施费",'附表7-扣除项目明细采集底稿'!V:V,"直接归集成本费用",'附表7-扣除项目明细采集底稿'!AB:AB,"不可加计"),SUMIFS('附表7-扣除项目明细采集底稿'!W:W,'附表7-扣除项目明细采集底稿'!D:D,"公共配套设施费",'附表7-扣除项目明细采集底稿'!V:V,"直接归集成本费用",'附表7-扣除项目明细采集底稿'!AB:AB,"不可加计"),SUMIFS('附表7-扣除项目明细采集底稿'!W:W,'附表7-扣除项目明细采集底稿'!D:D,"开发间接费用",'附表7-扣除项目明细采集底稿'!V:V,"直接归集成本费用",'附表7-扣除项目明细采集底稿'!AB:AB,"不可加计"))</f>
        <v>0</v>
      </c>
      <c r="F75" s="365">
        <f>SUM(SUMIFS('附表7-扣除项目明细采集底稿'!X:X,'附表7-扣除项目明细采集底稿'!D:D,"土地征用及拆迁补偿费",'附表7-扣除项目明细采集底稿'!V:V,"直接归集成本费用",'附表7-扣除项目明细采集底稿'!AB:AB,"不可加计"),SUMIFS('附表7-扣除项目明细采集底稿'!X:X,'附表7-扣除项目明细采集底稿'!D:D,"前期工程费",'附表7-扣除项目明细采集底稿'!V:V,"直接归集成本费用",'附表7-扣除项目明细采集底稿'!AB:AB,"不可加计"),SUMIFS('附表7-扣除项目明细采集底稿'!X:X,'附表7-扣除项目明细采集底稿'!D:D,"建筑安装工程费",'附表7-扣除项目明细采集底稿'!V:V,"直接归集成本费用",'附表7-扣除项目明细采集底稿'!AB:AB,"不可加计"),SUMIFS('附表7-扣除项目明细采集底稿'!X:X,'附表7-扣除项目明细采集底稿'!D:D,"基础设施费",'附表7-扣除项目明细采集底稿'!V:V,"直接归集成本费用",'附表7-扣除项目明细采集底稿'!AB:AB,"不可加计"),SUMIFS('附表7-扣除项目明细采集底稿'!X:X,'附表7-扣除项目明细采集底稿'!D:D,"公共配套设施费",'附表7-扣除项目明细采集底稿'!V:V,"直接归集成本费用",'附表7-扣除项目明细采集底稿'!AB:AB,"不可加计"),SUMIFS('附表7-扣除项目明细采集底稿'!X:X,'附表7-扣除项目明细采集底稿'!D:D,"开发间接费用",'附表7-扣除项目明细采集底稿'!V:V,"直接归集成本费用",'附表7-扣除项目明细采集底稿'!AB:AB,"不可加计"))</f>
        <v>0</v>
      </c>
      <c r="G75" s="365">
        <f>SUM(SUMIFS('附表7-扣除项目明细采集底稿'!Y:Y,'附表7-扣除项目明细采集底稿'!D:D,"土地征用及拆迁补偿费",'附表7-扣除项目明细采集底稿'!V:V,"直接归集成本费用",'附表7-扣除项目明细采集底稿'!AB:AB,"不可加计"),SUMIFS('附表7-扣除项目明细采集底稿'!Y:Y,'附表7-扣除项目明细采集底稿'!D:D,"前期工程费",'附表7-扣除项目明细采集底稿'!V:V,"直接归集成本费用",'附表7-扣除项目明细采集底稿'!AB:AB,"不可加计"),SUMIFS('附表7-扣除项目明细采集底稿'!Y:Y,'附表7-扣除项目明细采集底稿'!D:D,"建筑安装工程费",'附表7-扣除项目明细采集底稿'!V:V,"直接归集成本费用",'附表7-扣除项目明细采集底稿'!AB:AB,"不可加计"),SUMIFS('附表7-扣除项目明细采集底稿'!Y:Y,'附表7-扣除项目明细采集底稿'!D:D,"基础设施费",'附表7-扣除项目明细采集底稿'!V:V,"直接归集成本费用",'附表7-扣除项目明细采集底稿'!AB:AB,"不可加计"),SUMIFS('附表7-扣除项目明细采集底稿'!Y:Y,'附表7-扣除项目明细采集底稿'!D:D,"公共配套设施费",'附表7-扣除项目明细采集底稿'!V:V,"直接归集成本费用",'附表7-扣除项目明细采集底稿'!AB:AB,"不可加计"),SUMIFS('附表7-扣除项目明细采集底稿'!Y:Y,'附表7-扣除项目明细采集底稿'!D:D,"开发间接费用",'附表7-扣除项目明细采集底稿'!V:V,"直接归集成本费用",'附表7-扣除项目明细采集底稿'!AB:AB,"不可加计"))</f>
        <v>0</v>
      </c>
      <c r="H75" s="366">
        <f t="shared" ref="H75:H87" si="15">SUM(E75:G75)</f>
        <v>0</v>
      </c>
      <c r="I75" s="365">
        <f>SUM(SUMIFS('附表7-扣除项目明细采集底稿'!W:W,'附表7-扣除项目明细采集底稿'!D:D,"土地征用及拆迁补偿费",'附表7-扣除项目明细采集底稿'!V:V,"共同成本费用",'附表7-扣除项目明细采集底稿'!AB:AB,"不可加计"),SUMIFS('附表7-扣除项目明细采集底稿'!W:W,'附表7-扣除项目明细采集底稿'!D:D,"前期工程费",'附表7-扣除项目明细采集底稿'!V:V,"共同成本费用",'附表7-扣除项目明细采集底稿'!AB:AB,"不可加计"),SUMIFS('附表7-扣除项目明细采集底稿'!W:W,'附表7-扣除项目明细采集底稿'!D:D,"建筑安装工程费",'附表7-扣除项目明细采集底稿'!V:V,"共同成本费用",'附表7-扣除项目明细采集底稿'!AB:AB,"不可加计"),SUMIFS('附表7-扣除项目明细采集底稿'!W:W,'附表7-扣除项目明细采集底稿'!D:D,"基础设施费",'附表7-扣除项目明细采集底稿'!V:V,"共同成本费用",'附表7-扣除项目明细采集底稿'!AB:AB,"不可加计"),SUMIFS('附表7-扣除项目明细采集底稿'!W:W,'附表7-扣除项目明细采集底稿'!D:D,"公共配套设施费",'附表7-扣除项目明细采集底稿'!V:V,"共同成本费用",'附表7-扣除项目明细采集底稿'!AB:AB,"不可加计"),SUMIFS('附表7-扣除项目明细采集底稿'!W:W,'附表7-扣除项目明细采集底稿'!D:D,"开发间接费用",'附表7-扣除项目明细采集底稿'!V:V,"共同成本费用",'附表7-扣除项目明细采集底稿'!AB:AB,"不可加计"))</f>
        <v>0</v>
      </c>
      <c r="J75" s="365">
        <f>SUM(SUMIFS('附表7-扣除项目明细采集底稿'!X:X,'附表7-扣除项目明细采集底稿'!D:D,"土地征用及拆迁补偿费",'附表7-扣除项目明细采集底稿'!V:V,"共同成本费用",'附表7-扣除项目明细采集底稿'!AB:AB,"不可加计"),SUMIFS('附表7-扣除项目明细采集底稿'!X:X,'附表7-扣除项目明细采集底稿'!D:D,"前期工程费",'附表7-扣除项目明细采集底稿'!V:V,"共同成本费用",'附表7-扣除项目明细采集底稿'!AB:AB,"不可加计"),SUMIFS('附表7-扣除项目明细采集底稿'!X:X,'附表7-扣除项目明细采集底稿'!D:D,"建筑安装工程费",'附表7-扣除项目明细采集底稿'!V:V,"共同成本费用",'附表7-扣除项目明细采集底稿'!AB:AB,"不可加计"),SUMIFS('附表7-扣除项目明细采集底稿'!X:X,'附表7-扣除项目明细采集底稿'!D:D,"基础设施费",'附表7-扣除项目明细采集底稿'!V:V,"共同成本费用",'附表7-扣除项目明细采集底稿'!AB:AB,"不可加计"),SUMIFS('附表7-扣除项目明细采集底稿'!X:X,'附表7-扣除项目明细采集底稿'!D:D,"公共配套设施费",'附表7-扣除项目明细采集底稿'!V:V,"共同成本费用",'附表7-扣除项目明细采集底稿'!AB:AB,"不可加计"),SUMIFS('附表7-扣除项目明细采集底稿'!X:X,'附表7-扣除项目明细采集底稿'!D:D,"开发间接费用",'附表7-扣除项目明细采集底稿'!V:V,"共同成本费用",'附表7-扣除项目明细采集底稿'!AB:AB,"不可加计"))</f>
        <v>0</v>
      </c>
      <c r="K75" s="365">
        <f>SUM(SUMIFS('附表7-扣除项目明细采集底稿'!Y:Y,'附表7-扣除项目明细采集底稿'!D:D,"土地征用及拆迁补偿费",'附表7-扣除项目明细采集底稿'!V:V,"共同成本费用",'附表7-扣除项目明细采集底稿'!AB:AB,"不可加计"),SUMIFS('附表7-扣除项目明细采集底稿'!Y:Y,'附表7-扣除项目明细采集底稿'!D:D,"前期工程费",'附表7-扣除项目明细采集底稿'!V:V,"共同成本费用",'附表7-扣除项目明细采集底稿'!AB:AB,"不可加计"),SUMIFS('附表7-扣除项目明细采集底稿'!Y:Y,'附表7-扣除项目明细采集底稿'!D:D,"建筑安装工程费",'附表7-扣除项目明细采集底稿'!V:V,"共同成本费用",'附表7-扣除项目明细采集底稿'!AB:AB,"不可加计"),SUMIFS('附表7-扣除项目明细采集底稿'!Y:Y,'附表7-扣除项目明细采集底稿'!D:D,"基础设施费",'附表7-扣除项目明细采集底稿'!V:V,"共同成本费用",'附表7-扣除项目明细采集底稿'!AB:AB,"不可加计"),SUMIFS('附表7-扣除项目明细采集底稿'!Y:Y,'附表7-扣除项目明细采集底稿'!D:D,"公共配套设施费",'附表7-扣除项目明细采集底稿'!V:V,"共同成本费用",'附表7-扣除项目明细采集底稿'!AB:AB,"不可加计"),SUMIFS('附表7-扣除项目明细采集底稿'!Y:Y,'附表7-扣除项目明细采集底稿'!D:D,"开发间接费用",'附表7-扣除项目明细采集底稿'!V:V,"共同成本费用",'附表7-扣除项目明细采集底稿'!AB:AB,"不可加计"))</f>
        <v>0</v>
      </c>
      <c r="L75" s="366">
        <f t="shared" si="13"/>
        <v>0</v>
      </c>
      <c r="M75" s="366">
        <f t="shared" ref="M75:M87" si="16">H75+L75</f>
        <v>0</v>
      </c>
    </row>
    <row r="76" s="347" customFormat="1" ht="24" customHeight="1" spans="1:13">
      <c r="A76" s="363">
        <v>71</v>
      </c>
      <c r="B76" s="367" t="str">
        <f>数据对照表!I1</f>
        <v>房地产开发费用</v>
      </c>
      <c r="C76" s="367"/>
      <c r="D76" s="367"/>
      <c r="E76" s="365">
        <f>SUM(E77:E78)</f>
        <v>4649740.175</v>
      </c>
      <c r="F76" s="365">
        <f>SUM(F77:F78)</f>
        <v>5734131.877</v>
      </c>
      <c r="G76" s="365">
        <f>SUM(G77:G78)</f>
        <v>2525627.603</v>
      </c>
      <c r="H76" s="366">
        <f t="shared" si="15"/>
        <v>12909499.655</v>
      </c>
      <c r="I76" s="365">
        <f>SUM(I77:I78)</f>
        <v>1120209.408</v>
      </c>
      <c r="J76" s="365">
        <f>SUM(J77:J78)</f>
        <v>1381525.033</v>
      </c>
      <c r="K76" s="365">
        <f>SUM(K77:K78)</f>
        <v>565404.651</v>
      </c>
      <c r="L76" s="366">
        <f t="shared" si="13"/>
        <v>3067139.092</v>
      </c>
      <c r="M76" s="366">
        <f t="shared" si="16"/>
        <v>15976638.747</v>
      </c>
    </row>
    <row r="77" s="347" customFormat="1" ht="24" customHeight="1" spans="1:13">
      <c r="A77" s="363">
        <v>72</v>
      </c>
      <c r="B77" s="363" t="s">
        <v>339</v>
      </c>
      <c r="C77" s="367" t="str">
        <f>数据对照表!I2</f>
        <v>利息支出</v>
      </c>
      <c r="D77" s="367" t="s">
        <v>341</v>
      </c>
      <c r="E77" s="365">
        <f>IF(D77="计算扣除",0,SUMIFS('附表7-扣除项目明细采集底稿'!W:W,'附表7-扣除项目明细采集底稿'!E:E,数据对照表!I2,'附表7-扣除项目明细采集底稿'!V:V,"直接归集成本费用"))</f>
        <v>0</v>
      </c>
      <c r="F77" s="365">
        <f>IF(D77="计算扣除",0,SUMIFS('附表7-扣除项目明细采集底稿'!X:X,'附表7-扣除项目明细采集底稿'!E:E,数据对照表!I2,'附表7-扣除项目明细采集底稿'!V:V,"直接归集成本费用"))</f>
        <v>0</v>
      </c>
      <c r="G77" s="365">
        <f>IF(D77="计算扣除",0,SUMIFS('附表7-扣除项目明细采集底稿'!Y:Y,'附表7-扣除项目明细采集底稿'!E:E,数据对照表!I2,'附表7-扣除项目明细采集底稿'!V:V,"直接归集成本费用"))</f>
        <v>0</v>
      </c>
      <c r="H77" s="366">
        <f t="shared" si="15"/>
        <v>0</v>
      </c>
      <c r="I77" s="365">
        <f>IF(D77="计算扣除",0,SUMIFS('附表7-扣除项目明细采集底稿'!W:W,'附表7-扣除项目明细采集底稿'!E:E,数据对照表!I2,'附表7-扣除项目明细采集底稿'!V:V,"共同成本费用"))</f>
        <v>0</v>
      </c>
      <c r="J77" s="365">
        <f>IF(D77="计算扣除",0,SUMIFS('附表7-扣除项目明细采集底稿'!X:X,'附表7-扣除项目明细采集底稿'!E:E,数据对照表!I2,'附表7-扣除项目明细采集底稿'!V:V,"共同成本费用"))</f>
        <v>0</v>
      </c>
      <c r="K77" s="365">
        <f>IF(D77="计算扣除",0,SUMIFS('附表7-扣除项目明细采集底稿'!Y:Y,'附表7-扣除项目明细采集底稿'!E:E,数据对照表!I2,'附表7-扣除项目明细采集底稿'!V:V,"共同成本费用"))</f>
        <v>0</v>
      </c>
      <c r="L77" s="366">
        <f t="shared" si="13"/>
        <v>0</v>
      </c>
      <c r="M77" s="366">
        <f t="shared" si="16"/>
        <v>0</v>
      </c>
    </row>
    <row r="78" s="347" customFormat="1" ht="24" customHeight="1" spans="1:13">
      <c r="A78" s="363">
        <v>73</v>
      </c>
      <c r="B78" s="363"/>
      <c r="C78" s="367" t="s">
        <v>342</v>
      </c>
      <c r="D78" s="367"/>
      <c r="E78" s="365">
        <f>IF($D$77="计算扣除",((E6-E10)+(E11-E75))*10%,((E6-E10)+(E11-E75))*5%)</f>
        <v>4649740.175</v>
      </c>
      <c r="F78" s="365">
        <f>IF($D$77="计算扣除",((F6-F10)+(F11-F75))*10%,((F6-F10)+(F11-F75))*5%)</f>
        <v>5734131.877</v>
      </c>
      <c r="G78" s="365">
        <f>IF($D$77="计算扣除",((G6-G10)+(G11-G75))*10%,((G6-G10)+(G11-G75))*5%)</f>
        <v>2525627.603</v>
      </c>
      <c r="H78" s="366">
        <f t="shared" si="15"/>
        <v>12909499.655</v>
      </c>
      <c r="I78" s="365">
        <f>IF($D$77="计算扣除",((I6-I10)+(I11-I75))*10%,((I6-I10)+(I11-I75))*5%)</f>
        <v>1120209.408</v>
      </c>
      <c r="J78" s="365">
        <f>IF($D$77="计算扣除",((J6-J10)+(J11-J75))*10%,((J6-J10)+(J11-J75))*5%)</f>
        <v>1381525.033</v>
      </c>
      <c r="K78" s="365">
        <f>IF($D$77="计算扣除",((K6-K10)+(K11-K75))*10%,((K6-K10)+(K11-K75))*5%)</f>
        <v>565404.651</v>
      </c>
      <c r="L78" s="366">
        <f t="shared" si="13"/>
        <v>3067139.092</v>
      </c>
      <c r="M78" s="366">
        <f t="shared" si="16"/>
        <v>15976638.747</v>
      </c>
    </row>
    <row r="79" s="347" customFormat="1" ht="24" customHeight="1" spans="1:13">
      <c r="A79" s="363">
        <v>74</v>
      </c>
      <c r="B79" s="367" t="s">
        <v>343</v>
      </c>
      <c r="C79" s="367"/>
      <c r="D79" s="367"/>
      <c r="E79" s="365">
        <f>SUM(E80:E84)</f>
        <v>220434.878126495</v>
      </c>
      <c r="F79" s="365">
        <f>SUM(F80:F84)</f>
        <v>368515.58</v>
      </c>
      <c r="G79" s="365">
        <f>SUM(G80:G84)</f>
        <v>27084.16</v>
      </c>
      <c r="H79" s="366">
        <f t="shared" si="15"/>
        <v>616034.618126495</v>
      </c>
      <c r="I79" s="376"/>
      <c r="J79" s="376"/>
      <c r="K79" s="376"/>
      <c r="L79" s="376"/>
      <c r="M79" s="366">
        <f t="shared" si="16"/>
        <v>616034.618126495</v>
      </c>
    </row>
    <row r="80" s="347" customFormat="1" ht="24" customHeight="1" spans="1:13">
      <c r="A80" s="363">
        <v>75</v>
      </c>
      <c r="B80" s="363" t="s">
        <v>339</v>
      </c>
      <c r="C80" s="367" t="s">
        <v>344</v>
      </c>
      <c r="D80" s="367"/>
      <c r="E80" s="366"/>
      <c r="F80" s="366"/>
      <c r="G80" s="366"/>
      <c r="H80" s="366">
        <f t="shared" si="15"/>
        <v>0</v>
      </c>
      <c r="I80" s="376"/>
      <c r="J80" s="376"/>
      <c r="K80" s="376"/>
      <c r="L80" s="376"/>
      <c r="M80" s="366">
        <f t="shared" si="16"/>
        <v>0</v>
      </c>
    </row>
    <row r="81" s="347" customFormat="1" ht="24" customHeight="1" spans="1:13">
      <c r="A81" s="363">
        <v>76</v>
      </c>
      <c r="B81" s="363"/>
      <c r="C81" s="367" t="s">
        <v>345</v>
      </c>
      <c r="D81" s="367"/>
      <c r="E81" s="366">
        <v>128587.005573789</v>
      </c>
      <c r="F81" s="366">
        <v>214967.43</v>
      </c>
      <c r="G81" s="366">
        <v>15799.09</v>
      </c>
      <c r="H81" s="366">
        <f t="shared" si="15"/>
        <v>359353.525573789</v>
      </c>
      <c r="I81" s="376"/>
      <c r="J81" s="376"/>
      <c r="K81" s="376"/>
      <c r="L81" s="376"/>
      <c r="M81" s="366">
        <f t="shared" si="16"/>
        <v>359353.525573789</v>
      </c>
    </row>
    <row r="82" s="347" customFormat="1" ht="24" customHeight="1" spans="1:13">
      <c r="A82" s="363">
        <v>77</v>
      </c>
      <c r="B82" s="363"/>
      <c r="C82" s="367" t="s">
        <v>346</v>
      </c>
      <c r="D82" s="367"/>
      <c r="E82" s="366">
        <v>55108.709531624</v>
      </c>
      <c r="F82" s="366">
        <v>92128.89</v>
      </c>
      <c r="G82" s="366">
        <v>6771.04</v>
      </c>
      <c r="H82" s="366">
        <f t="shared" si="15"/>
        <v>154008.639531624</v>
      </c>
      <c r="I82" s="376"/>
      <c r="J82" s="376"/>
      <c r="K82" s="376"/>
      <c r="L82" s="376"/>
      <c r="M82" s="366">
        <f t="shared" si="16"/>
        <v>154008.639531624</v>
      </c>
    </row>
    <row r="83" s="347" customFormat="1" ht="24" customHeight="1" spans="1:13">
      <c r="A83" s="363">
        <v>78</v>
      </c>
      <c r="B83" s="363"/>
      <c r="C83" s="367" t="s">
        <v>347</v>
      </c>
      <c r="D83" s="367"/>
      <c r="E83" s="366">
        <v>36739.1630210823</v>
      </c>
      <c r="F83" s="366">
        <v>61419.26</v>
      </c>
      <c r="G83" s="366">
        <v>4514.03</v>
      </c>
      <c r="H83" s="366">
        <f t="shared" si="15"/>
        <v>102672.453021082</v>
      </c>
      <c r="I83" s="376"/>
      <c r="J83" s="376"/>
      <c r="K83" s="376"/>
      <c r="L83" s="376"/>
      <c r="M83" s="366">
        <f t="shared" si="16"/>
        <v>102672.453021082</v>
      </c>
    </row>
    <row r="84" s="347" customFormat="1" ht="24" customHeight="1" spans="1:13">
      <c r="A84" s="363">
        <v>79</v>
      </c>
      <c r="B84" s="363"/>
      <c r="C84" s="367" t="s">
        <v>348</v>
      </c>
      <c r="D84" s="367"/>
      <c r="E84" s="366"/>
      <c r="F84" s="366"/>
      <c r="G84" s="366"/>
      <c r="H84" s="366">
        <f t="shared" si="15"/>
        <v>0</v>
      </c>
      <c r="I84" s="376"/>
      <c r="J84" s="376"/>
      <c r="K84" s="376"/>
      <c r="L84" s="376"/>
      <c r="M84" s="366">
        <f t="shared" si="16"/>
        <v>0</v>
      </c>
    </row>
    <row r="85" s="347" customFormat="1" ht="24" customHeight="1" spans="1:13">
      <c r="A85" s="363">
        <v>80</v>
      </c>
      <c r="B85" s="367" t="s">
        <v>349</v>
      </c>
      <c r="C85" s="367"/>
      <c r="D85" s="367"/>
      <c r="E85" s="365">
        <f>((E6-E10)+(E11-E75))*20%</f>
        <v>9299480.35</v>
      </c>
      <c r="F85" s="365">
        <f>((F6-F10)+(F11-F75))*20%</f>
        <v>11468263.754</v>
      </c>
      <c r="G85" s="365">
        <f>((G6-G10)+(G11-G75))*20%</f>
        <v>5051255.206</v>
      </c>
      <c r="H85" s="366">
        <f t="shared" si="15"/>
        <v>25818999.31</v>
      </c>
      <c r="I85" s="365">
        <f>((I6-I10)+(I11-I75))*20%</f>
        <v>2240418.816</v>
      </c>
      <c r="J85" s="365">
        <f>((J6-J10)+(J11-J75))*20%</f>
        <v>2763050.066</v>
      </c>
      <c r="K85" s="365">
        <f>((K6-K10)+(K11-K75))*20%</f>
        <v>1130809.302</v>
      </c>
      <c r="L85" s="366">
        <f t="shared" ref="L85:L87" si="17">SUM(I85:K85)</f>
        <v>6134278.184</v>
      </c>
      <c r="M85" s="366">
        <f t="shared" si="16"/>
        <v>31953277.494</v>
      </c>
    </row>
    <row r="86" s="347" customFormat="1" ht="24" customHeight="1" spans="1:13">
      <c r="A86" s="363">
        <v>81</v>
      </c>
      <c r="B86" s="367" t="s">
        <v>350</v>
      </c>
      <c r="C86" s="367"/>
      <c r="D86" s="367"/>
      <c r="E86" s="366">
        <v>0</v>
      </c>
      <c r="F86" s="366">
        <v>0</v>
      </c>
      <c r="G86" s="366">
        <v>0</v>
      </c>
      <c r="H86" s="366">
        <f t="shared" si="15"/>
        <v>0</v>
      </c>
      <c r="I86" s="366">
        <v>0</v>
      </c>
      <c r="J86" s="366">
        <v>0</v>
      </c>
      <c r="K86" s="366">
        <v>0</v>
      </c>
      <c r="L86" s="366">
        <f t="shared" si="17"/>
        <v>0</v>
      </c>
      <c r="M86" s="366">
        <f t="shared" si="16"/>
        <v>0</v>
      </c>
    </row>
    <row r="87" s="347" customFormat="1" ht="24" customHeight="1" spans="1:13">
      <c r="A87" s="363">
        <v>82</v>
      </c>
      <c r="B87" s="367" t="s">
        <v>152</v>
      </c>
      <c r="C87" s="367"/>
      <c r="D87" s="367"/>
      <c r="E87" s="365">
        <f>E6+E11+E76+E79+E85+SUM(E86)</f>
        <v>60667057.1531265</v>
      </c>
      <c r="F87" s="365">
        <f>F6+F11+F76+F79+F85+SUM(F86)</f>
        <v>74912229.981</v>
      </c>
      <c r="G87" s="365">
        <f>G6+G11+G76+G79+G85+SUM(G86)</f>
        <v>32860242.999</v>
      </c>
      <c r="H87" s="366">
        <f t="shared" si="15"/>
        <v>168439530.133126</v>
      </c>
      <c r="I87" s="365">
        <f>I6+I11+I76+I79+I85+SUM(I86)</f>
        <v>14562722.304</v>
      </c>
      <c r="J87" s="365">
        <f>J6+J11+J76+J79+J85+SUM(J86)</f>
        <v>17959825.429</v>
      </c>
      <c r="K87" s="365">
        <f>K6+K11+K76+K79+K85+SUM(K86)</f>
        <v>7350260.463</v>
      </c>
      <c r="L87" s="366">
        <f t="shared" si="17"/>
        <v>39872808.196</v>
      </c>
      <c r="M87" s="366">
        <f t="shared" si="16"/>
        <v>208312338.329126</v>
      </c>
    </row>
  </sheetData>
  <mergeCells count="41">
    <mergeCell ref="A1:M1"/>
    <mergeCell ref="A2:M2"/>
    <mergeCell ref="E3:H3"/>
    <mergeCell ref="I3:L3"/>
    <mergeCell ref="B6:D6"/>
    <mergeCell ref="C7:D7"/>
    <mergeCell ref="C8:D8"/>
    <mergeCell ref="C9:D9"/>
    <mergeCell ref="B10:D10"/>
    <mergeCell ref="B11:D11"/>
    <mergeCell ref="C12:D12"/>
    <mergeCell ref="C19:D19"/>
    <mergeCell ref="C29:D29"/>
    <mergeCell ref="C36:D36"/>
    <mergeCell ref="C48:D48"/>
    <mergeCell ref="C65:D65"/>
    <mergeCell ref="B75:D75"/>
    <mergeCell ref="B76:D76"/>
    <mergeCell ref="C78:D78"/>
    <mergeCell ref="B79:D79"/>
    <mergeCell ref="C80:D80"/>
    <mergeCell ref="C81:D81"/>
    <mergeCell ref="C82:D82"/>
    <mergeCell ref="C83:D83"/>
    <mergeCell ref="C84:D84"/>
    <mergeCell ref="B85:D85"/>
    <mergeCell ref="B86:D86"/>
    <mergeCell ref="B87:D87"/>
    <mergeCell ref="A3:A5"/>
    <mergeCell ref="B7:B9"/>
    <mergeCell ref="B12:B74"/>
    <mergeCell ref="B77:B78"/>
    <mergeCell ref="B80:B84"/>
    <mergeCell ref="C13:C18"/>
    <mergeCell ref="C20:C28"/>
    <mergeCell ref="C30:C35"/>
    <mergeCell ref="C37:C47"/>
    <mergeCell ref="C49:C64"/>
    <mergeCell ref="C66:C74"/>
    <mergeCell ref="M3:M4"/>
    <mergeCell ref="B3:D5"/>
  </mergeCells>
  <dataValidations count="2">
    <dataValidation allowBlank="1" showInputMessage="1" showErrorMessage="1" sqref="C77"/>
    <dataValidation type="list" allowBlank="1" showInputMessage="1" showErrorMessage="1" sqref="D77">
      <formula1>"据实扣除, 计算扣除"</formula1>
    </dataValidation>
  </dataValidations>
  <printOptions horizontalCentered="1"/>
  <pageMargins left="0.707638888888889" right="0.707638888888889" top="0.747916666666667" bottom="0.747916666666667" header="0.313888888888889" footer="0.313888888888889"/>
  <pageSetup paperSize="9" scale="58" fitToHeight="0" orientation="landscape"/>
  <headerFooter>
    <oddFooter>&amp;C第 &amp;P 页，共 &amp;N 页</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
    <pageSetUpPr fitToPage="1"/>
  </sheetPr>
  <dimension ref="A1:Z607"/>
  <sheetViews>
    <sheetView topLeftCell="A11" workbookViewId="0">
      <selection activeCell="L26" sqref="L26"/>
    </sheetView>
  </sheetViews>
  <sheetFormatPr defaultColWidth="5.61594202898551" defaultRowHeight="15"/>
  <cols>
    <col min="1" max="1" width="9.7536231884058" style="283" customWidth="1"/>
    <col min="2" max="2" width="9.2536231884058" style="283" customWidth="1"/>
    <col min="3" max="3" width="8.7536231884058" style="284" customWidth="1"/>
    <col min="4" max="4" width="8.11594202898551" style="283" customWidth="1"/>
    <col min="5" max="5" width="9.90579710144928" style="283" customWidth="1"/>
    <col min="6" max="6" width="9.61594202898551" style="283" customWidth="1"/>
    <col min="7" max="7" width="11" style="283" customWidth="1"/>
    <col min="8" max="8" width="6.11594202898551" style="283" customWidth="1"/>
    <col min="9" max="9" width="8.11594202898551" style="283" customWidth="1"/>
    <col min="10" max="10" width="11.0942028985507" style="283" customWidth="1"/>
    <col min="11" max="11" width="11" style="283" customWidth="1"/>
    <col min="12" max="12" width="14.9202898550725" style="285" customWidth="1"/>
    <col min="13" max="13" width="9.66666666666667" style="283" customWidth="1"/>
    <col min="14" max="17" width="12" style="285" customWidth="1"/>
    <col min="18" max="18" width="5.61594202898551" style="283" customWidth="1"/>
    <col min="19" max="19" width="9.5" style="283" customWidth="1"/>
    <col min="20" max="20" width="17.7536231884058" style="283" customWidth="1"/>
    <col min="21" max="21" width="14.2971014492754" style="286" customWidth="1"/>
    <col min="22" max="22" width="13.4057971014493" style="285" customWidth="1"/>
    <col min="23" max="23" width="14.2971014492754" style="285" customWidth="1"/>
    <col min="24" max="24" width="15.0797101449275" style="285" customWidth="1"/>
    <col min="25" max="25" width="8.5" style="285" customWidth="1"/>
    <col min="26" max="26" width="6.5" style="283" customWidth="1"/>
    <col min="27" max="16384" width="5.61594202898551" style="282"/>
  </cols>
  <sheetData>
    <row r="1" ht="23.8" spans="1:26">
      <c r="A1" s="287" t="s">
        <v>351</v>
      </c>
      <c r="B1" s="287"/>
      <c r="C1" s="287"/>
      <c r="D1" s="287"/>
      <c r="E1" s="287"/>
      <c r="F1" s="287"/>
      <c r="G1" s="287"/>
      <c r="H1" s="287"/>
      <c r="I1" s="287"/>
      <c r="J1" s="287"/>
      <c r="K1" s="287"/>
      <c r="L1" s="299"/>
      <c r="M1" s="287"/>
      <c r="N1" s="299"/>
      <c r="O1" s="299"/>
      <c r="P1" s="299"/>
      <c r="Q1" s="299"/>
      <c r="R1" s="287"/>
      <c r="S1" s="287"/>
      <c r="T1" s="287"/>
      <c r="U1" s="310"/>
      <c r="V1" s="299"/>
      <c r="W1" s="299"/>
      <c r="X1" s="299"/>
      <c r="Y1" s="299"/>
      <c r="Z1" s="287"/>
    </row>
    <row r="2" s="278" customFormat="1" ht="14.4" spans="1:26">
      <c r="A2" s="288" t="str">
        <f>土地增值税税源明细表!F5&amp;"："&amp;土地增值税税源明细表!H5&amp;"          "&amp;土地增值税税源明细表!A5&amp;"："&amp;土地增值税税源明细表!B5&amp;"          "&amp;"金额单位:人民币元(列至角分)"</f>
        <v>项目编码：Z65280120200027          项目名称：沁春锦苑二期          金额单位:人民币元(列至角分)</v>
      </c>
      <c r="B2" s="288"/>
      <c r="C2" s="288"/>
      <c r="D2" s="288"/>
      <c r="E2" s="288"/>
      <c r="F2" s="288"/>
      <c r="G2" s="288"/>
      <c r="H2" s="288"/>
      <c r="I2" s="288"/>
      <c r="J2" s="288"/>
      <c r="K2" s="288"/>
      <c r="L2" s="300"/>
      <c r="M2" s="288"/>
      <c r="N2" s="300"/>
      <c r="O2" s="300"/>
      <c r="P2" s="300"/>
      <c r="Q2" s="300"/>
      <c r="R2" s="288"/>
      <c r="S2" s="288"/>
      <c r="T2" s="288"/>
      <c r="U2" s="311"/>
      <c r="V2" s="300"/>
      <c r="W2" s="300"/>
      <c r="X2" s="300"/>
      <c r="Y2" s="300"/>
      <c r="Z2" s="288"/>
    </row>
    <row r="3" s="279" customFormat="1" ht="23.8" spans="1:26">
      <c r="A3" s="289" t="s">
        <v>37</v>
      </c>
      <c r="B3" s="290" t="s">
        <v>352</v>
      </c>
      <c r="C3" s="290" t="s">
        <v>353</v>
      </c>
      <c r="D3" s="290" t="s">
        <v>354</v>
      </c>
      <c r="E3" s="290" t="s">
        <v>355</v>
      </c>
      <c r="F3" s="290" t="s">
        <v>53</v>
      </c>
      <c r="G3" s="290" t="s">
        <v>356</v>
      </c>
      <c r="H3" s="290" t="s">
        <v>357</v>
      </c>
      <c r="I3" s="301" t="s">
        <v>358</v>
      </c>
      <c r="J3" s="290" t="s">
        <v>359</v>
      </c>
      <c r="K3" s="301" t="s">
        <v>360</v>
      </c>
      <c r="L3" s="302" t="s">
        <v>361</v>
      </c>
      <c r="M3" s="290" t="s">
        <v>362</v>
      </c>
      <c r="N3" s="302" t="s">
        <v>363</v>
      </c>
      <c r="O3" s="302" t="s">
        <v>364</v>
      </c>
      <c r="P3" s="302" t="s">
        <v>365</v>
      </c>
      <c r="Q3" s="302" t="s">
        <v>366</v>
      </c>
      <c r="R3" s="290" t="s">
        <v>367</v>
      </c>
      <c r="S3" s="290" t="s">
        <v>368</v>
      </c>
      <c r="T3" s="290" t="s">
        <v>369</v>
      </c>
      <c r="U3" s="312" t="s">
        <v>370</v>
      </c>
      <c r="V3" s="302" t="s">
        <v>371</v>
      </c>
      <c r="W3" s="302" t="s">
        <v>372</v>
      </c>
      <c r="X3" s="313" t="s">
        <v>373</v>
      </c>
      <c r="Y3" s="302" t="s">
        <v>374</v>
      </c>
      <c r="Z3" s="290" t="s">
        <v>375</v>
      </c>
    </row>
    <row r="4" s="280" customFormat="1" ht="18" customHeight="1" spans="1:26">
      <c r="A4" s="291" t="s">
        <v>376</v>
      </c>
      <c r="B4" s="292" t="s">
        <v>377</v>
      </c>
      <c r="C4" s="292" t="s">
        <v>377</v>
      </c>
      <c r="D4" s="292" t="s">
        <v>377</v>
      </c>
      <c r="E4" s="292" t="s">
        <v>377</v>
      </c>
      <c r="F4" s="292" t="s">
        <v>377</v>
      </c>
      <c r="G4" s="292" t="s">
        <v>377</v>
      </c>
      <c r="H4" s="292" t="s">
        <v>377</v>
      </c>
      <c r="I4" s="292" t="s">
        <v>377</v>
      </c>
      <c r="J4" s="292" t="s">
        <v>377</v>
      </c>
      <c r="K4" s="292" t="s">
        <v>377</v>
      </c>
      <c r="L4" s="303">
        <f>SUM(L$7:L$1048576)</f>
        <v>218267219.3</v>
      </c>
      <c r="M4" s="292" t="s">
        <v>377</v>
      </c>
      <c r="N4" s="303">
        <f>SUM(N$7:N$1048576)</f>
        <v>53048.6600000001</v>
      </c>
      <c r="O4" s="303">
        <f t="shared" ref="O4:Q4" si="0">SUM(O$7:O$1048576)</f>
        <v>0</v>
      </c>
      <c r="P4" s="303">
        <f t="shared" si="0"/>
        <v>53048.6600000001</v>
      </c>
      <c r="Q4" s="303">
        <f t="shared" si="0"/>
        <v>893.63</v>
      </c>
      <c r="R4" s="292" t="s">
        <v>377</v>
      </c>
      <c r="S4" s="292" t="s">
        <v>377</v>
      </c>
      <c r="T4" s="292" t="s">
        <v>377</v>
      </c>
      <c r="U4" s="314">
        <f t="shared" ref="U4:X4" si="1">SUM(U$7:U$1048576)</f>
        <v>200245155.3</v>
      </c>
      <c r="V4" s="303">
        <f t="shared" si="1"/>
        <v>18022063.94</v>
      </c>
      <c r="W4" s="303">
        <f t="shared" si="1"/>
        <v>218267219.24</v>
      </c>
      <c r="X4" s="303">
        <f t="shared" si="1"/>
        <v>200245155.299358</v>
      </c>
      <c r="Y4" s="322">
        <f>IF(SUMIFS(X$7:X$1048576,H$7:H$1048576,"已售")=0,"*",ROUND(SUMIFS(X$7:X$1048576,H$7:H$1048576,"已售")/SUMIFS(P$7:P$1048576,H$7:H$1048576,"已售"),2))</f>
        <v>4572.73</v>
      </c>
      <c r="Z4" s="292" t="s">
        <v>377</v>
      </c>
    </row>
    <row r="5" s="281" customFormat="1" ht="18" customHeight="1" spans="1:26">
      <c r="A5" s="291" t="s">
        <v>378</v>
      </c>
      <c r="B5" s="292" t="s">
        <v>377</v>
      </c>
      <c r="C5" s="292" t="s">
        <v>377</v>
      </c>
      <c r="D5" s="292" t="s">
        <v>377</v>
      </c>
      <c r="E5" s="292" t="s">
        <v>377</v>
      </c>
      <c r="F5" s="292" t="s">
        <v>377</v>
      </c>
      <c r="G5" s="292" t="s">
        <v>377</v>
      </c>
      <c r="H5" s="292" t="s">
        <v>377</v>
      </c>
      <c r="I5" s="292" t="s">
        <v>377</v>
      </c>
      <c r="J5" s="292" t="s">
        <v>377</v>
      </c>
      <c r="K5" s="292" t="s">
        <v>377</v>
      </c>
      <c r="L5" s="303">
        <f>SUBTOTAL(9,L$7:L$1048576)</f>
        <v>218267219.3</v>
      </c>
      <c r="M5" s="292" t="s">
        <v>377</v>
      </c>
      <c r="N5" s="303">
        <f t="shared" ref="N5:Q5" si="2">SUBTOTAL(9,N$7:N$1048576)</f>
        <v>53048.6600000001</v>
      </c>
      <c r="O5" s="303">
        <f t="shared" si="2"/>
        <v>0</v>
      </c>
      <c r="P5" s="303">
        <f t="shared" si="2"/>
        <v>53048.6600000001</v>
      </c>
      <c r="Q5" s="303">
        <f t="shared" si="2"/>
        <v>893.63</v>
      </c>
      <c r="R5" s="292" t="s">
        <v>377</v>
      </c>
      <c r="S5" s="292" t="s">
        <v>377</v>
      </c>
      <c r="T5" s="292" t="s">
        <v>377</v>
      </c>
      <c r="U5" s="314">
        <f t="shared" ref="U5:X5" si="3">SUBTOTAL(9,U$7:U$1048576)</f>
        <v>200245155.3</v>
      </c>
      <c r="V5" s="303">
        <f t="shared" si="3"/>
        <v>18022063.94</v>
      </c>
      <c r="W5" s="303">
        <f t="shared" si="3"/>
        <v>218267219.24</v>
      </c>
      <c r="X5" s="303">
        <f t="shared" si="3"/>
        <v>200245155.299358</v>
      </c>
      <c r="Y5" s="322">
        <f>IF(AND(SUBTOTAL(3,K$7:K$1048576)=SUBTOTAL(3,P$7:P$1048576),SUBTOTAL(9,P$7:P$1048576)&lt;&gt;0),ROUND(SUBTOTAL(9,X$7:X$1048576)/SUBTOTAL(9,P$7:P$1048576),2),"*")</f>
        <v>3774.74</v>
      </c>
      <c r="Z5" s="292" t="s">
        <v>377</v>
      </c>
    </row>
    <row r="6" s="281" customFormat="1" ht="23.8" spans="1:26">
      <c r="A6" s="293" t="s">
        <v>379</v>
      </c>
      <c r="B6" s="557" t="s">
        <v>42</v>
      </c>
      <c r="C6" s="557" t="s">
        <v>45</v>
      </c>
      <c r="D6" s="557" t="s">
        <v>48</v>
      </c>
      <c r="E6" s="557" t="s">
        <v>92</v>
      </c>
      <c r="F6" s="557" t="s">
        <v>95</v>
      </c>
      <c r="G6" s="557" t="s">
        <v>99</v>
      </c>
      <c r="H6" s="557" t="s">
        <v>102</v>
      </c>
      <c r="I6" s="557" t="s">
        <v>105</v>
      </c>
      <c r="J6" s="557" t="s">
        <v>110</v>
      </c>
      <c r="K6" s="557" t="s">
        <v>113</v>
      </c>
      <c r="L6" s="556" t="s">
        <v>117</v>
      </c>
      <c r="M6" s="557" t="s">
        <v>120</v>
      </c>
      <c r="N6" s="556" t="s">
        <v>380</v>
      </c>
      <c r="O6" s="556" t="s">
        <v>290</v>
      </c>
      <c r="P6" s="556" t="s">
        <v>381</v>
      </c>
      <c r="Q6" s="556" t="s">
        <v>316</v>
      </c>
      <c r="R6" s="557" t="s">
        <v>317</v>
      </c>
      <c r="S6" s="557" t="s">
        <v>318</v>
      </c>
      <c r="T6" s="557" t="s">
        <v>320</v>
      </c>
      <c r="U6" s="562" t="s">
        <v>322</v>
      </c>
      <c r="V6" s="556" t="s">
        <v>382</v>
      </c>
      <c r="W6" s="556" t="s">
        <v>383</v>
      </c>
      <c r="X6" s="556" t="s">
        <v>384</v>
      </c>
      <c r="Y6" s="556" t="s">
        <v>385</v>
      </c>
      <c r="Z6" s="557" t="s">
        <v>386</v>
      </c>
    </row>
    <row r="7" s="282" customFormat="1" ht="23.8" spans="1:26">
      <c r="A7" s="295" t="s">
        <v>387</v>
      </c>
      <c r="B7" s="296" t="s">
        <v>92</v>
      </c>
      <c r="C7" s="296" t="s">
        <v>42</v>
      </c>
      <c r="D7" s="295" t="s">
        <v>42</v>
      </c>
      <c r="E7" s="296" t="s">
        <v>388</v>
      </c>
      <c r="F7" s="296" t="s">
        <v>156</v>
      </c>
      <c r="G7" s="295" t="s">
        <v>214</v>
      </c>
      <c r="H7" s="295" t="s">
        <v>389</v>
      </c>
      <c r="I7" s="295" t="s">
        <v>294</v>
      </c>
      <c r="J7" s="304">
        <v>20210010991</v>
      </c>
      <c r="K7" s="305" t="s">
        <v>390</v>
      </c>
      <c r="L7" s="306">
        <v>948000</v>
      </c>
      <c r="M7" s="295" t="s">
        <v>391</v>
      </c>
      <c r="N7" s="306">
        <v>125.22</v>
      </c>
      <c r="O7" s="306" t="s">
        <v>156</v>
      </c>
      <c r="P7" s="307">
        <v>125.22</v>
      </c>
      <c r="Q7" s="307" t="s">
        <v>156</v>
      </c>
      <c r="R7" s="298" t="s">
        <v>156</v>
      </c>
      <c r="S7" s="563" t="s">
        <v>392</v>
      </c>
      <c r="T7" s="315" t="s">
        <v>393</v>
      </c>
      <c r="U7" s="316">
        <v>869724.77</v>
      </c>
      <c r="V7" s="307">
        <f t="shared" ref="V7:V34" si="4">ROUND(U7*0.09,2)</f>
        <v>78275.23</v>
      </c>
      <c r="W7" s="307">
        <f t="shared" ref="W7:W70" si="5">SUM(U7)+SUM(V7)</f>
        <v>948000</v>
      </c>
      <c r="X7" s="307">
        <f t="shared" ref="X7:X34" si="6">U7</f>
        <v>869724.77</v>
      </c>
      <c r="Y7" s="307">
        <f t="shared" ref="Y7:Y70" si="7">IF(SUM(P7)=0,"",ROUND(SUM(X7)/SUM(P7),2))</f>
        <v>6945.57</v>
      </c>
      <c r="Z7" s="298"/>
    </row>
    <row r="8" s="282" customFormat="1" ht="23.8" spans="1:26">
      <c r="A8" s="295" t="s">
        <v>394</v>
      </c>
      <c r="B8" s="296" t="s">
        <v>92</v>
      </c>
      <c r="C8" s="296" t="s">
        <v>42</v>
      </c>
      <c r="D8" s="295" t="s">
        <v>42</v>
      </c>
      <c r="E8" s="296" t="s">
        <v>395</v>
      </c>
      <c r="F8" s="296" t="s">
        <v>156</v>
      </c>
      <c r="G8" s="295" t="s">
        <v>214</v>
      </c>
      <c r="H8" s="295" t="s">
        <v>389</v>
      </c>
      <c r="I8" s="295" t="s">
        <v>294</v>
      </c>
      <c r="J8" s="304">
        <v>20220001152</v>
      </c>
      <c r="K8" s="305" t="s">
        <v>396</v>
      </c>
      <c r="L8" s="306">
        <v>944358</v>
      </c>
      <c r="M8" s="295" t="s">
        <v>397</v>
      </c>
      <c r="N8" s="306">
        <v>124.75</v>
      </c>
      <c r="O8" s="306" t="s">
        <v>156</v>
      </c>
      <c r="P8" s="307">
        <v>124.75</v>
      </c>
      <c r="Q8" s="307" t="s">
        <v>156</v>
      </c>
      <c r="R8" s="298" t="s">
        <v>156</v>
      </c>
      <c r="S8" s="563" t="s">
        <v>392</v>
      </c>
      <c r="T8" s="317" t="s">
        <v>398</v>
      </c>
      <c r="U8" s="316">
        <v>866383.49</v>
      </c>
      <c r="V8" s="307">
        <f t="shared" si="4"/>
        <v>77974.51</v>
      </c>
      <c r="W8" s="307">
        <f t="shared" si="5"/>
        <v>944358</v>
      </c>
      <c r="X8" s="307">
        <f t="shared" si="6"/>
        <v>866383.49</v>
      </c>
      <c r="Y8" s="307">
        <f t="shared" si="7"/>
        <v>6944.96</v>
      </c>
      <c r="Z8" s="298"/>
    </row>
    <row r="9" s="282" customFormat="1" spans="1:26">
      <c r="A9" s="295" t="s">
        <v>399</v>
      </c>
      <c r="B9" s="296" t="s">
        <v>92</v>
      </c>
      <c r="C9" s="296" t="s">
        <v>42</v>
      </c>
      <c r="D9" s="295" t="s">
        <v>45</v>
      </c>
      <c r="E9" s="296" t="s">
        <v>400</v>
      </c>
      <c r="F9" s="296" t="s">
        <v>156</v>
      </c>
      <c r="G9" s="295" t="s">
        <v>214</v>
      </c>
      <c r="H9" s="295" t="s">
        <v>389</v>
      </c>
      <c r="I9" s="295" t="s">
        <v>294</v>
      </c>
      <c r="J9" s="304">
        <v>20200009209</v>
      </c>
      <c r="K9" s="305" t="s">
        <v>401</v>
      </c>
      <c r="L9" s="306">
        <v>551554</v>
      </c>
      <c r="M9" s="295" t="s">
        <v>402</v>
      </c>
      <c r="N9" s="306">
        <v>125.22</v>
      </c>
      <c r="O9" s="306" t="s">
        <v>156</v>
      </c>
      <c r="P9" s="307">
        <v>125.22</v>
      </c>
      <c r="Q9" s="307" t="s">
        <v>156</v>
      </c>
      <c r="R9" s="298" t="s">
        <v>156</v>
      </c>
      <c r="S9" s="563" t="s">
        <v>392</v>
      </c>
      <c r="T9" s="317" t="s">
        <v>403</v>
      </c>
      <c r="U9" s="316">
        <v>506012.84</v>
      </c>
      <c r="V9" s="307">
        <f t="shared" si="4"/>
        <v>45541.16</v>
      </c>
      <c r="W9" s="307">
        <f t="shared" si="5"/>
        <v>551554</v>
      </c>
      <c r="X9" s="307">
        <f t="shared" si="6"/>
        <v>506012.84</v>
      </c>
      <c r="Y9" s="307">
        <f t="shared" si="7"/>
        <v>4040.99</v>
      </c>
      <c r="Z9" s="298"/>
    </row>
    <row r="10" s="282" customFormat="1" ht="23.8" spans="1:26">
      <c r="A10" s="295" t="s">
        <v>404</v>
      </c>
      <c r="B10" s="296" t="s">
        <v>92</v>
      </c>
      <c r="C10" s="296" t="s">
        <v>42</v>
      </c>
      <c r="D10" s="295" t="s">
        <v>45</v>
      </c>
      <c r="E10" s="296" t="s">
        <v>405</v>
      </c>
      <c r="F10" s="296" t="s">
        <v>156</v>
      </c>
      <c r="G10" s="295" t="s">
        <v>214</v>
      </c>
      <c r="H10" s="295" t="s">
        <v>389</v>
      </c>
      <c r="I10" s="295" t="s">
        <v>294</v>
      </c>
      <c r="J10" s="304">
        <v>20200008024</v>
      </c>
      <c r="K10" s="305" t="s">
        <v>406</v>
      </c>
      <c r="L10" s="306">
        <v>546175</v>
      </c>
      <c r="M10" s="295" t="s">
        <v>407</v>
      </c>
      <c r="N10" s="306">
        <v>124.85</v>
      </c>
      <c r="O10" s="306" t="s">
        <v>156</v>
      </c>
      <c r="P10" s="307">
        <v>124.85</v>
      </c>
      <c r="Q10" s="307" t="s">
        <v>156</v>
      </c>
      <c r="R10" s="298" t="s">
        <v>156</v>
      </c>
      <c r="S10" s="563" t="s">
        <v>392</v>
      </c>
      <c r="T10" s="564" t="s">
        <v>408</v>
      </c>
      <c r="U10" s="316">
        <v>501077.98</v>
      </c>
      <c r="V10" s="307">
        <f t="shared" si="4"/>
        <v>45097.02</v>
      </c>
      <c r="W10" s="307">
        <f t="shared" si="5"/>
        <v>546175</v>
      </c>
      <c r="X10" s="307">
        <f t="shared" si="6"/>
        <v>501077.98</v>
      </c>
      <c r="Y10" s="307">
        <f t="shared" si="7"/>
        <v>4013.44</v>
      </c>
      <c r="Z10" s="298"/>
    </row>
    <row r="11" s="282" customFormat="1" spans="1:26">
      <c r="A11" s="295" t="s">
        <v>409</v>
      </c>
      <c r="B11" s="297" t="s">
        <v>92</v>
      </c>
      <c r="C11" s="297" t="s">
        <v>42</v>
      </c>
      <c r="D11" s="298" t="s">
        <v>48</v>
      </c>
      <c r="E11" s="297" t="s">
        <v>410</v>
      </c>
      <c r="F11" s="297" t="s">
        <v>156</v>
      </c>
      <c r="G11" s="295" t="s">
        <v>214</v>
      </c>
      <c r="H11" s="298" t="s">
        <v>389</v>
      </c>
      <c r="I11" s="295" t="s">
        <v>294</v>
      </c>
      <c r="J11" s="308">
        <v>20210000879</v>
      </c>
      <c r="K11" s="305" t="s">
        <v>411</v>
      </c>
      <c r="L11" s="307">
        <v>557149</v>
      </c>
      <c r="M11" s="298" t="s">
        <v>412</v>
      </c>
      <c r="N11" s="307">
        <v>125.22</v>
      </c>
      <c r="O11" s="307" t="s">
        <v>156</v>
      </c>
      <c r="P11" s="307">
        <v>125.22</v>
      </c>
      <c r="Q11" s="307" t="s">
        <v>156</v>
      </c>
      <c r="R11" s="298" t="s">
        <v>156</v>
      </c>
      <c r="S11" s="563" t="s">
        <v>392</v>
      </c>
      <c r="T11" s="564" t="s">
        <v>413</v>
      </c>
      <c r="U11" s="316">
        <v>511145.87</v>
      </c>
      <c r="V11" s="307">
        <f t="shared" si="4"/>
        <v>46003.13</v>
      </c>
      <c r="W11" s="307">
        <f t="shared" si="5"/>
        <v>557149</v>
      </c>
      <c r="X11" s="307">
        <f t="shared" si="6"/>
        <v>511145.87</v>
      </c>
      <c r="Y11" s="307">
        <f t="shared" si="7"/>
        <v>4081.98</v>
      </c>
      <c r="Z11" s="298"/>
    </row>
    <row r="12" s="282" customFormat="1" ht="23.8" spans="1:26">
      <c r="A12" s="295" t="s">
        <v>414</v>
      </c>
      <c r="B12" s="296" t="s">
        <v>92</v>
      </c>
      <c r="C12" s="296" t="s">
        <v>42</v>
      </c>
      <c r="D12" s="295" t="s">
        <v>48</v>
      </c>
      <c r="E12" s="296" t="s">
        <v>415</v>
      </c>
      <c r="F12" s="296" t="s">
        <v>156</v>
      </c>
      <c r="G12" s="295" t="s">
        <v>214</v>
      </c>
      <c r="H12" s="295" t="s">
        <v>389</v>
      </c>
      <c r="I12" s="295" t="s">
        <v>294</v>
      </c>
      <c r="J12" s="304">
        <v>20210001146</v>
      </c>
      <c r="K12" s="305" t="s">
        <v>416</v>
      </c>
      <c r="L12" s="306">
        <v>573686</v>
      </c>
      <c r="M12" s="295" t="s">
        <v>417</v>
      </c>
      <c r="N12" s="306">
        <v>124.85</v>
      </c>
      <c r="O12" s="306" t="s">
        <v>156</v>
      </c>
      <c r="P12" s="307">
        <v>124.85</v>
      </c>
      <c r="Q12" s="307" t="s">
        <v>156</v>
      </c>
      <c r="R12" s="298" t="s">
        <v>156</v>
      </c>
      <c r="S12" s="563" t="s">
        <v>392</v>
      </c>
      <c r="T12" s="564" t="s">
        <v>418</v>
      </c>
      <c r="U12" s="316">
        <v>526317.43</v>
      </c>
      <c r="V12" s="307">
        <f t="shared" si="4"/>
        <v>47368.57</v>
      </c>
      <c r="W12" s="307">
        <f t="shared" si="5"/>
        <v>573686</v>
      </c>
      <c r="X12" s="307">
        <f t="shared" si="6"/>
        <v>526317.43</v>
      </c>
      <c r="Y12" s="307">
        <f t="shared" si="7"/>
        <v>4215.6</v>
      </c>
      <c r="Z12" s="298"/>
    </row>
    <row r="13" s="282" customFormat="1" spans="1:26">
      <c r="A13" s="295" t="s">
        <v>419</v>
      </c>
      <c r="B13" s="296" t="s">
        <v>92</v>
      </c>
      <c r="C13" s="296" t="s">
        <v>42</v>
      </c>
      <c r="D13" s="295" t="s">
        <v>92</v>
      </c>
      <c r="E13" s="296" t="s">
        <v>420</v>
      </c>
      <c r="F13" s="296" t="s">
        <v>156</v>
      </c>
      <c r="G13" s="295" t="s">
        <v>214</v>
      </c>
      <c r="H13" s="295" t="s">
        <v>389</v>
      </c>
      <c r="I13" s="295" t="s">
        <v>294</v>
      </c>
      <c r="J13" s="304">
        <v>20200009163</v>
      </c>
      <c r="K13" s="305" t="s">
        <v>421</v>
      </c>
      <c r="L13" s="306">
        <v>563996</v>
      </c>
      <c r="M13" s="295" t="s">
        <v>422</v>
      </c>
      <c r="N13" s="306">
        <v>125.22</v>
      </c>
      <c r="O13" s="306" t="s">
        <v>156</v>
      </c>
      <c r="P13" s="307">
        <v>125.22</v>
      </c>
      <c r="Q13" s="307" t="s">
        <v>156</v>
      </c>
      <c r="R13" s="298" t="s">
        <v>156</v>
      </c>
      <c r="S13" s="563" t="s">
        <v>392</v>
      </c>
      <c r="T13" s="564" t="s">
        <v>423</v>
      </c>
      <c r="U13" s="316">
        <v>517427.52</v>
      </c>
      <c r="V13" s="307">
        <f t="shared" si="4"/>
        <v>46568.48</v>
      </c>
      <c r="W13" s="307">
        <f t="shared" si="5"/>
        <v>563996</v>
      </c>
      <c r="X13" s="307">
        <f t="shared" si="6"/>
        <v>517427.52</v>
      </c>
      <c r="Y13" s="307">
        <f t="shared" si="7"/>
        <v>4132.15</v>
      </c>
      <c r="Z13" s="298"/>
    </row>
    <row r="14" s="282" customFormat="1" ht="15.05" spans="1:26">
      <c r="A14" s="295" t="s">
        <v>424</v>
      </c>
      <c r="B14" s="296" t="s">
        <v>92</v>
      </c>
      <c r="C14" s="296" t="s">
        <v>42</v>
      </c>
      <c r="D14" s="295" t="s">
        <v>92</v>
      </c>
      <c r="E14" s="296" t="s">
        <v>425</v>
      </c>
      <c r="F14" s="296" t="s">
        <v>156</v>
      </c>
      <c r="G14" s="295" t="s">
        <v>214</v>
      </c>
      <c r="H14" s="295" t="s">
        <v>389</v>
      </c>
      <c r="I14" s="295" t="s">
        <v>294</v>
      </c>
      <c r="J14" s="304">
        <v>20210000686</v>
      </c>
      <c r="K14" s="309" t="s">
        <v>426</v>
      </c>
      <c r="L14" s="306">
        <v>561580</v>
      </c>
      <c r="M14" s="295" t="s">
        <v>427</v>
      </c>
      <c r="N14" s="306">
        <v>124.85</v>
      </c>
      <c r="O14" s="306" t="s">
        <v>156</v>
      </c>
      <c r="P14" s="307">
        <v>124.85</v>
      </c>
      <c r="Q14" s="307" t="s">
        <v>156</v>
      </c>
      <c r="R14" s="298" t="s">
        <v>156</v>
      </c>
      <c r="S14" s="563" t="s">
        <v>392</v>
      </c>
      <c r="T14" s="318" t="s">
        <v>428</v>
      </c>
      <c r="U14" s="316">
        <v>515211.01</v>
      </c>
      <c r="V14" s="307">
        <f t="shared" si="4"/>
        <v>46368.99</v>
      </c>
      <c r="W14" s="307">
        <f t="shared" si="5"/>
        <v>561580</v>
      </c>
      <c r="X14" s="307">
        <f t="shared" si="6"/>
        <v>515211.01</v>
      </c>
      <c r="Y14" s="307">
        <f t="shared" si="7"/>
        <v>4126.64</v>
      </c>
      <c r="Z14" s="298"/>
    </row>
    <row r="15" s="282" customFormat="1" ht="15.05" spans="1:26">
      <c r="A15" s="295" t="s">
        <v>429</v>
      </c>
      <c r="B15" s="296" t="s">
        <v>92</v>
      </c>
      <c r="C15" s="296" t="s">
        <v>42</v>
      </c>
      <c r="D15" s="295" t="s">
        <v>95</v>
      </c>
      <c r="E15" s="296" t="s">
        <v>430</v>
      </c>
      <c r="F15" s="296" t="s">
        <v>156</v>
      </c>
      <c r="G15" s="295" t="s">
        <v>214</v>
      </c>
      <c r="H15" s="295" t="s">
        <v>389</v>
      </c>
      <c r="I15" s="295" t="s">
        <v>294</v>
      </c>
      <c r="J15" s="304">
        <v>20200009604</v>
      </c>
      <c r="K15" s="309" t="s">
        <v>431</v>
      </c>
      <c r="L15" s="306">
        <v>567092</v>
      </c>
      <c r="M15" s="295" t="s">
        <v>432</v>
      </c>
      <c r="N15" s="306">
        <v>125.22</v>
      </c>
      <c r="O15" s="306" t="s">
        <v>156</v>
      </c>
      <c r="P15" s="307">
        <v>125.22</v>
      </c>
      <c r="Q15" s="307" t="s">
        <v>156</v>
      </c>
      <c r="R15" s="298" t="s">
        <v>156</v>
      </c>
      <c r="S15" s="563" t="s">
        <v>392</v>
      </c>
      <c r="T15" s="318" t="s">
        <v>433</v>
      </c>
      <c r="U15" s="316">
        <v>520267.89</v>
      </c>
      <c r="V15" s="307">
        <f t="shared" si="4"/>
        <v>46824.11</v>
      </c>
      <c r="W15" s="307">
        <f t="shared" si="5"/>
        <v>567092</v>
      </c>
      <c r="X15" s="307">
        <f t="shared" si="6"/>
        <v>520267.89</v>
      </c>
      <c r="Y15" s="307">
        <f t="shared" si="7"/>
        <v>4154.83</v>
      </c>
      <c r="Z15" s="298"/>
    </row>
    <row r="16" s="282" customFormat="1" ht="15.05" spans="1:26">
      <c r="A16" s="295" t="s">
        <v>434</v>
      </c>
      <c r="B16" s="296" t="s">
        <v>92</v>
      </c>
      <c r="C16" s="296" t="s">
        <v>42</v>
      </c>
      <c r="D16" s="295" t="s">
        <v>95</v>
      </c>
      <c r="E16" s="296" t="s">
        <v>435</v>
      </c>
      <c r="F16" s="296" t="s">
        <v>156</v>
      </c>
      <c r="G16" s="295" t="s">
        <v>214</v>
      </c>
      <c r="H16" s="295" t="s">
        <v>389</v>
      </c>
      <c r="I16" s="295" t="s">
        <v>294</v>
      </c>
      <c r="J16" s="304">
        <v>20200007727</v>
      </c>
      <c r="K16" s="309" t="s">
        <v>436</v>
      </c>
      <c r="L16" s="306">
        <v>564658</v>
      </c>
      <c r="M16" s="295" t="s">
        <v>437</v>
      </c>
      <c r="N16" s="306">
        <v>124.85</v>
      </c>
      <c r="O16" s="306" t="s">
        <v>156</v>
      </c>
      <c r="P16" s="307">
        <v>124.85</v>
      </c>
      <c r="Q16" s="307" t="s">
        <v>156</v>
      </c>
      <c r="R16" s="298" t="s">
        <v>156</v>
      </c>
      <c r="S16" s="563" t="s">
        <v>392</v>
      </c>
      <c r="T16" s="318" t="s">
        <v>438</v>
      </c>
      <c r="U16" s="316">
        <v>518034.86</v>
      </c>
      <c r="V16" s="307">
        <f t="shared" si="4"/>
        <v>46623.14</v>
      </c>
      <c r="W16" s="307">
        <f t="shared" si="5"/>
        <v>564658</v>
      </c>
      <c r="X16" s="307">
        <f t="shared" si="6"/>
        <v>518034.86</v>
      </c>
      <c r="Y16" s="307">
        <f t="shared" si="7"/>
        <v>4149.26</v>
      </c>
      <c r="Z16" s="298"/>
    </row>
    <row r="17" s="282" customFormat="1" ht="15.05" spans="1:26">
      <c r="A17" s="295" t="s">
        <v>439</v>
      </c>
      <c r="B17" s="296" t="s">
        <v>92</v>
      </c>
      <c r="C17" s="296" t="s">
        <v>42</v>
      </c>
      <c r="D17" s="295" t="s">
        <v>99</v>
      </c>
      <c r="E17" s="296" t="s">
        <v>440</v>
      </c>
      <c r="F17" s="296" t="s">
        <v>156</v>
      </c>
      <c r="G17" s="295" t="s">
        <v>214</v>
      </c>
      <c r="H17" s="295" t="s">
        <v>389</v>
      </c>
      <c r="I17" s="295" t="s">
        <v>294</v>
      </c>
      <c r="J17" s="304">
        <v>20200008028</v>
      </c>
      <c r="K17" s="309" t="s">
        <v>406</v>
      </c>
      <c r="L17" s="306">
        <v>575812</v>
      </c>
      <c r="M17" s="295" t="s">
        <v>441</v>
      </c>
      <c r="N17" s="306">
        <v>125.22</v>
      </c>
      <c r="O17" s="306" t="s">
        <v>156</v>
      </c>
      <c r="P17" s="307">
        <v>125.22</v>
      </c>
      <c r="Q17" s="307" t="s">
        <v>156</v>
      </c>
      <c r="R17" s="298" t="s">
        <v>156</v>
      </c>
      <c r="S17" s="563" t="s">
        <v>392</v>
      </c>
      <c r="T17" s="318" t="s">
        <v>442</v>
      </c>
      <c r="U17" s="316">
        <v>528267.89</v>
      </c>
      <c r="V17" s="307">
        <f t="shared" si="4"/>
        <v>47544.11</v>
      </c>
      <c r="W17" s="307">
        <f t="shared" si="5"/>
        <v>575812</v>
      </c>
      <c r="X17" s="307">
        <f t="shared" si="6"/>
        <v>528267.89</v>
      </c>
      <c r="Y17" s="307">
        <f t="shared" si="7"/>
        <v>4218.72</v>
      </c>
      <c r="Z17" s="298"/>
    </row>
    <row r="18" s="282" customFormat="1" ht="15.05" spans="1:26">
      <c r="A18" s="295" t="s">
        <v>443</v>
      </c>
      <c r="B18" s="296" t="s">
        <v>92</v>
      </c>
      <c r="C18" s="296" t="s">
        <v>42</v>
      </c>
      <c r="D18" s="295" t="s">
        <v>99</v>
      </c>
      <c r="E18" s="296" t="s">
        <v>444</v>
      </c>
      <c r="F18" s="296" t="s">
        <v>156</v>
      </c>
      <c r="G18" s="295" t="s">
        <v>214</v>
      </c>
      <c r="H18" s="295" t="s">
        <v>389</v>
      </c>
      <c r="I18" s="295" t="s">
        <v>294</v>
      </c>
      <c r="J18" s="304">
        <v>20200008032</v>
      </c>
      <c r="K18" s="309" t="s">
        <v>406</v>
      </c>
      <c r="L18" s="306">
        <v>573361</v>
      </c>
      <c r="M18" s="295" t="s">
        <v>445</v>
      </c>
      <c r="N18" s="306">
        <v>124.85</v>
      </c>
      <c r="O18" s="306" t="s">
        <v>156</v>
      </c>
      <c r="P18" s="307">
        <v>124.85</v>
      </c>
      <c r="Q18" s="307" t="s">
        <v>156</v>
      </c>
      <c r="R18" s="298" t="s">
        <v>156</v>
      </c>
      <c r="S18" s="563" t="s">
        <v>392</v>
      </c>
      <c r="T18" s="318" t="s">
        <v>446</v>
      </c>
      <c r="U18" s="316">
        <v>526019.27</v>
      </c>
      <c r="V18" s="307">
        <f t="shared" si="4"/>
        <v>47341.73</v>
      </c>
      <c r="W18" s="307">
        <f t="shared" si="5"/>
        <v>573361</v>
      </c>
      <c r="X18" s="307">
        <f t="shared" si="6"/>
        <v>526019.27</v>
      </c>
      <c r="Y18" s="307">
        <f t="shared" si="7"/>
        <v>4213.21</v>
      </c>
      <c r="Z18" s="298"/>
    </row>
    <row r="19" s="282" customFormat="1" ht="15.05" spans="1:26">
      <c r="A19" s="295" t="s">
        <v>447</v>
      </c>
      <c r="B19" s="296" t="s">
        <v>92</v>
      </c>
      <c r="C19" s="296" t="s">
        <v>42</v>
      </c>
      <c r="D19" s="295" t="s">
        <v>102</v>
      </c>
      <c r="E19" s="296" t="s">
        <v>448</v>
      </c>
      <c r="F19" s="296" t="s">
        <v>156</v>
      </c>
      <c r="G19" s="295" t="s">
        <v>215</v>
      </c>
      <c r="H19" s="295" t="s">
        <v>389</v>
      </c>
      <c r="I19" s="295" t="s">
        <v>294</v>
      </c>
      <c r="J19" s="304">
        <v>20200009595</v>
      </c>
      <c r="K19" s="309" t="s">
        <v>431</v>
      </c>
      <c r="L19" s="306">
        <v>846020</v>
      </c>
      <c r="M19" s="295" t="s">
        <v>449</v>
      </c>
      <c r="N19" s="306">
        <v>185.95</v>
      </c>
      <c r="O19" s="306" t="s">
        <v>156</v>
      </c>
      <c r="P19" s="307">
        <v>185.95</v>
      </c>
      <c r="Q19" s="307" t="s">
        <v>156</v>
      </c>
      <c r="R19" s="298" t="s">
        <v>156</v>
      </c>
      <c r="S19" s="563" t="s">
        <v>392</v>
      </c>
      <c r="T19" s="318" t="s">
        <v>450</v>
      </c>
      <c r="U19" s="316">
        <v>776165.14</v>
      </c>
      <c r="V19" s="307">
        <f t="shared" si="4"/>
        <v>69854.86</v>
      </c>
      <c r="W19" s="307">
        <f t="shared" si="5"/>
        <v>846020</v>
      </c>
      <c r="X19" s="307">
        <f t="shared" si="6"/>
        <v>776165.14</v>
      </c>
      <c r="Y19" s="307">
        <f t="shared" si="7"/>
        <v>4174.05</v>
      </c>
      <c r="Z19" s="298"/>
    </row>
    <row r="20" s="282" customFormat="1" ht="23.8" spans="1:26">
      <c r="A20" s="295" t="s">
        <v>451</v>
      </c>
      <c r="B20" s="296" t="s">
        <v>92</v>
      </c>
      <c r="C20" s="296" t="s">
        <v>42</v>
      </c>
      <c r="D20" s="295" t="s">
        <v>102</v>
      </c>
      <c r="E20" s="296" t="s">
        <v>452</v>
      </c>
      <c r="F20" s="296" t="s">
        <v>156</v>
      </c>
      <c r="G20" s="295" t="s">
        <v>215</v>
      </c>
      <c r="H20" s="295" t="s">
        <v>389</v>
      </c>
      <c r="I20" s="295" t="s">
        <v>294</v>
      </c>
      <c r="J20" s="304">
        <v>20200008550</v>
      </c>
      <c r="K20" s="309" t="s">
        <v>453</v>
      </c>
      <c r="L20" s="306">
        <v>838585</v>
      </c>
      <c r="M20" s="295" t="s">
        <v>454</v>
      </c>
      <c r="N20" s="306">
        <v>185.58</v>
      </c>
      <c r="O20" s="306" t="s">
        <v>156</v>
      </c>
      <c r="P20" s="307">
        <v>185.58</v>
      </c>
      <c r="Q20" s="307" t="s">
        <v>156</v>
      </c>
      <c r="R20" s="298" t="s">
        <v>156</v>
      </c>
      <c r="S20" s="563" t="s">
        <v>392</v>
      </c>
      <c r="T20" s="318" t="s">
        <v>455</v>
      </c>
      <c r="U20" s="316">
        <v>769344.04</v>
      </c>
      <c r="V20" s="307">
        <f t="shared" si="4"/>
        <v>69240.96</v>
      </c>
      <c r="W20" s="307">
        <f t="shared" si="5"/>
        <v>838585</v>
      </c>
      <c r="X20" s="307">
        <f t="shared" si="6"/>
        <v>769344.04</v>
      </c>
      <c r="Y20" s="307">
        <f t="shared" si="7"/>
        <v>4145.62</v>
      </c>
      <c r="Z20" s="298"/>
    </row>
    <row r="21" s="282" customFormat="1" ht="15.05" spans="1:26">
      <c r="A21" s="295" t="s">
        <v>456</v>
      </c>
      <c r="B21" s="296" t="s">
        <v>92</v>
      </c>
      <c r="C21" s="296" t="s">
        <v>45</v>
      </c>
      <c r="D21" s="295" t="s">
        <v>42</v>
      </c>
      <c r="E21" s="296" t="s">
        <v>388</v>
      </c>
      <c r="F21" s="296" t="s">
        <v>156</v>
      </c>
      <c r="G21" s="295" t="s">
        <v>214</v>
      </c>
      <c r="H21" s="295" t="s">
        <v>389</v>
      </c>
      <c r="I21" s="295" t="s">
        <v>294</v>
      </c>
      <c r="J21" s="304">
        <v>20210007636</v>
      </c>
      <c r="K21" s="309" t="s">
        <v>457</v>
      </c>
      <c r="L21" s="306">
        <v>942165</v>
      </c>
      <c r="M21" s="295" t="s">
        <v>458</v>
      </c>
      <c r="N21" s="306">
        <v>124.79</v>
      </c>
      <c r="O21" s="306" t="s">
        <v>156</v>
      </c>
      <c r="P21" s="307">
        <v>124.79</v>
      </c>
      <c r="Q21" s="307" t="s">
        <v>156</v>
      </c>
      <c r="R21" s="298" t="s">
        <v>156</v>
      </c>
      <c r="S21" s="563" t="s">
        <v>392</v>
      </c>
      <c r="T21" s="318" t="s">
        <v>459</v>
      </c>
      <c r="U21" s="316">
        <v>864371.56</v>
      </c>
      <c r="V21" s="307">
        <f t="shared" si="4"/>
        <v>77793.44</v>
      </c>
      <c r="W21" s="307">
        <f t="shared" si="5"/>
        <v>942165</v>
      </c>
      <c r="X21" s="307">
        <f t="shared" si="6"/>
        <v>864371.56</v>
      </c>
      <c r="Y21" s="307">
        <f t="shared" si="7"/>
        <v>6926.61</v>
      </c>
      <c r="Z21" s="298"/>
    </row>
    <row r="22" s="282" customFormat="1" ht="15.05" spans="1:26">
      <c r="A22" s="295" t="s">
        <v>460</v>
      </c>
      <c r="B22" s="296" t="s">
        <v>92</v>
      </c>
      <c r="C22" s="296" t="s">
        <v>45</v>
      </c>
      <c r="D22" s="295" t="s">
        <v>42</v>
      </c>
      <c r="E22" s="296" t="s">
        <v>395</v>
      </c>
      <c r="F22" s="296" t="s">
        <v>156</v>
      </c>
      <c r="G22" s="295" t="s">
        <v>214</v>
      </c>
      <c r="H22" s="295" t="s">
        <v>389</v>
      </c>
      <c r="I22" s="295" t="s">
        <v>294</v>
      </c>
      <c r="J22" s="304">
        <v>20210011340</v>
      </c>
      <c r="K22" s="309" t="s">
        <v>461</v>
      </c>
      <c r="L22" s="306">
        <v>948000</v>
      </c>
      <c r="M22" s="295" t="s">
        <v>462</v>
      </c>
      <c r="N22" s="306">
        <v>125.19</v>
      </c>
      <c r="O22" s="306" t="s">
        <v>156</v>
      </c>
      <c r="P22" s="307">
        <v>125.19</v>
      </c>
      <c r="Q22" s="307" t="s">
        <v>156</v>
      </c>
      <c r="R22" s="298" t="s">
        <v>156</v>
      </c>
      <c r="S22" s="563" t="s">
        <v>392</v>
      </c>
      <c r="T22" s="318" t="s">
        <v>463</v>
      </c>
      <c r="U22" s="316">
        <v>869724.77</v>
      </c>
      <c r="V22" s="307">
        <f t="shared" si="4"/>
        <v>78275.23</v>
      </c>
      <c r="W22" s="307">
        <f t="shared" si="5"/>
        <v>948000</v>
      </c>
      <c r="X22" s="307">
        <f t="shared" si="6"/>
        <v>869724.77</v>
      </c>
      <c r="Y22" s="307">
        <f t="shared" si="7"/>
        <v>6947.24</v>
      </c>
      <c r="Z22" s="298"/>
    </row>
    <row r="23" s="282" customFormat="1" ht="23.8" spans="1:26">
      <c r="A23" s="295" t="s">
        <v>464</v>
      </c>
      <c r="B23" s="296" t="s">
        <v>92</v>
      </c>
      <c r="C23" s="296" t="s">
        <v>45</v>
      </c>
      <c r="D23" s="295" t="s">
        <v>45</v>
      </c>
      <c r="E23" s="296" t="s">
        <v>400</v>
      </c>
      <c r="F23" s="296" t="s">
        <v>156</v>
      </c>
      <c r="G23" s="295" t="s">
        <v>214</v>
      </c>
      <c r="H23" s="295" t="s">
        <v>389</v>
      </c>
      <c r="I23" s="295" t="s">
        <v>294</v>
      </c>
      <c r="J23" s="304">
        <v>20200008091</v>
      </c>
      <c r="K23" s="309" t="s">
        <v>465</v>
      </c>
      <c r="L23" s="306">
        <v>545911</v>
      </c>
      <c r="M23" s="295" t="s">
        <v>466</v>
      </c>
      <c r="N23" s="306">
        <v>124.79</v>
      </c>
      <c r="O23" s="306" t="s">
        <v>156</v>
      </c>
      <c r="P23" s="307">
        <v>124.79</v>
      </c>
      <c r="Q23" s="307" t="s">
        <v>156</v>
      </c>
      <c r="R23" s="298" t="s">
        <v>156</v>
      </c>
      <c r="S23" s="563" t="s">
        <v>392</v>
      </c>
      <c r="T23" s="318" t="s">
        <v>467</v>
      </c>
      <c r="U23" s="316">
        <v>500835.78</v>
      </c>
      <c r="V23" s="307">
        <f t="shared" si="4"/>
        <v>45075.22</v>
      </c>
      <c r="W23" s="307">
        <f t="shared" si="5"/>
        <v>545911</v>
      </c>
      <c r="X23" s="307">
        <f t="shared" si="6"/>
        <v>500835.78</v>
      </c>
      <c r="Y23" s="307">
        <f t="shared" si="7"/>
        <v>4013.43</v>
      </c>
      <c r="Z23" s="298"/>
    </row>
    <row r="24" s="282" customFormat="1" ht="15.05" spans="1:26">
      <c r="A24" s="295" t="s">
        <v>468</v>
      </c>
      <c r="B24" s="296" t="s">
        <v>92</v>
      </c>
      <c r="C24" s="296" t="s">
        <v>45</v>
      </c>
      <c r="D24" s="295" t="s">
        <v>45</v>
      </c>
      <c r="E24" s="296" t="s">
        <v>405</v>
      </c>
      <c r="F24" s="296" t="s">
        <v>156</v>
      </c>
      <c r="G24" s="295" t="s">
        <v>214</v>
      </c>
      <c r="H24" s="295" t="s">
        <v>389</v>
      </c>
      <c r="I24" s="295" t="s">
        <v>294</v>
      </c>
      <c r="J24" s="304">
        <v>20210001656</v>
      </c>
      <c r="K24" s="309" t="s">
        <v>469</v>
      </c>
      <c r="L24" s="306">
        <v>548605</v>
      </c>
      <c r="M24" s="295" t="s">
        <v>470</v>
      </c>
      <c r="N24" s="306">
        <v>125.29</v>
      </c>
      <c r="O24" s="306" t="s">
        <v>156</v>
      </c>
      <c r="P24" s="307">
        <v>125.29</v>
      </c>
      <c r="Q24" s="307" t="s">
        <v>156</v>
      </c>
      <c r="R24" s="298" t="s">
        <v>156</v>
      </c>
      <c r="S24" s="563" t="s">
        <v>392</v>
      </c>
      <c r="T24" s="318" t="s">
        <v>471</v>
      </c>
      <c r="U24" s="316">
        <v>503307.34</v>
      </c>
      <c r="V24" s="307">
        <f t="shared" si="4"/>
        <v>45297.66</v>
      </c>
      <c r="W24" s="307">
        <f t="shared" si="5"/>
        <v>548605</v>
      </c>
      <c r="X24" s="307">
        <f t="shared" si="6"/>
        <v>503307.34</v>
      </c>
      <c r="Y24" s="307">
        <f t="shared" si="7"/>
        <v>4017.14</v>
      </c>
      <c r="Z24" s="298"/>
    </row>
    <row r="25" s="282" customFormat="1" ht="15.05" spans="1:26">
      <c r="A25" s="295" t="s">
        <v>472</v>
      </c>
      <c r="B25" s="296" t="s">
        <v>92</v>
      </c>
      <c r="C25" s="296" t="s">
        <v>45</v>
      </c>
      <c r="D25" s="295" t="s">
        <v>48</v>
      </c>
      <c r="E25" s="296" t="s">
        <v>410</v>
      </c>
      <c r="F25" s="296" t="s">
        <v>156</v>
      </c>
      <c r="G25" s="295" t="s">
        <v>214</v>
      </c>
      <c r="H25" s="295" t="s">
        <v>389</v>
      </c>
      <c r="I25" s="295" t="s">
        <v>294</v>
      </c>
      <c r="J25" s="304">
        <v>20200012729</v>
      </c>
      <c r="K25" s="309" t="s">
        <v>473</v>
      </c>
      <c r="L25" s="306">
        <v>555236</v>
      </c>
      <c r="M25" s="295" t="s">
        <v>474</v>
      </c>
      <c r="N25" s="306">
        <v>124.79</v>
      </c>
      <c r="O25" s="306" t="s">
        <v>156</v>
      </c>
      <c r="P25" s="307">
        <v>124.79</v>
      </c>
      <c r="Q25" s="307" t="s">
        <v>156</v>
      </c>
      <c r="R25" s="298" t="s">
        <v>156</v>
      </c>
      <c r="S25" s="563" t="s">
        <v>392</v>
      </c>
      <c r="T25" s="318" t="s">
        <v>475</v>
      </c>
      <c r="U25" s="316">
        <v>509390.83</v>
      </c>
      <c r="V25" s="307">
        <f t="shared" si="4"/>
        <v>45845.17</v>
      </c>
      <c r="W25" s="307">
        <f t="shared" si="5"/>
        <v>555236</v>
      </c>
      <c r="X25" s="307">
        <f t="shared" si="6"/>
        <v>509390.83</v>
      </c>
      <c r="Y25" s="307">
        <f t="shared" si="7"/>
        <v>4081.98</v>
      </c>
      <c r="Z25" s="298"/>
    </row>
    <row r="26" s="282" customFormat="1" ht="15.05" spans="1:26">
      <c r="A26" s="295" t="s">
        <v>476</v>
      </c>
      <c r="B26" s="297" t="s">
        <v>92</v>
      </c>
      <c r="C26" s="297" t="s">
        <v>45</v>
      </c>
      <c r="D26" s="298" t="s">
        <v>48</v>
      </c>
      <c r="E26" s="297" t="s">
        <v>415</v>
      </c>
      <c r="F26" s="297" t="s">
        <v>156</v>
      </c>
      <c r="G26" s="295" t="s">
        <v>214</v>
      </c>
      <c r="H26" s="298" t="s">
        <v>389</v>
      </c>
      <c r="I26" s="295" t="s">
        <v>294</v>
      </c>
      <c r="J26" s="308">
        <v>20200008040</v>
      </c>
      <c r="K26" s="305" t="s">
        <v>406</v>
      </c>
      <c r="L26" s="307">
        <v>556207</v>
      </c>
      <c r="M26" s="298" t="s">
        <v>477</v>
      </c>
      <c r="N26" s="307">
        <v>125.29</v>
      </c>
      <c r="O26" s="307" t="s">
        <v>156</v>
      </c>
      <c r="P26" s="307">
        <v>125.29</v>
      </c>
      <c r="Q26" s="307" t="s">
        <v>156</v>
      </c>
      <c r="R26" s="298" t="s">
        <v>156</v>
      </c>
      <c r="S26" s="563" t="s">
        <v>392</v>
      </c>
      <c r="T26" s="318" t="s">
        <v>478</v>
      </c>
      <c r="U26" s="316">
        <v>510281.65</v>
      </c>
      <c r="V26" s="307">
        <f t="shared" si="4"/>
        <v>45925.35</v>
      </c>
      <c r="W26" s="307">
        <f t="shared" si="5"/>
        <v>556207</v>
      </c>
      <c r="X26" s="307">
        <f t="shared" si="6"/>
        <v>510281.65</v>
      </c>
      <c r="Y26" s="307">
        <f t="shared" si="7"/>
        <v>4072.8</v>
      </c>
      <c r="Z26" s="298"/>
    </row>
    <row r="27" s="282" customFormat="1" ht="15.05" spans="1:26">
      <c r="A27" s="295" t="s">
        <v>479</v>
      </c>
      <c r="B27" s="296" t="s">
        <v>92</v>
      </c>
      <c r="C27" s="296" t="s">
        <v>45</v>
      </c>
      <c r="D27" s="295" t="s">
        <v>92</v>
      </c>
      <c r="E27" s="296" t="s">
        <v>420</v>
      </c>
      <c r="F27" s="296" t="s">
        <v>156</v>
      </c>
      <c r="G27" s="295" t="s">
        <v>214</v>
      </c>
      <c r="H27" s="295" t="s">
        <v>389</v>
      </c>
      <c r="I27" s="295" t="s">
        <v>294</v>
      </c>
      <c r="J27" s="304">
        <v>20200008113</v>
      </c>
      <c r="K27" s="309" t="s">
        <v>480</v>
      </c>
      <c r="L27" s="306">
        <v>561310</v>
      </c>
      <c r="M27" s="295" t="s">
        <v>481</v>
      </c>
      <c r="N27" s="306">
        <v>124.79</v>
      </c>
      <c r="O27" s="306" t="s">
        <v>156</v>
      </c>
      <c r="P27" s="307">
        <v>124.79</v>
      </c>
      <c r="Q27" s="307" t="s">
        <v>156</v>
      </c>
      <c r="R27" s="298" t="s">
        <v>156</v>
      </c>
      <c r="S27" s="563" t="s">
        <v>392</v>
      </c>
      <c r="T27" s="318" t="s">
        <v>482</v>
      </c>
      <c r="U27" s="316">
        <v>514963.3</v>
      </c>
      <c r="V27" s="307">
        <f t="shared" si="4"/>
        <v>46346.7</v>
      </c>
      <c r="W27" s="307">
        <f t="shared" si="5"/>
        <v>561310</v>
      </c>
      <c r="X27" s="307">
        <f t="shared" si="6"/>
        <v>514963.3</v>
      </c>
      <c r="Y27" s="307">
        <f t="shared" si="7"/>
        <v>4126.64</v>
      </c>
      <c r="Z27" s="298"/>
    </row>
    <row r="28" s="282" customFormat="1" ht="15.05" spans="1:26">
      <c r="A28" s="295" t="s">
        <v>483</v>
      </c>
      <c r="B28" s="297" t="s">
        <v>92</v>
      </c>
      <c r="C28" s="297" t="s">
        <v>45</v>
      </c>
      <c r="D28" s="298" t="s">
        <v>92</v>
      </c>
      <c r="E28" s="297" t="s">
        <v>425</v>
      </c>
      <c r="F28" s="297" t="s">
        <v>156</v>
      </c>
      <c r="G28" s="295" t="s">
        <v>214</v>
      </c>
      <c r="H28" s="298" t="s">
        <v>389</v>
      </c>
      <c r="I28" s="295" t="s">
        <v>294</v>
      </c>
      <c r="J28" s="308">
        <v>20200011981</v>
      </c>
      <c r="K28" s="305" t="s">
        <v>484</v>
      </c>
      <c r="L28" s="307">
        <v>564186</v>
      </c>
      <c r="M28" s="298" t="s">
        <v>485</v>
      </c>
      <c r="N28" s="307">
        <v>125.29</v>
      </c>
      <c r="O28" s="307" t="s">
        <v>156</v>
      </c>
      <c r="P28" s="307">
        <v>125.29</v>
      </c>
      <c r="Q28" s="307" t="s">
        <v>156</v>
      </c>
      <c r="R28" s="298" t="s">
        <v>156</v>
      </c>
      <c r="S28" s="563" t="s">
        <v>392</v>
      </c>
      <c r="T28" s="318" t="s">
        <v>486</v>
      </c>
      <c r="U28" s="316">
        <v>517601.83</v>
      </c>
      <c r="V28" s="307">
        <f t="shared" si="4"/>
        <v>46584.16</v>
      </c>
      <c r="W28" s="307">
        <f t="shared" si="5"/>
        <v>564185.99</v>
      </c>
      <c r="X28" s="307">
        <f t="shared" si="6"/>
        <v>517601.83</v>
      </c>
      <c r="Y28" s="307">
        <f t="shared" si="7"/>
        <v>4131.23</v>
      </c>
      <c r="Z28" s="298"/>
    </row>
    <row r="29" s="282" customFormat="1" ht="15.05" spans="1:26">
      <c r="A29" s="295" t="s">
        <v>487</v>
      </c>
      <c r="B29" s="296" t="s">
        <v>92</v>
      </c>
      <c r="C29" s="296" t="s">
        <v>45</v>
      </c>
      <c r="D29" s="295" t="s">
        <v>95</v>
      </c>
      <c r="E29" s="296" t="s">
        <v>430</v>
      </c>
      <c r="F29" s="296" t="s">
        <v>156</v>
      </c>
      <c r="G29" s="295" t="s">
        <v>214</v>
      </c>
      <c r="H29" s="295" t="s">
        <v>389</v>
      </c>
      <c r="I29" s="295" t="s">
        <v>294</v>
      </c>
      <c r="J29" s="304">
        <v>20200009244</v>
      </c>
      <c r="K29" s="309" t="s">
        <v>488</v>
      </c>
      <c r="L29" s="306">
        <v>564385</v>
      </c>
      <c r="M29" s="295" t="s">
        <v>489</v>
      </c>
      <c r="N29" s="306">
        <v>124.79</v>
      </c>
      <c r="O29" s="306" t="s">
        <v>156</v>
      </c>
      <c r="P29" s="307">
        <v>124.79</v>
      </c>
      <c r="Q29" s="307" t="s">
        <v>156</v>
      </c>
      <c r="R29" s="298" t="s">
        <v>156</v>
      </c>
      <c r="S29" s="563" t="s">
        <v>392</v>
      </c>
      <c r="T29" s="318" t="s">
        <v>490</v>
      </c>
      <c r="U29" s="316">
        <v>517784.4</v>
      </c>
      <c r="V29" s="307">
        <f t="shared" si="4"/>
        <v>46600.6</v>
      </c>
      <c r="W29" s="307">
        <f t="shared" si="5"/>
        <v>564385</v>
      </c>
      <c r="X29" s="307">
        <f t="shared" si="6"/>
        <v>517784.4</v>
      </c>
      <c r="Y29" s="307">
        <f t="shared" si="7"/>
        <v>4149.25</v>
      </c>
      <c r="Z29" s="298"/>
    </row>
    <row r="30" s="282" customFormat="1" ht="23.8" spans="1:26">
      <c r="A30" s="295" t="s">
        <v>491</v>
      </c>
      <c r="B30" s="296" t="s">
        <v>92</v>
      </c>
      <c r="C30" s="296" t="s">
        <v>45</v>
      </c>
      <c r="D30" s="295" t="s">
        <v>95</v>
      </c>
      <c r="E30" s="296" t="s">
        <v>435</v>
      </c>
      <c r="F30" s="296" t="s">
        <v>156</v>
      </c>
      <c r="G30" s="295" t="s">
        <v>214</v>
      </c>
      <c r="H30" s="295" t="s">
        <v>389</v>
      </c>
      <c r="I30" s="295" t="s">
        <v>294</v>
      </c>
      <c r="J30" s="304">
        <v>20200007989</v>
      </c>
      <c r="K30" s="309" t="s">
        <v>492</v>
      </c>
      <c r="L30" s="306">
        <v>570285</v>
      </c>
      <c r="M30" s="295" t="s">
        <v>493</v>
      </c>
      <c r="N30" s="306">
        <v>125.29</v>
      </c>
      <c r="O30" s="306" t="s">
        <v>156</v>
      </c>
      <c r="P30" s="307">
        <v>125.29</v>
      </c>
      <c r="Q30" s="307" t="s">
        <v>156</v>
      </c>
      <c r="R30" s="298" t="s">
        <v>156</v>
      </c>
      <c r="S30" s="563" t="s">
        <v>392</v>
      </c>
      <c r="T30" s="319" t="s">
        <v>494</v>
      </c>
      <c r="U30" s="316">
        <v>523197.25</v>
      </c>
      <c r="V30" s="307">
        <f t="shared" si="4"/>
        <v>47087.75</v>
      </c>
      <c r="W30" s="307">
        <f t="shared" si="5"/>
        <v>570285</v>
      </c>
      <c r="X30" s="307">
        <f t="shared" si="6"/>
        <v>523197.25</v>
      </c>
      <c r="Y30" s="307">
        <f t="shared" si="7"/>
        <v>4175.89</v>
      </c>
      <c r="Z30" s="298"/>
    </row>
    <row r="31" s="282" customFormat="1" ht="15.05" spans="1:26">
      <c r="A31" s="295" t="s">
        <v>495</v>
      </c>
      <c r="B31" s="296" t="s">
        <v>92</v>
      </c>
      <c r="C31" s="296" t="s">
        <v>45</v>
      </c>
      <c r="D31" s="295" t="s">
        <v>99</v>
      </c>
      <c r="E31" s="296" t="s">
        <v>440</v>
      </c>
      <c r="F31" s="296" t="s">
        <v>156</v>
      </c>
      <c r="G31" s="295" t="s">
        <v>214</v>
      </c>
      <c r="H31" s="295" t="s">
        <v>389</v>
      </c>
      <c r="I31" s="295" t="s">
        <v>294</v>
      </c>
      <c r="J31" s="304">
        <v>20200008211</v>
      </c>
      <c r="K31" s="309" t="s">
        <v>480</v>
      </c>
      <c r="L31" s="306">
        <v>573086</v>
      </c>
      <c r="M31" s="295" t="s">
        <v>496</v>
      </c>
      <c r="N31" s="306">
        <v>124.79</v>
      </c>
      <c r="O31" s="306" t="s">
        <v>156</v>
      </c>
      <c r="P31" s="307">
        <v>124.79</v>
      </c>
      <c r="Q31" s="307" t="s">
        <v>156</v>
      </c>
      <c r="R31" s="298" t="s">
        <v>156</v>
      </c>
      <c r="S31" s="563" t="s">
        <v>392</v>
      </c>
      <c r="T31" s="318" t="s">
        <v>497</v>
      </c>
      <c r="U31" s="316">
        <v>525766.97</v>
      </c>
      <c r="V31" s="307">
        <f t="shared" si="4"/>
        <v>47319.03</v>
      </c>
      <c r="W31" s="307">
        <f t="shared" si="5"/>
        <v>573086</v>
      </c>
      <c r="X31" s="307">
        <f t="shared" si="6"/>
        <v>525766.97</v>
      </c>
      <c r="Y31" s="307">
        <f t="shared" si="7"/>
        <v>4213.21</v>
      </c>
      <c r="Z31" s="298"/>
    </row>
    <row r="32" s="282" customFormat="1" ht="15.05" spans="1:26">
      <c r="A32" s="295" t="s">
        <v>498</v>
      </c>
      <c r="B32" s="296" t="s">
        <v>92</v>
      </c>
      <c r="C32" s="296" t="s">
        <v>45</v>
      </c>
      <c r="D32" s="295" t="s">
        <v>99</v>
      </c>
      <c r="E32" s="296" t="s">
        <v>444</v>
      </c>
      <c r="F32" s="296" t="s">
        <v>156</v>
      </c>
      <c r="G32" s="295" t="s">
        <v>214</v>
      </c>
      <c r="H32" s="295" t="s">
        <v>389</v>
      </c>
      <c r="I32" s="295" t="s">
        <v>294</v>
      </c>
      <c r="J32" s="304">
        <v>20200007706</v>
      </c>
      <c r="K32" s="309" t="s">
        <v>499</v>
      </c>
      <c r="L32" s="306">
        <v>576008</v>
      </c>
      <c r="M32" s="295" t="s">
        <v>500</v>
      </c>
      <c r="N32" s="306">
        <v>125.29</v>
      </c>
      <c r="O32" s="306" t="s">
        <v>156</v>
      </c>
      <c r="P32" s="307">
        <v>125.29</v>
      </c>
      <c r="Q32" s="307" t="s">
        <v>156</v>
      </c>
      <c r="R32" s="298" t="s">
        <v>156</v>
      </c>
      <c r="S32" s="563" t="s">
        <v>392</v>
      </c>
      <c r="T32" s="318" t="s">
        <v>501</v>
      </c>
      <c r="U32" s="316">
        <v>528447.71</v>
      </c>
      <c r="V32" s="307">
        <f t="shared" si="4"/>
        <v>47560.29</v>
      </c>
      <c r="W32" s="307">
        <f t="shared" si="5"/>
        <v>576008</v>
      </c>
      <c r="X32" s="307">
        <f t="shared" si="6"/>
        <v>528447.71</v>
      </c>
      <c r="Y32" s="307">
        <f t="shared" si="7"/>
        <v>4217.8</v>
      </c>
      <c r="Z32" s="298"/>
    </row>
    <row r="33" s="282" customFormat="1" ht="15.05" spans="1:26">
      <c r="A33" s="295" t="s">
        <v>502</v>
      </c>
      <c r="B33" s="296" t="s">
        <v>92</v>
      </c>
      <c r="C33" s="296" t="s">
        <v>45</v>
      </c>
      <c r="D33" s="295" t="s">
        <v>102</v>
      </c>
      <c r="E33" s="296" t="s">
        <v>448</v>
      </c>
      <c r="F33" s="296" t="s">
        <v>156</v>
      </c>
      <c r="G33" s="295" t="s">
        <v>215</v>
      </c>
      <c r="H33" s="295" t="s">
        <v>389</v>
      </c>
      <c r="I33" s="295" t="s">
        <v>294</v>
      </c>
      <c r="J33" s="304">
        <v>20210000057</v>
      </c>
      <c r="K33" s="309" t="s">
        <v>503</v>
      </c>
      <c r="L33" s="306">
        <v>853392</v>
      </c>
      <c r="M33" s="295" t="s">
        <v>504</v>
      </c>
      <c r="N33" s="306">
        <v>185.52</v>
      </c>
      <c r="O33" s="306" t="s">
        <v>156</v>
      </c>
      <c r="P33" s="307">
        <v>185.52</v>
      </c>
      <c r="Q33" s="307" t="s">
        <v>156</v>
      </c>
      <c r="R33" s="298" t="s">
        <v>156</v>
      </c>
      <c r="S33" s="563" t="s">
        <v>392</v>
      </c>
      <c r="T33" s="318" t="s">
        <v>505</v>
      </c>
      <c r="U33" s="316">
        <v>782928.44</v>
      </c>
      <c r="V33" s="307">
        <f t="shared" si="4"/>
        <v>70463.56</v>
      </c>
      <c r="W33" s="307">
        <f t="shared" si="5"/>
        <v>853392</v>
      </c>
      <c r="X33" s="307">
        <f t="shared" si="6"/>
        <v>782928.44</v>
      </c>
      <c r="Y33" s="307">
        <f t="shared" si="7"/>
        <v>4220.18</v>
      </c>
      <c r="Z33" s="298"/>
    </row>
    <row r="34" s="282" customFormat="1" ht="15.05" spans="1:26">
      <c r="A34" s="295" t="s">
        <v>506</v>
      </c>
      <c r="B34" s="296" t="s">
        <v>92</v>
      </c>
      <c r="C34" s="296" t="s">
        <v>45</v>
      </c>
      <c r="D34" s="295" t="s">
        <v>102</v>
      </c>
      <c r="E34" s="296" t="s">
        <v>452</v>
      </c>
      <c r="F34" s="296" t="s">
        <v>156</v>
      </c>
      <c r="G34" s="295" t="s">
        <v>215</v>
      </c>
      <c r="H34" s="295" t="s">
        <v>389</v>
      </c>
      <c r="I34" s="295" t="s">
        <v>294</v>
      </c>
      <c r="J34" s="304">
        <v>20210000813</v>
      </c>
      <c r="K34" s="309" t="s">
        <v>507</v>
      </c>
      <c r="L34" s="306">
        <v>844000</v>
      </c>
      <c r="M34" s="295" t="s">
        <v>508</v>
      </c>
      <c r="N34" s="306">
        <v>186.02</v>
      </c>
      <c r="O34" s="306" t="s">
        <v>156</v>
      </c>
      <c r="P34" s="307">
        <v>186.02</v>
      </c>
      <c r="Q34" s="307" t="s">
        <v>156</v>
      </c>
      <c r="R34" s="298" t="s">
        <v>156</v>
      </c>
      <c r="S34" s="563" t="s">
        <v>392</v>
      </c>
      <c r="T34" s="318" t="s">
        <v>509</v>
      </c>
      <c r="U34" s="316">
        <v>774311.93</v>
      </c>
      <c r="V34" s="307">
        <f t="shared" si="4"/>
        <v>69688.07</v>
      </c>
      <c r="W34" s="307">
        <f t="shared" si="5"/>
        <v>844000</v>
      </c>
      <c r="X34" s="307">
        <f t="shared" si="6"/>
        <v>774311.93</v>
      </c>
      <c r="Y34" s="307">
        <f t="shared" si="7"/>
        <v>4162.52</v>
      </c>
      <c r="Z34" s="298"/>
    </row>
    <row r="35" s="282" customFormat="1" spans="1:26">
      <c r="A35" s="295" t="s">
        <v>510</v>
      </c>
      <c r="B35" s="296" t="s">
        <v>92</v>
      </c>
      <c r="C35" s="296" t="s">
        <v>42</v>
      </c>
      <c r="D35" s="295" t="s">
        <v>511</v>
      </c>
      <c r="E35" s="296" t="s">
        <v>512</v>
      </c>
      <c r="F35" s="296" t="s">
        <v>156</v>
      </c>
      <c r="G35" s="295" t="s">
        <v>513</v>
      </c>
      <c r="H35" s="295" t="s">
        <v>514</v>
      </c>
      <c r="I35" s="295"/>
      <c r="J35" s="296" t="s">
        <v>156</v>
      </c>
      <c r="K35" s="309" t="s">
        <v>156</v>
      </c>
      <c r="L35" s="306" t="s">
        <v>156</v>
      </c>
      <c r="M35" s="295" t="s">
        <v>156</v>
      </c>
      <c r="N35" s="306">
        <v>12.77</v>
      </c>
      <c r="O35" s="306" t="s">
        <v>156</v>
      </c>
      <c r="P35" s="307">
        <v>12.77</v>
      </c>
      <c r="Q35" s="307" t="s">
        <v>156</v>
      </c>
      <c r="R35" s="298" t="s">
        <v>156</v>
      </c>
      <c r="S35" s="297" t="s">
        <v>156</v>
      </c>
      <c r="T35" s="297" t="s">
        <v>156</v>
      </c>
      <c r="U35" s="307" t="s">
        <v>156</v>
      </c>
      <c r="V35" s="307" t="s">
        <v>156</v>
      </c>
      <c r="W35" s="307">
        <f t="shared" si="5"/>
        <v>0</v>
      </c>
      <c r="X35" s="307"/>
      <c r="Y35" s="307">
        <f t="shared" si="7"/>
        <v>0</v>
      </c>
      <c r="Z35" s="298"/>
    </row>
    <row r="36" s="282" customFormat="1" spans="1:26">
      <c r="A36" s="295" t="s">
        <v>515</v>
      </c>
      <c r="B36" s="296" t="s">
        <v>92</v>
      </c>
      <c r="C36" s="296" t="s">
        <v>42</v>
      </c>
      <c r="D36" s="295" t="s">
        <v>511</v>
      </c>
      <c r="E36" s="296" t="s">
        <v>516</v>
      </c>
      <c r="F36" s="296" t="s">
        <v>156</v>
      </c>
      <c r="G36" s="295" t="s">
        <v>513</v>
      </c>
      <c r="H36" s="295" t="s">
        <v>514</v>
      </c>
      <c r="I36" s="295"/>
      <c r="J36" s="296" t="s">
        <v>156</v>
      </c>
      <c r="K36" s="309" t="s">
        <v>156</v>
      </c>
      <c r="L36" s="306" t="s">
        <v>156</v>
      </c>
      <c r="M36" s="295" t="s">
        <v>156</v>
      </c>
      <c r="N36" s="306">
        <v>6.1</v>
      </c>
      <c r="O36" s="306" t="s">
        <v>156</v>
      </c>
      <c r="P36" s="307">
        <v>6.1</v>
      </c>
      <c r="Q36" s="307" t="s">
        <v>156</v>
      </c>
      <c r="R36" s="298" t="s">
        <v>156</v>
      </c>
      <c r="S36" s="297" t="s">
        <v>156</v>
      </c>
      <c r="T36" s="297" t="s">
        <v>156</v>
      </c>
      <c r="U36" s="307" t="s">
        <v>156</v>
      </c>
      <c r="V36" s="307" t="s">
        <v>156</v>
      </c>
      <c r="W36" s="307">
        <f t="shared" si="5"/>
        <v>0</v>
      </c>
      <c r="X36" s="307"/>
      <c r="Y36" s="307">
        <f t="shared" si="7"/>
        <v>0</v>
      </c>
      <c r="Z36" s="298"/>
    </row>
    <row r="37" s="282" customFormat="1" spans="1:26">
      <c r="A37" s="295" t="s">
        <v>517</v>
      </c>
      <c r="B37" s="296" t="s">
        <v>92</v>
      </c>
      <c r="C37" s="296" t="s">
        <v>42</v>
      </c>
      <c r="D37" s="295" t="s">
        <v>511</v>
      </c>
      <c r="E37" s="296" t="s">
        <v>518</v>
      </c>
      <c r="F37" s="296" t="s">
        <v>156</v>
      </c>
      <c r="G37" s="295" t="s">
        <v>513</v>
      </c>
      <c r="H37" s="295" t="s">
        <v>514</v>
      </c>
      <c r="I37" s="295"/>
      <c r="J37" s="296" t="s">
        <v>156</v>
      </c>
      <c r="K37" s="309" t="s">
        <v>156</v>
      </c>
      <c r="L37" s="306" t="s">
        <v>156</v>
      </c>
      <c r="M37" s="295" t="s">
        <v>156</v>
      </c>
      <c r="N37" s="306">
        <v>6.67</v>
      </c>
      <c r="O37" s="306" t="s">
        <v>156</v>
      </c>
      <c r="P37" s="307">
        <v>6.67</v>
      </c>
      <c r="Q37" s="307" t="s">
        <v>156</v>
      </c>
      <c r="R37" s="298" t="s">
        <v>156</v>
      </c>
      <c r="S37" s="297" t="s">
        <v>156</v>
      </c>
      <c r="T37" s="297" t="s">
        <v>156</v>
      </c>
      <c r="U37" s="307" t="s">
        <v>156</v>
      </c>
      <c r="V37" s="307" t="s">
        <v>156</v>
      </c>
      <c r="W37" s="307">
        <f t="shared" si="5"/>
        <v>0</v>
      </c>
      <c r="X37" s="307"/>
      <c r="Y37" s="307">
        <f t="shared" si="7"/>
        <v>0</v>
      </c>
      <c r="Z37" s="298"/>
    </row>
    <row r="38" s="282" customFormat="1" spans="1:26">
      <c r="A38" s="295" t="s">
        <v>519</v>
      </c>
      <c r="B38" s="296" t="s">
        <v>92</v>
      </c>
      <c r="C38" s="296" t="s">
        <v>42</v>
      </c>
      <c r="D38" s="295" t="s">
        <v>511</v>
      </c>
      <c r="E38" s="296" t="s">
        <v>520</v>
      </c>
      <c r="F38" s="296" t="s">
        <v>156</v>
      </c>
      <c r="G38" s="295" t="s">
        <v>513</v>
      </c>
      <c r="H38" s="295" t="s">
        <v>514</v>
      </c>
      <c r="I38" s="295"/>
      <c r="J38" s="296" t="s">
        <v>156</v>
      </c>
      <c r="K38" s="309" t="s">
        <v>156</v>
      </c>
      <c r="L38" s="306" t="s">
        <v>156</v>
      </c>
      <c r="M38" s="295" t="s">
        <v>156</v>
      </c>
      <c r="N38" s="306">
        <v>9.07</v>
      </c>
      <c r="O38" s="306" t="s">
        <v>156</v>
      </c>
      <c r="P38" s="307">
        <v>9.07</v>
      </c>
      <c r="Q38" s="307" t="s">
        <v>156</v>
      </c>
      <c r="R38" s="298" t="s">
        <v>156</v>
      </c>
      <c r="S38" s="297" t="s">
        <v>156</v>
      </c>
      <c r="T38" s="297" t="s">
        <v>156</v>
      </c>
      <c r="U38" s="307" t="s">
        <v>156</v>
      </c>
      <c r="V38" s="307" t="s">
        <v>156</v>
      </c>
      <c r="W38" s="307">
        <f t="shared" si="5"/>
        <v>0</v>
      </c>
      <c r="X38" s="307"/>
      <c r="Y38" s="307">
        <f t="shared" si="7"/>
        <v>0</v>
      </c>
      <c r="Z38" s="298"/>
    </row>
    <row r="39" s="282" customFormat="1" spans="1:26">
      <c r="A39" s="295" t="s">
        <v>521</v>
      </c>
      <c r="B39" s="296" t="s">
        <v>92</v>
      </c>
      <c r="C39" s="296" t="s">
        <v>42</v>
      </c>
      <c r="D39" s="295" t="s">
        <v>511</v>
      </c>
      <c r="E39" s="296" t="s">
        <v>522</v>
      </c>
      <c r="F39" s="296" t="s">
        <v>156</v>
      </c>
      <c r="G39" s="295" t="s">
        <v>513</v>
      </c>
      <c r="H39" s="295" t="s">
        <v>514</v>
      </c>
      <c r="I39" s="295"/>
      <c r="J39" s="296" t="s">
        <v>156</v>
      </c>
      <c r="K39" s="309" t="s">
        <v>156</v>
      </c>
      <c r="L39" s="306" t="s">
        <v>156</v>
      </c>
      <c r="M39" s="295" t="s">
        <v>156</v>
      </c>
      <c r="N39" s="306">
        <v>7.35</v>
      </c>
      <c r="O39" s="306" t="s">
        <v>156</v>
      </c>
      <c r="P39" s="307">
        <v>7.35</v>
      </c>
      <c r="Q39" s="307" t="s">
        <v>156</v>
      </c>
      <c r="R39" s="298" t="s">
        <v>156</v>
      </c>
      <c r="S39" s="297" t="s">
        <v>156</v>
      </c>
      <c r="T39" s="297" t="s">
        <v>156</v>
      </c>
      <c r="U39" s="307" t="s">
        <v>156</v>
      </c>
      <c r="V39" s="307" t="s">
        <v>156</v>
      </c>
      <c r="W39" s="307">
        <f t="shared" si="5"/>
        <v>0</v>
      </c>
      <c r="X39" s="307"/>
      <c r="Y39" s="307">
        <f t="shared" si="7"/>
        <v>0</v>
      </c>
      <c r="Z39" s="298"/>
    </row>
    <row r="40" s="282" customFormat="1" spans="1:26">
      <c r="A40" s="295" t="s">
        <v>523</v>
      </c>
      <c r="B40" s="296" t="s">
        <v>92</v>
      </c>
      <c r="C40" s="296" t="s">
        <v>42</v>
      </c>
      <c r="D40" s="295" t="s">
        <v>511</v>
      </c>
      <c r="E40" s="296" t="s">
        <v>524</v>
      </c>
      <c r="F40" s="296" t="s">
        <v>156</v>
      </c>
      <c r="G40" s="295" t="s">
        <v>513</v>
      </c>
      <c r="H40" s="295" t="s">
        <v>514</v>
      </c>
      <c r="I40" s="295"/>
      <c r="J40" s="296" t="s">
        <v>156</v>
      </c>
      <c r="K40" s="309" t="s">
        <v>156</v>
      </c>
      <c r="L40" s="306" t="s">
        <v>156</v>
      </c>
      <c r="M40" s="295" t="s">
        <v>156</v>
      </c>
      <c r="N40" s="306">
        <v>60.34</v>
      </c>
      <c r="O40" s="306" t="s">
        <v>156</v>
      </c>
      <c r="P40" s="307">
        <v>60.34</v>
      </c>
      <c r="Q40" s="307" t="s">
        <v>156</v>
      </c>
      <c r="R40" s="298" t="s">
        <v>156</v>
      </c>
      <c r="S40" s="297" t="s">
        <v>156</v>
      </c>
      <c r="T40" s="297" t="s">
        <v>156</v>
      </c>
      <c r="U40" s="307" t="s">
        <v>156</v>
      </c>
      <c r="V40" s="307" t="s">
        <v>156</v>
      </c>
      <c r="W40" s="307">
        <f t="shared" si="5"/>
        <v>0</v>
      </c>
      <c r="X40" s="307"/>
      <c r="Y40" s="307">
        <f t="shared" si="7"/>
        <v>0</v>
      </c>
      <c r="Z40" s="298"/>
    </row>
    <row r="41" s="282" customFormat="1" spans="1:26">
      <c r="A41" s="295" t="s">
        <v>525</v>
      </c>
      <c r="B41" s="296" t="s">
        <v>92</v>
      </c>
      <c r="C41" s="296" t="s">
        <v>42</v>
      </c>
      <c r="D41" s="295" t="s">
        <v>511</v>
      </c>
      <c r="E41" s="296" t="s">
        <v>526</v>
      </c>
      <c r="F41" s="296" t="s">
        <v>156</v>
      </c>
      <c r="G41" s="295" t="s">
        <v>513</v>
      </c>
      <c r="H41" s="295" t="s">
        <v>514</v>
      </c>
      <c r="I41" s="295"/>
      <c r="J41" s="296" t="s">
        <v>156</v>
      </c>
      <c r="K41" s="309" t="s">
        <v>156</v>
      </c>
      <c r="L41" s="306" t="s">
        <v>156</v>
      </c>
      <c r="M41" s="295" t="s">
        <v>156</v>
      </c>
      <c r="N41" s="306">
        <v>16.6</v>
      </c>
      <c r="O41" s="306" t="s">
        <v>156</v>
      </c>
      <c r="P41" s="307">
        <v>16.6</v>
      </c>
      <c r="Q41" s="307" t="s">
        <v>156</v>
      </c>
      <c r="R41" s="298" t="s">
        <v>156</v>
      </c>
      <c r="S41" s="297" t="s">
        <v>156</v>
      </c>
      <c r="T41" s="297" t="s">
        <v>156</v>
      </c>
      <c r="U41" s="307" t="s">
        <v>156</v>
      </c>
      <c r="V41" s="307" t="s">
        <v>156</v>
      </c>
      <c r="W41" s="307">
        <f t="shared" si="5"/>
        <v>0</v>
      </c>
      <c r="X41" s="307"/>
      <c r="Y41" s="307">
        <f t="shared" si="7"/>
        <v>0</v>
      </c>
      <c r="Z41" s="298"/>
    </row>
    <row r="42" s="282" customFormat="1" spans="1:26">
      <c r="A42" s="295" t="s">
        <v>527</v>
      </c>
      <c r="B42" s="296" t="s">
        <v>92</v>
      </c>
      <c r="C42" s="296" t="s">
        <v>42</v>
      </c>
      <c r="D42" s="295" t="s">
        <v>511</v>
      </c>
      <c r="E42" s="296" t="s">
        <v>528</v>
      </c>
      <c r="F42" s="296" t="s">
        <v>156</v>
      </c>
      <c r="G42" s="295" t="s">
        <v>513</v>
      </c>
      <c r="H42" s="295" t="s">
        <v>514</v>
      </c>
      <c r="I42" s="295"/>
      <c r="J42" s="296" t="s">
        <v>156</v>
      </c>
      <c r="K42" s="309" t="s">
        <v>156</v>
      </c>
      <c r="L42" s="306" t="s">
        <v>156</v>
      </c>
      <c r="M42" s="295" t="s">
        <v>156</v>
      </c>
      <c r="N42" s="306">
        <v>16.6</v>
      </c>
      <c r="O42" s="306" t="s">
        <v>156</v>
      </c>
      <c r="P42" s="307">
        <v>16.6</v>
      </c>
      <c r="Q42" s="307" t="s">
        <v>156</v>
      </c>
      <c r="R42" s="298" t="s">
        <v>156</v>
      </c>
      <c r="S42" s="297" t="s">
        <v>156</v>
      </c>
      <c r="T42" s="297" t="s">
        <v>156</v>
      </c>
      <c r="U42" s="307" t="s">
        <v>156</v>
      </c>
      <c r="V42" s="307" t="s">
        <v>156</v>
      </c>
      <c r="W42" s="307">
        <f t="shared" si="5"/>
        <v>0</v>
      </c>
      <c r="X42" s="307"/>
      <c r="Y42" s="307">
        <f t="shared" si="7"/>
        <v>0</v>
      </c>
      <c r="Z42" s="298"/>
    </row>
    <row r="43" s="282" customFormat="1" spans="1:26">
      <c r="A43" s="295" t="s">
        <v>410</v>
      </c>
      <c r="B43" s="296" t="s">
        <v>92</v>
      </c>
      <c r="C43" s="296" t="s">
        <v>42</v>
      </c>
      <c r="D43" s="295" t="s">
        <v>511</v>
      </c>
      <c r="E43" s="296" t="s">
        <v>529</v>
      </c>
      <c r="F43" s="296" t="s">
        <v>156</v>
      </c>
      <c r="G43" s="295" t="s">
        <v>513</v>
      </c>
      <c r="H43" s="295" t="s">
        <v>514</v>
      </c>
      <c r="I43" s="295"/>
      <c r="J43" s="296" t="s">
        <v>156</v>
      </c>
      <c r="K43" s="309" t="s">
        <v>156</v>
      </c>
      <c r="L43" s="306" t="s">
        <v>156</v>
      </c>
      <c r="M43" s="295" t="s">
        <v>156</v>
      </c>
      <c r="N43" s="306">
        <v>60.23</v>
      </c>
      <c r="O43" s="306" t="s">
        <v>156</v>
      </c>
      <c r="P43" s="307">
        <v>60.23</v>
      </c>
      <c r="Q43" s="307" t="s">
        <v>156</v>
      </c>
      <c r="R43" s="298" t="s">
        <v>156</v>
      </c>
      <c r="S43" s="297" t="s">
        <v>156</v>
      </c>
      <c r="T43" s="297" t="s">
        <v>156</v>
      </c>
      <c r="U43" s="307" t="s">
        <v>156</v>
      </c>
      <c r="V43" s="307" t="s">
        <v>156</v>
      </c>
      <c r="W43" s="307">
        <f t="shared" si="5"/>
        <v>0</v>
      </c>
      <c r="X43" s="307"/>
      <c r="Y43" s="307">
        <f t="shared" si="7"/>
        <v>0</v>
      </c>
      <c r="Z43" s="298"/>
    </row>
    <row r="44" s="282" customFormat="1" spans="1:26">
      <c r="A44" s="295" t="s">
        <v>530</v>
      </c>
      <c r="B44" s="296" t="s">
        <v>92</v>
      </c>
      <c r="C44" s="296" t="s">
        <v>42</v>
      </c>
      <c r="D44" s="295" t="s">
        <v>511</v>
      </c>
      <c r="E44" s="296" t="s">
        <v>531</v>
      </c>
      <c r="F44" s="296" t="s">
        <v>156</v>
      </c>
      <c r="G44" s="295" t="s">
        <v>513</v>
      </c>
      <c r="H44" s="295" t="s">
        <v>514</v>
      </c>
      <c r="I44" s="295"/>
      <c r="J44" s="296" t="s">
        <v>156</v>
      </c>
      <c r="K44" s="309" t="s">
        <v>156</v>
      </c>
      <c r="L44" s="306" t="s">
        <v>156</v>
      </c>
      <c r="M44" s="295" t="s">
        <v>156</v>
      </c>
      <c r="N44" s="306">
        <v>12.71</v>
      </c>
      <c r="O44" s="306" t="s">
        <v>156</v>
      </c>
      <c r="P44" s="307">
        <v>12.71</v>
      </c>
      <c r="Q44" s="307" t="s">
        <v>156</v>
      </c>
      <c r="R44" s="298" t="s">
        <v>156</v>
      </c>
      <c r="S44" s="297" t="s">
        <v>156</v>
      </c>
      <c r="T44" s="297" t="s">
        <v>156</v>
      </c>
      <c r="U44" s="307" t="s">
        <v>156</v>
      </c>
      <c r="V44" s="307" t="s">
        <v>156</v>
      </c>
      <c r="W44" s="307">
        <f t="shared" si="5"/>
        <v>0</v>
      </c>
      <c r="X44" s="307"/>
      <c r="Y44" s="307">
        <f t="shared" si="7"/>
        <v>0</v>
      </c>
      <c r="Z44" s="298"/>
    </row>
    <row r="45" s="282" customFormat="1" spans="1:26">
      <c r="A45" s="295" t="s">
        <v>532</v>
      </c>
      <c r="B45" s="296" t="s">
        <v>92</v>
      </c>
      <c r="C45" s="296" t="s">
        <v>42</v>
      </c>
      <c r="D45" s="295" t="s">
        <v>511</v>
      </c>
      <c r="E45" s="296" t="s">
        <v>533</v>
      </c>
      <c r="F45" s="296" t="s">
        <v>156</v>
      </c>
      <c r="G45" s="295" t="s">
        <v>513</v>
      </c>
      <c r="H45" s="295" t="s">
        <v>514</v>
      </c>
      <c r="I45" s="295"/>
      <c r="J45" s="296" t="s">
        <v>156</v>
      </c>
      <c r="K45" s="309" t="s">
        <v>156</v>
      </c>
      <c r="L45" s="306" t="s">
        <v>156</v>
      </c>
      <c r="M45" s="295" t="s">
        <v>156</v>
      </c>
      <c r="N45" s="306">
        <v>8.04</v>
      </c>
      <c r="O45" s="306" t="s">
        <v>156</v>
      </c>
      <c r="P45" s="307">
        <v>8.04</v>
      </c>
      <c r="Q45" s="307" t="s">
        <v>156</v>
      </c>
      <c r="R45" s="298" t="s">
        <v>156</v>
      </c>
      <c r="S45" s="297" t="s">
        <v>156</v>
      </c>
      <c r="T45" s="297" t="s">
        <v>156</v>
      </c>
      <c r="U45" s="307" t="s">
        <v>156</v>
      </c>
      <c r="V45" s="307" t="s">
        <v>156</v>
      </c>
      <c r="W45" s="307">
        <f t="shared" si="5"/>
        <v>0</v>
      </c>
      <c r="X45" s="307"/>
      <c r="Y45" s="307">
        <f t="shared" si="7"/>
        <v>0</v>
      </c>
      <c r="Z45" s="298"/>
    </row>
    <row r="46" s="282" customFormat="1" spans="1:26">
      <c r="A46" s="295" t="s">
        <v>534</v>
      </c>
      <c r="B46" s="296" t="s">
        <v>92</v>
      </c>
      <c r="C46" s="296" t="s">
        <v>42</v>
      </c>
      <c r="D46" s="295" t="s">
        <v>511</v>
      </c>
      <c r="E46" s="296" t="s">
        <v>535</v>
      </c>
      <c r="F46" s="296" t="s">
        <v>156</v>
      </c>
      <c r="G46" s="295" t="s">
        <v>513</v>
      </c>
      <c r="H46" s="295" t="s">
        <v>514</v>
      </c>
      <c r="I46" s="295"/>
      <c r="J46" s="296" t="s">
        <v>156</v>
      </c>
      <c r="K46" s="309" t="s">
        <v>156</v>
      </c>
      <c r="L46" s="306" t="s">
        <v>156</v>
      </c>
      <c r="M46" s="295" t="s">
        <v>156</v>
      </c>
      <c r="N46" s="306">
        <v>11.43</v>
      </c>
      <c r="O46" s="306" t="s">
        <v>156</v>
      </c>
      <c r="P46" s="307">
        <v>11.43</v>
      </c>
      <c r="Q46" s="307" t="s">
        <v>156</v>
      </c>
      <c r="R46" s="298" t="s">
        <v>156</v>
      </c>
      <c r="S46" s="297" t="s">
        <v>156</v>
      </c>
      <c r="T46" s="297" t="s">
        <v>156</v>
      </c>
      <c r="U46" s="307" t="s">
        <v>156</v>
      </c>
      <c r="V46" s="307" t="s">
        <v>156</v>
      </c>
      <c r="W46" s="307">
        <f t="shared" si="5"/>
        <v>0</v>
      </c>
      <c r="X46" s="307"/>
      <c r="Y46" s="307">
        <f t="shared" si="7"/>
        <v>0</v>
      </c>
      <c r="Z46" s="298"/>
    </row>
    <row r="47" s="282" customFormat="1" spans="1:26">
      <c r="A47" s="295" t="s">
        <v>536</v>
      </c>
      <c r="B47" s="296" t="s">
        <v>92</v>
      </c>
      <c r="C47" s="296" t="s">
        <v>42</v>
      </c>
      <c r="D47" s="295" t="s">
        <v>511</v>
      </c>
      <c r="E47" s="296" t="s">
        <v>537</v>
      </c>
      <c r="F47" s="296" t="s">
        <v>156</v>
      </c>
      <c r="G47" s="295" t="s">
        <v>513</v>
      </c>
      <c r="H47" s="295" t="s">
        <v>514</v>
      </c>
      <c r="I47" s="295"/>
      <c r="J47" s="296" t="s">
        <v>156</v>
      </c>
      <c r="K47" s="309" t="s">
        <v>156</v>
      </c>
      <c r="L47" s="306" t="s">
        <v>156</v>
      </c>
      <c r="M47" s="295" t="s">
        <v>156</v>
      </c>
      <c r="N47" s="306">
        <v>10.58</v>
      </c>
      <c r="O47" s="306" t="s">
        <v>156</v>
      </c>
      <c r="P47" s="307">
        <v>10.58</v>
      </c>
      <c r="Q47" s="307" t="s">
        <v>156</v>
      </c>
      <c r="R47" s="298" t="s">
        <v>156</v>
      </c>
      <c r="S47" s="297" t="s">
        <v>156</v>
      </c>
      <c r="T47" s="297" t="s">
        <v>156</v>
      </c>
      <c r="U47" s="307" t="s">
        <v>156</v>
      </c>
      <c r="V47" s="307" t="s">
        <v>156</v>
      </c>
      <c r="W47" s="307">
        <f t="shared" si="5"/>
        <v>0</v>
      </c>
      <c r="X47" s="307"/>
      <c r="Y47" s="307">
        <f t="shared" si="7"/>
        <v>0</v>
      </c>
      <c r="Z47" s="298"/>
    </row>
    <row r="48" s="282" customFormat="1" spans="1:26">
      <c r="A48" s="295" t="s">
        <v>538</v>
      </c>
      <c r="B48" s="296" t="s">
        <v>92</v>
      </c>
      <c r="C48" s="296" t="s">
        <v>42</v>
      </c>
      <c r="D48" s="295" t="s">
        <v>511</v>
      </c>
      <c r="E48" s="296" t="s">
        <v>539</v>
      </c>
      <c r="F48" s="296" t="s">
        <v>156</v>
      </c>
      <c r="G48" s="295" t="s">
        <v>513</v>
      </c>
      <c r="H48" s="295" t="s">
        <v>514</v>
      </c>
      <c r="I48" s="295"/>
      <c r="J48" s="296" t="s">
        <v>156</v>
      </c>
      <c r="K48" s="309" t="s">
        <v>156</v>
      </c>
      <c r="L48" s="306" t="s">
        <v>156</v>
      </c>
      <c r="M48" s="295" t="s">
        <v>156</v>
      </c>
      <c r="N48" s="306">
        <v>6.1</v>
      </c>
      <c r="O48" s="306" t="s">
        <v>156</v>
      </c>
      <c r="P48" s="307">
        <v>6.1</v>
      </c>
      <c r="Q48" s="307" t="s">
        <v>156</v>
      </c>
      <c r="R48" s="298" t="s">
        <v>156</v>
      </c>
      <c r="S48" s="297" t="s">
        <v>156</v>
      </c>
      <c r="T48" s="297" t="s">
        <v>156</v>
      </c>
      <c r="U48" s="307" t="s">
        <v>156</v>
      </c>
      <c r="V48" s="307" t="s">
        <v>156</v>
      </c>
      <c r="W48" s="307">
        <f t="shared" si="5"/>
        <v>0</v>
      </c>
      <c r="X48" s="307"/>
      <c r="Y48" s="307">
        <f t="shared" si="7"/>
        <v>0</v>
      </c>
      <c r="Z48" s="298"/>
    </row>
    <row r="49" s="282" customFormat="1" spans="1:26">
      <c r="A49" s="295" t="s">
        <v>540</v>
      </c>
      <c r="B49" s="296" t="s">
        <v>92</v>
      </c>
      <c r="C49" s="296" t="s">
        <v>45</v>
      </c>
      <c r="D49" s="295" t="s">
        <v>511</v>
      </c>
      <c r="E49" s="296" t="s">
        <v>541</v>
      </c>
      <c r="F49" s="296" t="s">
        <v>156</v>
      </c>
      <c r="G49" s="295" t="s">
        <v>513</v>
      </c>
      <c r="H49" s="295" t="s">
        <v>514</v>
      </c>
      <c r="I49" s="295"/>
      <c r="J49" s="304" t="s">
        <v>156</v>
      </c>
      <c r="K49" s="309" t="s">
        <v>156</v>
      </c>
      <c r="L49" s="306" t="s">
        <v>156</v>
      </c>
      <c r="M49" s="295" t="s">
        <v>156</v>
      </c>
      <c r="N49" s="306">
        <v>6.1</v>
      </c>
      <c r="O49" s="306" t="s">
        <v>156</v>
      </c>
      <c r="P49" s="307">
        <v>6.1</v>
      </c>
      <c r="Q49" s="307" t="s">
        <v>156</v>
      </c>
      <c r="R49" s="298" t="s">
        <v>156</v>
      </c>
      <c r="S49" s="297" t="s">
        <v>156</v>
      </c>
      <c r="T49" s="297" t="s">
        <v>156</v>
      </c>
      <c r="U49" s="307" t="s">
        <v>156</v>
      </c>
      <c r="V49" s="307"/>
      <c r="W49" s="307">
        <f t="shared" si="5"/>
        <v>0</v>
      </c>
      <c r="X49" s="307" t="str">
        <f t="shared" ref="X49:X90" si="8">U49</f>
        <v/>
      </c>
      <c r="Y49" s="307">
        <f t="shared" si="7"/>
        <v>0</v>
      </c>
      <c r="Z49" s="298"/>
    </row>
    <row r="50" s="282" customFormat="1" spans="1:26">
      <c r="A50" s="295" t="s">
        <v>527</v>
      </c>
      <c r="B50" s="296" t="s">
        <v>92</v>
      </c>
      <c r="C50" s="296" t="s">
        <v>45</v>
      </c>
      <c r="D50" s="295" t="s">
        <v>511</v>
      </c>
      <c r="E50" s="296" t="s">
        <v>542</v>
      </c>
      <c r="F50" s="296" t="s">
        <v>156</v>
      </c>
      <c r="G50" s="295" t="s">
        <v>513</v>
      </c>
      <c r="H50" s="295" t="s">
        <v>514</v>
      </c>
      <c r="I50" s="295"/>
      <c r="J50" s="304" t="s">
        <v>156</v>
      </c>
      <c r="K50" s="309" t="s">
        <v>156</v>
      </c>
      <c r="L50" s="306" t="s">
        <v>156</v>
      </c>
      <c r="M50" s="295" t="s">
        <v>156</v>
      </c>
      <c r="N50" s="306">
        <v>10.58</v>
      </c>
      <c r="O50" s="306" t="s">
        <v>156</v>
      </c>
      <c r="P50" s="307">
        <v>10.58</v>
      </c>
      <c r="Q50" s="307" t="s">
        <v>156</v>
      </c>
      <c r="R50" s="298" t="s">
        <v>156</v>
      </c>
      <c r="S50" s="297" t="s">
        <v>156</v>
      </c>
      <c r="T50" s="297" t="s">
        <v>156</v>
      </c>
      <c r="U50" s="307" t="s">
        <v>156</v>
      </c>
      <c r="V50" s="307"/>
      <c r="W50" s="307">
        <f t="shared" si="5"/>
        <v>0</v>
      </c>
      <c r="X50" s="307" t="str">
        <f t="shared" si="8"/>
        <v/>
      </c>
      <c r="Y50" s="307">
        <f t="shared" si="7"/>
        <v>0</v>
      </c>
      <c r="Z50" s="298"/>
    </row>
    <row r="51" s="282" customFormat="1" spans="1:26">
      <c r="A51" s="295" t="s">
        <v>543</v>
      </c>
      <c r="B51" s="296" t="s">
        <v>92</v>
      </c>
      <c r="C51" s="296" t="s">
        <v>45</v>
      </c>
      <c r="D51" s="295" t="s">
        <v>511</v>
      </c>
      <c r="E51" s="296" t="s">
        <v>544</v>
      </c>
      <c r="F51" s="296" t="s">
        <v>156</v>
      </c>
      <c r="G51" s="295" t="s">
        <v>513</v>
      </c>
      <c r="H51" s="295" t="s">
        <v>514</v>
      </c>
      <c r="I51" s="295"/>
      <c r="J51" s="304" t="s">
        <v>156</v>
      </c>
      <c r="K51" s="309" t="s">
        <v>156</v>
      </c>
      <c r="L51" s="306" t="s">
        <v>156</v>
      </c>
      <c r="M51" s="295" t="s">
        <v>156</v>
      </c>
      <c r="N51" s="306">
        <v>11.43</v>
      </c>
      <c r="O51" s="306" t="s">
        <v>156</v>
      </c>
      <c r="P51" s="307">
        <v>11.43</v>
      </c>
      <c r="Q51" s="307" t="s">
        <v>156</v>
      </c>
      <c r="R51" s="298" t="s">
        <v>156</v>
      </c>
      <c r="S51" s="297" t="s">
        <v>156</v>
      </c>
      <c r="T51" s="297" t="s">
        <v>156</v>
      </c>
      <c r="U51" s="307" t="s">
        <v>156</v>
      </c>
      <c r="V51" s="307"/>
      <c r="W51" s="307">
        <f t="shared" si="5"/>
        <v>0</v>
      </c>
      <c r="X51" s="307" t="str">
        <f t="shared" si="8"/>
        <v/>
      </c>
      <c r="Y51" s="307">
        <f t="shared" si="7"/>
        <v>0</v>
      </c>
      <c r="Z51" s="298"/>
    </row>
    <row r="52" s="282" customFormat="1" spans="1:26">
      <c r="A52" s="295" t="s">
        <v>545</v>
      </c>
      <c r="B52" s="296" t="s">
        <v>92</v>
      </c>
      <c r="C52" s="296" t="s">
        <v>45</v>
      </c>
      <c r="D52" s="295" t="s">
        <v>511</v>
      </c>
      <c r="E52" s="296" t="s">
        <v>546</v>
      </c>
      <c r="F52" s="296" t="s">
        <v>156</v>
      </c>
      <c r="G52" s="295" t="s">
        <v>513</v>
      </c>
      <c r="H52" s="295" t="s">
        <v>514</v>
      </c>
      <c r="I52" s="295"/>
      <c r="J52" s="304" t="s">
        <v>156</v>
      </c>
      <c r="K52" s="309" t="s">
        <v>156</v>
      </c>
      <c r="L52" s="306" t="s">
        <v>156</v>
      </c>
      <c r="M52" s="295" t="s">
        <v>156</v>
      </c>
      <c r="N52" s="306">
        <v>8.04</v>
      </c>
      <c r="O52" s="306" t="s">
        <v>156</v>
      </c>
      <c r="P52" s="307">
        <v>8.04</v>
      </c>
      <c r="Q52" s="307" t="s">
        <v>156</v>
      </c>
      <c r="R52" s="298" t="s">
        <v>156</v>
      </c>
      <c r="S52" s="297" t="s">
        <v>156</v>
      </c>
      <c r="T52" s="297" t="s">
        <v>156</v>
      </c>
      <c r="U52" s="307" t="s">
        <v>156</v>
      </c>
      <c r="V52" s="307"/>
      <c r="W52" s="307">
        <f t="shared" si="5"/>
        <v>0</v>
      </c>
      <c r="X52" s="307" t="str">
        <f t="shared" si="8"/>
        <v/>
      </c>
      <c r="Y52" s="307">
        <f t="shared" si="7"/>
        <v>0</v>
      </c>
      <c r="Z52" s="298"/>
    </row>
    <row r="53" s="282" customFormat="1" spans="1:26">
      <c r="A53" s="295" t="s">
        <v>547</v>
      </c>
      <c r="B53" s="296" t="s">
        <v>92</v>
      </c>
      <c r="C53" s="296" t="s">
        <v>45</v>
      </c>
      <c r="D53" s="295" t="s">
        <v>511</v>
      </c>
      <c r="E53" s="296" t="s">
        <v>548</v>
      </c>
      <c r="F53" s="296" t="s">
        <v>156</v>
      </c>
      <c r="G53" s="295" t="s">
        <v>513</v>
      </c>
      <c r="H53" s="295" t="s">
        <v>514</v>
      </c>
      <c r="I53" s="295"/>
      <c r="J53" s="304" t="s">
        <v>156</v>
      </c>
      <c r="K53" s="309" t="s">
        <v>156</v>
      </c>
      <c r="L53" s="306" t="s">
        <v>156</v>
      </c>
      <c r="M53" s="295" t="s">
        <v>156</v>
      </c>
      <c r="N53" s="306">
        <v>12.71</v>
      </c>
      <c r="O53" s="306" t="s">
        <v>156</v>
      </c>
      <c r="P53" s="307">
        <v>12.71</v>
      </c>
      <c r="Q53" s="307" t="s">
        <v>156</v>
      </c>
      <c r="R53" s="298" t="s">
        <v>156</v>
      </c>
      <c r="S53" s="297" t="s">
        <v>156</v>
      </c>
      <c r="T53" s="297" t="s">
        <v>156</v>
      </c>
      <c r="U53" s="307" t="s">
        <v>156</v>
      </c>
      <c r="V53" s="307"/>
      <c r="W53" s="307">
        <f t="shared" si="5"/>
        <v>0</v>
      </c>
      <c r="X53" s="307" t="str">
        <f t="shared" si="8"/>
        <v/>
      </c>
      <c r="Y53" s="307">
        <f t="shared" si="7"/>
        <v>0</v>
      </c>
      <c r="Z53" s="298"/>
    </row>
    <row r="54" s="282" customFormat="1" spans="1:26">
      <c r="A54" s="295" t="s">
        <v>410</v>
      </c>
      <c r="B54" s="296" t="s">
        <v>92</v>
      </c>
      <c r="C54" s="296" t="s">
        <v>45</v>
      </c>
      <c r="D54" s="295" t="s">
        <v>511</v>
      </c>
      <c r="E54" s="296" t="s">
        <v>549</v>
      </c>
      <c r="F54" s="296" t="s">
        <v>156</v>
      </c>
      <c r="G54" s="295" t="s">
        <v>513</v>
      </c>
      <c r="H54" s="295" t="s">
        <v>514</v>
      </c>
      <c r="I54" s="295"/>
      <c r="J54" s="304" t="s">
        <v>156</v>
      </c>
      <c r="K54" s="309" t="s">
        <v>156</v>
      </c>
      <c r="L54" s="306" t="s">
        <v>156</v>
      </c>
      <c r="M54" s="295" t="s">
        <v>156</v>
      </c>
      <c r="N54" s="306">
        <v>60.23</v>
      </c>
      <c r="O54" s="306" t="s">
        <v>156</v>
      </c>
      <c r="P54" s="307">
        <v>60.23</v>
      </c>
      <c r="Q54" s="307" t="s">
        <v>156</v>
      </c>
      <c r="R54" s="298" t="s">
        <v>156</v>
      </c>
      <c r="S54" s="297" t="s">
        <v>156</v>
      </c>
      <c r="T54" s="297" t="s">
        <v>156</v>
      </c>
      <c r="U54" s="307" t="s">
        <v>156</v>
      </c>
      <c r="V54" s="307"/>
      <c r="W54" s="307">
        <f t="shared" si="5"/>
        <v>0</v>
      </c>
      <c r="X54" s="307" t="str">
        <f t="shared" si="8"/>
        <v/>
      </c>
      <c r="Y54" s="307">
        <f t="shared" si="7"/>
        <v>0</v>
      </c>
      <c r="Z54" s="298"/>
    </row>
    <row r="55" s="282" customFormat="1" spans="1:26">
      <c r="A55" s="295" t="s">
        <v>415</v>
      </c>
      <c r="B55" s="296" t="s">
        <v>92</v>
      </c>
      <c r="C55" s="296" t="s">
        <v>45</v>
      </c>
      <c r="D55" s="295" t="s">
        <v>511</v>
      </c>
      <c r="E55" s="296" t="s">
        <v>550</v>
      </c>
      <c r="F55" s="296" t="s">
        <v>156</v>
      </c>
      <c r="G55" s="295" t="s">
        <v>513</v>
      </c>
      <c r="H55" s="295" t="s">
        <v>514</v>
      </c>
      <c r="I55" s="295"/>
      <c r="J55" s="304" t="s">
        <v>156</v>
      </c>
      <c r="K55" s="309" t="s">
        <v>156</v>
      </c>
      <c r="L55" s="306" t="s">
        <v>156</v>
      </c>
      <c r="M55" s="295" t="s">
        <v>156</v>
      </c>
      <c r="N55" s="306">
        <v>16.6</v>
      </c>
      <c r="O55" s="306" t="s">
        <v>156</v>
      </c>
      <c r="P55" s="307">
        <v>16.6</v>
      </c>
      <c r="Q55" s="307" t="s">
        <v>156</v>
      </c>
      <c r="R55" s="298" t="s">
        <v>156</v>
      </c>
      <c r="S55" s="297" t="s">
        <v>156</v>
      </c>
      <c r="T55" s="297" t="s">
        <v>156</v>
      </c>
      <c r="U55" s="307" t="s">
        <v>156</v>
      </c>
      <c r="V55" s="307"/>
      <c r="W55" s="307">
        <f t="shared" si="5"/>
        <v>0</v>
      </c>
      <c r="X55" s="307" t="str">
        <f t="shared" si="8"/>
        <v/>
      </c>
      <c r="Y55" s="307">
        <f t="shared" si="7"/>
        <v>0</v>
      </c>
      <c r="Z55" s="298"/>
    </row>
    <row r="56" s="282" customFormat="1" spans="1:26">
      <c r="A56" s="295" t="s">
        <v>551</v>
      </c>
      <c r="B56" s="296" t="s">
        <v>92</v>
      </c>
      <c r="C56" s="296" t="s">
        <v>45</v>
      </c>
      <c r="D56" s="295" t="s">
        <v>511</v>
      </c>
      <c r="E56" s="296" t="s">
        <v>552</v>
      </c>
      <c r="F56" s="296" t="s">
        <v>156</v>
      </c>
      <c r="G56" s="295" t="s">
        <v>513</v>
      </c>
      <c r="H56" s="295" t="s">
        <v>514</v>
      </c>
      <c r="I56" s="295"/>
      <c r="J56" s="304" t="s">
        <v>156</v>
      </c>
      <c r="K56" s="309" t="s">
        <v>156</v>
      </c>
      <c r="L56" s="306" t="s">
        <v>156</v>
      </c>
      <c r="M56" s="295" t="s">
        <v>156</v>
      </c>
      <c r="N56" s="306">
        <v>16.6</v>
      </c>
      <c r="O56" s="306" t="s">
        <v>156</v>
      </c>
      <c r="P56" s="307">
        <v>16.6</v>
      </c>
      <c r="Q56" s="307" t="s">
        <v>156</v>
      </c>
      <c r="R56" s="298" t="s">
        <v>156</v>
      </c>
      <c r="S56" s="297" t="s">
        <v>156</v>
      </c>
      <c r="T56" s="297" t="s">
        <v>156</v>
      </c>
      <c r="U56" s="307" t="s">
        <v>156</v>
      </c>
      <c r="V56" s="307"/>
      <c r="W56" s="307">
        <f t="shared" si="5"/>
        <v>0</v>
      </c>
      <c r="X56" s="307" t="str">
        <f t="shared" si="8"/>
        <v/>
      </c>
      <c r="Y56" s="307">
        <f t="shared" si="7"/>
        <v>0</v>
      </c>
      <c r="Z56" s="298"/>
    </row>
    <row r="57" s="282" customFormat="1" spans="1:26">
      <c r="A57" s="295" t="s">
        <v>553</v>
      </c>
      <c r="B57" s="296" t="s">
        <v>92</v>
      </c>
      <c r="C57" s="296" t="s">
        <v>45</v>
      </c>
      <c r="D57" s="295" t="s">
        <v>511</v>
      </c>
      <c r="E57" s="296" t="s">
        <v>554</v>
      </c>
      <c r="F57" s="296" t="s">
        <v>156</v>
      </c>
      <c r="G57" s="295" t="s">
        <v>513</v>
      </c>
      <c r="H57" s="295" t="s">
        <v>514</v>
      </c>
      <c r="I57" s="295"/>
      <c r="J57" s="304" t="s">
        <v>156</v>
      </c>
      <c r="K57" s="309" t="s">
        <v>156</v>
      </c>
      <c r="L57" s="306" t="s">
        <v>156</v>
      </c>
      <c r="M57" s="295" t="s">
        <v>156</v>
      </c>
      <c r="N57" s="306">
        <v>60.34</v>
      </c>
      <c r="O57" s="306" t="s">
        <v>156</v>
      </c>
      <c r="P57" s="307">
        <v>60.34</v>
      </c>
      <c r="Q57" s="307" t="s">
        <v>156</v>
      </c>
      <c r="R57" s="298" t="s">
        <v>156</v>
      </c>
      <c r="S57" s="297" t="s">
        <v>156</v>
      </c>
      <c r="T57" s="297" t="s">
        <v>156</v>
      </c>
      <c r="U57" s="307" t="s">
        <v>156</v>
      </c>
      <c r="V57" s="307"/>
      <c r="W57" s="307">
        <f t="shared" si="5"/>
        <v>0</v>
      </c>
      <c r="X57" s="307" t="str">
        <f t="shared" si="8"/>
        <v/>
      </c>
      <c r="Y57" s="307">
        <f t="shared" si="7"/>
        <v>0</v>
      </c>
      <c r="Z57" s="298"/>
    </row>
    <row r="58" s="282" customFormat="1" spans="1:26">
      <c r="A58" s="295" t="s">
        <v>555</v>
      </c>
      <c r="B58" s="296" t="s">
        <v>92</v>
      </c>
      <c r="C58" s="296" t="s">
        <v>45</v>
      </c>
      <c r="D58" s="295" t="s">
        <v>511</v>
      </c>
      <c r="E58" s="296" t="s">
        <v>556</v>
      </c>
      <c r="F58" s="296" t="s">
        <v>156</v>
      </c>
      <c r="G58" s="295" t="s">
        <v>513</v>
      </c>
      <c r="H58" s="295" t="s">
        <v>514</v>
      </c>
      <c r="I58" s="295"/>
      <c r="J58" s="304" t="s">
        <v>156</v>
      </c>
      <c r="K58" s="309" t="s">
        <v>156</v>
      </c>
      <c r="L58" s="306" t="s">
        <v>156</v>
      </c>
      <c r="M58" s="295" t="s">
        <v>156</v>
      </c>
      <c r="N58" s="306">
        <v>7.35</v>
      </c>
      <c r="O58" s="306" t="s">
        <v>156</v>
      </c>
      <c r="P58" s="307">
        <v>7.35</v>
      </c>
      <c r="Q58" s="307" t="s">
        <v>156</v>
      </c>
      <c r="R58" s="298" t="s">
        <v>156</v>
      </c>
      <c r="S58" s="297" t="s">
        <v>156</v>
      </c>
      <c r="T58" s="297" t="s">
        <v>156</v>
      </c>
      <c r="U58" s="307" t="s">
        <v>156</v>
      </c>
      <c r="V58" s="307"/>
      <c r="W58" s="307">
        <f t="shared" si="5"/>
        <v>0</v>
      </c>
      <c r="X58" s="307" t="str">
        <f t="shared" si="8"/>
        <v/>
      </c>
      <c r="Y58" s="307">
        <f t="shared" si="7"/>
        <v>0</v>
      </c>
      <c r="Z58" s="298"/>
    </row>
    <row r="59" s="282" customFormat="1" spans="1:26">
      <c r="A59" s="295" t="s">
        <v>557</v>
      </c>
      <c r="B59" s="296" t="s">
        <v>92</v>
      </c>
      <c r="C59" s="296" t="s">
        <v>45</v>
      </c>
      <c r="D59" s="295" t="s">
        <v>511</v>
      </c>
      <c r="E59" s="296" t="s">
        <v>558</v>
      </c>
      <c r="F59" s="296" t="s">
        <v>156</v>
      </c>
      <c r="G59" s="295" t="s">
        <v>513</v>
      </c>
      <c r="H59" s="295" t="s">
        <v>514</v>
      </c>
      <c r="I59" s="295"/>
      <c r="J59" s="304" t="s">
        <v>156</v>
      </c>
      <c r="K59" s="309" t="s">
        <v>156</v>
      </c>
      <c r="L59" s="306" t="s">
        <v>156</v>
      </c>
      <c r="M59" s="295" t="s">
        <v>156</v>
      </c>
      <c r="N59" s="306">
        <v>9.07</v>
      </c>
      <c r="O59" s="306" t="s">
        <v>156</v>
      </c>
      <c r="P59" s="307">
        <v>9.07</v>
      </c>
      <c r="Q59" s="307" t="s">
        <v>156</v>
      </c>
      <c r="R59" s="298" t="s">
        <v>156</v>
      </c>
      <c r="S59" s="297" t="s">
        <v>156</v>
      </c>
      <c r="T59" s="297" t="s">
        <v>156</v>
      </c>
      <c r="U59" s="307" t="s">
        <v>156</v>
      </c>
      <c r="V59" s="307"/>
      <c r="W59" s="307">
        <f t="shared" si="5"/>
        <v>0</v>
      </c>
      <c r="X59" s="307" t="str">
        <f t="shared" si="8"/>
        <v/>
      </c>
      <c r="Y59" s="307">
        <f t="shared" si="7"/>
        <v>0</v>
      </c>
      <c r="Z59" s="298"/>
    </row>
    <row r="60" s="282" customFormat="1" spans="1:26">
      <c r="A60" s="295" t="s">
        <v>559</v>
      </c>
      <c r="B60" s="296" t="s">
        <v>92</v>
      </c>
      <c r="C60" s="296" t="s">
        <v>45</v>
      </c>
      <c r="D60" s="295" t="s">
        <v>511</v>
      </c>
      <c r="E60" s="296" t="s">
        <v>560</v>
      </c>
      <c r="F60" s="296" t="s">
        <v>156</v>
      </c>
      <c r="G60" s="295" t="s">
        <v>513</v>
      </c>
      <c r="H60" s="295" t="s">
        <v>514</v>
      </c>
      <c r="I60" s="295"/>
      <c r="J60" s="304" t="s">
        <v>156</v>
      </c>
      <c r="K60" s="309" t="s">
        <v>156</v>
      </c>
      <c r="L60" s="306" t="s">
        <v>156</v>
      </c>
      <c r="M60" s="295" t="s">
        <v>156</v>
      </c>
      <c r="N60" s="306">
        <v>6.67</v>
      </c>
      <c r="O60" s="306" t="s">
        <v>156</v>
      </c>
      <c r="P60" s="307">
        <v>6.67</v>
      </c>
      <c r="Q60" s="307" t="s">
        <v>156</v>
      </c>
      <c r="R60" s="298" t="s">
        <v>156</v>
      </c>
      <c r="S60" s="297" t="s">
        <v>156</v>
      </c>
      <c r="T60" s="297" t="s">
        <v>156</v>
      </c>
      <c r="U60" s="307" t="s">
        <v>156</v>
      </c>
      <c r="V60" s="307"/>
      <c r="W60" s="307">
        <f t="shared" si="5"/>
        <v>0</v>
      </c>
      <c r="X60" s="307" t="str">
        <f t="shared" si="8"/>
        <v/>
      </c>
      <c r="Y60" s="307">
        <f t="shared" si="7"/>
        <v>0</v>
      </c>
      <c r="Z60" s="298"/>
    </row>
    <row r="61" s="282" customFormat="1" spans="1:26">
      <c r="A61" s="295" t="s">
        <v>561</v>
      </c>
      <c r="B61" s="296" t="s">
        <v>92</v>
      </c>
      <c r="C61" s="296" t="s">
        <v>45</v>
      </c>
      <c r="D61" s="295" t="s">
        <v>511</v>
      </c>
      <c r="E61" s="296" t="s">
        <v>562</v>
      </c>
      <c r="F61" s="296" t="s">
        <v>156</v>
      </c>
      <c r="G61" s="295" t="s">
        <v>513</v>
      </c>
      <c r="H61" s="295" t="s">
        <v>514</v>
      </c>
      <c r="I61" s="295"/>
      <c r="J61" s="304" t="s">
        <v>156</v>
      </c>
      <c r="K61" s="309" t="s">
        <v>156</v>
      </c>
      <c r="L61" s="306" t="s">
        <v>156</v>
      </c>
      <c r="M61" s="295" t="s">
        <v>156</v>
      </c>
      <c r="N61" s="306">
        <v>6.1</v>
      </c>
      <c r="O61" s="306" t="s">
        <v>156</v>
      </c>
      <c r="P61" s="307">
        <v>6.1</v>
      </c>
      <c r="Q61" s="307" t="s">
        <v>156</v>
      </c>
      <c r="R61" s="298" t="s">
        <v>156</v>
      </c>
      <c r="S61" s="297" t="s">
        <v>156</v>
      </c>
      <c r="T61" s="297" t="s">
        <v>156</v>
      </c>
      <c r="U61" s="307" t="s">
        <v>156</v>
      </c>
      <c r="V61" s="307"/>
      <c r="W61" s="307">
        <f t="shared" si="5"/>
        <v>0</v>
      </c>
      <c r="X61" s="307" t="str">
        <f t="shared" si="8"/>
        <v/>
      </c>
      <c r="Y61" s="307">
        <f t="shared" si="7"/>
        <v>0</v>
      </c>
      <c r="Z61" s="298"/>
    </row>
    <row r="62" s="282" customFormat="1" spans="1:26">
      <c r="A62" s="295" t="s">
        <v>563</v>
      </c>
      <c r="B62" s="296" t="s">
        <v>92</v>
      </c>
      <c r="C62" s="296" t="s">
        <v>45</v>
      </c>
      <c r="D62" s="295" t="s">
        <v>511</v>
      </c>
      <c r="E62" s="296" t="s">
        <v>564</v>
      </c>
      <c r="F62" s="296" t="s">
        <v>156</v>
      </c>
      <c r="G62" s="295" t="s">
        <v>513</v>
      </c>
      <c r="H62" s="295" t="s">
        <v>514</v>
      </c>
      <c r="I62" s="295"/>
      <c r="J62" s="304" t="s">
        <v>156</v>
      </c>
      <c r="K62" s="309" t="s">
        <v>156</v>
      </c>
      <c r="L62" s="306" t="s">
        <v>156</v>
      </c>
      <c r="M62" s="295" t="s">
        <v>156</v>
      </c>
      <c r="N62" s="306">
        <v>12.77</v>
      </c>
      <c r="O62" s="306" t="s">
        <v>156</v>
      </c>
      <c r="P62" s="307">
        <v>12.77</v>
      </c>
      <c r="Q62" s="307" t="s">
        <v>156</v>
      </c>
      <c r="R62" s="298" t="s">
        <v>156</v>
      </c>
      <c r="S62" s="297" t="s">
        <v>156</v>
      </c>
      <c r="T62" s="297" t="s">
        <v>156</v>
      </c>
      <c r="U62" s="307" t="s">
        <v>156</v>
      </c>
      <c r="V62" s="307"/>
      <c r="W62" s="307">
        <f t="shared" si="5"/>
        <v>0</v>
      </c>
      <c r="X62" s="307" t="str">
        <f t="shared" si="8"/>
        <v/>
      </c>
      <c r="Y62" s="307">
        <f t="shared" si="7"/>
        <v>0</v>
      </c>
      <c r="Z62" s="298"/>
    </row>
    <row r="63" s="282" customFormat="1" ht="15.05" spans="1:26">
      <c r="A63" s="295" t="s">
        <v>565</v>
      </c>
      <c r="B63" s="296" t="s">
        <v>95</v>
      </c>
      <c r="C63" s="296" t="s">
        <v>42</v>
      </c>
      <c r="D63" s="295" t="s">
        <v>42</v>
      </c>
      <c r="E63" s="296" t="s">
        <v>388</v>
      </c>
      <c r="F63" s="296" t="s">
        <v>156</v>
      </c>
      <c r="G63" s="295" t="s">
        <v>214</v>
      </c>
      <c r="H63" s="295" t="s">
        <v>389</v>
      </c>
      <c r="I63" s="295" t="s">
        <v>294</v>
      </c>
      <c r="J63" s="304">
        <v>20210008815</v>
      </c>
      <c r="K63" s="309" t="s">
        <v>566</v>
      </c>
      <c r="L63" s="306">
        <v>1045275</v>
      </c>
      <c r="M63" s="295" t="s">
        <v>567</v>
      </c>
      <c r="N63" s="306">
        <v>139.37</v>
      </c>
      <c r="O63" s="306" t="s">
        <v>156</v>
      </c>
      <c r="P63" s="307">
        <v>139.37</v>
      </c>
      <c r="Q63" s="307" t="s">
        <v>156</v>
      </c>
      <c r="R63" s="298" t="s">
        <v>156</v>
      </c>
      <c r="S63" s="563" t="s">
        <v>392</v>
      </c>
      <c r="T63" s="318" t="s">
        <v>568</v>
      </c>
      <c r="U63" s="320">
        <v>958967.89</v>
      </c>
      <c r="V63" s="307">
        <f t="shared" ref="V63:V88" si="9">ROUND(U63*0.09,2)</f>
        <v>86307.11</v>
      </c>
      <c r="W63" s="307">
        <f t="shared" si="5"/>
        <v>1045275</v>
      </c>
      <c r="X63" s="307">
        <f t="shared" si="8"/>
        <v>958967.89</v>
      </c>
      <c r="Y63" s="307">
        <f t="shared" si="7"/>
        <v>6880.73</v>
      </c>
      <c r="Z63" s="298"/>
    </row>
    <row r="64" s="282" customFormat="1" ht="15.05" spans="1:26">
      <c r="A64" s="295" t="s">
        <v>569</v>
      </c>
      <c r="B64" s="296" t="s">
        <v>95</v>
      </c>
      <c r="C64" s="296" t="s">
        <v>42</v>
      </c>
      <c r="D64" s="295" t="s">
        <v>42</v>
      </c>
      <c r="E64" s="296" t="s">
        <v>395</v>
      </c>
      <c r="F64" s="296" t="s">
        <v>156</v>
      </c>
      <c r="G64" s="295" t="s">
        <v>214</v>
      </c>
      <c r="H64" s="295" t="s">
        <v>389</v>
      </c>
      <c r="I64" s="295" t="s">
        <v>294</v>
      </c>
      <c r="J64" s="304">
        <v>20230000843</v>
      </c>
      <c r="K64" s="309" t="s">
        <v>570</v>
      </c>
      <c r="L64" s="306">
        <v>1010000</v>
      </c>
      <c r="M64" s="295" t="s">
        <v>571</v>
      </c>
      <c r="N64" s="306">
        <v>138.95</v>
      </c>
      <c r="O64" s="306" t="s">
        <v>156</v>
      </c>
      <c r="P64" s="307">
        <v>138.95</v>
      </c>
      <c r="Q64" s="307" t="s">
        <v>156</v>
      </c>
      <c r="R64" s="298" t="s">
        <v>156</v>
      </c>
      <c r="S64" s="563" t="s">
        <v>392</v>
      </c>
      <c r="T64" s="318" t="s">
        <v>572</v>
      </c>
      <c r="U64" s="321">
        <v>926605.5</v>
      </c>
      <c r="V64" s="307">
        <f t="shared" si="9"/>
        <v>83394.5</v>
      </c>
      <c r="W64" s="307">
        <f t="shared" si="5"/>
        <v>1010000</v>
      </c>
      <c r="X64" s="307">
        <f t="shared" si="8"/>
        <v>926605.5</v>
      </c>
      <c r="Y64" s="307">
        <f t="shared" si="7"/>
        <v>6668.63</v>
      </c>
      <c r="Z64" s="298"/>
    </row>
    <row r="65" s="282" customFormat="1" ht="15.05" spans="1:26">
      <c r="A65" s="295" t="s">
        <v>573</v>
      </c>
      <c r="B65" s="296" t="s">
        <v>95</v>
      </c>
      <c r="C65" s="296" t="s">
        <v>42</v>
      </c>
      <c r="D65" s="295" t="s">
        <v>45</v>
      </c>
      <c r="E65" s="296" t="s">
        <v>400</v>
      </c>
      <c r="F65" s="296" t="s">
        <v>156</v>
      </c>
      <c r="G65" s="295" t="s">
        <v>214</v>
      </c>
      <c r="H65" s="295" t="s">
        <v>389</v>
      </c>
      <c r="I65" s="295" t="s">
        <v>294</v>
      </c>
      <c r="J65" s="304">
        <v>20200009170</v>
      </c>
      <c r="K65" s="309" t="s">
        <v>421</v>
      </c>
      <c r="L65" s="306">
        <v>603288</v>
      </c>
      <c r="M65" s="295" t="s">
        <v>574</v>
      </c>
      <c r="N65" s="306">
        <v>139.37</v>
      </c>
      <c r="O65" s="306" t="s">
        <v>156</v>
      </c>
      <c r="P65" s="307">
        <v>139.37</v>
      </c>
      <c r="Q65" s="307" t="s">
        <v>156</v>
      </c>
      <c r="R65" s="298" t="s">
        <v>156</v>
      </c>
      <c r="S65" s="563" t="s">
        <v>392</v>
      </c>
      <c r="T65" s="318" t="s">
        <v>575</v>
      </c>
      <c r="U65" s="320">
        <v>553475.23</v>
      </c>
      <c r="V65" s="307">
        <f t="shared" si="9"/>
        <v>49812.77</v>
      </c>
      <c r="W65" s="307">
        <f t="shared" si="5"/>
        <v>603288</v>
      </c>
      <c r="X65" s="307">
        <f t="shared" si="8"/>
        <v>553475.23</v>
      </c>
      <c r="Y65" s="307">
        <f t="shared" si="7"/>
        <v>3971.27</v>
      </c>
      <c r="Z65" s="298"/>
    </row>
    <row r="66" s="282" customFormat="1" ht="15.05" spans="1:26">
      <c r="A66" s="295" t="s">
        <v>576</v>
      </c>
      <c r="B66" s="296" t="s">
        <v>95</v>
      </c>
      <c r="C66" s="296" t="s">
        <v>42</v>
      </c>
      <c r="D66" s="295" t="s">
        <v>45</v>
      </c>
      <c r="E66" s="296" t="s">
        <v>405</v>
      </c>
      <c r="F66" s="296" t="s">
        <v>156</v>
      </c>
      <c r="G66" s="295" t="s">
        <v>214</v>
      </c>
      <c r="H66" s="295" t="s">
        <v>389</v>
      </c>
      <c r="I66" s="295" t="s">
        <v>294</v>
      </c>
      <c r="J66" s="304">
        <v>20200008008</v>
      </c>
      <c r="K66" s="309" t="s">
        <v>492</v>
      </c>
      <c r="L66" s="306">
        <v>601470</v>
      </c>
      <c r="M66" s="295" t="s">
        <v>577</v>
      </c>
      <c r="N66" s="306">
        <v>138.95</v>
      </c>
      <c r="O66" s="306" t="s">
        <v>156</v>
      </c>
      <c r="P66" s="307">
        <v>138.95</v>
      </c>
      <c r="Q66" s="307" t="s">
        <v>156</v>
      </c>
      <c r="R66" s="298" t="s">
        <v>156</v>
      </c>
      <c r="S66" s="563" t="s">
        <v>392</v>
      </c>
      <c r="T66" s="318" t="s">
        <v>578</v>
      </c>
      <c r="U66" s="321">
        <v>551807.34</v>
      </c>
      <c r="V66" s="307">
        <f t="shared" si="9"/>
        <v>49662.66</v>
      </c>
      <c r="W66" s="307">
        <f t="shared" si="5"/>
        <v>601470</v>
      </c>
      <c r="X66" s="307">
        <f t="shared" si="8"/>
        <v>551807.34</v>
      </c>
      <c r="Y66" s="307">
        <f t="shared" si="7"/>
        <v>3971.27</v>
      </c>
      <c r="Z66" s="298"/>
    </row>
    <row r="67" s="282" customFormat="1" spans="1:26">
      <c r="A67" s="295" t="s">
        <v>579</v>
      </c>
      <c r="B67" s="296" t="s">
        <v>95</v>
      </c>
      <c r="C67" s="296" t="s">
        <v>42</v>
      </c>
      <c r="D67" s="295" t="s">
        <v>48</v>
      </c>
      <c r="E67" s="296" t="s">
        <v>410</v>
      </c>
      <c r="F67" s="296" t="s">
        <v>156</v>
      </c>
      <c r="G67" s="295" t="s">
        <v>214</v>
      </c>
      <c r="H67" s="295" t="s">
        <v>389</v>
      </c>
      <c r="I67" s="295" t="s">
        <v>294</v>
      </c>
      <c r="J67" s="304">
        <v>20200008472</v>
      </c>
      <c r="K67" s="309" t="s">
        <v>580</v>
      </c>
      <c r="L67" s="306">
        <v>610351</v>
      </c>
      <c r="M67" s="295" t="s">
        <v>581</v>
      </c>
      <c r="N67" s="306">
        <v>139.37</v>
      </c>
      <c r="O67" s="306" t="s">
        <v>156</v>
      </c>
      <c r="P67" s="307">
        <v>139.37</v>
      </c>
      <c r="Q67" s="307" t="s">
        <v>156</v>
      </c>
      <c r="R67" s="298" t="s">
        <v>156</v>
      </c>
      <c r="S67" s="563" t="s">
        <v>392</v>
      </c>
      <c r="T67" s="564" t="s">
        <v>582</v>
      </c>
      <c r="U67" s="323">
        <v>559955.05</v>
      </c>
      <c r="V67" s="307">
        <f t="shared" si="9"/>
        <v>50395.95</v>
      </c>
      <c r="W67" s="307">
        <f t="shared" si="5"/>
        <v>610351</v>
      </c>
      <c r="X67" s="307">
        <f t="shared" si="8"/>
        <v>559955.05</v>
      </c>
      <c r="Y67" s="307">
        <f t="shared" si="7"/>
        <v>4017.76</v>
      </c>
      <c r="Z67" s="298"/>
    </row>
    <row r="68" s="282" customFormat="1" ht="15.05" spans="1:26">
      <c r="A68" s="295" t="s">
        <v>583</v>
      </c>
      <c r="B68" s="296" t="s">
        <v>95</v>
      </c>
      <c r="C68" s="296" t="s">
        <v>42</v>
      </c>
      <c r="D68" s="295" t="s">
        <v>48</v>
      </c>
      <c r="E68" s="296" t="s">
        <v>415</v>
      </c>
      <c r="F68" s="296" t="s">
        <v>156</v>
      </c>
      <c r="G68" s="295" t="s">
        <v>214</v>
      </c>
      <c r="H68" s="295" t="s">
        <v>389</v>
      </c>
      <c r="I68" s="295" t="s">
        <v>294</v>
      </c>
      <c r="J68" s="304">
        <v>20200008006</v>
      </c>
      <c r="K68" s="309" t="s">
        <v>492</v>
      </c>
      <c r="L68" s="306">
        <v>608512</v>
      </c>
      <c r="M68" s="295" t="s">
        <v>584</v>
      </c>
      <c r="N68" s="306">
        <v>138.95</v>
      </c>
      <c r="O68" s="306" t="s">
        <v>156</v>
      </c>
      <c r="P68" s="307">
        <v>138.95</v>
      </c>
      <c r="Q68" s="307" t="s">
        <v>156</v>
      </c>
      <c r="R68" s="298" t="s">
        <v>156</v>
      </c>
      <c r="S68" s="563" t="s">
        <v>392</v>
      </c>
      <c r="T68" s="318" t="s">
        <v>585</v>
      </c>
      <c r="U68" s="320">
        <v>558267.89</v>
      </c>
      <c r="V68" s="307">
        <f t="shared" si="9"/>
        <v>50244.11</v>
      </c>
      <c r="W68" s="307">
        <f t="shared" si="5"/>
        <v>608512</v>
      </c>
      <c r="X68" s="307">
        <f t="shared" si="8"/>
        <v>558267.89</v>
      </c>
      <c r="Y68" s="307">
        <f t="shared" si="7"/>
        <v>4017.76</v>
      </c>
      <c r="Z68" s="298"/>
    </row>
    <row r="69" s="282" customFormat="1" ht="15.05" spans="1:26">
      <c r="A69" s="295" t="s">
        <v>586</v>
      </c>
      <c r="B69" s="296" t="s">
        <v>95</v>
      </c>
      <c r="C69" s="296" t="s">
        <v>42</v>
      </c>
      <c r="D69" s="295" t="s">
        <v>92</v>
      </c>
      <c r="E69" s="296" t="s">
        <v>420</v>
      </c>
      <c r="F69" s="296" t="s">
        <v>156</v>
      </c>
      <c r="G69" s="295" t="s">
        <v>214</v>
      </c>
      <c r="H69" s="295" t="s">
        <v>389</v>
      </c>
      <c r="I69" s="295" t="s">
        <v>294</v>
      </c>
      <c r="J69" s="304">
        <v>20200009828</v>
      </c>
      <c r="K69" s="309" t="s">
        <v>587</v>
      </c>
      <c r="L69" s="306">
        <v>632705</v>
      </c>
      <c r="M69" s="295" t="s">
        <v>588</v>
      </c>
      <c r="N69" s="306">
        <v>139.37</v>
      </c>
      <c r="O69" s="306" t="s">
        <v>156</v>
      </c>
      <c r="P69" s="307">
        <v>139.37</v>
      </c>
      <c r="Q69" s="307" t="s">
        <v>156</v>
      </c>
      <c r="R69" s="298" t="s">
        <v>156</v>
      </c>
      <c r="S69" s="563" t="s">
        <v>392</v>
      </c>
      <c r="T69" s="318" t="s">
        <v>589</v>
      </c>
      <c r="U69" s="321">
        <v>580463.3</v>
      </c>
      <c r="V69" s="307">
        <f t="shared" si="9"/>
        <v>52241.7</v>
      </c>
      <c r="W69" s="307">
        <f t="shared" si="5"/>
        <v>632705</v>
      </c>
      <c r="X69" s="307">
        <f t="shared" si="8"/>
        <v>580463.3</v>
      </c>
      <c r="Y69" s="307">
        <f t="shared" si="7"/>
        <v>4164.91</v>
      </c>
      <c r="Z69" s="298"/>
    </row>
    <row r="70" s="282" customFormat="1" ht="23.8" spans="1:26">
      <c r="A70" s="295" t="s">
        <v>590</v>
      </c>
      <c r="B70" s="296" t="s">
        <v>95</v>
      </c>
      <c r="C70" s="296" t="s">
        <v>42</v>
      </c>
      <c r="D70" s="295" t="s">
        <v>92</v>
      </c>
      <c r="E70" s="296" t="s">
        <v>425</v>
      </c>
      <c r="F70" s="296" t="s">
        <v>156</v>
      </c>
      <c r="G70" s="295" t="s">
        <v>214</v>
      </c>
      <c r="H70" s="295" t="s">
        <v>389</v>
      </c>
      <c r="I70" s="295" t="s">
        <v>294</v>
      </c>
      <c r="J70" s="304">
        <v>20200008329</v>
      </c>
      <c r="K70" s="309" t="s">
        <v>591</v>
      </c>
      <c r="L70" s="306">
        <v>612276</v>
      </c>
      <c r="M70" s="295" t="s">
        <v>592</v>
      </c>
      <c r="N70" s="306">
        <v>138.95</v>
      </c>
      <c r="O70" s="306" t="s">
        <v>156</v>
      </c>
      <c r="P70" s="307">
        <v>138.95</v>
      </c>
      <c r="Q70" s="307" t="s">
        <v>156</v>
      </c>
      <c r="R70" s="298" t="s">
        <v>156</v>
      </c>
      <c r="S70" s="563" t="s">
        <v>392</v>
      </c>
      <c r="T70" s="318" t="s">
        <v>593</v>
      </c>
      <c r="U70" s="320">
        <v>561721.1</v>
      </c>
      <c r="V70" s="307">
        <f t="shared" si="9"/>
        <v>50554.9</v>
      </c>
      <c r="W70" s="307">
        <f t="shared" si="5"/>
        <v>612276</v>
      </c>
      <c r="X70" s="307">
        <f t="shared" si="8"/>
        <v>561721.1</v>
      </c>
      <c r="Y70" s="307">
        <f t="shared" si="7"/>
        <v>4042.61</v>
      </c>
      <c r="Z70" s="298"/>
    </row>
    <row r="71" s="282" customFormat="1" ht="23.8" spans="1:26">
      <c r="A71" s="295" t="s">
        <v>594</v>
      </c>
      <c r="B71" s="296" t="s">
        <v>95</v>
      </c>
      <c r="C71" s="296" t="s">
        <v>42</v>
      </c>
      <c r="D71" s="295" t="s">
        <v>95</v>
      </c>
      <c r="E71" s="296" t="s">
        <v>430</v>
      </c>
      <c r="F71" s="296" t="s">
        <v>156</v>
      </c>
      <c r="G71" s="295" t="s">
        <v>214</v>
      </c>
      <c r="H71" s="295" t="s">
        <v>389</v>
      </c>
      <c r="I71" s="295" t="s">
        <v>294</v>
      </c>
      <c r="J71" s="304">
        <v>20200011439</v>
      </c>
      <c r="K71" s="309" t="s">
        <v>595</v>
      </c>
      <c r="L71" s="306">
        <v>624617</v>
      </c>
      <c r="M71" s="295" t="s">
        <v>596</v>
      </c>
      <c r="N71" s="306">
        <v>139.37</v>
      </c>
      <c r="O71" s="306" t="s">
        <v>156</v>
      </c>
      <c r="P71" s="307">
        <v>139.37</v>
      </c>
      <c r="Q71" s="307" t="s">
        <v>156</v>
      </c>
      <c r="R71" s="298" t="s">
        <v>156</v>
      </c>
      <c r="S71" s="563" t="s">
        <v>392</v>
      </c>
      <c r="T71" s="318" t="s">
        <v>597</v>
      </c>
      <c r="U71" s="324">
        <v>573043.12</v>
      </c>
      <c r="V71" s="307">
        <f t="shared" si="9"/>
        <v>51573.88</v>
      </c>
      <c r="W71" s="307">
        <f t="shared" ref="W71:W134" si="10">SUM(U71)+SUM(V71)</f>
        <v>624617</v>
      </c>
      <c r="X71" s="307">
        <f t="shared" si="8"/>
        <v>573043.12</v>
      </c>
      <c r="Y71" s="307">
        <f t="shared" ref="Y71:Y134" si="11">IF(SUM(P71)=0,"",ROUND(SUM(X71)/SUM(P71),2))</f>
        <v>4111.67</v>
      </c>
      <c r="Z71" s="298"/>
    </row>
    <row r="72" s="282" customFormat="1" spans="1:26">
      <c r="A72" s="295" t="s">
        <v>598</v>
      </c>
      <c r="B72" s="296" t="s">
        <v>95</v>
      </c>
      <c r="C72" s="296" t="s">
        <v>42</v>
      </c>
      <c r="D72" s="295" t="s">
        <v>95</v>
      </c>
      <c r="E72" s="296" t="s">
        <v>435</v>
      </c>
      <c r="F72" s="296" t="s">
        <v>156</v>
      </c>
      <c r="G72" s="295" t="s">
        <v>214</v>
      </c>
      <c r="H72" s="295" t="s">
        <v>389</v>
      </c>
      <c r="I72" s="295" t="s">
        <v>294</v>
      </c>
      <c r="J72" s="304">
        <v>20200009174</v>
      </c>
      <c r="K72" s="309" t="s">
        <v>421</v>
      </c>
      <c r="L72" s="306">
        <v>622040</v>
      </c>
      <c r="M72" s="295" t="s">
        <v>599</v>
      </c>
      <c r="N72" s="306">
        <v>138.95</v>
      </c>
      <c r="O72" s="306" t="s">
        <v>156</v>
      </c>
      <c r="P72" s="307">
        <v>138.95</v>
      </c>
      <c r="Q72" s="307" t="s">
        <v>156</v>
      </c>
      <c r="R72" s="298" t="s">
        <v>156</v>
      </c>
      <c r="S72" s="563" t="s">
        <v>392</v>
      </c>
      <c r="T72" s="325" t="s">
        <v>600</v>
      </c>
      <c r="U72" s="323">
        <v>570678.9</v>
      </c>
      <c r="V72" s="307">
        <f t="shared" si="9"/>
        <v>51361.1</v>
      </c>
      <c r="W72" s="307">
        <f t="shared" si="10"/>
        <v>622040</v>
      </c>
      <c r="X72" s="307">
        <f t="shared" si="8"/>
        <v>570678.9</v>
      </c>
      <c r="Y72" s="307">
        <f t="shared" si="11"/>
        <v>4107.08</v>
      </c>
      <c r="Z72" s="298"/>
    </row>
    <row r="73" s="282" customFormat="1" ht="23.8" spans="1:26">
      <c r="A73" s="295" t="s">
        <v>601</v>
      </c>
      <c r="B73" s="296" t="s">
        <v>95</v>
      </c>
      <c r="C73" s="296" t="s">
        <v>42</v>
      </c>
      <c r="D73" s="295" t="s">
        <v>99</v>
      </c>
      <c r="E73" s="296" t="s">
        <v>440</v>
      </c>
      <c r="F73" s="296" t="s">
        <v>156</v>
      </c>
      <c r="G73" s="295" t="s">
        <v>214</v>
      </c>
      <c r="H73" s="295" t="s">
        <v>389</v>
      </c>
      <c r="I73" s="295" t="s">
        <v>294</v>
      </c>
      <c r="J73" s="304">
        <v>20200011438</v>
      </c>
      <c r="K73" s="309" t="s">
        <v>595</v>
      </c>
      <c r="L73" s="306">
        <v>630984</v>
      </c>
      <c r="M73" s="295" t="s">
        <v>602</v>
      </c>
      <c r="N73" s="306">
        <v>139.37</v>
      </c>
      <c r="O73" s="306" t="s">
        <v>156</v>
      </c>
      <c r="P73" s="307">
        <v>139.37</v>
      </c>
      <c r="Q73" s="307" t="s">
        <v>156</v>
      </c>
      <c r="R73" s="298" t="s">
        <v>156</v>
      </c>
      <c r="S73" s="563" t="s">
        <v>392</v>
      </c>
      <c r="T73" s="318" t="s">
        <v>603</v>
      </c>
      <c r="U73" s="321">
        <v>578884.4</v>
      </c>
      <c r="V73" s="307">
        <f t="shared" si="9"/>
        <v>52099.6</v>
      </c>
      <c r="W73" s="307">
        <f t="shared" si="10"/>
        <v>630984</v>
      </c>
      <c r="X73" s="307">
        <f t="shared" si="8"/>
        <v>578884.4</v>
      </c>
      <c r="Y73" s="307">
        <f t="shared" si="11"/>
        <v>4153.58</v>
      </c>
      <c r="Z73" s="298"/>
    </row>
    <row r="74" s="282" customFormat="1" ht="23.8" spans="1:26">
      <c r="A74" s="295" t="s">
        <v>604</v>
      </c>
      <c r="B74" s="296" t="s">
        <v>95</v>
      </c>
      <c r="C74" s="296" t="s">
        <v>42</v>
      </c>
      <c r="D74" s="295" t="s">
        <v>99</v>
      </c>
      <c r="E74" s="296" t="s">
        <v>444</v>
      </c>
      <c r="F74" s="296" t="s">
        <v>156</v>
      </c>
      <c r="G74" s="295" t="s">
        <v>214</v>
      </c>
      <c r="H74" s="295" t="s">
        <v>389</v>
      </c>
      <c r="I74" s="295" t="s">
        <v>294</v>
      </c>
      <c r="J74" s="304">
        <v>20200009642</v>
      </c>
      <c r="K74" s="309" t="s">
        <v>605</v>
      </c>
      <c r="L74" s="306">
        <v>628387</v>
      </c>
      <c r="M74" s="295" t="s">
        <v>606</v>
      </c>
      <c r="N74" s="306">
        <v>138.95</v>
      </c>
      <c r="O74" s="306" t="s">
        <v>156</v>
      </c>
      <c r="P74" s="307">
        <v>138.95</v>
      </c>
      <c r="Q74" s="307" t="s">
        <v>156</v>
      </c>
      <c r="R74" s="298" t="s">
        <v>156</v>
      </c>
      <c r="S74" s="563" t="s">
        <v>392</v>
      </c>
      <c r="T74" s="318" t="s">
        <v>607</v>
      </c>
      <c r="U74" s="320">
        <v>576501.83</v>
      </c>
      <c r="V74" s="307">
        <f t="shared" si="9"/>
        <v>51885.16</v>
      </c>
      <c r="W74" s="307">
        <f t="shared" si="10"/>
        <v>628386.99</v>
      </c>
      <c r="X74" s="307">
        <f t="shared" si="8"/>
        <v>576501.83</v>
      </c>
      <c r="Y74" s="307">
        <f t="shared" si="11"/>
        <v>4148.99</v>
      </c>
      <c r="Z74" s="298"/>
    </row>
    <row r="75" s="282" customFormat="1" ht="15.05" spans="1:26">
      <c r="A75" s="295" t="s">
        <v>608</v>
      </c>
      <c r="B75" s="296" t="s">
        <v>95</v>
      </c>
      <c r="C75" s="296" t="s">
        <v>42</v>
      </c>
      <c r="D75" s="295" t="s">
        <v>102</v>
      </c>
      <c r="E75" s="296" t="s">
        <v>448</v>
      </c>
      <c r="F75" s="296" t="s">
        <v>156</v>
      </c>
      <c r="G75" s="295" t="s">
        <v>215</v>
      </c>
      <c r="H75" s="295" t="s">
        <v>389</v>
      </c>
      <c r="I75" s="295" t="s">
        <v>294</v>
      </c>
      <c r="J75" s="304">
        <v>20210001090</v>
      </c>
      <c r="K75" s="309" t="s">
        <v>609</v>
      </c>
      <c r="L75" s="306">
        <v>949000</v>
      </c>
      <c r="M75" s="295" t="s">
        <v>610</v>
      </c>
      <c r="N75" s="306">
        <v>209.22</v>
      </c>
      <c r="O75" s="306" t="s">
        <v>156</v>
      </c>
      <c r="P75" s="307">
        <v>209.22</v>
      </c>
      <c r="Q75" s="307" t="s">
        <v>156</v>
      </c>
      <c r="R75" s="298" t="s">
        <v>156</v>
      </c>
      <c r="S75" s="563" t="s">
        <v>392</v>
      </c>
      <c r="T75" s="318" t="s">
        <v>611</v>
      </c>
      <c r="U75" s="320">
        <v>870642.2</v>
      </c>
      <c r="V75" s="307">
        <f t="shared" si="9"/>
        <v>78357.8</v>
      </c>
      <c r="W75" s="307">
        <f t="shared" si="10"/>
        <v>949000</v>
      </c>
      <c r="X75" s="307">
        <f t="shared" si="8"/>
        <v>870642.2</v>
      </c>
      <c r="Y75" s="307">
        <f t="shared" si="11"/>
        <v>4161.37</v>
      </c>
      <c r="Z75" s="298"/>
    </row>
    <row r="76" s="282" customFormat="1" ht="23.8" spans="1:26">
      <c r="A76" s="295" t="s">
        <v>612</v>
      </c>
      <c r="B76" s="296" t="s">
        <v>95</v>
      </c>
      <c r="C76" s="296" t="s">
        <v>42</v>
      </c>
      <c r="D76" s="295" t="s">
        <v>102</v>
      </c>
      <c r="E76" s="296" t="s">
        <v>452</v>
      </c>
      <c r="F76" s="296" t="s">
        <v>156</v>
      </c>
      <c r="G76" s="295" t="s">
        <v>215</v>
      </c>
      <c r="H76" s="295" t="s">
        <v>389</v>
      </c>
      <c r="I76" s="295" t="s">
        <v>294</v>
      </c>
      <c r="J76" s="304">
        <v>20210006402</v>
      </c>
      <c r="K76" s="309" t="s">
        <v>613</v>
      </c>
      <c r="L76" s="306">
        <v>900000</v>
      </c>
      <c r="M76" s="295" t="s">
        <v>614</v>
      </c>
      <c r="N76" s="306">
        <v>208.8</v>
      </c>
      <c r="O76" s="306" t="s">
        <v>156</v>
      </c>
      <c r="P76" s="307">
        <v>208.8</v>
      </c>
      <c r="Q76" s="307" t="s">
        <v>156</v>
      </c>
      <c r="R76" s="298" t="s">
        <v>156</v>
      </c>
      <c r="S76" s="563" t="s">
        <v>392</v>
      </c>
      <c r="T76" s="318" t="s">
        <v>615</v>
      </c>
      <c r="U76" s="320">
        <v>825688.07</v>
      </c>
      <c r="V76" s="307">
        <f t="shared" si="9"/>
        <v>74311.93</v>
      </c>
      <c r="W76" s="307">
        <f t="shared" si="10"/>
        <v>900000</v>
      </c>
      <c r="X76" s="307">
        <f t="shared" si="8"/>
        <v>825688.07</v>
      </c>
      <c r="Y76" s="307">
        <f t="shared" si="11"/>
        <v>3954.44</v>
      </c>
      <c r="Z76" s="298"/>
    </row>
    <row r="77" s="282" customFormat="1" ht="23.8" spans="1:26">
      <c r="A77" s="295" t="s">
        <v>616</v>
      </c>
      <c r="B77" s="296" t="s">
        <v>95</v>
      </c>
      <c r="C77" s="296" t="s">
        <v>45</v>
      </c>
      <c r="D77" s="295" t="s">
        <v>42</v>
      </c>
      <c r="E77" s="296" t="s">
        <v>388</v>
      </c>
      <c r="F77" s="296" t="s">
        <v>156</v>
      </c>
      <c r="G77" s="295" t="s">
        <v>214</v>
      </c>
      <c r="H77" s="295" t="s">
        <v>389</v>
      </c>
      <c r="I77" s="295" t="s">
        <v>294</v>
      </c>
      <c r="J77" s="304">
        <v>20210008427</v>
      </c>
      <c r="K77" s="309" t="s">
        <v>617</v>
      </c>
      <c r="L77" s="306">
        <v>1042125</v>
      </c>
      <c r="M77" s="295" t="s">
        <v>618</v>
      </c>
      <c r="N77" s="306">
        <v>138.95</v>
      </c>
      <c r="O77" s="306" t="s">
        <v>156</v>
      </c>
      <c r="P77" s="307">
        <v>138.95</v>
      </c>
      <c r="Q77" s="307" t="s">
        <v>156</v>
      </c>
      <c r="R77" s="298" t="s">
        <v>156</v>
      </c>
      <c r="S77" s="563" t="s">
        <v>392</v>
      </c>
      <c r="T77" s="318" t="s">
        <v>619</v>
      </c>
      <c r="U77" s="323">
        <v>956077.98</v>
      </c>
      <c r="V77" s="307">
        <f t="shared" si="9"/>
        <v>86047.02</v>
      </c>
      <c r="W77" s="307">
        <f t="shared" si="10"/>
        <v>1042125</v>
      </c>
      <c r="X77" s="307">
        <f t="shared" si="8"/>
        <v>956077.98</v>
      </c>
      <c r="Y77" s="307">
        <f t="shared" si="11"/>
        <v>6880.73</v>
      </c>
      <c r="Z77" s="298"/>
    </row>
    <row r="78" s="282" customFormat="1" ht="15.05" spans="1:26">
      <c r="A78" s="295" t="s">
        <v>620</v>
      </c>
      <c r="B78" s="296" t="s">
        <v>95</v>
      </c>
      <c r="C78" s="296" t="s">
        <v>45</v>
      </c>
      <c r="D78" s="295" t="s">
        <v>42</v>
      </c>
      <c r="E78" s="296" t="s">
        <v>395</v>
      </c>
      <c r="F78" s="296" t="s">
        <v>156</v>
      </c>
      <c r="G78" s="295" t="s">
        <v>214</v>
      </c>
      <c r="H78" s="295" t="s">
        <v>389</v>
      </c>
      <c r="I78" s="295" t="s">
        <v>294</v>
      </c>
      <c r="J78" s="304">
        <v>20210010650</v>
      </c>
      <c r="K78" s="309" t="s">
        <v>621</v>
      </c>
      <c r="L78" s="306">
        <v>1043463</v>
      </c>
      <c r="M78" s="295" t="s">
        <v>622</v>
      </c>
      <c r="N78" s="306">
        <v>139.37</v>
      </c>
      <c r="O78" s="306" t="s">
        <v>156</v>
      </c>
      <c r="P78" s="307">
        <v>139.37</v>
      </c>
      <c r="Q78" s="307" t="s">
        <v>156</v>
      </c>
      <c r="R78" s="298" t="s">
        <v>156</v>
      </c>
      <c r="S78" s="563" t="s">
        <v>392</v>
      </c>
      <c r="T78" s="318" t="s">
        <v>623</v>
      </c>
      <c r="U78" s="321">
        <v>957305.5</v>
      </c>
      <c r="V78" s="307">
        <f t="shared" si="9"/>
        <v>86157.5</v>
      </c>
      <c r="W78" s="307">
        <f t="shared" si="10"/>
        <v>1043463</v>
      </c>
      <c r="X78" s="307">
        <f t="shared" si="8"/>
        <v>957305.5</v>
      </c>
      <c r="Y78" s="307">
        <f t="shared" si="11"/>
        <v>6868.81</v>
      </c>
      <c r="Z78" s="298"/>
    </row>
    <row r="79" s="282" customFormat="1" ht="15.05" spans="1:26">
      <c r="A79" s="295" t="s">
        <v>624</v>
      </c>
      <c r="B79" s="296" t="s">
        <v>95</v>
      </c>
      <c r="C79" s="296" t="s">
        <v>45</v>
      </c>
      <c r="D79" s="295" t="s">
        <v>45</v>
      </c>
      <c r="E79" s="296" t="s">
        <v>400</v>
      </c>
      <c r="F79" s="296" t="s">
        <v>156</v>
      </c>
      <c r="G79" s="295" t="s">
        <v>214</v>
      </c>
      <c r="H79" s="295" t="s">
        <v>389</v>
      </c>
      <c r="I79" s="295" t="s">
        <v>294</v>
      </c>
      <c r="J79" s="304">
        <v>20210004490</v>
      </c>
      <c r="K79" s="309" t="s">
        <v>625</v>
      </c>
      <c r="L79" s="306">
        <v>616521</v>
      </c>
      <c r="M79" s="295" t="s">
        <v>626</v>
      </c>
      <c r="N79" s="306">
        <v>138.95</v>
      </c>
      <c r="O79" s="306" t="s">
        <v>156</v>
      </c>
      <c r="P79" s="307">
        <v>138.95</v>
      </c>
      <c r="Q79" s="307" t="s">
        <v>156</v>
      </c>
      <c r="R79" s="298" t="s">
        <v>156</v>
      </c>
      <c r="S79" s="563" t="s">
        <v>392</v>
      </c>
      <c r="T79" s="318" t="s">
        <v>627</v>
      </c>
      <c r="U79" s="316">
        <v>565615.6</v>
      </c>
      <c r="V79" s="307">
        <f t="shared" si="9"/>
        <v>50905.4</v>
      </c>
      <c r="W79" s="307">
        <f t="shared" si="10"/>
        <v>616521</v>
      </c>
      <c r="X79" s="307">
        <f t="shared" si="8"/>
        <v>565615.6</v>
      </c>
      <c r="Y79" s="307">
        <f t="shared" si="11"/>
        <v>4070.64</v>
      </c>
      <c r="Z79" s="298"/>
    </row>
    <row r="80" s="282" customFormat="1" ht="15.05" spans="1:26">
      <c r="A80" s="295" t="s">
        <v>628</v>
      </c>
      <c r="B80" s="296" t="s">
        <v>95</v>
      </c>
      <c r="C80" s="296" t="s">
        <v>45</v>
      </c>
      <c r="D80" s="295" t="s">
        <v>45</v>
      </c>
      <c r="E80" s="296" t="s">
        <v>405</v>
      </c>
      <c r="F80" s="296" t="s">
        <v>156</v>
      </c>
      <c r="G80" s="295" t="s">
        <v>214</v>
      </c>
      <c r="H80" s="295" t="s">
        <v>389</v>
      </c>
      <c r="I80" s="295" t="s">
        <v>294</v>
      </c>
      <c r="J80" s="304">
        <v>20200007963</v>
      </c>
      <c r="K80" s="309" t="s">
        <v>629</v>
      </c>
      <c r="L80" s="306">
        <v>602000</v>
      </c>
      <c r="M80" s="295" t="s">
        <v>630</v>
      </c>
      <c r="N80" s="306">
        <v>139.37</v>
      </c>
      <c r="O80" s="306" t="s">
        <v>156</v>
      </c>
      <c r="P80" s="307">
        <v>139.37</v>
      </c>
      <c r="Q80" s="307" t="s">
        <v>156</v>
      </c>
      <c r="R80" s="298" t="s">
        <v>156</v>
      </c>
      <c r="S80" s="563" t="s">
        <v>392</v>
      </c>
      <c r="T80" s="318" t="s">
        <v>631</v>
      </c>
      <c r="U80" s="316">
        <v>552293.58</v>
      </c>
      <c r="V80" s="307">
        <f t="shared" si="9"/>
        <v>49706.42</v>
      </c>
      <c r="W80" s="307">
        <f t="shared" si="10"/>
        <v>602000</v>
      </c>
      <c r="X80" s="307">
        <f t="shared" si="8"/>
        <v>552293.58</v>
      </c>
      <c r="Y80" s="307">
        <f t="shared" si="11"/>
        <v>3962.79</v>
      </c>
      <c r="Z80" s="298"/>
    </row>
    <row r="81" s="282" customFormat="1" ht="15.05" spans="1:26">
      <c r="A81" s="295" t="s">
        <v>632</v>
      </c>
      <c r="B81" s="296" t="s">
        <v>95</v>
      </c>
      <c r="C81" s="296" t="s">
        <v>45</v>
      </c>
      <c r="D81" s="295" t="s">
        <v>48</v>
      </c>
      <c r="E81" s="296" t="s">
        <v>410</v>
      </c>
      <c r="F81" s="296" t="s">
        <v>156</v>
      </c>
      <c r="G81" s="295" t="s">
        <v>214</v>
      </c>
      <c r="H81" s="295" t="s">
        <v>389</v>
      </c>
      <c r="I81" s="295" t="s">
        <v>294</v>
      </c>
      <c r="J81" s="304">
        <v>20210000339</v>
      </c>
      <c r="K81" s="309" t="s">
        <v>633</v>
      </c>
      <c r="L81" s="306">
        <v>608512</v>
      </c>
      <c r="M81" s="295" t="s">
        <v>634</v>
      </c>
      <c r="N81" s="306">
        <v>138.95</v>
      </c>
      <c r="O81" s="306" t="s">
        <v>156</v>
      </c>
      <c r="P81" s="307">
        <v>138.95</v>
      </c>
      <c r="Q81" s="307" t="s">
        <v>156</v>
      </c>
      <c r="R81" s="298" t="s">
        <v>156</v>
      </c>
      <c r="S81" s="563" t="s">
        <v>392</v>
      </c>
      <c r="T81" s="318" t="s">
        <v>635</v>
      </c>
      <c r="U81" s="316">
        <v>558267.89</v>
      </c>
      <c r="V81" s="307">
        <f t="shared" si="9"/>
        <v>50244.11</v>
      </c>
      <c r="W81" s="307">
        <f t="shared" si="10"/>
        <v>608512</v>
      </c>
      <c r="X81" s="307">
        <f t="shared" si="8"/>
        <v>558267.89</v>
      </c>
      <c r="Y81" s="307">
        <f t="shared" si="11"/>
        <v>4017.76</v>
      </c>
      <c r="Z81" s="298"/>
    </row>
    <row r="82" s="282" customFormat="1" ht="23.8" spans="1:26">
      <c r="A82" s="295" t="s">
        <v>636</v>
      </c>
      <c r="B82" s="296" t="s">
        <v>95</v>
      </c>
      <c r="C82" s="296" t="s">
        <v>45</v>
      </c>
      <c r="D82" s="295" t="s">
        <v>48</v>
      </c>
      <c r="E82" s="296" t="s">
        <v>415</v>
      </c>
      <c r="F82" s="296" t="s">
        <v>156</v>
      </c>
      <c r="G82" s="295" t="s">
        <v>214</v>
      </c>
      <c r="H82" s="295" t="s">
        <v>389</v>
      </c>
      <c r="I82" s="295" t="s">
        <v>294</v>
      </c>
      <c r="J82" s="304">
        <v>20200008252</v>
      </c>
      <c r="K82" s="309" t="s">
        <v>637</v>
      </c>
      <c r="L82" s="306">
        <v>610351</v>
      </c>
      <c r="M82" s="295" t="s">
        <v>638</v>
      </c>
      <c r="N82" s="306">
        <v>139.37</v>
      </c>
      <c r="O82" s="306" t="s">
        <v>156</v>
      </c>
      <c r="P82" s="307">
        <v>139.37</v>
      </c>
      <c r="Q82" s="307" t="s">
        <v>156</v>
      </c>
      <c r="R82" s="298" t="s">
        <v>156</v>
      </c>
      <c r="S82" s="563" t="s">
        <v>392</v>
      </c>
      <c r="T82" s="564" t="s">
        <v>639</v>
      </c>
      <c r="U82" s="316">
        <v>559955.05</v>
      </c>
      <c r="V82" s="307">
        <f t="shared" si="9"/>
        <v>50395.95</v>
      </c>
      <c r="W82" s="307">
        <f t="shared" si="10"/>
        <v>610351</v>
      </c>
      <c r="X82" s="307">
        <f t="shared" si="8"/>
        <v>559955.05</v>
      </c>
      <c r="Y82" s="307">
        <f t="shared" si="11"/>
        <v>4017.76</v>
      </c>
      <c r="Z82" s="298"/>
    </row>
    <row r="83" s="282" customFormat="1" ht="15.05" spans="1:26">
      <c r="A83" s="295" t="s">
        <v>640</v>
      </c>
      <c r="B83" s="296" t="s">
        <v>95</v>
      </c>
      <c r="C83" s="296" t="s">
        <v>45</v>
      </c>
      <c r="D83" s="295" t="s">
        <v>92</v>
      </c>
      <c r="E83" s="296" t="s">
        <v>420</v>
      </c>
      <c r="F83" s="296" t="s">
        <v>156</v>
      </c>
      <c r="G83" s="295" t="s">
        <v>214</v>
      </c>
      <c r="H83" s="295" t="s">
        <v>389</v>
      </c>
      <c r="I83" s="295" t="s">
        <v>294</v>
      </c>
      <c r="J83" s="304">
        <v>20200008251</v>
      </c>
      <c r="K83" s="309" t="s">
        <v>637</v>
      </c>
      <c r="L83" s="306">
        <v>615276</v>
      </c>
      <c r="M83" s="295" t="s">
        <v>641</v>
      </c>
      <c r="N83" s="306">
        <v>138.95</v>
      </c>
      <c r="O83" s="306" t="s">
        <v>156</v>
      </c>
      <c r="P83" s="307">
        <v>138.95</v>
      </c>
      <c r="Q83" s="307" t="s">
        <v>156</v>
      </c>
      <c r="R83" s="298" t="s">
        <v>156</v>
      </c>
      <c r="S83" s="563" t="s">
        <v>392</v>
      </c>
      <c r="T83" s="318" t="s">
        <v>642</v>
      </c>
      <c r="U83" s="316">
        <v>564473.39</v>
      </c>
      <c r="V83" s="307">
        <f t="shared" si="9"/>
        <v>50802.61</v>
      </c>
      <c r="W83" s="307">
        <f t="shared" si="10"/>
        <v>615276</v>
      </c>
      <c r="X83" s="307">
        <f t="shared" si="8"/>
        <v>564473.39</v>
      </c>
      <c r="Y83" s="307">
        <f t="shared" si="11"/>
        <v>4062.42</v>
      </c>
      <c r="Z83" s="298"/>
    </row>
    <row r="84" s="282" customFormat="1" ht="23.8" spans="1:26">
      <c r="A84" s="295" t="s">
        <v>643</v>
      </c>
      <c r="B84" s="296" t="s">
        <v>95</v>
      </c>
      <c r="C84" s="296" t="s">
        <v>45</v>
      </c>
      <c r="D84" s="295" t="s">
        <v>92</v>
      </c>
      <c r="E84" s="296" t="s">
        <v>425</v>
      </c>
      <c r="F84" s="296" t="s">
        <v>156</v>
      </c>
      <c r="G84" s="295" t="s">
        <v>214</v>
      </c>
      <c r="H84" s="295" t="s">
        <v>389</v>
      </c>
      <c r="I84" s="295" t="s">
        <v>294</v>
      </c>
      <c r="J84" s="304">
        <v>20200008089</v>
      </c>
      <c r="K84" s="309" t="s">
        <v>465</v>
      </c>
      <c r="L84" s="306">
        <v>617902</v>
      </c>
      <c r="M84" s="295" t="s">
        <v>644</v>
      </c>
      <c r="N84" s="306">
        <v>139.37</v>
      </c>
      <c r="O84" s="306" t="s">
        <v>156</v>
      </c>
      <c r="P84" s="307">
        <v>139.37</v>
      </c>
      <c r="Q84" s="307" t="s">
        <v>156</v>
      </c>
      <c r="R84" s="298" t="s">
        <v>156</v>
      </c>
      <c r="S84" s="563" t="s">
        <v>392</v>
      </c>
      <c r="T84" s="318" t="s">
        <v>645</v>
      </c>
      <c r="U84" s="316">
        <v>566882.57</v>
      </c>
      <c r="V84" s="307">
        <f t="shared" si="9"/>
        <v>51019.43</v>
      </c>
      <c r="W84" s="307">
        <f t="shared" si="10"/>
        <v>617902</v>
      </c>
      <c r="X84" s="307">
        <f t="shared" si="8"/>
        <v>566882.57</v>
      </c>
      <c r="Y84" s="307">
        <f t="shared" si="11"/>
        <v>4067.46</v>
      </c>
      <c r="Z84" s="298"/>
    </row>
    <row r="85" s="282" customFormat="1" spans="1:26">
      <c r="A85" s="295" t="s">
        <v>646</v>
      </c>
      <c r="B85" s="296" t="s">
        <v>95</v>
      </c>
      <c r="C85" s="296" t="s">
        <v>45</v>
      </c>
      <c r="D85" s="295" t="s">
        <v>95</v>
      </c>
      <c r="E85" s="296" t="s">
        <v>430</v>
      </c>
      <c r="F85" s="296" t="s">
        <v>156</v>
      </c>
      <c r="G85" s="295" t="s">
        <v>214</v>
      </c>
      <c r="H85" s="295" t="s">
        <v>389</v>
      </c>
      <c r="I85" s="295" t="s">
        <v>294</v>
      </c>
      <c r="J85" s="304">
        <v>20200008355</v>
      </c>
      <c r="K85" s="309" t="s">
        <v>591</v>
      </c>
      <c r="L85" s="306">
        <v>622040</v>
      </c>
      <c r="M85" s="295" t="s">
        <v>647</v>
      </c>
      <c r="N85" s="306">
        <v>138.95</v>
      </c>
      <c r="O85" s="306" t="s">
        <v>156</v>
      </c>
      <c r="P85" s="307">
        <v>138.95</v>
      </c>
      <c r="Q85" s="307" t="s">
        <v>156</v>
      </c>
      <c r="R85" s="298" t="s">
        <v>156</v>
      </c>
      <c r="S85" s="563" t="s">
        <v>392</v>
      </c>
      <c r="T85" s="564" t="s">
        <v>648</v>
      </c>
      <c r="U85" s="316">
        <v>570678.9</v>
      </c>
      <c r="V85" s="307">
        <f t="shared" si="9"/>
        <v>51361.1</v>
      </c>
      <c r="W85" s="307">
        <f t="shared" si="10"/>
        <v>622040</v>
      </c>
      <c r="X85" s="307">
        <f t="shared" si="8"/>
        <v>570678.9</v>
      </c>
      <c r="Y85" s="307">
        <f t="shared" si="11"/>
        <v>4107.08</v>
      </c>
      <c r="Z85" s="298"/>
    </row>
    <row r="86" s="282" customFormat="1" ht="15.05" spans="1:26">
      <c r="A86" s="295" t="s">
        <v>649</v>
      </c>
      <c r="B86" s="296" t="s">
        <v>95</v>
      </c>
      <c r="C86" s="296" t="s">
        <v>45</v>
      </c>
      <c r="D86" s="295" t="s">
        <v>95</v>
      </c>
      <c r="E86" s="296" t="s">
        <v>435</v>
      </c>
      <c r="F86" s="296" t="s">
        <v>156</v>
      </c>
      <c r="G86" s="295" t="s">
        <v>214</v>
      </c>
      <c r="H86" s="295" t="s">
        <v>389</v>
      </c>
      <c r="I86" s="295" t="s">
        <v>294</v>
      </c>
      <c r="J86" s="304">
        <v>20200011444</v>
      </c>
      <c r="K86" s="309" t="s">
        <v>595</v>
      </c>
      <c r="L86" s="306">
        <v>624687</v>
      </c>
      <c r="M86" s="295" t="s">
        <v>650</v>
      </c>
      <c r="N86" s="306">
        <v>139.37</v>
      </c>
      <c r="O86" s="306" t="s">
        <v>156</v>
      </c>
      <c r="P86" s="307">
        <v>139.37</v>
      </c>
      <c r="Q86" s="307" t="s">
        <v>156</v>
      </c>
      <c r="R86" s="298" t="s">
        <v>156</v>
      </c>
      <c r="S86" s="563" t="s">
        <v>392</v>
      </c>
      <c r="T86" s="318" t="s">
        <v>651</v>
      </c>
      <c r="U86" s="316">
        <v>573107.34</v>
      </c>
      <c r="V86" s="307">
        <f t="shared" si="9"/>
        <v>51579.66</v>
      </c>
      <c r="W86" s="307">
        <f t="shared" si="10"/>
        <v>624687</v>
      </c>
      <c r="X86" s="307">
        <f t="shared" si="8"/>
        <v>573107.34</v>
      </c>
      <c r="Y86" s="307">
        <f t="shared" si="11"/>
        <v>4112.13</v>
      </c>
      <c r="Z86" s="298"/>
    </row>
    <row r="87" s="282" customFormat="1" ht="23.8" spans="1:26">
      <c r="A87" s="295" t="s">
        <v>652</v>
      </c>
      <c r="B87" s="296" t="s">
        <v>95</v>
      </c>
      <c r="C87" s="296" t="s">
        <v>45</v>
      </c>
      <c r="D87" s="295" t="s">
        <v>99</v>
      </c>
      <c r="E87" s="296" t="s">
        <v>440</v>
      </c>
      <c r="F87" s="296" t="s">
        <v>156</v>
      </c>
      <c r="G87" s="295" t="s">
        <v>214</v>
      </c>
      <c r="H87" s="295" t="s">
        <v>389</v>
      </c>
      <c r="I87" s="295" t="s">
        <v>294</v>
      </c>
      <c r="J87" s="304">
        <v>20200011919</v>
      </c>
      <c r="K87" s="309" t="s">
        <v>653</v>
      </c>
      <c r="L87" s="306">
        <v>625275</v>
      </c>
      <c r="M87" s="295" t="s">
        <v>654</v>
      </c>
      <c r="N87" s="306">
        <v>138.95</v>
      </c>
      <c r="O87" s="306" t="s">
        <v>156</v>
      </c>
      <c r="P87" s="307">
        <v>138.95</v>
      </c>
      <c r="Q87" s="307" t="s">
        <v>156</v>
      </c>
      <c r="R87" s="298" t="s">
        <v>156</v>
      </c>
      <c r="S87" s="563" t="s">
        <v>392</v>
      </c>
      <c r="T87" s="318" t="s">
        <v>655</v>
      </c>
      <c r="U87" s="316">
        <v>573646.79</v>
      </c>
      <c r="V87" s="307">
        <f t="shared" si="9"/>
        <v>51628.21</v>
      </c>
      <c r="W87" s="307">
        <f t="shared" si="10"/>
        <v>625275</v>
      </c>
      <c r="X87" s="307">
        <f t="shared" si="8"/>
        <v>573646.79</v>
      </c>
      <c r="Y87" s="307">
        <f t="shared" si="11"/>
        <v>4128.44</v>
      </c>
      <c r="Z87" s="298"/>
    </row>
    <row r="88" s="282" customFormat="1" ht="23.8" spans="1:26">
      <c r="A88" s="295" t="s">
        <v>656</v>
      </c>
      <c r="B88" s="296" t="s">
        <v>95</v>
      </c>
      <c r="C88" s="296" t="s">
        <v>45</v>
      </c>
      <c r="D88" s="295" t="s">
        <v>99</v>
      </c>
      <c r="E88" s="296" t="s">
        <v>444</v>
      </c>
      <c r="F88" s="296" t="s">
        <v>156</v>
      </c>
      <c r="G88" s="295" t="s">
        <v>214</v>
      </c>
      <c r="H88" s="295" t="s">
        <v>389</v>
      </c>
      <c r="I88" s="295" t="s">
        <v>294</v>
      </c>
      <c r="J88" s="304">
        <v>20200011183</v>
      </c>
      <c r="K88" s="309" t="s">
        <v>657</v>
      </c>
      <c r="L88" s="306">
        <v>646053</v>
      </c>
      <c r="M88" s="295" t="s">
        <v>658</v>
      </c>
      <c r="N88" s="306">
        <v>139.37</v>
      </c>
      <c r="O88" s="306" t="s">
        <v>156</v>
      </c>
      <c r="P88" s="307">
        <v>139.37</v>
      </c>
      <c r="Q88" s="307" t="s">
        <v>156</v>
      </c>
      <c r="R88" s="298" t="s">
        <v>156</v>
      </c>
      <c r="S88" s="563" t="s">
        <v>392</v>
      </c>
      <c r="T88" s="317" t="s">
        <v>659</v>
      </c>
      <c r="U88" s="316">
        <v>592709.17</v>
      </c>
      <c r="V88" s="307">
        <f t="shared" si="9"/>
        <v>53343.83</v>
      </c>
      <c r="W88" s="307">
        <f t="shared" si="10"/>
        <v>646053</v>
      </c>
      <c r="X88" s="307">
        <f t="shared" si="8"/>
        <v>592709.17</v>
      </c>
      <c r="Y88" s="307">
        <f t="shared" si="11"/>
        <v>4252.77</v>
      </c>
      <c r="Z88" s="298"/>
    </row>
    <row r="89" s="282" customFormat="1" ht="14" customHeight="1" spans="1:26">
      <c r="A89" s="295" t="s">
        <v>660</v>
      </c>
      <c r="B89" s="296" t="s">
        <v>95</v>
      </c>
      <c r="C89" s="296" t="s">
        <v>45</v>
      </c>
      <c r="D89" s="295" t="s">
        <v>102</v>
      </c>
      <c r="E89" s="296" t="s">
        <v>448</v>
      </c>
      <c r="F89" s="296" t="s">
        <v>156</v>
      </c>
      <c r="G89" s="295" t="s">
        <v>215</v>
      </c>
      <c r="H89" s="295" t="s">
        <v>389</v>
      </c>
      <c r="I89" s="295" t="s">
        <v>294</v>
      </c>
      <c r="J89" s="304">
        <v>20210001865</v>
      </c>
      <c r="K89" s="309" t="s">
        <v>661</v>
      </c>
      <c r="L89" s="306">
        <v>960000</v>
      </c>
      <c r="M89" s="295" t="s">
        <v>662</v>
      </c>
      <c r="N89" s="306">
        <v>208.8</v>
      </c>
      <c r="O89" s="306" t="s">
        <v>156</v>
      </c>
      <c r="P89" s="307">
        <v>208.8</v>
      </c>
      <c r="Q89" s="307" t="s">
        <v>156</v>
      </c>
      <c r="R89" s="298" t="s">
        <v>156</v>
      </c>
      <c r="S89" s="563" t="s">
        <v>392</v>
      </c>
      <c r="T89" s="318" t="s">
        <v>663</v>
      </c>
      <c r="U89" s="316">
        <v>880733.94</v>
      </c>
      <c r="V89" s="307">
        <v>79266.06</v>
      </c>
      <c r="W89" s="307">
        <f t="shared" si="10"/>
        <v>960000</v>
      </c>
      <c r="X89" s="307">
        <f t="shared" si="8"/>
        <v>880733.94</v>
      </c>
      <c r="Y89" s="307">
        <f t="shared" si="11"/>
        <v>4218.07</v>
      </c>
      <c r="Z89" s="298"/>
    </row>
    <row r="90" s="282" customFormat="1" ht="15.05" spans="1:26">
      <c r="A90" s="295" t="s">
        <v>664</v>
      </c>
      <c r="B90" s="296" t="s">
        <v>95</v>
      </c>
      <c r="C90" s="296" t="s">
        <v>45</v>
      </c>
      <c r="D90" s="295" t="s">
        <v>102</v>
      </c>
      <c r="E90" s="296" t="s">
        <v>452</v>
      </c>
      <c r="F90" s="296" t="s">
        <v>156</v>
      </c>
      <c r="G90" s="295" t="s">
        <v>215</v>
      </c>
      <c r="H90" s="295" t="s">
        <v>389</v>
      </c>
      <c r="I90" s="295" t="s">
        <v>294</v>
      </c>
      <c r="J90" s="304">
        <v>20210000392</v>
      </c>
      <c r="K90" s="309" t="s">
        <v>665</v>
      </c>
      <c r="L90" s="306">
        <v>900000</v>
      </c>
      <c r="M90" s="295" t="s">
        <v>666</v>
      </c>
      <c r="N90" s="306">
        <v>209.22</v>
      </c>
      <c r="O90" s="306" t="s">
        <v>156</v>
      </c>
      <c r="P90" s="307">
        <v>209.22</v>
      </c>
      <c r="Q90" s="307" t="s">
        <v>156</v>
      </c>
      <c r="R90" s="298" t="s">
        <v>156</v>
      </c>
      <c r="S90" s="563" t="s">
        <v>392</v>
      </c>
      <c r="T90" s="318" t="s">
        <v>667</v>
      </c>
      <c r="U90" s="316">
        <v>825688.07</v>
      </c>
      <c r="V90" s="307">
        <f>ROUND(U90*0.09,2)</f>
        <v>74311.93</v>
      </c>
      <c r="W90" s="307">
        <f t="shared" si="10"/>
        <v>900000</v>
      </c>
      <c r="X90" s="307">
        <f t="shared" si="8"/>
        <v>825688.07</v>
      </c>
      <c r="Y90" s="307">
        <f t="shared" si="11"/>
        <v>3946.51</v>
      </c>
      <c r="Z90" s="298"/>
    </row>
    <row r="91" s="282" customFormat="1" spans="1:26">
      <c r="A91" s="295" t="s">
        <v>668</v>
      </c>
      <c r="B91" s="296" t="s">
        <v>95</v>
      </c>
      <c r="C91" s="296" t="s">
        <v>42</v>
      </c>
      <c r="D91" s="295" t="s">
        <v>511</v>
      </c>
      <c r="E91" s="296" t="s">
        <v>512</v>
      </c>
      <c r="F91" s="296" t="s">
        <v>156</v>
      </c>
      <c r="G91" s="295" t="s">
        <v>513</v>
      </c>
      <c r="H91" s="295" t="s">
        <v>514</v>
      </c>
      <c r="I91" s="295"/>
      <c r="J91" s="296" t="s">
        <v>156</v>
      </c>
      <c r="K91" s="309" t="s">
        <v>156</v>
      </c>
      <c r="L91" s="306" t="s">
        <v>156</v>
      </c>
      <c r="M91" s="295" t="s">
        <v>156</v>
      </c>
      <c r="N91" s="306">
        <v>10.3</v>
      </c>
      <c r="O91" s="306" t="s">
        <v>156</v>
      </c>
      <c r="P91" s="307">
        <v>10.3</v>
      </c>
      <c r="Q91" s="307" t="s">
        <v>156</v>
      </c>
      <c r="R91" s="298" t="s">
        <v>156</v>
      </c>
      <c r="S91" s="297" t="s">
        <v>156</v>
      </c>
      <c r="T91" s="297" t="s">
        <v>156</v>
      </c>
      <c r="U91" s="307" t="s">
        <v>156</v>
      </c>
      <c r="V91" s="307" t="s">
        <v>156</v>
      </c>
      <c r="W91" s="307">
        <f t="shared" si="10"/>
        <v>0</v>
      </c>
      <c r="X91" s="307"/>
      <c r="Y91" s="307">
        <f t="shared" si="11"/>
        <v>0</v>
      </c>
      <c r="Z91" s="298"/>
    </row>
    <row r="92" s="282" customFormat="1" spans="1:26">
      <c r="A92" s="295" t="s">
        <v>669</v>
      </c>
      <c r="B92" s="296" t="s">
        <v>95</v>
      </c>
      <c r="C92" s="296" t="s">
        <v>42</v>
      </c>
      <c r="D92" s="295" t="s">
        <v>511</v>
      </c>
      <c r="E92" s="296" t="s">
        <v>516</v>
      </c>
      <c r="F92" s="296" t="s">
        <v>156</v>
      </c>
      <c r="G92" s="295" t="s">
        <v>513</v>
      </c>
      <c r="H92" s="295" t="s">
        <v>514</v>
      </c>
      <c r="I92" s="295"/>
      <c r="J92" s="296" t="s">
        <v>156</v>
      </c>
      <c r="K92" s="309" t="s">
        <v>156</v>
      </c>
      <c r="L92" s="306" t="s">
        <v>156</v>
      </c>
      <c r="M92" s="295" t="s">
        <v>156</v>
      </c>
      <c r="N92" s="306">
        <v>8.95</v>
      </c>
      <c r="O92" s="306" t="s">
        <v>156</v>
      </c>
      <c r="P92" s="307">
        <v>8.95</v>
      </c>
      <c r="Q92" s="307" t="s">
        <v>156</v>
      </c>
      <c r="R92" s="298" t="s">
        <v>156</v>
      </c>
      <c r="S92" s="297" t="s">
        <v>156</v>
      </c>
      <c r="T92" s="297" t="s">
        <v>156</v>
      </c>
      <c r="U92" s="307" t="s">
        <v>156</v>
      </c>
      <c r="V92" s="307" t="s">
        <v>156</v>
      </c>
      <c r="W92" s="307">
        <f t="shared" si="10"/>
        <v>0</v>
      </c>
      <c r="X92" s="307"/>
      <c r="Y92" s="307">
        <f t="shared" si="11"/>
        <v>0</v>
      </c>
      <c r="Z92" s="298"/>
    </row>
    <row r="93" s="282" customFormat="1" spans="1:26">
      <c r="A93" s="295" t="s">
        <v>670</v>
      </c>
      <c r="B93" s="296" t="s">
        <v>95</v>
      </c>
      <c r="C93" s="296" t="s">
        <v>42</v>
      </c>
      <c r="D93" s="295" t="s">
        <v>511</v>
      </c>
      <c r="E93" s="296" t="s">
        <v>518</v>
      </c>
      <c r="F93" s="296" t="s">
        <v>156</v>
      </c>
      <c r="G93" s="295" t="s">
        <v>513</v>
      </c>
      <c r="H93" s="295" t="s">
        <v>514</v>
      </c>
      <c r="I93" s="295"/>
      <c r="J93" s="296" t="s">
        <v>156</v>
      </c>
      <c r="K93" s="309" t="s">
        <v>156</v>
      </c>
      <c r="L93" s="306" t="s">
        <v>156</v>
      </c>
      <c r="M93" s="295" t="s">
        <v>156</v>
      </c>
      <c r="N93" s="306">
        <v>9.4</v>
      </c>
      <c r="O93" s="306" t="s">
        <v>156</v>
      </c>
      <c r="P93" s="307">
        <v>9.4</v>
      </c>
      <c r="Q93" s="307" t="s">
        <v>156</v>
      </c>
      <c r="R93" s="298" t="s">
        <v>156</v>
      </c>
      <c r="S93" s="297" t="s">
        <v>156</v>
      </c>
      <c r="T93" s="297" t="s">
        <v>156</v>
      </c>
      <c r="U93" s="307" t="s">
        <v>156</v>
      </c>
      <c r="V93" s="307" t="s">
        <v>156</v>
      </c>
      <c r="W93" s="307">
        <f t="shared" si="10"/>
        <v>0</v>
      </c>
      <c r="X93" s="307"/>
      <c r="Y93" s="307">
        <f t="shared" si="11"/>
        <v>0</v>
      </c>
      <c r="Z93" s="298"/>
    </row>
    <row r="94" s="282" customFormat="1" spans="1:26">
      <c r="A94" s="298" t="s">
        <v>671</v>
      </c>
      <c r="B94" s="297" t="s">
        <v>95</v>
      </c>
      <c r="C94" s="297" t="s">
        <v>42</v>
      </c>
      <c r="D94" s="298" t="s">
        <v>511</v>
      </c>
      <c r="E94" s="297" t="s">
        <v>520</v>
      </c>
      <c r="F94" s="297" t="s">
        <v>156</v>
      </c>
      <c r="G94" s="295" t="s">
        <v>513</v>
      </c>
      <c r="H94" s="295" t="s">
        <v>514</v>
      </c>
      <c r="I94" s="298"/>
      <c r="J94" s="297" t="s">
        <v>156</v>
      </c>
      <c r="K94" s="305" t="s">
        <v>156</v>
      </c>
      <c r="L94" s="307" t="s">
        <v>156</v>
      </c>
      <c r="M94" s="298" t="s">
        <v>156</v>
      </c>
      <c r="N94" s="307">
        <v>8.95</v>
      </c>
      <c r="O94" s="307" t="s">
        <v>156</v>
      </c>
      <c r="P94" s="307">
        <v>8.95</v>
      </c>
      <c r="Q94" s="307" t="s">
        <v>156</v>
      </c>
      <c r="R94" s="298" t="s">
        <v>156</v>
      </c>
      <c r="S94" s="297" t="s">
        <v>156</v>
      </c>
      <c r="T94" s="297" t="s">
        <v>156</v>
      </c>
      <c r="U94" s="307" t="s">
        <v>156</v>
      </c>
      <c r="V94" s="307" t="s">
        <v>156</v>
      </c>
      <c r="W94" s="307">
        <f t="shared" si="10"/>
        <v>0</v>
      </c>
      <c r="X94" s="307"/>
      <c r="Y94" s="307">
        <f t="shared" si="11"/>
        <v>0</v>
      </c>
      <c r="Z94" s="298"/>
    </row>
    <row r="95" s="282" customFormat="1" spans="1:26">
      <c r="A95" s="295" t="s">
        <v>579</v>
      </c>
      <c r="B95" s="296" t="s">
        <v>95</v>
      </c>
      <c r="C95" s="296" t="s">
        <v>42</v>
      </c>
      <c r="D95" s="295" t="s">
        <v>511</v>
      </c>
      <c r="E95" s="296" t="s">
        <v>522</v>
      </c>
      <c r="F95" s="296" t="s">
        <v>156</v>
      </c>
      <c r="G95" s="295" t="s">
        <v>513</v>
      </c>
      <c r="H95" s="295" t="s">
        <v>514</v>
      </c>
      <c r="I95" s="295"/>
      <c r="J95" s="296" t="s">
        <v>156</v>
      </c>
      <c r="K95" s="309" t="s">
        <v>156</v>
      </c>
      <c r="L95" s="306" t="s">
        <v>156</v>
      </c>
      <c r="M95" s="295" t="s">
        <v>156</v>
      </c>
      <c r="N95" s="306">
        <v>8.22</v>
      </c>
      <c r="O95" s="306" t="s">
        <v>156</v>
      </c>
      <c r="P95" s="307">
        <v>8.22</v>
      </c>
      <c r="Q95" s="307" t="s">
        <v>156</v>
      </c>
      <c r="R95" s="298" t="s">
        <v>156</v>
      </c>
      <c r="S95" s="297" t="s">
        <v>156</v>
      </c>
      <c r="T95" s="297" t="s">
        <v>156</v>
      </c>
      <c r="U95" s="307" t="s">
        <v>156</v>
      </c>
      <c r="V95" s="307" t="s">
        <v>156</v>
      </c>
      <c r="W95" s="307">
        <f t="shared" si="10"/>
        <v>0</v>
      </c>
      <c r="X95" s="307"/>
      <c r="Y95" s="307">
        <f t="shared" si="11"/>
        <v>0</v>
      </c>
      <c r="Z95" s="298"/>
    </row>
    <row r="96" s="282" customFormat="1" spans="1:26">
      <c r="A96" s="295" t="s">
        <v>672</v>
      </c>
      <c r="B96" s="296" t="s">
        <v>95</v>
      </c>
      <c r="C96" s="296" t="s">
        <v>42</v>
      </c>
      <c r="D96" s="295" t="s">
        <v>511</v>
      </c>
      <c r="E96" s="296" t="s">
        <v>524</v>
      </c>
      <c r="F96" s="296" t="s">
        <v>156</v>
      </c>
      <c r="G96" s="295" t="s">
        <v>513</v>
      </c>
      <c r="H96" s="295" t="s">
        <v>514</v>
      </c>
      <c r="I96" s="295"/>
      <c r="J96" s="296" t="s">
        <v>156</v>
      </c>
      <c r="K96" s="309" t="s">
        <v>156</v>
      </c>
      <c r="L96" s="306" t="s">
        <v>156</v>
      </c>
      <c r="M96" s="295" t="s">
        <v>156</v>
      </c>
      <c r="N96" s="306">
        <v>76.79</v>
      </c>
      <c r="O96" s="306" t="s">
        <v>156</v>
      </c>
      <c r="P96" s="307">
        <v>76.79</v>
      </c>
      <c r="Q96" s="307" t="s">
        <v>156</v>
      </c>
      <c r="R96" s="298" t="s">
        <v>156</v>
      </c>
      <c r="S96" s="297" t="s">
        <v>156</v>
      </c>
      <c r="T96" s="297" t="s">
        <v>156</v>
      </c>
      <c r="U96" s="307" t="s">
        <v>156</v>
      </c>
      <c r="V96" s="307" t="s">
        <v>156</v>
      </c>
      <c r="W96" s="307">
        <f t="shared" si="10"/>
        <v>0</v>
      </c>
      <c r="X96" s="307"/>
      <c r="Y96" s="307">
        <f t="shared" si="11"/>
        <v>0</v>
      </c>
      <c r="Z96" s="298"/>
    </row>
    <row r="97" s="282" customFormat="1" spans="1:26">
      <c r="A97" s="295" t="s">
        <v>673</v>
      </c>
      <c r="B97" s="296" t="s">
        <v>95</v>
      </c>
      <c r="C97" s="296" t="s">
        <v>42</v>
      </c>
      <c r="D97" s="295" t="s">
        <v>511</v>
      </c>
      <c r="E97" s="296" t="s">
        <v>526</v>
      </c>
      <c r="F97" s="296" t="s">
        <v>156</v>
      </c>
      <c r="G97" s="295" t="s">
        <v>513</v>
      </c>
      <c r="H97" s="295" t="s">
        <v>514</v>
      </c>
      <c r="I97" s="295"/>
      <c r="J97" s="296" t="s">
        <v>156</v>
      </c>
      <c r="K97" s="309" t="s">
        <v>156</v>
      </c>
      <c r="L97" s="306" t="s">
        <v>156</v>
      </c>
      <c r="M97" s="295" t="s">
        <v>156</v>
      </c>
      <c r="N97" s="306">
        <v>14.58</v>
      </c>
      <c r="O97" s="306" t="s">
        <v>156</v>
      </c>
      <c r="P97" s="307">
        <v>14.58</v>
      </c>
      <c r="Q97" s="307" t="s">
        <v>156</v>
      </c>
      <c r="R97" s="298" t="s">
        <v>156</v>
      </c>
      <c r="S97" s="297" t="s">
        <v>156</v>
      </c>
      <c r="T97" s="297" t="s">
        <v>156</v>
      </c>
      <c r="U97" s="307" t="s">
        <v>156</v>
      </c>
      <c r="V97" s="307" t="s">
        <v>156</v>
      </c>
      <c r="W97" s="307">
        <f t="shared" si="10"/>
        <v>0</v>
      </c>
      <c r="X97" s="307"/>
      <c r="Y97" s="307">
        <f t="shared" si="11"/>
        <v>0</v>
      </c>
      <c r="Z97" s="298"/>
    </row>
    <row r="98" s="282" customFormat="1" spans="1:26">
      <c r="A98" s="295" t="s">
        <v>674</v>
      </c>
      <c r="B98" s="296" t="s">
        <v>95</v>
      </c>
      <c r="C98" s="296" t="s">
        <v>42</v>
      </c>
      <c r="D98" s="295" t="s">
        <v>511</v>
      </c>
      <c r="E98" s="296" t="s">
        <v>528</v>
      </c>
      <c r="F98" s="296" t="s">
        <v>156</v>
      </c>
      <c r="G98" s="295" t="s">
        <v>513</v>
      </c>
      <c r="H98" s="295" t="s">
        <v>514</v>
      </c>
      <c r="I98" s="295"/>
      <c r="J98" s="296" t="s">
        <v>156</v>
      </c>
      <c r="K98" s="309" t="s">
        <v>156</v>
      </c>
      <c r="L98" s="306" t="s">
        <v>156</v>
      </c>
      <c r="M98" s="295" t="s">
        <v>156</v>
      </c>
      <c r="N98" s="306">
        <v>14.58</v>
      </c>
      <c r="O98" s="306" t="s">
        <v>156</v>
      </c>
      <c r="P98" s="307">
        <v>14.58</v>
      </c>
      <c r="Q98" s="307" t="s">
        <v>156</v>
      </c>
      <c r="R98" s="298" t="s">
        <v>156</v>
      </c>
      <c r="S98" s="297" t="s">
        <v>156</v>
      </c>
      <c r="T98" s="297" t="s">
        <v>156</v>
      </c>
      <c r="U98" s="307" t="s">
        <v>156</v>
      </c>
      <c r="V98" s="307" t="s">
        <v>156</v>
      </c>
      <c r="W98" s="307">
        <f t="shared" si="10"/>
        <v>0</v>
      </c>
      <c r="X98" s="307"/>
      <c r="Y98" s="307">
        <f t="shared" si="11"/>
        <v>0</v>
      </c>
      <c r="Z98" s="298"/>
    </row>
    <row r="99" s="282" customFormat="1" spans="1:26">
      <c r="A99" s="295" t="s">
        <v>675</v>
      </c>
      <c r="B99" s="296" t="s">
        <v>95</v>
      </c>
      <c r="C99" s="296" t="s">
        <v>42</v>
      </c>
      <c r="D99" s="295" t="s">
        <v>511</v>
      </c>
      <c r="E99" s="296" t="s">
        <v>529</v>
      </c>
      <c r="F99" s="296" t="s">
        <v>156</v>
      </c>
      <c r="G99" s="295" t="s">
        <v>513</v>
      </c>
      <c r="H99" s="295" t="s">
        <v>514</v>
      </c>
      <c r="I99" s="295"/>
      <c r="J99" s="296" t="s">
        <v>156</v>
      </c>
      <c r="K99" s="309" t="s">
        <v>156</v>
      </c>
      <c r="L99" s="306" t="s">
        <v>156</v>
      </c>
      <c r="M99" s="295" t="s">
        <v>156</v>
      </c>
      <c r="N99" s="306">
        <v>76.79</v>
      </c>
      <c r="O99" s="306" t="s">
        <v>156</v>
      </c>
      <c r="P99" s="307">
        <v>76.79</v>
      </c>
      <c r="Q99" s="307" t="s">
        <v>156</v>
      </c>
      <c r="R99" s="298" t="s">
        <v>156</v>
      </c>
      <c r="S99" s="297" t="s">
        <v>156</v>
      </c>
      <c r="T99" s="297" t="s">
        <v>156</v>
      </c>
      <c r="U99" s="307" t="s">
        <v>156</v>
      </c>
      <c r="V99" s="307" t="s">
        <v>156</v>
      </c>
      <c r="W99" s="307">
        <f t="shared" si="10"/>
        <v>0</v>
      </c>
      <c r="X99" s="307"/>
      <c r="Y99" s="307">
        <f t="shared" si="11"/>
        <v>0</v>
      </c>
      <c r="Z99" s="298"/>
    </row>
    <row r="100" s="282" customFormat="1" spans="1:26">
      <c r="A100" s="295" t="s">
        <v>676</v>
      </c>
      <c r="B100" s="296" t="s">
        <v>95</v>
      </c>
      <c r="C100" s="296" t="s">
        <v>42</v>
      </c>
      <c r="D100" s="295" t="s">
        <v>511</v>
      </c>
      <c r="E100" s="296" t="s">
        <v>531</v>
      </c>
      <c r="F100" s="296" t="s">
        <v>156</v>
      </c>
      <c r="G100" s="295" t="s">
        <v>513</v>
      </c>
      <c r="H100" s="295" t="s">
        <v>514</v>
      </c>
      <c r="I100" s="295"/>
      <c r="J100" s="296" t="s">
        <v>156</v>
      </c>
      <c r="K100" s="309" t="s">
        <v>156</v>
      </c>
      <c r="L100" s="306" t="s">
        <v>156</v>
      </c>
      <c r="M100" s="295" t="s">
        <v>156</v>
      </c>
      <c r="N100" s="306">
        <v>8.22</v>
      </c>
      <c r="O100" s="306" t="s">
        <v>156</v>
      </c>
      <c r="P100" s="307">
        <v>8.22</v>
      </c>
      <c r="Q100" s="307" t="s">
        <v>156</v>
      </c>
      <c r="R100" s="298" t="s">
        <v>156</v>
      </c>
      <c r="S100" s="297" t="s">
        <v>156</v>
      </c>
      <c r="T100" s="297" t="s">
        <v>156</v>
      </c>
      <c r="U100" s="307" t="s">
        <v>156</v>
      </c>
      <c r="V100" s="307" t="s">
        <v>156</v>
      </c>
      <c r="W100" s="307">
        <f t="shared" si="10"/>
        <v>0</v>
      </c>
      <c r="X100" s="307"/>
      <c r="Y100" s="307">
        <f t="shared" si="11"/>
        <v>0</v>
      </c>
      <c r="Z100" s="298"/>
    </row>
    <row r="101" s="282" customFormat="1" spans="1:26">
      <c r="A101" s="295" t="s">
        <v>447</v>
      </c>
      <c r="B101" s="296" t="s">
        <v>95</v>
      </c>
      <c r="C101" s="296" t="s">
        <v>42</v>
      </c>
      <c r="D101" s="295" t="s">
        <v>511</v>
      </c>
      <c r="E101" s="296" t="s">
        <v>533</v>
      </c>
      <c r="F101" s="296" t="s">
        <v>156</v>
      </c>
      <c r="G101" s="295" t="s">
        <v>513</v>
      </c>
      <c r="H101" s="295" t="s">
        <v>514</v>
      </c>
      <c r="I101" s="295"/>
      <c r="J101" s="296" t="s">
        <v>156</v>
      </c>
      <c r="K101" s="309" t="s">
        <v>156</v>
      </c>
      <c r="L101" s="306" t="s">
        <v>156</v>
      </c>
      <c r="M101" s="295" t="s">
        <v>156</v>
      </c>
      <c r="N101" s="306">
        <v>8.95</v>
      </c>
      <c r="O101" s="306" t="s">
        <v>156</v>
      </c>
      <c r="P101" s="307">
        <v>8.95</v>
      </c>
      <c r="Q101" s="307" t="s">
        <v>156</v>
      </c>
      <c r="R101" s="298" t="s">
        <v>156</v>
      </c>
      <c r="S101" s="297" t="s">
        <v>156</v>
      </c>
      <c r="T101" s="297" t="s">
        <v>156</v>
      </c>
      <c r="U101" s="307" t="s">
        <v>156</v>
      </c>
      <c r="V101" s="307" t="s">
        <v>156</v>
      </c>
      <c r="W101" s="307">
        <f t="shared" si="10"/>
        <v>0</v>
      </c>
      <c r="X101" s="307"/>
      <c r="Y101" s="307">
        <f t="shared" si="11"/>
        <v>0</v>
      </c>
      <c r="Z101" s="298"/>
    </row>
    <row r="102" s="282" customFormat="1" spans="1:26">
      <c r="A102" s="295" t="s">
        <v>677</v>
      </c>
      <c r="B102" s="296" t="s">
        <v>95</v>
      </c>
      <c r="C102" s="296" t="s">
        <v>42</v>
      </c>
      <c r="D102" s="295" t="s">
        <v>511</v>
      </c>
      <c r="E102" s="296" t="s">
        <v>535</v>
      </c>
      <c r="F102" s="296" t="s">
        <v>156</v>
      </c>
      <c r="G102" s="295" t="s">
        <v>513</v>
      </c>
      <c r="H102" s="295" t="s">
        <v>514</v>
      </c>
      <c r="I102" s="295"/>
      <c r="J102" s="296" t="s">
        <v>156</v>
      </c>
      <c r="K102" s="309" t="s">
        <v>156</v>
      </c>
      <c r="L102" s="306" t="s">
        <v>156</v>
      </c>
      <c r="M102" s="295" t="s">
        <v>156</v>
      </c>
      <c r="N102" s="306">
        <v>9.4</v>
      </c>
      <c r="O102" s="306" t="s">
        <v>156</v>
      </c>
      <c r="P102" s="307">
        <v>9.4</v>
      </c>
      <c r="Q102" s="307" t="s">
        <v>156</v>
      </c>
      <c r="R102" s="298" t="s">
        <v>156</v>
      </c>
      <c r="S102" s="297" t="s">
        <v>156</v>
      </c>
      <c r="T102" s="297" t="s">
        <v>156</v>
      </c>
      <c r="U102" s="307" t="s">
        <v>156</v>
      </c>
      <c r="V102" s="307" t="s">
        <v>156</v>
      </c>
      <c r="W102" s="307">
        <f t="shared" si="10"/>
        <v>0</v>
      </c>
      <c r="X102" s="307"/>
      <c r="Y102" s="307">
        <f t="shared" si="11"/>
        <v>0</v>
      </c>
      <c r="Z102" s="298"/>
    </row>
    <row r="103" s="282" customFormat="1" spans="1:26">
      <c r="A103" s="295" t="s">
        <v>678</v>
      </c>
      <c r="B103" s="296" t="s">
        <v>95</v>
      </c>
      <c r="C103" s="296" t="s">
        <v>42</v>
      </c>
      <c r="D103" s="295" t="s">
        <v>511</v>
      </c>
      <c r="E103" s="296" t="s">
        <v>537</v>
      </c>
      <c r="F103" s="296" t="s">
        <v>156</v>
      </c>
      <c r="G103" s="295" t="s">
        <v>513</v>
      </c>
      <c r="H103" s="295" t="s">
        <v>514</v>
      </c>
      <c r="I103" s="295"/>
      <c r="J103" s="296" t="s">
        <v>156</v>
      </c>
      <c r="K103" s="309" t="s">
        <v>156</v>
      </c>
      <c r="L103" s="306" t="s">
        <v>156</v>
      </c>
      <c r="M103" s="295" t="s">
        <v>156</v>
      </c>
      <c r="N103" s="306">
        <v>8.95</v>
      </c>
      <c r="O103" s="306" t="s">
        <v>156</v>
      </c>
      <c r="P103" s="307">
        <v>8.95</v>
      </c>
      <c r="Q103" s="307" t="s">
        <v>156</v>
      </c>
      <c r="R103" s="298" t="s">
        <v>156</v>
      </c>
      <c r="S103" s="297" t="s">
        <v>156</v>
      </c>
      <c r="T103" s="297" t="s">
        <v>156</v>
      </c>
      <c r="U103" s="307" t="s">
        <v>156</v>
      </c>
      <c r="V103" s="307" t="s">
        <v>156</v>
      </c>
      <c r="W103" s="307">
        <f t="shared" si="10"/>
        <v>0</v>
      </c>
      <c r="X103" s="307"/>
      <c r="Y103" s="307">
        <f t="shared" si="11"/>
        <v>0</v>
      </c>
      <c r="Z103" s="298"/>
    </row>
    <row r="104" s="282" customFormat="1" spans="1:26">
      <c r="A104" s="295" t="s">
        <v>679</v>
      </c>
      <c r="B104" s="296" t="s">
        <v>95</v>
      </c>
      <c r="C104" s="296" t="s">
        <v>42</v>
      </c>
      <c r="D104" s="295" t="s">
        <v>511</v>
      </c>
      <c r="E104" s="296" t="s">
        <v>539</v>
      </c>
      <c r="F104" s="296" t="s">
        <v>156</v>
      </c>
      <c r="G104" s="295" t="s">
        <v>513</v>
      </c>
      <c r="H104" s="295" t="s">
        <v>514</v>
      </c>
      <c r="I104" s="295"/>
      <c r="J104" s="296" t="s">
        <v>156</v>
      </c>
      <c r="K104" s="309" t="s">
        <v>156</v>
      </c>
      <c r="L104" s="306" t="s">
        <v>156</v>
      </c>
      <c r="M104" s="295" t="s">
        <v>156</v>
      </c>
      <c r="N104" s="306">
        <v>8.95</v>
      </c>
      <c r="O104" s="306" t="s">
        <v>156</v>
      </c>
      <c r="P104" s="307">
        <v>8.95</v>
      </c>
      <c r="Q104" s="307" t="s">
        <v>156</v>
      </c>
      <c r="R104" s="298" t="s">
        <v>156</v>
      </c>
      <c r="S104" s="297" t="s">
        <v>156</v>
      </c>
      <c r="T104" s="297" t="s">
        <v>156</v>
      </c>
      <c r="U104" s="307" t="s">
        <v>156</v>
      </c>
      <c r="V104" s="307" t="s">
        <v>156</v>
      </c>
      <c r="W104" s="307">
        <f t="shared" si="10"/>
        <v>0</v>
      </c>
      <c r="X104" s="307"/>
      <c r="Y104" s="307">
        <f t="shared" si="11"/>
        <v>0</v>
      </c>
      <c r="Z104" s="298"/>
    </row>
    <row r="105" s="282" customFormat="1" spans="1:26">
      <c r="A105" s="295" t="s">
        <v>680</v>
      </c>
      <c r="B105" s="296" t="s">
        <v>95</v>
      </c>
      <c r="C105" s="296" t="s">
        <v>45</v>
      </c>
      <c r="D105" s="295" t="s">
        <v>511</v>
      </c>
      <c r="E105" s="296" t="s">
        <v>541</v>
      </c>
      <c r="F105" s="296" t="s">
        <v>156</v>
      </c>
      <c r="G105" s="295" t="s">
        <v>513</v>
      </c>
      <c r="H105" s="295" t="s">
        <v>514</v>
      </c>
      <c r="I105" s="295"/>
      <c r="J105" s="304" t="s">
        <v>156</v>
      </c>
      <c r="K105" s="309" t="s">
        <v>156</v>
      </c>
      <c r="L105" s="306" t="s">
        <v>156</v>
      </c>
      <c r="M105" s="295" t="s">
        <v>156</v>
      </c>
      <c r="N105" s="306">
        <v>10.3</v>
      </c>
      <c r="O105" s="306" t="s">
        <v>156</v>
      </c>
      <c r="P105" s="307">
        <v>10.3</v>
      </c>
      <c r="Q105" s="307" t="s">
        <v>156</v>
      </c>
      <c r="R105" s="298" t="s">
        <v>156</v>
      </c>
      <c r="S105" s="297" t="s">
        <v>156</v>
      </c>
      <c r="T105" s="297" t="s">
        <v>156</v>
      </c>
      <c r="U105" s="326"/>
      <c r="V105" s="307"/>
      <c r="W105" s="307">
        <f t="shared" si="10"/>
        <v>0</v>
      </c>
      <c r="X105" s="307">
        <f t="shared" ref="X105:X146" si="12">U105</f>
        <v>0</v>
      </c>
      <c r="Y105" s="307">
        <f t="shared" si="11"/>
        <v>0</v>
      </c>
      <c r="Z105" s="298"/>
    </row>
    <row r="106" s="282" customFormat="1" spans="1:26">
      <c r="A106" s="295" t="s">
        <v>681</v>
      </c>
      <c r="B106" s="296" t="s">
        <v>95</v>
      </c>
      <c r="C106" s="296" t="s">
        <v>45</v>
      </c>
      <c r="D106" s="295" t="s">
        <v>511</v>
      </c>
      <c r="E106" s="296" t="s">
        <v>542</v>
      </c>
      <c r="F106" s="296" t="s">
        <v>156</v>
      </c>
      <c r="G106" s="295" t="s">
        <v>513</v>
      </c>
      <c r="H106" s="295" t="s">
        <v>514</v>
      </c>
      <c r="I106" s="295"/>
      <c r="J106" s="304" t="s">
        <v>156</v>
      </c>
      <c r="K106" s="309" t="s">
        <v>156</v>
      </c>
      <c r="L106" s="306" t="s">
        <v>156</v>
      </c>
      <c r="M106" s="295" t="s">
        <v>156</v>
      </c>
      <c r="N106" s="306">
        <v>8.95</v>
      </c>
      <c r="O106" s="306" t="s">
        <v>156</v>
      </c>
      <c r="P106" s="307">
        <v>8.95</v>
      </c>
      <c r="Q106" s="307" t="s">
        <v>156</v>
      </c>
      <c r="R106" s="298" t="s">
        <v>156</v>
      </c>
      <c r="S106" s="297" t="s">
        <v>156</v>
      </c>
      <c r="T106" s="297" t="s">
        <v>156</v>
      </c>
      <c r="U106" s="326"/>
      <c r="V106" s="307"/>
      <c r="W106" s="307">
        <f t="shared" si="10"/>
        <v>0</v>
      </c>
      <c r="X106" s="307">
        <f t="shared" si="12"/>
        <v>0</v>
      </c>
      <c r="Y106" s="307">
        <f t="shared" si="11"/>
        <v>0</v>
      </c>
      <c r="Z106" s="298"/>
    </row>
    <row r="107" s="282" customFormat="1" spans="1:26">
      <c r="A107" s="295" t="s">
        <v>682</v>
      </c>
      <c r="B107" s="296" t="s">
        <v>95</v>
      </c>
      <c r="C107" s="296" t="s">
        <v>45</v>
      </c>
      <c r="D107" s="295" t="s">
        <v>511</v>
      </c>
      <c r="E107" s="296" t="s">
        <v>544</v>
      </c>
      <c r="F107" s="296" t="s">
        <v>156</v>
      </c>
      <c r="G107" s="295" t="s">
        <v>513</v>
      </c>
      <c r="H107" s="295" t="s">
        <v>514</v>
      </c>
      <c r="I107" s="295"/>
      <c r="J107" s="304" t="s">
        <v>156</v>
      </c>
      <c r="K107" s="309" t="s">
        <v>156</v>
      </c>
      <c r="L107" s="306" t="s">
        <v>156</v>
      </c>
      <c r="M107" s="295" t="s">
        <v>156</v>
      </c>
      <c r="N107" s="306">
        <v>9.4</v>
      </c>
      <c r="O107" s="306" t="s">
        <v>156</v>
      </c>
      <c r="P107" s="307">
        <v>9.4</v>
      </c>
      <c r="Q107" s="307" t="s">
        <v>156</v>
      </c>
      <c r="R107" s="298" t="s">
        <v>156</v>
      </c>
      <c r="S107" s="297" t="s">
        <v>156</v>
      </c>
      <c r="T107" s="297" t="s">
        <v>156</v>
      </c>
      <c r="U107" s="326"/>
      <c r="V107" s="307"/>
      <c r="W107" s="307">
        <f t="shared" si="10"/>
        <v>0</v>
      </c>
      <c r="X107" s="307">
        <f t="shared" si="12"/>
        <v>0</v>
      </c>
      <c r="Y107" s="307">
        <f t="shared" si="11"/>
        <v>0</v>
      </c>
      <c r="Z107" s="298"/>
    </row>
    <row r="108" s="282" customFormat="1" spans="1:26">
      <c r="A108" s="295" t="s">
        <v>683</v>
      </c>
      <c r="B108" s="296" t="s">
        <v>95</v>
      </c>
      <c r="C108" s="296" t="s">
        <v>45</v>
      </c>
      <c r="D108" s="295" t="s">
        <v>511</v>
      </c>
      <c r="E108" s="296" t="s">
        <v>546</v>
      </c>
      <c r="F108" s="296" t="s">
        <v>156</v>
      </c>
      <c r="G108" s="295" t="s">
        <v>513</v>
      </c>
      <c r="H108" s="295" t="s">
        <v>514</v>
      </c>
      <c r="I108" s="295"/>
      <c r="J108" s="304" t="s">
        <v>156</v>
      </c>
      <c r="K108" s="309" t="s">
        <v>156</v>
      </c>
      <c r="L108" s="306" t="s">
        <v>156</v>
      </c>
      <c r="M108" s="295" t="s">
        <v>156</v>
      </c>
      <c r="N108" s="306">
        <v>8.95</v>
      </c>
      <c r="O108" s="306" t="s">
        <v>156</v>
      </c>
      <c r="P108" s="307">
        <v>8.95</v>
      </c>
      <c r="Q108" s="307" t="s">
        <v>156</v>
      </c>
      <c r="R108" s="298" t="s">
        <v>156</v>
      </c>
      <c r="S108" s="297" t="s">
        <v>156</v>
      </c>
      <c r="T108" s="297" t="s">
        <v>156</v>
      </c>
      <c r="U108" s="327"/>
      <c r="V108" s="307"/>
      <c r="W108" s="307">
        <f t="shared" si="10"/>
        <v>0</v>
      </c>
      <c r="X108" s="307">
        <f t="shared" si="12"/>
        <v>0</v>
      </c>
      <c r="Y108" s="307">
        <f t="shared" si="11"/>
        <v>0</v>
      </c>
      <c r="Z108" s="298"/>
    </row>
    <row r="109" s="282" customFormat="1" spans="1:26">
      <c r="A109" s="295" t="s">
        <v>684</v>
      </c>
      <c r="B109" s="296" t="s">
        <v>95</v>
      </c>
      <c r="C109" s="296" t="s">
        <v>45</v>
      </c>
      <c r="D109" s="295" t="s">
        <v>511</v>
      </c>
      <c r="E109" s="296" t="s">
        <v>548</v>
      </c>
      <c r="F109" s="296" t="s">
        <v>156</v>
      </c>
      <c r="G109" s="295" t="s">
        <v>513</v>
      </c>
      <c r="H109" s="295" t="s">
        <v>514</v>
      </c>
      <c r="I109" s="295"/>
      <c r="J109" s="304" t="s">
        <v>156</v>
      </c>
      <c r="K109" s="309" t="s">
        <v>156</v>
      </c>
      <c r="L109" s="306" t="s">
        <v>156</v>
      </c>
      <c r="M109" s="295" t="s">
        <v>156</v>
      </c>
      <c r="N109" s="306">
        <v>8.22</v>
      </c>
      <c r="O109" s="306" t="s">
        <v>156</v>
      </c>
      <c r="P109" s="307">
        <v>8.22</v>
      </c>
      <c r="Q109" s="307" t="s">
        <v>156</v>
      </c>
      <c r="R109" s="298" t="s">
        <v>156</v>
      </c>
      <c r="S109" s="297" t="s">
        <v>156</v>
      </c>
      <c r="T109" s="297" t="s">
        <v>156</v>
      </c>
      <c r="U109" s="326"/>
      <c r="V109" s="307"/>
      <c r="W109" s="307">
        <f t="shared" si="10"/>
        <v>0</v>
      </c>
      <c r="X109" s="307">
        <f t="shared" si="12"/>
        <v>0</v>
      </c>
      <c r="Y109" s="307">
        <f t="shared" si="11"/>
        <v>0</v>
      </c>
      <c r="Z109" s="298"/>
    </row>
    <row r="110" s="282" customFormat="1" spans="1:26">
      <c r="A110" s="295" t="s">
        <v>685</v>
      </c>
      <c r="B110" s="296" t="s">
        <v>95</v>
      </c>
      <c r="C110" s="296" t="s">
        <v>45</v>
      </c>
      <c r="D110" s="295" t="s">
        <v>511</v>
      </c>
      <c r="E110" s="296" t="s">
        <v>549</v>
      </c>
      <c r="F110" s="296" t="s">
        <v>156</v>
      </c>
      <c r="G110" s="295" t="s">
        <v>513</v>
      </c>
      <c r="H110" s="295" t="s">
        <v>514</v>
      </c>
      <c r="I110" s="295"/>
      <c r="J110" s="304" t="s">
        <v>156</v>
      </c>
      <c r="K110" s="309" t="s">
        <v>156</v>
      </c>
      <c r="L110" s="306" t="s">
        <v>156</v>
      </c>
      <c r="M110" s="295" t="s">
        <v>156</v>
      </c>
      <c r="N110" s="306">
        <v>76.79</v>
      </c>
      <c r="O110" s="306" t="s">
        <v>156</v>
      </c>
      <c r="P110" s="307">
        <v>76.79</v>
      </c>
      <c r="Q110" s="307" t="s">
        <v>156</v>
      </c>
      <c r="R110" s="298" t="s">
        <v>156</v>
      </c>
      <c r="S110" s="297" t="s">
        <v>156</v>
      </c>
      <c r="T110" s="297" t="s">
        <v>156</v>
      </c>
      <c r="U110" s="326"/>
      <c r="V110" s="307"/>
      <c r="W110" s="307">
        <f t="shared" si="10"/>
        <v>0</v>
      </c>
      <c r="X110" s="307">
        <f t="shared" si="12"/>
        <v>0</v>
      </c>
      <c r="Y110" s="307">
        <f t="shared" si="11"/>
        <v>0</v>
      </c>
      <c r="Z110" s="298"/>
    </row>
    <row r="111" s="282" customFormat="1" spans="1:26">
      <c r="A111" s="295" t="s">
        <v>686</v>
      </c>
      <c r="B111" s="296" t="s">
        <v>95</v>
      </c>
      <c r="C111" s="296" t="s">
        <v>45</v>
      </c>
      <c r="D111" s="295" t="s">
        <v>511</v>
      </c>
      <c r="E111" s="296" t="s">
        <v>550</v>
      </c>
      <c r="F111" s="296" t="s">
        <v>156</v>
      </c>
      <c r="G111" s="295" t="s">
        <v>513</v>
      </c>
      <c r="H111" s="295" t="s">
        <v>514</v>
      </c>
      <c r="I111" s="295"/>
      <c r="J111" s="304" t="s">
        <v>156</v>
      </c>
      <c r="K111" s="309" t="s">
        <v>156</v>
      </c>
      <c r="L111" s="306" t="s">
        <v>156</v>
      </c>
      <c r="M111" s="295" t="s">
        <v>156</v>
      </c>
      <c r="N111" s="306">
        <v>14.58</v>
      </c>
      <c r="O111" s="306" t="s">
        <v>156</v>
      </c>
      <c r="P111" s="307">
        <v>14.58</v>
      </c>
      <c r="Q111" s="307" t="s">
        <v>156</v>
      </c>
      <c r="R111" s="298" t="s">
        <v>156</v>
      </c>
      <c r="S111" s="297" t="s">
        <v>156</v>
      </c>
      <c r="T111" s="297" t="s">
        <v>156</v>
      </c>
      <c r="U111" s="328"/>
      <c r="V111" s="307"/>
      <c r="W111" s="307">
        <f t="shared" si="10"/>
        <v>0</v>
      </c>
      <c r="X111" s="307">
        <f t="shared" si="12"/>
        <v>0</v>
      </c>
      <c r="Y111" s="307">
        <f t="shared" si="11"/>
        <v>0</v>
      </c>
      <c r="Z111" s="298"/>
    </row>
    <row r="112" s="282" customFormat="1" spans="1:26">
      <c r="A112" s="295" t="s">
        <v>687</v>
      </c>
      <c r="B112" s="296" t="s">
        <v>95</v>
      </c>
      <c r="C112" s="296" t="s">
        <v>45</v>
      </c>
      <c r="D112" s="295" t="s">
        <v>511</v>
      </c>
      <c r="E112" s="296" t="s">
        <v>552</v>
      </c>
      <c r="F112" s="296" t="s">
        <v>156</v>
      </c>
      <c r="G112" s="295" t="s">
        <v>513</v>
      </c>
      <c r="H112" s="295" t="s">
        <v>514</v>
      </c>
      <c r="I112" s="295"/>
      <c r="J112" s="304" t="s">
        <v>156</v>
      </c>
      <c r="K112" s="309" t="s">
        <v>156</v>
      </c>
      <c r="L112" s="306" t="s">
        <v>156</v>
      </c>
      <c r="M112" s="295" t="s">
        <v>156</v>
      </c>
      <c r="N112" s="306">
        <v>14.58</v>
      </c>
      <c r="O112" s="306" t="s">
        <v>156</v>
      </c>
      <c r="P112" s="307">
        <v>14.58</v>
      </c>
      <c r="Q112" s="307" t="s">
        <v>156</v>
      </c>
      <c r="R112" s="298" t="s">
        <v>156</v>
      </c>
      <c r="S112" s="297" t="s">
        <v>156</v>
      </c>
      <c r="T112" s="297" t="s">
        <v>156</v>
      </c>
      <c r="U112" s="329"/>
      <c r="V112" s="307"/>
      <c r="W112" s="307">
        <f t="shared" si="10"/>
        <v>0</v>
      </c>
      <c r="X112" s="307">
        <f t="shared" si="12"/>
        <v>0</v>
      </c>
      <c r="Y112" s="307">
        <f t="shared" si="11"/>
        <v>0</v>
      </c>
      <c r="Z112" s="298"/>
    </row>
    <row r="113" s="282" customFormat="1" spans="1:26">
      <c r="A113" s="295" t="s">
        <v>688</v>
      </c>
      <c r="B113" s="296" t="s">
        <v>95</v>
      </c>
      <c r="C113" s="296" t="s">
        <v>45</v>
      </c>
      <c r="D113" s="295" t="s">
        <v>511</v>
      </c>
      <c r="E113" s="296" t="s">
        <v>554</v>
      </c>
      <c r="F113" s="296" t="s">
        <v>156</v>
      </c>
      <c r="G113" s="295" t="s">
        <v>513</v>
      </c>
      <c r="H113" s="295" t="s">
        <v>514</v>
      </c>
      <c r="I113" s="295"/>
      <c r="J113" s="304" t="s">
        <v>156</v>
      </c>
      <c r="K113" s="309" t="s">
        <v>156</v>
      </c>
      <c r="L113" s="306" t="s">
        <v>156</v>
      </c>
      <c r="M113" s="295" t="s">
        <v>156</v>
      </c>
      <c r="N113" s="306">
        <v>76.79</v>
      </c>
      <c r="O113" s="306" t="s">
        <v>156</v>
      </c>
      <c r="P113" s="307">
        <v>76.79</v>
      </c>
      <c r="Q113" s="307" t="s">
        <v>156</v>
      </c>
      <c r="R113" s="298" t="s">
        <v>156</v>
      </c>
      <c r="S113" s="297" t="s">
        <v>156</v>
      </c>
      <c r="T113" s="297" t="s">
        <v>156</v>
      </c>
      <c r="U113" s="326"/>
      <c r="V113" s="307"/>
      <c r="W113" s="307">
        <f t="shared" si="10"/>
        <v>0</v>
      </c>
      <c r="X113" s="307">
        <f t="shared" si="12"/>
        <v>0</v>
      </c>
      <c r="Y113" s="307">
        <f t="shared" si="11"/>
        <v>0</v>
      </c>
      <c r="Z113" s="298"/>
    </row>
    <row r="114" s="282" customFormat="1" spans="1:26">
      <c r="A114" s="295" t="s">
        <v>689</v>
      </c>
      <c r="B114" s="296" t="s">
        <v>95</v>
      </c>
      <c r="C114" s="296" t="s">
        <v>45</v>
      </c>
      <c r="D114" s="295" t="s">
        <v>511</v>
      </c>
      <c r="E114" s="296" t="s">
        <v>556</v>
      </c>
      <c r="F114" s="296" t="s">
        <v>156</v>
      </c>
      <c r="G114" s="295" t="s">
        <v>513</v>
      </c>
      <c r="H114" s="295" t="s">
        <v>514</v>
      </c>
      <c r="I114" s="295"/>
      <c r="J114" s="304" t="s">
        <v>156</v>
      </c>
      <c r="K114" s="309" t="s">
        <v>156</v>
      </c>
      <c r="L114" s="306" t="s">
        <v>156</v>
      </c>
      <c r="M114" s="295" t="s">
        <v>156</v>
      </c>
      <c r="N114" s="306">
        <v>8.22</v>
      </c>
      <c r="O114" s="306" t="s">
        <v>156</v>
      </c>
      <c r="P114" s="307">
        <v>8.22</v>
      </c>
      <c r="Q114" s="307" t="s">
        <v>156</v>
      </c>
      <c r="R114" s="298" t="s">
        <v>156</v>
      </c>
      <c r="S114" s="297" t="s">
        <v>156</v>
      </c>
      <c r="T114" s="297" t="s">
        <v>156</v>
      </c>
      <c r="U114" s="327"/>
      <c r="V114" s="307"/>
      <c r="W114" s="307">
        <f t="shared" si="10"/>
        <v>0</v>
      </c>
      <c r="X114" s="307">
        <f t="shared" si="12"/>
        <v>0</v>
      </c>
      <c r="Y114" s="307">
        <f t="shared" si="11"/>
        <v>0</v>
      </c>
      <c r="Z114" s="298"/>
    </row>
    <row r="115" s="282" customFormat="1" spans="1:26">
      <c r="A115" s="295" t="s">
        <v>690</v>
      </c>
      <c r="B115" s="296" t="s">
        <v>95</v>
      </c>
      <c r="C115" s="296" t="s">
        <v>45</v>
      </c>
      <c r="D115" s="295" t="s">
        <v>511</v>
      </c>
      <c r="E115" s="296" t="s">
        <v>558</v>
      </c>
      <c r="F115" s="296" t="s">
        <v>156</v>
      </c>
      <c r="G115" s="295" t="s">
        <v>513</v>
      </c>
      <c r="H115" s="295" t="s">
        <v>514</v>
      </c>
      <c r="I115" s="295"/>
      <c r="J115" s="304" t="s">
        <v>156</v>
      </c>
      <c r="K115" s="309" t="s">
        <v>156</v>
      </c>
      <c r="L115" s="306" t="s">
        <v>156</v>
      </c>
      <c r="M115" s="295" t="s">
        <v>156</v>
      </c>
      <c r="N115" s="306">
        <v>8.95</v>
      </c>
      <c r="O115" s="306" t="s">
        <v>156</v>
      </c>
      <c r="P115" s="307">
        <v>8.95</v>
      </c>
      <c r="Q115" s="307" t="s">
        <v>156</v>
      </c>
      <c r="R115" s="298" t="s">
        <v>156</v>
      </c>
      <c r="S115" s="297" t="s">
        <v>156</v>
      </c>
      <c r="T115" s="297" t="s">
        <v>156</v>
      </c>
      <c r="U115" s="329"/>
      <c r="V115" s="307"/>
      <c r="W115" s="307">
        <f t="shared" si="10"/>
        <v>0</v>
      </c>
      <c r="X115" s="307">
        <f t="shared" si="12"/>
        <v>0</v>
      </c>
      <c r="Y115" s="307">
        <f t="shared" si="11"/>
        <v>0</v>
      </c>
      <c r="Z115" s="298"/>
    </row>
    <row r="116" s="282" customFormat="1" spans="1:26">
      <c r="A116" s="295" t="s">
        <v>691</v>
      </c>
      <c r="B116" s="296" t="s">
        <v>95</v>
      </c>
      <c r="C116" s="296" t="s">
        <v>45</v>
      </c>
      <c r="D116" s="295" t="s">
        <v>511</v>
      </c>
      <c r="E116" s="296" t="s">
        <v>560</v>
      </c>
      <c r="F116" s="296" t="s">
        <v>156</v>
      </c>
      <c r="G116" s="295" t="s">
        <v>513</v>
      </c>
      <c r="H116" s="295" t="s">
        <v>514</v>
      </c>
      <c r="I116" s="295"/>
      <c r="J116" s="304" t="s">
        <v>156</v>
      </c>
      <c r="K116" s="309" t="s">
        <v>156</v>
      </c>
      <c r="L116" s="306" t="s">
        <v>156</v>
      </c>
      <c r="M116" s="295" t="s">
        <v>156</v>
      </c>
      <c r="N116" s="306">
        <v>9.4</v>
      </c>
      <c r="O116" s="306" t="s">
        <v>156</v>
      </c>
      <c r="P116" s="307">
        <v>9.4</v>
      </c>
      <c r="Q116" s="307" t="s">
        <v>156</v>
      </c>
      <c r="R116" s="298" t="s">
        <v>156</v>
      </c>
      <c r="S116" s="297" t="s">
        <v>156</v>
      </c>
      <c r="T116" s="297" t="s">
        <v>156</v>
      </c>
      <c r="U116" s="326"/>
      <c r="V116" s="307"/>
      <c r="W116" s="307">
        <f t="shared" si="10"/>
        <v>0</v>
      </c>
      <c r="X116" s="307">
        <f t="shared" si="12"/>
        <v>0</v>
      </c>
      <c r="Y116" s="307">
        <f t="shared" si="11"/>
        <v>0</v>
      </c>
      <c r="Z116" s="298"/>
    </row>
    <row r="117" s="282" customFormat="1" spans="1:26">
      <c r="A117" s="295" t="s">
        <v>692</v>
      </c>
      <c r="B117" s="296" t="s">
        <v>95</v>
      </c>
      <c r="C117" s="296" t="s">
        <v>45</v>
      </c>
      <c r="D117" s="295" t="s">
        <v>511</v>
      </c>
      <c r="E117" s="296" t="s">
        <v>562</v>
      </c>
      <c r="F117" s="296" t="s">
        <v>156</v>
      </c>
      <c r="G117" s="295" t="s">
        <v>513</v>
      </c>
      <c r="H117" s="295" t="s">
        <v>514</v>
      </c>
      <c r="I117" s="295"/>
      <c r="J117" s="304" t="s">
        <v>156</v>
      </c>
      <c r="K117" s="309" t="s">
        <v>156</v>
      </c>
      <c r="L117" s="306" t="s">
        <v>156</v>
      </c>
      <c r="M117" s="295" t="s">
        <v>156</v>
      </c>
      <c r="N117" s="306">
        <v>8.95</v>
      </c>
      <c r="O117" s="306" t="s">
        <v>156</v>
      </c>
      <c r="P117" s="307">
        <v>8.95</v>
      </c>
      <c r="Q117" s="307" t="s">
        <v>156</v>
      </c>
      <c r="R117" s="298" t="s">
        <v>156</v>
      </c>
      <c r="S117" s="297" t="s">
        <v>156</v>
      </c>
      <c r="T117" s="297" t="s">
        <v>156</v>
      </c>
      <c r="U117" s="307" t="s">
        <v>156</v>
      </c>
      <c r="V117" s="307"/>
      <c r="W117" s="307">
        <f t="shared" si="10"/>
        <v>0</v>
      </c>
      <c r="X117" s="307" t="str">
        <f t="shared" si="12"/>
        <v/>
      </c>
      <c r="Y117" s="307">
        <f t="shared" si="11"/>
        <v>0</v>
      </c>
      <c r="Z117" s="298"/>
    </row>
    <row r="118" s="282" customFormat="1" spans="1:26">
      <c r="A118" s="295" t="s">
        <v>693</v>
      </c>
      <c r="B118" s="296" t="s">
        <v>95</v>
      </c>
      <c r="C118" s="296" t="s">
        <v>45</v>
      </c>
      <c r="D118" s="295" t="s">
        <v>511</v>
      </c>
      <c r="E118" s="296" t="s">
        <v>564</v>
      </c>
      <c r="F118" s="296" t="s">
        <v>156</v>
      </c>
      <c r="G118" s="295" t="s">
        <v>513</v>
      </c>
      <c r="H118" s="295" t="s">
        <v>514</v>
      </c>
      <c r="I118" s="295"/>
      <c r="J118" s="304" t="s">
        <v>156</v>
      </c>
      <c r="K118" s="309" t="s">
        <v>156</v>
      </c>
      <c r="L118" s="306" t="s">
        <v>156</v>
      </c>
      <c r="M118" s="295" t="s">
        <v>156</v>
      </c>
      <c r="N118" s="306">
        <v>8.95</v>
      </c>
      <c r="O118" s="306" t="s">
        <v>156</v>
      </c>
      <c r="P118" s="307">
        <v>8.95</v>
      </c>
      <c r="Q118" s="307" t="s">
        <v>156</v>
      </c>
      <c r="R118" s="298" t="s">
        <v>156</v>
      </c>
      <c r="S118" s="297" t="s">
        <v>156</v>
      </c>
      <c r="T118" s="297" t="s">
        <v>156</v>
      </c>
      <c r="U118" s="307" t="s">
        <v>156</v>
      </c>
      <c r="V118" s="307"/>
      <c r="W118" s="307">
        <f t="shared" si="10"/>
        <v>0</v>
      </c>
      <c r="X118" s="307" t="str">
        <f t="shared" si="12"/>
        <v/>
      </c>
      <c r="Y118" s="307">
        <f t="shared" si="11"/>
        <v>0</v>
      </c>
      <c r="Z118" s="298"/>
    </row>
    <row r="119" s="282" customFormat="1" ht="15.05" spans="1:26">
      <c r="A119" s="295" t="s">
        <v>694</v>
      </c>
      <c r="B119" s="297" t="s">
        <v>99</v>
      </c>
      <c r="C119" s="297" t="s">
        <v>42</v>
      </c>
      <c r="D119" s="298" t="s">
        <v>42</v>
      </c>
      <c r="E119" s="297" t="s">
        <v>388</v>
      </c>
      <c r="F119" s="297" t="s">
        <v>156</v>
      </c>
      <c r="G119" s="295" t="s">
        <v>214</v>
      </c>
      <c r="H119" s="298" t="s">
        <v>389</v>
      </c>
      <c r="I119" s="295" t="s">
        <v>294</v>
      </c>
      <c r="J119" s="308">
        <v>20220005771</v>
      </c>
      <c r="K119" s="305" t="s">
        <v>695</v>
      </c>
      <c r="L119" s="307">
        <v>901584</v>
      </c>
      <c r="M119" s="298" t="s">
        <v>696</v>
      </c>
      <c r="N119" s="307">
        <v>125.22</v>
      </c>
      <c r="O119" s="307" t="s">
        <v>156</v>
      </c>
      <c r="P119" s="307">
        <v>125.22</v>
      </c>
      <c r="Q119" s="307" t="s">
        <v>156</v>
      </c>
      <c r="R119" s="298" t="s">
        <v>156</v>
      </c>
      <c r="S119" s="563" t="s">
        <v>392</v>
      </c>
      <c r="T119" s="318" t="s">
        <v>697</v>
      </c>
      <c r="U119" s="316">
        <v>827141.28</v>
      </c>
      <c r="V119" s="307">
        <f t="shared" ref="V119:V146" si="13">ROUND(U119*0.09,2)</f>
        <v>74442.72</v>
      </c>
      <c r="W119" s="307">
        <f t="shared" si="10"/>
        <v>901584</v>
      </c>
      <c r="X119" s="307">
        <f t="shared" si="12"/>
        <v>827141.28</v>
      </c>
      <c r="Y119" s="307">
        <f t="shared" si="11"/>
        <v>6605.5</v>
      </c>
      <c r="Z119" s="298"/>
    </row>
    <row r="120" s="282" customFormat="1" ht="15.05" spans="1:26">
      <c r="A120" s="295" t="s">
        <v>698</v>
      </c>
      <c r="B120" s="296" t="s">
        <v>99</v>
      </c>
      <c r="C120" s="296" t="s">
        <v>42</v>
      </c>
      <c r="D120" s="295" t="s">
        <v>42</v>
      </c>
      <c r="E120" s="296" t="s">
        <v>395</v>
      </c>
      <c r="F120" s="296" t="s">
        <v>156</v>
      </c>
      <c r="G120" s="295" t="s">
        <v>214</v>
      </c>
      <c r="H120" s="295" t="s">
        <v>389</v>
      </c>
      <c r="I120" s="295" t="s">
        <v>294</v>
      </c>
      <c r="J120" s="304">
        <v>20230001725</v>
      </c>
      <c r="K120" s="309" t="s">
        <v>699</v>
      </c>
      <c r="L120" s="306">
        <v>898200</v>
      </c>
      <c r="M120" s="295" t="s">
        <v>700</v>
      </c>
      <c r="N120" s="306">
        <v>124.75</v>
      </c>
      <c r="O120" s="306" t="s">
        <v>156</v>
      </c>
      <c r="P120" s="307">
        <v>124.75</v>
      </c>
      <c r="Q120" s="307" t="s">
        <v>156</v>
      </c>
      <c r="R120" s="298" t="s">
        <v>156</v>
      </c>
      <c r="S120" s="563" t="s">
        <v>392</v>
      </c>
      <c r="T120" s="318" t="s">
        <v>701</v>
      </c>
      <c r="U120" s="316">
        <v>824036.7</v>
      </c>
      <c r="V120" s="307">
        <f t="shared" si="13"/>
        <v>74163.3</v>
      </c>
      <c r="W120" s="307">
        <f t="shared" si="10"/>
        <v>898200</v>
      </c>
      <c r="X120" s="307">
        <f t="shared" si="12"/>
        <v>824036.7</v>
      </c>
      <c r="Y120" s="307">
        <f t="shared" si="11"/>
        <v>6605.5</v>
      </c>
      <c r="Z120" s="298"/>
    </row>
    <row r="121" s="282" customFormat="1" ht="15.05" spans="1:26">
      <c r="A121" s="295" t="s">
        <v>702</v>
      </c>
      <c r="B121" s="296" t="s">
        <v>99</v>
      </c>
      <c r="C121" s="296" t="s">
        <v>42</v>
      </c>
      <c r="D121" s="295" t="s">
        <v>45</v>
      </c>
      <c r="E121" s="296" t="s">
        <v>400</v>
      </c>
      <c r="F121" s="296" t="s">
        <v>156</v>
      </c>
      <c r="G121" s="295" t="s">
        <v>214</v>
      </c>
      <c r="H121" s="295" t="s">
        <v>389</v>
      </c>
      <c r="I121" s="295" t="s">
        <v>294</v>
      </c>
      <c r="J121" s="304">
        <v>20200009225</v>
      </c>
      <c r="K121" s="309" t="s">
        <v>703</v>
      </c>
      <c r="L121" s="306">
        <v>552220</v>
      </c>
      <c r="M121" s="295" t="s">
        <v>704</v>
      </c>
      <c r="N121" s="306">
        <v>125.22</v>
      </c>
      <c r="O121" s="306" t="s">
        <v>156</v>
      </c>
      <c r="P121" s="307">
        <v>125.22</v>
      </c>
      <c r="Q121" s="307" t="s">
        <v>156</v>
      </c>
      <c r="R121" s="298" t="s">
        <v>156</v>
      </c>
      <c r="S121" s="563" t="s">
        <v>392</v>
      </c>
      <c r="T121" s="318" t="s">
        <v>705</v>
      </c>
      <c r="U121" s="316">
        <v>506623.85</v>
      </c>
      <c r="V121" s="307">
        <f t="shared" si="13"/>
        <v>45596.15</v>
      </c>
      <c r="W121" s="307">
        <f t="shared" si="10"/>
        <v>552220</v>
      </c>
      <c r="X121" s="307">
        <f t="shared" si="12"/>
        <v>506623.85</v>
      </c>
      <c r="Y121" s="307">
        <f t="shared" si="11"/>
        <v>4045.87</v>
      </c>
      <c r="Z121" s="298"/>
    </row>
    <row r="122" s="282" customFormat="1" ht="23.8" spans="1:26">
      <c r="A122" s="295" t="s">
        <v>706</v>
      </c>
      <c r="B122" s="296" t="s">
        <v>99</v>
      </c>
      <c r="C122" s="296" t="s">
        <v>42</v>
      </c>
      <c r="D122" s="295" t="s">
        <v>45</v>
      </c>
      <c r="E122" s="296" t="s">
        <v>405</v>
      </c>
      <c r="F122" s="296" t="s">
        <v>156</v>
      </c>
      <c r="G122" s="295" t="s">
        <v>214</v>
      </c>
      <c r="H122" s="295" t="s">
        <v>389</v>
      </c>
      <c r="I122" s="295" t="s">
        <v>294</v>
      </c>
      <c r="J122" s="304">
        <v>20200008557</v>
      </c>
      <c r="K122" s="309" t="s">
        <v>453</v>
      </c>
      <c r="L122" s="306">
        <v>552921</v>
      </c>
      <c r="M122" s="295" t="s">
        <v>707</v>
      </c>
      <c r="N122" s="306">
        <v>124.85</v>
      </c>
      <c r="O122" s="306" t="s">
        <v>156</v>
      </c>
      <c r="P122" s="307">
        <v>124.85</v>
      </c>
      <c r="Q122" s="307" t="s">
        <v>156</v>
      </c>
      <c r="R122" s="298" t="s">
        <v>156</v>
      </c>
      <c r="S122" s="563" t="s">
        <v>392</v>
      </c>
      <c r="T122" s="318" t="s">
        <v>708</v>
      </c>
      <c r="U122" s="316">
        <v>507266.97</v>
      </c>
      <c r="V122" s="307">
        <f t="shared" si="13"/>
        <v>45654.03</v>
      </c>
      <c r="W122" s="307">
        <f t="shared" si="10"/>
        <v>552921</v>
      </c>
      <c r="X122" s="307">
        <f t="shared" si="12"/>
        <v>507266.97</v>
      </c>
      <c r="Y122" s="307">
        <f t="shared" si="11"/>
        <v>4063.01</v>
      </c>
      <c r="Z122" s="298"/>
    </row>
    <row r="123" s="282" customFormat="1" ht="23.8" spans="1:26">
      <c r="A123" s="295" t="s">
        <v>709</v>
      </c>
      <c r="B123" s="296" t="s">
        <v>99</v>
      </c>
      <c r="C123" s="296" t="s">
        <v>42</v>
      </c>
      <c r="D123" s="295" t="s">
        <v>48</v>
      </c>
      <c r="E123" s="296" t="s">
        <v>410</v>
      </c>
      <c r="F123" s="296" t="s">
        <v>156</v>
      </c>
      <c r="G123" s="295" t="s">
        <v>214</v>
      </c>
      <c r="H123" s="295" t="s">
        <v>389</v>
      </c>
      <c r="I123" s="295" t="s">
        <v>294</v>
      </c>
      <c r="J123" s="304">
        <v>20200009184</v>
      </c>
      <c r="K123" s="309" t="s">
        <v>421</v>
      </c>
      <c r="L123" s="306">
        <v>557905</v>
      </c>
      <c r="M123" s="295" t="s">
        <v>710</v>
      </c>
      <c r="N123" s="306">
        <v>125.22</v>
      </c>
      <c r="O123" s="306" t="s">
        <v>156</v>
      </c>
      <c r="P123" s="307">
        <v>125.22</v>
      </c>
      <c r="Q123" s="307" t="s">
        <v>156</v>
      </c>
      <c r="R123" s="298" t="s">
        <v>156</v>
      </c>
      <c r="S123" s="563" t="s">
        <v>392</v>
      </c>
      <c r="T123" s="318" t="s">
        <v>711</v>
      </c>
      <c r="U123" s="316">
        <v>511839.45</v>
      </c>
      <c r="V123" s="307">
        <f t="shared" si="13"/>
        <v>46065.55</v>
      </c>
      <c r="W123" s="307">
        <f t="shared" si="10"/>
        <v>557905</v>
      </c>
      <c r="X123" s="307">
        <f t="shared" si="12"/>
        <v>511839.45</v>
      </c>
      <c r="Y123" s="307">
        <f t="shared" si="11"/>
        <v>4087.52</v>
      </c>
      <c r="Z123" s="298"/>
    </row>
    <row r="124" s="282" customFormat="1" ht="15.05" spans="1:26">
      <c r="A124" s="295" t="s">
        <v>712</v>
      </c>
      <c r="B124" s="296" t="s">
        <v>99</v>
      </c>
      <c r="C124" s="296" t="s">
        <v>42</v>
      </c>
      <c r="D124" s="295" t="s">
        <v>48</v>
      </c>
      <c r="E124" s="296" t="s">
        <v>415</v>
      </c>
      <c r="F124" s="296" t="s">
        <v>156</v>
      </c>
      <c r="G124" s="295" t="s">
        <v>214</v>
      </c>
      <c r="H124" s="295" t="s">
        <v>389</v>
      </c>
      <c r="I124" s="295" t="s">
        <v>294</v>
      </c>
      <c r="J124" s="304">
        <v>20200008440</v>
      </c>
      <c r="K124" s="309" t="s">
        <v>713</v>
      </c>
      <c r="L124" s="306">
        <v>559248</v>
      </c>
      <c r="M124" s="295" t="s">
        <v>714</v>
      </c>
      <c r="N124" s="306">
        <v>124.85</v>
      </c>
      <c r="O124" s="306" t="s">
        <v>156</v>
      </c>
      <c r="P124" s="307">
        <v>124.85</v>
      </c>
      <c r="Q124" s="307" t="s">
        <v>156</v>
      </c>
      <c r="R124" s="298" t="s">
        <v>156</v>
      </c>
      <c r="S124" s="563" t="s">
        <v>392</v>
      </c>
      <c r="T124" s="318" t="s">
        <v>715</v>
      </c>
      <c r="U124" s="316">
        <v>513071.56</v>
      </c>
      <c r="V124" s="307">
        <f t="shared" si="13"/>
        <v>46176.44</v>
      </c>
      <c r="W124" s="307">
        <f t="shared" si="10"/>
        <v>559248</v>
      </c>
      <c r="X124" s="307">
        <f t="shared" si="12"/>
        <v>513071.56</v>
      </c>
      <c r="Y124" s="307">
        <f t="shared" si="11"/>
        <v>4109.5</v>
      </c>
      <c r="Z124" s="298"/>
    </row>
    <row r="125" s="282" customFormat="1" ht="15.05" spans="1:26">
      <c r="A125" s="295" t="s">
        <v>716</v>
      </c>
      <c r="B125" s="296" t="s">
        <v>99</v>
      </c>
      <c r="C125" s="296" t="s">
        <v>42</v>
      </c>
      <c r="D125" s="295" t="s">
        <v>92</v>
      </c>
      <c r="E125" s="296" t="s">
        <v>420</v>
      </c>
      <c r="F125" s="296" t="s">
        <v>156</v>
      </c>
      <c r="G125" s="295" t="s">
        <v>214</v>
      </c>
      <c r="H125" s="295" t="s">
        <v>389</v>
      </c>
      <c r="I125" s="295" t="s">
        <v>294</v>
      </c>
      <c r="J125" s="304">
        <v>20200008886</v>
      </c>
      <c r="K125" s="309" t="s">
        <v>717</v>
      </c>
      <c r="L125" s="306">
        <v>567000</v>
      </c>
      <c r="M125" s="295" t="s">
        <v>718</v>
      </c>
      <c r="N125" s="306">
        <v>125.22</v>
      </c>
      <c r="O125" s="306" t="s">
        <v>156</v>
      </c>
      <c r="P125" s="307">
        <v>125.22</v>
      </c>
      <c r="Q125" s="307" t="s">
        <v>156</v>
      </c>
      <c r="R125" s="298" t="s">
        <v>156</v>
      </c>
      <c r="S125" s="563" t="s">
        <v>392</v>
      </c>
      <c r="T125" s="318" t="s">
        <v>719</v>
      </c>
      <c r="U125" s="316">
        <v>520183.49</v>
      </c>
      <c r="V125" s="307">
        <f t="shared" si="13"/>
        <v>46816.51</v>
      </c>
      <c r="W125" s="307">
        <f t="shared" si="10"/>
        <v>567000</v>
      </c>
      <c r="X125" s="307">
        <f t="shared" si="12"/>
        <v>520183.49</v>
      </c>
      <c r="Y125" s="307">
        <f t="shared" si="11"/>
        <v>4154.16</v>
      </c>
      <c r="Z125" s="298"/>
    </row>
    <row r="126" s="282" customFormat="1" ht="15.05" spans="1:26">
      <c r="A126" s="295" t="s">
        <v>720</v>
      </c>
      <c r="B126" s="296" t="s">
        <v>99</v>
      </c>
      <c r="C126" s="296" t="s">
        <v>42</v>
      </c>
      <c r="D126" s="295" t="s">
        <v>92</v>
      </c>
      <c r="E126" s="296" t="s">
        <v>425</v>
      </c>
      <c r="F126" s="296" t="s">
        <v>156</v>
      </c>
      <c r="G126" s="295" t="s">
        <v>214</v>
      </c>
      <c r="H126" s="295" t="s">
        <v>389</v>
      </c>
      <c r="I126" s="295" t="s">
        <v>294</v>
      </c>
      <c r="J126" s="304">
        <v>20200008130</v>
      </c>
      <c r="K126" s="309" t="s">
        <v>480</v>
      </c>
      <c r="L126" s="306">
        <v>564300</v>
      </c>
      <c r="M126" s="295" t="s">
        <v>721</v>
      </c>
      <c r="N126" s="306">
        <v>124.85</v>
      </c>
      <c r="O126" s="306" t="s">
        <v>156</v>
      </c>
      <c r="P126" s="307">
        <v>124.85</v>
      </c>
      <c r="Q126" s="307" t="s">
        <v>156</v>
      </c>
      <c r="R126" s="298" t="s">
        <v>156</v>
      </c>
      <c r="S126" s="563" t="s">
        <v>392</v>
      </c>
      <c r="T126" s="318" t="s">
        <v>722</v>
      </c>
      <c r="U126" s="316">
        <v>517706.42</v>
      </c>
      <c r="V126" s="307">
        <f t="shared" si="13"/>
        <v>46593.58</v>
      </c>
      <c r="W126" s="307">
        <f t="shared" si="10"/>
        <v>564300</v>
      </c>
      <c r="X126" s="307">
        <f t="shared" si="12"/>
        <v>517706.42</v>
      </c>
      <c r="Y126" s="307">
        <f t="shared" si="11"/>
        <v>4146.63</v>
      </c>
      <c r="Z126" s="298"/>
    </row>
    <row r="127" s="282" customFormat="1" ht="23.8" spans="1:26">
      <c r="A127" s="295" t="s">
        <v>723</v>
      </c>
      <c r="B127" s="296" t="s">
        <v>99</v>
      </c>
      <c r="C127" s="296" t="s">
        <v>42</v>
      </c>
      <c r="D127" s="295" t="s">
        <v>95</v>
      </c>
      <c r="E127" s="296" t="s">
        <v>430</v>
      </c>
      <c r="F127" s="296" t="s">
        <v>156</v>
      </c>
      <c r="G127" s="295" t="s">
        <v>214</v>
      </c>
      <c r="H127" s="295" t="s">
        <v>389</v>
      </c>
      <c r="I127" s="295" t="s">
        <v>294</v>
      </c>
      <c r="J127" s="304">
        <v>20200008547</v>
      </c>
      <c r="K127" s="309" t="s">
        <v>453</v>
      </c>
      <c r="L127" s="306">
        <v>570848</v>
      </c>
      <c r="M127" s="295" t="s">
        <v>724</v>
      </c>
      <c r="N127" s="306">
        <v>125.22</v>
      </c>
      <c r="O127" s="306" t="s">
        <v>156</v>
      </c>
      <c r="P127" s="307">
        <v>125.22</v>
      </c>
      <c r="Q127" s="307" t="s">
        <v>156</v>
      </c>
      <c r="R127" s="298" t="s">
        <v>156</v>
      </c>
      <c r="S127" s="563" t="s">
        <v>392</v>
      </c>
      <c r="T127" s="318" t="s">
        <v>725</v>
      </c>
      <c r="U127" s="316">
        <v>523713.76</v>
      </c>
      <c r="V127" s="307">
        <f t="shared" si="13"/>
        <v>47134.24</v>
      </c>
      <c r="W127" s="307">
        <f t="shared" si="10"/>
        <v>570848</v>
      </c>
      <c r="X127" s="307">
        <f t="shared" si="12"/>
        <v>523713.76</v>
      </c>
      <c r="Y127" s="307">
        <f t="shared" si="11"/>
        <v>4182.35</v>
      </c>
      <c r="Z127" s="298"/>
    </row>
    <row r="128" s="282" customFormat="1" ht="15.05" spans="1:26">
      <c r="A128" s="295" t="s">
        <v>420</v>
      </c>
      <c r="B128" s="296" t="s">
        <v>99</v>
      </c>
      <c r="C128" s="296" t="s">
        <v>42</v>
      </c>
      <c r="D128" s="295" t="s">
        <v>95</v>
      </c>
      <c r="E128" s="296" t="s">
        <v>435</v>
      </c>
      <c r="F128" s="296" t="s">
        <v>156</v>
      </c>
      <c r="G128" s="295" t="s">
        <v>214</v>
      </c>
      <c r="H128" s="295" t="s">
        <v>389</v>
      </c>
      <c r="I128" s="295" t="s">
        <v>294</v>
      </c>
      <c r="J128" s="304">
        <v>20200007731</v>
      </c>
      <c r="K128" s="309" t="s">
        <v>436</v>
      </c>
      <c r="L128" s="306">
        <v>571403</v>
      </c>
      <c r="M128" s="295" t="s">
        <v>726</v>
      </c>
      <c r="N128" s="306">
        <v>124.85</v>
      </c>
      <c r="O128" s="306" t="s">
        <v>156</v>
      </c>
      <c r="P128" s="307">
        <v>124.85</v>
      </c>
      <c r="Q128" s="307" t="s">
        <v>156</v>
      </c>
      <c r="R128" s="298" t="s">
        <v>156</v>
      </c>
      <c r="S128" s="563" t="s">
        <v>392</v>
      </c>
      <c r="T128" s="318" t="s">
        <v>727</v>
      </c>
      <c r="U128" s="316">
        <v>524222.94</v>
      </c>
      <c r="V128" s="307">
        <f t="shared" si="13"/>
        <v>47180.06</v>
      </c>
      <c r="W128" s="307">
        <f t="shared" si="10"/>
        <v>571403</v>
      </c>
      <c r="X128" s="307">
        <f t="shared" si="12"/>
        <v>524222.94</v>
      </c>
      <c r="Y128" s="307">
        <f t="shared" si="11"/>
        <v>4198.82</v>
      </c>
      <c r="Z128" s="298"/>
    </row>
    <row r="129" s="282" customFormat="1" ht="23.8" spans="1:26">
      <c r="A129" s="295" t="s">
        <v>425</v>
      </c>
      <c r="B129" s="296" t="s">
        <v>99</v>
      </c>
      <c r="C129" s="296" t="s">
        <v>42</v>
      </c>
      <c r="D129" s="295" t="s">
        <v>99</v>
      </c>
      <c r="E129" s="296" t="s">
        <v>440</v>
      </c>
      <c r="F129" s="296" t="s">
        <v>156</v>
      </c>
      <c r="G129" s="295" t="s">
        <v>214</v>
      </c>
      <c r="H129" s="295" t="s">
        <v>389</v>
      </c>
      <c r="I129" s="295" t="s">
        <v>294</v>
      </c>
      <c r="J129" s="304">
        <v>20200010126</v>
      </c>
      <c r="K129" s="309" t="s">
        <v>728</v>
      </c>
      <c r="L129" s="306">
        <v>579568</v>
      </c>
      <c r="M129" s="295" t="s">
        <v>729</v>
      </c>
      <c r="N129" s="306">
        <v>125.22</v>
      </c>
      <c r="O129" s="306" t="s">
        <v>156</v>
      </c>
      <c r="P129" s="307">
        <v>125.22</v>
      </c>
      <c r="Q129" s="307" t="s">
        <v>156</v>
      </c>
      <c r="R129" s="298" t="s">
        <v>156</v>
      </c>
      <c r="S129" s="563" t="s">
        <v>392</v>
      </c>
      <c r="T129" s="318" t="s">
        <v>730</v>
      </c>
      <c r="U129" s="316">
        <v>531713.76</v>
      </c>
      <c r="V129" s="307">
        <f t="shared" si="13"/>
        <v>47854.24</v>
      </c>
      <c r="W129" s="307">
        <f t="shared" si="10"/>
        <v>579568</v>
      </c>
      <c r="X129" s="307">
        <f t="shared" si="12"/>
        <v>531713.76</v>
      </c>
      <c r="Y129" s="307">
        <f t="shared" si="11"/>
        <v>4246.24</v>
      </c>
      <c r="Z129" s="298"/>
    </row>
    <row r="130" s="282" customFormat="1" ht="15.05" spans="1:26">
      <c r="A130" s="295" t="s">
        <v>731</v>
      </c>
      <c r="B130" s="296" t="s">
        <v>99</v>
      </c>
      <c r="C130" s="296" t="s">
        <v>42</v>
      </c>
      <c r="D130" s="295" t="s">
        <v>99</v>
      </c>
      <c r="E130" s="296" t="s">
        <v>444</v>
      </c>
      <c r="F130" s="296" t="s">
        <v>156</v>
      </c>
      <c r="G130" s="295" t="s">
        <v>214</v>
      </c>
      <c r="H130" s="295" t="s">
        <v>389</v>
      </c>
      <c r="I130" s="295" t="s">
        <v>294</v>
      </c>
      <c r="J130" s="304">
        <v>20200008802</v>
      </c>
      <c r="K130" s="309" t="s">
        <v>732</v>
      </c>
      <c r="L130" s="306">
        <v>577107</v>
      </c>
      <c r="M130" s="295" t="s">
        <v>733</v>
      </c>
      <c r="N130" s="306">
        <v>124.85</v>
      </c>
      <c r="O130" s="306" t="s">
        <v>156</v>
      </c>
      <c r="P130" s="307">
        <v>124.85</v>
      </c>
      <c r="Q130" s="307" t="s">
        <v>156</v>
      </c>
      <c r="R130" s="298" t="s">
        <v>156</v>
      </c>
      <c r="S130" s="563" t="s">
        <v>392</v>
      </c>
      <c r="T130" s="318" t="s">
        <v>734</v>
      </c>
      <c r="U130" s="316">
        <v>529455.96</v>
      </c>
      <c r="V130" s="307">
        <f t="shared" si="13"/>
        <v>47651.04</v>
      </c>
      <c r="W130" s="307">
        <f t="shared" si="10"/>
        <v>577107</v>
      </c>
      <c r="X130" s="307">
        <f t="shared" si="12"/>
        <v>529455.96</v>
      </c>
      <c r="Y130" s="307">
        <f t="shared" si="11"/>
        <v>4240.74</v>
      </c>
      <c r="Z130" s="298"/>
    </row>
    <row r="131" s="282" customFormat="1" ht="15.05" spans="1:26">
      <c r="A131" s="295" t="s">
        <v>735</v>
      </c>
      <c r="B131" s="296" t="s">
        <v>99</v>
      </c>
      <c r="C131" s="296" t="s">
        <v>42</v>
      </c>
      <c r="D131" s="295" t="s">
        <v>102</v>
      </c>
      <c r="E131" s="296" t="s">
        <v>448</v>
      </c>
      <c r="F131" s="296" t="s">
        <v>156</v>
      </c>
      <c r="G131" s="295" t="s">
        <v>215</v>
      </c>
      <c r="H131" s="295" t="s">
        <v>389</v>
      </c>
      <c r="I131" s="295" t="s">
        <v>294</v>
      </c>
      <c r="J131" s="304">
        <v>20200009641</v>
      </c>
      <c r="K131" s="309" t="s">
        <v>605</v>
      </c>
      <c r="L131" s="306">
        <v>851599</v>
      </c>
      <c r="M131" s="295" t="s">
        <v>736</v>
      </c>
      <c r="N131" s="306">
        <v>185.95</v>
      </c>
      <c r="O131" s="306" t="s">
        <v>156</v>
      </c>
      <c r="P131" s="307">
        <v>185.95</v>
      </c>
      <c r="Q131" s="307" t="s">
        <v>156</v>
      </c>
      <c r="R131" s="298" t="s">
        <v>156</v>
      </c>
      <c r="S131" s="563" t="s">
        <v>392</v>
      </c>
      <c r="T131" s="318" t="s">
        <v>737</v>
      </c>
      <c r="U131" s="316">
        <v>781283.49</v>
      </c>
      <c r="V131" s="307">
        <f t="shared" si="13"/>
        <v>70315.51</v>
      </c>
      <c r="W131" s="307">
        <f t="shared" si="10"/>
        <v>851599</v>
      </c>
      <c r="X131" s="307">
        <f t="shared" si="12"/>
        <v>781283.49</v>
      </c>
      <c r="Y131" s="307">
        <f t="shared" si="11"/>
        <v>4201.58</v>
      </c>
      <c r="Z131" s="298"/>
    </row>
    <row r="132" s="282" customFormat="1" ht="15.05" spans="1:26">
      <c r="A132" s="295" t="s">
        <v>738</v>
      </c>
      <c r="B132" s="296" t="s">
        <v>99</v>
      </c>
      <c r="C132" s="296" t="s">
        <v>42</v>
      </c>
      <c r="D132" s="295" t="s">
        <v>102</v>
      </c>
      <c r="E132" s="296" t="s">
        <v>452</v>
      </c>
      <c r="F132" s="296" t="s">
        <v>156</v>
      </c>
      <c r="G132" s="295" t="s">
        <v>215</v>
      </c>
      <c r="H132" s="295" t="s">
        <v>389</v>
      </c>
      <c r="I132" s="295" t="s">
        <v>294</v>
      </c>
      <c r="J132" s="304">
        <v>20200009836</v>
      </c>
      <c r="K132" s="309" t="s">
        <v>587</v>
      </c>
      <c r="L132" s="306">
        <v>853791</v>
      </c>
      <c r="M132" s="295" t="s">
        <v>739</v>
      </c>
      <c r="N132" s="306">
        <v>185.58</v>
      </c>
      <c r="O132" s="306" t="s">
        <v>156</v>
      </c>
      <c r="P132" s="307">
        <v>185.58</v>
      </c>
      <c r="Q132" s="307" t="s">
        <v>156</v>
      </c>
      <c r="R132" s="298" t="s">
        <v>156</v>
      </c>
      <c r="S132" s="563" t="s">
        <v>392</v>
      </c>
      <c r="T132" s="318" t="s">
        <v>740</v>
      </c>
      <c r="U132" s="316">
        <v>783294.5</v>
      </c>
      <c r="V132" s="307">
        <f t="shared" si="13"/>
        <v>70496.51</v>
      </c>
      <c r="W132" s="307">
        <f t="shared" si="10"/>
        <v>853791.01</v>
      </c>
      <c r="X132" s="307">
        <f t="shared" si="12"/>
        <v>783294.5</v>
      </c>
      <c r="Y132" s="307">
        <f t="shared" si="11"/>
        <v>4220.79</v>
      </c>
      <c r="Z132" s="298"/>
    </row>
    <row r="133" s="282" customFormat="1" ht="15.05" spans="1:26">
      <c r="A133" s="295" t="s">
        <v>741</v>
      </c>
      <c r="B133" s="296" t="s">
        <v>99</v>
      </c>
      <c r="C133" s="296" t="s">
        <v>45</v>
      </c>
      <c r="D133" s="295" t="s">
        <v>42</v>
      </c>
      <c r="E133" s="296" t="s">
        <v>388</v>
      </c>
      <c r="F133" s="296" t="s">
        <v>156</v>
      </c>
      <c r="G133" s="295" t="s">
        <v>214</v>
      </c>
      <c r="H133" s="295" t="s">
        <v>389</v>
      </c>
      <c r="I133" s="295" t="s">
        <v>294</v>
      </c>
      <c r="J133" s="304">
        <v>20220004642</v>
      </c>
      <c r="K133" s="309" t="s">
        <v>742</v>
      </c>
      <c r="L133" s="306">
        <v>870000</v>
      </c>
      <c r="M133" s="295" t="s">
        <v>743</v>
      </c>
      <c r="N133" s="306">
        <v>124.79</v>
      </c>
      <c r="O133" s="306" t="s">
        <v>156</v>
      </c>
      <c r="P133" s="307">
        <v>124.79</v>
      </c>
      <c r="Q133" s="307" t="s">
        <v>156</v>
      </c>
      <c r="R133" s="298" t="s">
        <v>156</v>
      </c>
      <c r="S133" s="563" t="s">
        <v>392</v>
      </c>
      <c r="T133" s="318" t="s">
        <v>744</v>
      </c>
      <c r="U133" s="316">
        <v>798165.14</v>
      </c>
      <c r="V133" s="307">
        <f t="shared" si="13"/>
        <v>71834.86</v>
      </c>
      <c r="W133" s="307">
        <f t="shared" si="10"/>
        <v>870000</v>
      </c>
      <c r="X133" s="307">
        <f t="shared" si="12"/>
        <v>798165.14</v>
      </c>
      <c r="Y133" s="307">
        <f t="shared" si="11"/>
        <v>6396.07</v>
      </c>
      <c r="Z133" s="298"/>
    </row>
    <row r="134" s="282" customFormat="1" ht="15.05" spans="1:26">
      <c r="A134" s="295" t="s">
        <v>745</v>
      </c>
      <c r="B134" s="296" t="s">
        <v>99</v>
      </c>
      <c r="C134" s="296" t="s">
        <v>45</v>
      </c>
      <c r="D134" s="295" t="s">
        <v>42</v>
      </c>
      <c r="E134" s="296" t="s">
        <v>395</v>
      </c>
      <c r="F134" s="296" t="s">
        <v>156</v>
      </c>
      <c r="G134" s="295" t="s">
        <v>214</v>
      </c>
      <c r="H134" s="295" t="s">
        <v>389</v>
      </c>
      <c r="I134" s="295" t="s">
        <v>294</v>
      </c>
      <c r="J134" s="304">
        <v>20210005523</v>
      </c>
      <c r="K134" s="309" t="s">
        <v>746</v>
      </c>
      <c r="L134" s="306">
        <v>900000</v>
      </c>
      <c r="M134" s="295" t="s">
        <v>747</v>
      </c>
      <c r="N134" s="306">
        <v>125.19</v>
      </c>
      <c r="O134" s="306" t="s">
        <v>156</v>
      </c>
      <c r="P134" s="307">
        <v>125.19</v>
      </c>
      <c r="Q134" s="307" t="s">
        <v>156</v>
      </c>
      <c r="R134" s="298" t="s">
        <v>156</v>
      </c>
      <c r="S134" s="563" t="s">
        <v>392</v>
      </c>
      <c r="T134" s="318" t="s">
        <v>748</v>
      </c>
      <c r="U134" s="316">
        <v>825688.07</v>
      </c>
      <c r="V134" s="307">
        <f t="shared" si="13"/>
        <v>74311.93</v>
      </c>
      <c r="W134" s="307">
        <f t="shared" si="10"/>
        <v>900000</v>
      </c>
      <c r="X134" s="307">
        <f t="shared" si="12"/>
        <v>825688.07</v>
      </c>
      <c r="Y134" s="307">
        <f t="shared" si="11"/>
        <v>6595.48</v>
      </c>
      <c r="Z134" s="298"/>
    </row>
    <row r="135" s="282" customFormat="1" spans="1:26">
      <c r="A135" s="295" t="s">
        <v>749</v>
      </c>
      <c r="B135" s="296" t="s">
        <v>99</v>
      </c>
      <c r="C135" s="296" t="s">
        <v>45</v>
      </c>
      <c r="D135" s="295" t="s">
        <v>45</v>
      </c>
      <c r="E135" s="296" t="s">
        <v>400</v>
      </c>
      <c r="F135" s="296" t="s">
        <v>156</v>
      </c>
      <c r="G135" s="295" t="s">
        <v>214</v>
      </c>
      <c r="H135" s="295" t="s">
        <v>389</v>
      </c>
      <c r="I135" s="295" t="s">
        <v>294</v>
      </c>
      <c r="J135" s="304">
        <v>20200008067</v>
      </c>
      <c r="K135" s="309" t="s">
        <v>465</v>
      </c>
      <c r="L135" s="306">
        <v>552655</v>
      </c>
      <c r="M135" s="295" t="s">
        <v>750</v>
      </c>
      <c r="N135" s="306">
        <v>124.79</v>
      </c>
      <c r="O135" s="306" t="s">
        <v>156</v>
      </c>
      <c r="P135" s="307">
        <v>124.79</v>
      </c>
      <c r="Q135" s="307" t="s">
        <v>156</v>
      </c>
      <c r="R135" s="298" t="s">
        <v>156</v>
      </c>
      <c r="S135" s="563" t="s">
        <v>392</v>
      </c>
      <c r="T135" s="317" t="s">
        <v>751</v>
      </c>
      <c r="U135" s="316">
        <v>507022.94</v>
      </c>
      <c r="V135" s="307">
        <f t="shared" si="13"/>
        <v>45632.06</v>
      </c>
      <c r="W135" s="307">
        <f t="shared" ref="W135:W198" si="14">SUM(U135)+SUM(V135)</f>
        <v>552655</v>
      </c>
      <c r="X135" s="307">
        <f t="shared" si="12"/>
        <v>507022.94</v>
      </c>
      <c r="Y135" s="307">
        <f t="shared" ref="Y135:Y198" si="15">IF(SUM(P135)=0,"",ROUND(SUM(X135)/SUM(P135),2))</f>
        <v>4063.01</v>
      </c>
      <c r="Z135" s="298"/>
    </row>
    <row r="136" s="282" customFormat="1" ht="23.8" spans="1:26">
      <c r="A136" s="295" t="s">
        <v>752</v>
      </c>
      <c r="B136" s="296" t="s">
        <v>99</v>
      </c>
      <c r="C136" s="296" t="s">
        <v>45</v>
      </c>
      <c r="D136" s="295" t="s">
        <v>45</v>
      </c>
      <c r="E136" s="296" t="s">
        <v>405</v>
      </c>
      <c r="F136" s="296" t="s">
        <v>156</v>
      </c>
      <c r="G136" s="295" t="s">
        <v>214</v>
      </c>
      <c r="H136" s="295" t="s">
        <v>389</v>
      </c>
      <c r="I136" s="295" t="s">
        <v>294</v>
      </c>
      <c r="J136" s="304">
        <v>20200008443</v>
      </c>
      <c r="K136" s="309" t="s">
        <v>713</v>
      </c>
      <c r="L136" s="306">
        <v>553616</v>
      </c>
      <c r="M136" s="295" t="s">
        <v>753</v>
      </c>
      <c r="N136" s="306">
        <v>125.29</v>
      </c>
      <c r="O136" s="306" t="s">
        <v>156</v>
      </c>
      <c r="P136" s="307">
        <v>125.29</v>
      </c>
      <c r="Q136" s="307" t="s">
        <v>156</v>
      </c>
      <c r="R136" s="298" t="s">
        <v>156</v>
      </c>
      <c r="S136" s="563" t="s">
        <v>392</v>
      </c>
      <c r="T136" s="318" t="s">
        <v>754</v>
      </c>
      <c r="U136" s="316">
        <v>507904.59</v>
      </c>
      <c r="V136" s="307">
        <f t="shared" si="13"/>
        <v>45711.41</v>
      </c>
      <c r="W136" s="307">
        <f t="shared" si="14"/>
        <v>553616</v>
      </c>
      <c r="X136" s="307">
        <f t="shared" si="12"/>
        <v>507904.59</v>
      </c>
      <c r="Y136" s="307">
        <f t="shared" si="15"/>
        <v>4053.83</v>
      </c>
      <c r="Z136" s="298"/>
    </row>
    <row r="137" s="282" customFormat="1" ht="15.05" spans="1:26">
      <c r="A137" s="295" t="s">
        <v>755</v>
      </c>
      <c r="B137" s="296" t="s">
        <v>99</v>
      </c>
      <c r="C137" s="296" t="s">
        <v>45</v>
      </c>
      <c r="D137" s="295" t="s">
        <v>48</v>
      </c>
      <c r="E137" s="296" t="s">
        <v>410</v>
      </c>
      <c r="F137" s="296" t="s">
        <v>156</v>
      </c>
      <c r="G137" s="295" t="s">
        <v>214</v>
      </c>
      <c r="H137" s="295" t="s">
        <v>389</v>
      </c>
      <c r="I137" s="295" t="s">
        <v>294</v>
      </c>
      <c r="J137" s="304">
        <v>20200010352</v>
      </c>
      <c r="K137" s="309" t="s">
        <v>756</v>
      </c>
      <c r="L137" s="306">
        <v>555979</v>
      </c>
      <c r="M137" s="295" t="s">
        <v>757</v>
      </c>
      <c r="N137" s="306">
        <v>124.79</v>
      </c>
      <c r="O137" s="306" t="s">
        <v>156</v>
      </c>
      <c r="P137" s="307">
        <v>124.79</v>
      </c>
      <c r="Q137" s="307" t="s">
        <v>156</v>
      </c>
      <c r="R137" s="298" t="s">
        <v>156</v>
      </c>
      <c r="S137" s="563" t="s">
        <v>392</v>
      </c>
      <c r="T137" s="318" t="s">
        <v>758</v>
      </c>
      <c r="U137" s="316">
        <v>510072.48</v>
      </c>
      <c r="V137" s="307">
        <f t="shared" si="13"/>
        <v>45906.52</v>
      </c>
      <c r="W137" s="307">
        <f t="shared" si="14"/>
        <v>555979</v>
      </c>
      <c r="X137" s="307">
        <f t="shared" si="12"/>
        <v>510072.48</v>
      </c>
      <c r="Y137" s="307">
        <f t="shared" si="15"/>
        <v>4087.45</v>
      </c>
      <c r="Z137" s="298"/>
    </row>
    <row r="138" s="282" customFormat="1" ht="15.05" spans="1:26">
      <c r="A138" s="295" t="s">
        <v>759</v>
      </c>
      <c r="B138" s="296" t="s">
        <v>99</v>
      </c>
      <c r="C138" s="296" t="s">
        <v>45</v>
      </c>
      <c r="D138" s="295" t="s">
        <v>48</v>
      </c>
      <c r="E138" s="296" t="s">
        <v>415</v>
      </c>
      <c r="F138" s="296" t="s">
        <v>156</v>
      </c>
      <c r="G138" s="295" t="s">
        <v>214</v>
      </c>
      <c r="H138" s="295" t="s">
        <v>389</v>
      </c>
      <c r="I138" s="295" t="s">
        <v>294</v>
      </c>
      <c r="J138" s="304">
        <v>20200007973</v>
      </c>
      <c r="K138" s="309" t="s">
        <v>629</v>
      </c>
      <c r="L138" s="306">
        <v>561219</v>
      </c>
      <c r="M138" s="295" t="s">
        <v>760</v>
      </c>
      <c r="N138" s="306">
        <v>125.29</v>
      </c>
      <c r="O138" s="306" t="s">
        <v>156</v>
      </c>
      <c r="P138" s="307">
        <v>125.29</v>
      </c>
      <c r="Q138" s="307" t="s">
        <v>156</v>
      </c>
      <c r="R138" s="298" t="s">
        <v>156</v>
      </c>
      <c r="S138" s="563" t="s">
        <v>392</v>
      </c>
      <c r="T138" s="318" t="s">
        <v>761</v>
      </c>
      <c r="U138" s="316">
        <v>514879.82</v>
      </c>
      <c r="V138" s="307">
        <f t="shared" si="13"/>
        <v>46339.18</v>
      </c>
      <c r="W138" s="307">
        <f t="shared" si="14"/>
        <v>561219</v>
      </c>
      <c r="X138" s="307">
        <f t="shared" si="12"/>
        <v>514879.82</v>
      </c>
      <c r="Y138" s="307">
        <f t="shared" si="15"/>
        <v>4109.5</v>
      </c>
      <c r="Z138" s="298"/>
    </row>
    <row r="139" s="282" customFormat="1" ht="15.05" spans="1:26">
      <c r="A139" s="295" t="s">
        <v>762</v>
      </c>
      <c r="B139" s="296" t="s">
        <v>99</v>
      </c>
      <c r="C139" s="296" t="s">
        <v>45</v>
      </c>
      <c r="D139" s="295" t="s">
        <v>92</v>
      </c>
      <c r="E139" s="296" t="s">
        <v>420</v>
      </c>
      <c r="F139" s="296" t="s">
        <v>156</v>
      </c>
      <c r="G139" s="295" t="s">
        <v>214</v>
      </c>
      <c r="H139" s="295" t="s">
        <v>389</v>
      </c>
      <c r="I139" s="295" t="s">
        <v>294</v>
      </c>
      <c r="J139" s="304">
        <v>20200011176</v>
      </c>
      <c r="K139" s="309" t="s">
        <v>657</v>
      </c>
      <c r="L139" s="306">
        <v>565054</v>
      </c>
      <c r="M139" s="295" t="s">
        <v>763</v>
      </c>
      <c r="N139" s="306">
        <v>124.79</v>
      </c>
      <c r="O139" s="306" t="s">
        <v>156</v>
      </c>
      <c r="P139" s="307">
        <v>124.79</v>
      </c>
      <c r="Q139" s="307" t="s">
        <v>156</v>
      </c>
      <c r="R139" s="298" t="s">
        <v>156</v>
      </c>
      <c r="S139" s="563" t="s">
        <v>392</v>
      </c>
      <c r="T139" s="318" t="s">
        <v>764</v>
      </c>
      <c r="U139" s="316">
        <v>518398.17</v>
      </c>
      <c r="V139" s="307">
        <f t="shared" si="13"/>
        <v>46655.84</v>
      </c>
      <c r="W139" s="307">
        <f t="shared" si="14"/>
        <v>565054.01</v>
      </c>
      <c r="X139" s="307">
        <f t="shared" si="12"/>
        <v>518398.17</v>
      </c>
      <c r="Y139" s="307">
        <f t="shared" si="15"/>
        <v>4154.16</v>
      </c>
      <c r="Z139" s="298"/>
    </row>
    <row r="140" s="282" customFormat="1" ht="15.05" spans="1:26">
      <c r="A140" s="295" t="s">
        <v>765</v>
      </c>
      <c r="B140" s="296" t="s">
        <v>99</v>
      </c>
      <c r="C140" s="296" t="s">
        <v>45</v>
      </c>
      <c r="D140" s="295" t="s">
        <v>92</v>
      </c>
      <c r="E140" s="296" t="s">
        <v>425</v>
      </c>
      <c r="F140" s="296" t="s">
        <v>156</v>
      </c>
      <c r="G140" s="295" t="s">
        <v>214</v>
      </c>
      <c r="H140" s="295" t="s">
        <v>389</v>
      </c>
      <c r="I140" s="295" t="s">
        <v>294</v>
      </c>
      <c r="J140" s="304">
        <v>20200008030</v>
      </c>
      <c r="K140" s="309" t="s">
        <v>406</v>
      </c>
      <c r="L140" s="306">
        <v>567945</v>
      </c>
      <c r="M140" s="295" t="s">
        <v>766</v>
      </c>
      <c r="N140" s="306">
        <v>125.29</v>
      </c>
      <c r="O140" s="306" t="s">
        <v>156</v>
      </c>
      <c r="P140" s="307">
        <v>125.29</v>
      </c>
      <c r="Q140" s="307" t="s">
        <v>156</v>
      </c>
      <c r="R140" s="298" t="s">
        <v>156</v>
      </c>
      <c r="S140" s="563" t="s">
        <v>392</v>
      </c>
      <c r="T140" s="318" t="s">
        <v>767</v>
      </c>
      <c r="U140" s="316">
        <v>521050.46</v>
      </c>
      <c r="V140" s="307">
        <f t="shared" si="13"/>
        <v>46894.54</v>
      </c>
      <c r="W140" s="307">
        <f t="shared" si="14"/>
        <v>567945</v>
      </c>
      <c r="X140" s="307">
        <f t="shared" si="12"/>
        <v>521050.46</v>
      </c>
      <c r="Y140" s="307">
        <f t="shared" si="15"/>
        <v>4158.76</v>
      </c>
      <c r="Z140" s="298"/>
    </row>
    <row r="141" s="282" customFormat="1" ht="15.05" spans="1:26">
      <c r="A141" s="295" t="s">
        <v>768</v>
      </c>
      <c r="B141" s="297" t="s">
        <v>99</v>
      </c>
      <c r="C141" s="297" t="s">
        <v>45</v>
      </c>
      <c r="D141" s="298" t="s">
        <v>95</v>
      </c>
      <c r="E141" s="297" t="s">
        <v>430</v>
      </c>
      <c r="F141" s="297" t="s">
        <v>156</v>
      </c>
      <c r="G141" s="295" t="s">
        <v>214</v>
      </c>
      <c r="H141" s="298" t="s">
        <v>389</v>
      </c>
      <c r="I141" s="295" t="s">
        <v>294</v>
      </c>
      <c r="J141" s="308">
        <v>20210000343</v>
      </c>
      <c r="K141" s="305" t="s">
        <v>633</v>
      </c>
      <c r="L141" s="307">
        <v>571129</v>
      </c>
      <c r="M141" s="298" t="s">
        <v>769</v>
      </c>
      <c r="N141" s="307">
        <v>124.79</v>
      </c>
      <c r="O141" s="307" t="s">
        <v>156</v>
      </c>
      <c r="P141" s="307">
        <v>124.79</v>
      </c>
      <c r="Q141" s="307" t="s">
        <v>156</v>
      </c>
      <c r="R141" s="298" t="s">
        <v>156</v>
      </c>
      <c r="S141" s="563" t="s">
        <v>392</v>
      </c>
      <c r="T141" s="318" t="s">
        <v>770</v>
      </c>
      <c r="U141" s="316">
        <v>523971.56</v>
      </c>
      <c r="V141" s="307">
        <f t="shared" si="13"/>
        <v>47157.44</v>
      </c>
      <c r="W141" s="307">
        <f t="shared" si="14"/>
        <v>571129</v>
      </c>
      <c r="X141" s="307">
        <f t="shared" si="12"/>
        <v>523971.56</v>
      </c>
      <c r="Y141" s="307">
        <f t="shared" si="15"/>
        <v>4198.83</v>
      </c>
      <c r="Z141" s="298"/>
    </row>
    <row r="142" s="282" customFormat="1" ht="15.05" spans="1:26">
      <c r="A142" s="295" t="s">
        <v>771</v>
      </c>
      <c r="B142" s="296" t="s">
        <v>99</v>
      </c>
      <c r="C142" s="296" t="s">
        <v>45</v>
      </c>
      <c r="D142" s="295" t="s">
        <v>95</v>
      </c>
      <c r="E142" s="296" t="s">
        <v>435</v>
      </c>
      <c r="F142" s="296" t="s">
        <v>156</v>
      </c>
      <c r="G142" s="295" t="s">
        <v>214</v>
      </c>
      <c r="H142" s="295" t="s">
        <v>389</v>
      </c>
      <c r="I142" s="295" t="s">
        <v>294</v>
      </c>
      <c r="J142" s="304">
        <v>20200009005</v>
      </c>
      <c r="K142" s="309" t="s">
        <v>772</v>
      </c>
      <c r="L142" s="306">
        <v>574044</v>
      </c>
      <c r="M142" s="295" t="s">
        <v>773</v>
      </c>
      <c r="N142" s="306">
        <v>125.29</v>
      </c>
      <c r="O142" s="306" t="s">
        <v>156</v>
      </c>
      <c r="P142" s="307">
        <v>125.29</v>
      </c>
      <c r="Q142" s="307" t="s">
        <v>156</v>
      </c>
      <c r="R142" s="298" t="s">
        <v>156</v>
      </c>
      <c r="S142" s="563" t="s">
        <v>392</v>
      </c>
      <c r="T142" s="318" t="s">
        <v>774</v>
      </c>
      <c r="U142" s="316">
        <v>526645.87</v>
      </c>
      <c r="V142" s="307">
        <f t="shared" si="13"/>
        <v>47398.13</v>
      </c>
      <c r="W142" s="307">
        <f t="shared" si="14"/>
        <v>574044</v>
      </c>
      <c r="X142" s="307">
        <f t="shared" si="12"/>
        <v>526645.87</v>
      </c>
      <c r="Y142" s="307">
        <f t="shared" si="15"/>
        <v>4203.42</v>
      </c>
      <c r="Z142" s="298"/>
    </row>
    <row r="143" s="282" customFormat="1" spans="1:26">
      <c r="A143" s="295" t="s">
        <v>775</v>
      </c>
      <c r="B143" s="296" t="s">
        <v>99</v>
      </c>
      <c r="C143" s="296" t="s">
        <v>45</v>
      </c>
      <c r="D143" s="295" t="s">
        <v>99</v>
      </c>
      <c r="E143" s="296" t="s">
        <v>440</v>
      </c>
      <c r="F143" s="296" t="s">
        <v>156</v>
      </c>
      <c r="G143" s="295" t="s">
        <v>214</v>
      </c>
      <c r="H143" s="295" t="s">
        <v>389</v>
      </c>
      <c r="I143" s="295" t="s">
        <v>294</v>
      </c>
      <c r="J143" s="304">
        <v>20200009650</v>
      </c>
      <c r="K143" s="309" t="s">
        <v>605</v>
      </c>
      <c r="L143" s="306">
        <v>576829</v>
      </c>
      <c r="M143" s="295" t="s">
        <v>776</v>
      </c>
      <c r="N143" s="306">
        <v>124.79</v>
      </c>
      <c r="O143" s="306" t="s">
        <v>156</v>
      </c>
      <c r="P143" s="307">
        <v>124.79</v>
      </c>
      <c r="Q143" s="307" t="s">
        <v>156</v>
      </c>
      <c r="R143" s="298" t="s">
        <v>156</v>
      </c>
      <c r="S143" s="563" t="s">
        <v>392</v>
      </c>
      <c r="T143" s="564" t="s">
        <v>777</v>
      </c>
      <c r="U143" s="316">
        <v>529200.92</v>
      </c>
      <c r="V143" s="307">
        <f t="shared" si="13"/>
        <v>47628.08</v>
      </c>
      <c r="W143" s="307">
        <f t="shared" si="14"/>
        <v>576829</v>
      </c>
      <c r="X143" s="307">
        <f t="shared" si="12"/>
        <v>529200.92</v>
      </c>
      <c r="Y143" s="307">
        <f t="shared" si="15"/>
        <v>4240.73</v>
      </c>
      <c r="Z143" s="298"/>
    </row>
    <row r="144" s="282" customFormat="1" spans="1:26">
      <c r="A144" s="295" t="s">
        <v>778</v>
      </c>
      <c r="B144" s="296" t="s">
        <v>99</v>
      </c>
      <c r="C144" s="296" t="s">
        <v>45</v>
      </c>
      <c r="D144" s="295" t="s">
        <v>99</v>
      </c>
      <c r="E144" s="296" t="s">
        <v>444</v>
      </c>
      <c r="F144" s="296" t="s">
        <v>156</v>
      </c>
      <c r="G144" s="295" t="s">
        <v>214</v>
      </c>
      <c r="H144" s="295" t="s">
        <v>389</v>
      </c>
      <c r="I144" s="295" t="s">
        <v>294</v>
      </c>
      <c r="J144" s="304">
        <v>20200008331</v>
      </c>
      <c r="K144" s="309" t="s">
        <v>591</v>
      </c>
      <c r="L144" s="306">
        <v>579767</v>
      </c>
      <c r="M144" s="295" t="s">
        <v>779</v>
      </c>
      <c r="N144" s="306">
        <v>125.29</v>
      </c>
      <c r="O144" s="306" t="s">
        <v>156</v>
      </c>
      <c r="P144" s="307">
        <v>125.29</v>
      </c>
      <c r="Q144" s="307" t="s">
        <v>156</v>
      </c>
      <c r="R144" s="298" t="s">
        <v>156</v>
      </c>
      <c r="S144" s="563" t="s">
        <v>392</v>
      </c>
      <c r="T144" s="317" t="s">
        <v>780</v>
      </c>
      <c r="U144" s="316">
        <v>531896.33</v>
      </c>
      <c r="V144" s="307">
        <f t="shared" si="13"/>
        <v>47870.67</v>
      </c>
      <c r="W144" s="307">
        <f t="shared" si="14"/>
        <v>579767</v>
      </c>
      <c r="X144" s="307">
        <f t="shared" si="12"/>
        <v>531896.33</v>
      </c>
      <c r="Y144" s="307">
        <f t="shared" si="15"/>
        <v>4245.32</v>
      </c>
      <c r="Z144" s="298"/>
    </row>
    <row r="145" s="282" customFormat="1" ht="12" customHeight="1" spans="1:26">
      <c r="A145" s="295" t="s">
        <v>781</v>
      </c>
      <c r="B145" s="296" t="s">
        <v>99</v>
      </c>
      <c r="C145" s="296" t="s">
        <v>45</v>
      </c>
      <c r="D145" s="295" t="s">
        <v>102</v>
      </c>
      <c r="E145" s="296" t="s">
        <v>448</v>
      </c>
      <c r="F145" s="296" t="s">
        <v>156</v>
      </c>
      <c r="G145" s="295" t="s">
        <v>215</v>
      </c>
      <c r="H145" s="295" t="s">
        <v>389</v>
      </c>
      <c r="I145" s="295" t="s">
        <v>294</v>
      </c>
      <c r="J145" s="304">
        <v>20200010729</v>
      </c>
      <c r="K145" s="309" t="s">
        <v>782</v>
      </c>
      <c r="L145" s="306">
        <v>848517</v>
      </c>
      <c r="M145" s="295" t="s">
        <v>783</v>
      </c>
      <c r="N145" s="306">
        <v>185.52</v>
      </c>
      <c r="O145" s="306" t="s">
        <v>156</v>
      </c>
      <c r="P145" s="307">
        <v>185.52</v>
      </c>
      <c r="Q145" s="307" t="s">
        <v>156</v>
      </c>
      <c r="R145" s="298" t="s">
        <v>156</v>
      </c>
      <c r="S145" s="563" t="s">
        <v>392</v>
      </c>
      <c r="T145" s="318" t="s">
        <v>784</v>
      </c>
      <c r="U145" s="316">
        <v>778455.96</v>
      </c>
      <c r="V145" s="307">
        <f t="shared" si="13"/>
        <v>70061.04</v>
      </c>
      <c r="W145" s="307">
        <f t="shared" si="14"/>
        <v>848517</v>
      </c>
      <c r="X145" s="307">
        <f t="shared" si="12"/>
        <v>778455.96</v>
      </c>
      <c r="Y145" s="307">
        <f t="shared" si="15"/>
        <v>4196.08</v>
      </c>
      <c r="Z145" s="298"/>
    </row>
    <row r="146" s="282" customFormat="1" spans="1:26">
      <c r="A146" s="295" t="s">
        <v>785</v>
      </c>
      <c r="B146" s="296" t="s">
        <v>99</v>
      </c>
      <c r="C146" s="296" t="s">
        <v>45</v>
      </c>
      <c r="D146" s="295" t="s">
        <v>102</v>
      </c>
      <c r="E146" s="296" t="s">
        <v>452</v>
      </c>
      <c r="F146" s="296" t="s">
        <v>156</v>
      </c>
      <c r="G146" s="295" t="s">
        <v>215</v>
      </c>
      <c r="H146" s="295" t="s">
        <v>389</v>
      </c>
      <c r="I146" s="295" t="s">
        <v>294</v>
      </c>
      <c r="J146" s="304">
        <v>20200011604</v>
      </c>
      <c r="K146" s="309" t="s">
        <v>786</v>
      </c>
      <c r="L146" s="306">
        <v>851733</v>
      </c>
      <c r="M146" s="295" t="s">
        <v>787</v>
      </c>
      <c r="N146" s="306">
        <v>186.02</v>
      </c>
      <c r="O146" s="306" t="s">
        <v>156</v>
      </c>
      <c r="P146" s="307">
        <v>186.02</v>
      </c>
      <c r="Q146" s="307" t="s">
        <v>156</v>
      </c>
      <c r="R146" s="298" t="s">
        <v>156</v>
      </c>
      <c r="S146" s="563" t="s">
        <v>392</v>
      </c>
      <c r="T146" s="317" t="s">
        <v>788</v>
      </c>
      <c r="U146" s="316">
        <v>781406.42</v>
      </c>
      <c r="V146" s="307">
        <f t="shared" si="13"/>
        <v>70326.58</v>
      </c>
      <c r="W146" s="307">
        <f t="shared" si="14"/>
        <v>851733</v>
      </c>
      <c r="X146" s="307">
        <f t="shared" si="12"/>
        <v>781406.42</v>
      </c>
      <c r="Y146" s="307">
        <f t="shared" si="15"/>
        <v>4200.66</v>
      </c>
      <c r="Z146" s="298"/>
    </row>
    <row r="147" s="282" customFormat="1" spans="1:26">
      <c r="A147" s="295" t="s">
        <v>789</v>
      </c>
      <c r="B147" s="296" t="s">
        <v>99</v>
      </c>
      <c r="C147" s="296" t="s">
        <v>42</v>
      </c>
      <c r="D147" s="295" t="s">
        <v>511</v>
      </c>
      <c r="E147" s="296" t="s">
        <v>512</v>
      </c>
      <c r="F147" s="296" t="s">
        <v>156</v>
      </c>
      <c r="G147" s="295" t="s">
        <v>513</v>
      </c>
      <c r="H147" s="295" t="s">
        <v>514</v>
      </c>
      <c r="I147" s="295"/>
      <c r="J147" s="296" t="s">
        <v>156</v>
      </c>
      <c r="K147" s="309" t="s">
        <v>156</v>
      </c>
      <c r="L147" s="306" t="s">
        <v>156</v>
      </c>
      <c r="M147" s="295" t="s">
        <v>156</v>
      </c>
      <c r="N147" s="306">
        <v>12.77</v>
      </c>
      <c r="O147" s="306" t="s">
        <v>156</v>
      </c>
      <c r="P147" s="307">
        <v>12.77</v>
      </c>
      <c r="Q147" s="307" t="s">
        <v>156</v>
      </c>
      <c r="R147" s="298" t="s">
        <v>156</v>
      </c>
      <c r="S147" s="297" t="s">
        <v>156</v>
      </c>
      <c r="T147" s="297" t="s">
        <v>156</v>
      </c>
      <c r="U147" s="307" t="s">
        <v>156</v>
      </c>
      <c r="V147" s="307" t="s">
        <v>156</v>
      </c>
      <c r="W147" s="307">
        <f t="shared" si="14"/>
        <v>0</v>
      </c>
      <c r="X147" s="307"/>
      <c r="Y147" s="307">
        <f t="shared" si="15"/>
        <v>0</v>
      </c>
      <c r="Z147" s="298"/>
    </row>
    <row r="148" s="282" customFormat="1" spans="1:26">
      <c r="A148" s="295" t="s">
        <v>483</v>
      </c>
      <c r="B148" s="296" t="s">
        <v>99</v>
      </c>
      <c r="C148" s="296" t="s">
        <v>42</v>
      </c>
      <c r="D148" s="295" t="s">
        <v>511</v>
      </c>
      <c r="E148" s="296" t="s">
        <v>516</v>
      </c>
      <c r="F148" s="296" t="s">
        <v>156</v>
      </c>
      <c r="G148" s="295" t="s">
        <v>513</v>
      </c>
      <c r="H148" s="295" t="s">
        <v>514</v>
      </c>
      <c r="I148" s="295"/>
      <c r="J148" s="296" t="s">
        <v>156</v>
      </c>
      <c r="K148" s="309" t="s">
        <v>156</v>
      </c>
      <c r="L148" s="306" t="s">
        <v>156</v>
      </c>
      <c r="M148" s="295" t="s">
        <v>156</v>
      </c>
      <c r="N148" s="306">
        <v>6.1</v>
      </c>
      <c r="O148" s="306" t="s">
        <v>156</v>
      </c>
      <c r="P148" s="307">
        <v>6.1</v>
      </c>
      <c r="Q148" s="307" t="s">
        <v>156</v>
      </c>
      <c r="R148" s="298" t="s">
        <v>156</v>
      </c>
      <c r="S148" s="297" t="s">
        <v>156</v>
      </c>
      <c r="T148" s="297" t="s">
        <v>156</v>
      </c>
      <c r="U148" s="307" t="s">
        <v>156</v>
      </c>
      <c r="V148" s="307" t="s">
        <v>156</v>
      </c>
      <c r="W148" s="307">
        <f t="shared" si="14"/>
        <v>0</v>
      </c>
      <c r="X148" s="307"/>
      <c r="Y148" s="307">
        <f t="shared" si="15"/>
        <v>0</v>
      </c>
      <c r="Z148" s="298"/>
    </row>
    <row r="149" s="282" customFormat="1" spans="1:26">
      <c r="A149" s="295" t="s">
        <v>790</v>
      </c>
      <c r="B149" s="296" t="s">
        <v>99</v>
      </c>
      <c r="C149" s="296" t="s">
        <v>42</v>
      </c>
      <c r="D149" s="295" t="s">
        <v>511</v>
      </c>
      <c r="E149" s="296" t="s">
        <v>518</v>
      </c>
      <c r="F149" s="296" t="s">
        <v>156</v>
      </c>
      <c r="G149" s="295" t="s">
        <v>513</v>
      </c>
      <c r="H149" s="295" t="s">
        <v>514</v>
      </c>
      <c r="I149" s="295"/>
      <c r="J149" s="296" t="s">
        <v>156</v>
      </c>
      <c r="K149" s="309" t="s">
        <v>156</v>
      </c>
      <c r="L149" s="306" t="s">
        <v>156</v>
      </c>
      <c r="M149" s="295" t="s">
        <v>156</v>
      </c>
      <c r="N149" s="306">
        <v>6.67</v>
      </c>
      <c r="O149" s="306" t="s">
        <v>156</v>
      </c>
      <c r="P149" s="307">
        <v>6.67</v>
      </c>
      <c r="Q149" s="307" t="s">
        <v>156</v>
      </c>
      <c r="R149" s="298" t="s">
        <v>156</v>
      </c>
      <c r="S149" s="297" t="s">
        <v>156</v>
      </c>
      <c r="T149" s="297" t="s">
        <v>156</v>
      </c>
      <c r="U149" s="307" t="s">
        <v>156</v>
      </c>
      <c r="V149" s="307" t="s">
        <v>156</v>
      </c>
      <c r="W149" s="307">
        <f t="shared" si="14"/>
        <v>0</v>
      </c>
      <c r="X149" s="307"/>
      <c r="Y149" s="307">
        <f t="shared" si="15"/>
        <v>0</v>
      </c>
      <c r="Z149" s="298"/>
    </row>
    <row r="150" s="282" customFormat="1" spans="1:26">
      <c r="A150" s="295" t="s">
        <v>791</v>
      </c>
      <c r="B150" s="296" t="s">
        <v>99</v>
      </c>
      <c r="C150" s="296" t="s">
        <v>42</v>
      </c>
      <c r="D150" s="295" t="s">
        <v>511</v>
      </c>
      <c r="E150" s="296" t="s">
        <v>520</v>
      </c>
      <c r="F150" s="296" t="s">
        <v>156</v>
      </c>
      <c r="G150" s="295" t="s">
        <v>513</v>
      </c>
      <c r="H150" s="295" t="s">
        <v>514</v>
      </c>
      <c r="I150" s="295"/>
      <c r="J150" s="296" t="s">
        <v>156</v>
      </c>
      <c r="K150" s="309" t="s">
        <v>156</v>
      </c>
      <c r="L150" s="306" t="s">
        <v>156</v>
      </c>
      <c r="M150" s="295" t="s">
        <v>156</v>
      </c>
      <c r="N150" s="306">
        <v>9.07</v>
      </c>
      <c r="O150" s="306" t="s">
        <v>156</v>
      </c>
      <c r="P150" s="307">
        <v>9.07</v>
      </c>
      <c r="Q150" s="307" t="s">
        <v>156</v>
      </c>
      <c r="R150" s="298" t="s">
        <v>156</v>
      </c>
      <c r="S150" s="297" t="s">
        <v>156</v>
      </c>
      <c r="T150" s="297" t="s">
        <v>156</v>
      </c>
      <c r="U150" s="307" t="s">
        <v>156</v>
      </c>
      <c r="V150" s="307" t="s">
        <v>156</v>
      </c>
      <c r="W150" s="307">
        <f t="shared" si="14"/>
        <v>0</v>
      </c>
      <c r="X150" s="307"/>
      <c r="Y150" s="307">
        <f t="shared" si="15"/>
        <v>0</v>
      </c>
      <c r="Z150" s="298"/>
    </row>
    <row r="151" s="282" customFormat="1" spans="1:26">
      <c r="A151" s="295" t="s">
        <v>749</v>
      </c>
      <c r="B151" s="296" t="s">
        <v>99</v>
      </c>
      <c r="C151" s="296" t="s">
        <v>42</v>
      </c>
      <c r="D151" s="295" t="s">
        <v>511</v>
      </c>
      <c r="E151" s="296" t="s">
        <v>522</v>
      </c>
      <c r="F151" s="296" t="s">
        <v>156</v>
      </c>
      <c r="G151" s="295" t="s">
        <v>513</v>
      </c>
      <c r="H151" s="295" t="s">
        <v>514</v>
      </c>
      <c r="I151" s="295"/>
      <c r="J151" s="296" t="s">
        <v>156</v>
      </c>
      <c r="K151" s="309" t="s">
        <v>156</v>
      </c>
      <c r="L151" s="306" t="s">
        <v>156</v>
      </c>
      <c r="M151" s="295" t="s">
        <v>156</v>
      </c>
      <c r="N151" s="306">
        <v>7.35</v>
      </c>
      <c r="O151" s="306" t="s">
        <v>156</v>
      </c>
      <c r="P151" s="307">
        <v>7.35</v>
      </c>
      <c r="Q151" s="307" t="s">
        <v>156</v>
      </c>
      <c r="R151" s="298" t="s">
        <v>156</v>
      </c>
      <c r="S151" s="297" t="s">
        <v>156</v>
      </c>
      <c r="T151" s="297" t="s">
        <v>156</v>
      </c>
      <c r="U151" s="307" t="s">
        <v>156</v>
      </c>
      <c r="V151" s="307" t="s">
        <v>156</v>
      </c>
      <c r="W151" s="307">
        <f t="shared" si="14"/>
        <v>0</v>
      </c>
      <c r="X151" s="307"/>
      <c r="Y151" s="307">
        <f t="shared" si="15"/>
        <v>0</v>
      </c>
      <c r="Z151" s="298"/>
    </row>
    <row r="152" s="282" customFormat="1" spans="1:26">
      <c r="A152" s="295" t="s">
        <v>792</v>
      </c>
      <c r="B152" s="296" t="s">
        <v>99</v>
      </c>
      <c r="C152" s="296" t="s">
        <v>42</v>
      </c>
      <c r="D152" s="295" t="s">
        <v>511</v>
      </c>
      <c r="E152" s="296" t="s">
        <v>524</v>
      </c>
      <c r="F152" s="296" t="s">
        <v>156</v>
      </c>
      <c r="G152" s="295" t="s">
        <v>513</v>
      </c>
      <c r="H152" s="295" t="s">
        <v>514</v>
      </c>
      <c r="I152" s="295"/>
      <c r="J152" s="296" t="s">
        <v>156</v>
      </c>
      <c r="K152" s="309" t="s">
        <v>156</v>
      </c>
      <c r="L152" s="306" t="s">
        <v>156</v>
      </c>
      <c r="M152" s="295" t="s">
        <v>156</v>
      </c>
      <c r="N152" s="306">
        <v>60.34</v>
      </c>
      <c r="O152" s="306" t="s">
        <v>156</v>
      </c>
      <c r="P152" s="307">
        <v>60.34</v>
      </c>
      <c r="Q152" s="307" t="s">
        <v>156</v>
      </c>
      <c r="R152" s="298" t="s">
        <v>156</v>
      </c>
      <c r="S152" s="297" t="s">
        <v>156</v>
      </c>
      <c r="T152" s="297" t="s">
        <v>156</v>
      </c>
      <c r="U152" s="307" t="s">
        <v>156</v>
      </c>
      <c r="V152" s="307" t="s">
        <v>156</v>
      </c>
      <c r="W152" s="307">
        <f t="shared" si="14"/>
        <v>0</v>
      </c>
      <c r="X152" s="307"/>
      <c r="Y152" s="307">
        <f t="shared" si="15"/>
        <v>0</v>
      </c>
      <c r="Z152" s="298"/>
    </row>
    <row r="153" s="282" customFormat="1" spans="1:26">
      <c r="A153" s="295" t="s">
        <v>793</v>
      </c>
      <c r="B153" s="296" t="s">
        <v>99</v>
      </c>
      <c r="C153" s="296" t="s">
        <v>42</v>
      </c>
      <c r="D153" s="295" t="s">
        <v>511</v>
      </c>
      <c r="E153" s="296" t="s">
        <v>526</v>
      </c>
      <c r="F153" s="296" t="s">
        <v>156</v>
      </c>
      <c r="G153" s="295" t="s">
        <v>513</v>
      </c>
      <c r="H153" s="295" t="s">
        <v>514</v>
      </c>
      <c r="I153" s="295"/>
      <c r="J153" s="296" t="s">
        <v>156</v>
      </c>
      <c r="K153" s="309" t="s">
        <v>156</v>
      </c>
      <c r="L153" s="306" t="s">
        <v>156</v>
      </c>
      <c r="M153" s="295" t="s">
        <v>156</v>
      </c>
      <c r="N153" s="306">
        <v>16.6</v>
      </c>
      <c r="O153" s="306" t="s">
        <v>156</v>
      </c>
      <c r="P153" s="307">
        <v>16.6</v>
      </c>
      <c r="Q153" s="307" t="s">
        <v>156</v>
      </c>
      <c r="R153" s="298" t="s">
        <v>156</v>
      </c>
      <c r="S153" s="297" t="s">
        <v>156</v>
      </c>
      <c r="T153" s="297" t="s">
        <v>156</v>
      </c>
      <c r="U153" s="307" t="s">
        <v>156</v>
      </c>
      <c r="V153" s="307" t="s">
        <v>156</v>
      </c>
      <c r="W153" s="307">
        <f t="shared" si="14"/>
        <v>0</v>
      </c>
      <c r="X153" s="307"/>
      <c r="Y153" s="307">
        <f t="shared" si="15"/>
        <v>0</v>
      </c>
      <c r="Z153" s="298"/>
    </row>
    <row r="154" s="282" customFormat="1" spans="1:26">
      <c r="A154" s="295" t="s">
        <v>794</v>
      </c>
      <c r="B154" s="296" t="s">
        <v>99</v>
      </c>
      <c r="C154" s="296" t="s">
        <v>42</v>
      </c>
      <c r="D154" s="295" t="s">
        <v>511</v>
      </c>
      <c r="E154" s="296" t="s">
        <v>528</v>
      </c>
      <c r="F154" s="296" t="s">
        <v>156</v>
      </c>
      <c r="G154" s="295" t="s">
        <v>513</v>
      </c>
      <c r="H154" s="295" t="s">
        <v>514</v>
      </c>
      <c r="I154" s="295"/>
      <c r="J154" s="296" t="s">
        <v>156</v>
      </c>
      <c r="K154" s="309" t="s">
        <v>156</v>
      </c>
      <c r="L154" s="306" t="s">
        <v>156</v>
      </c>
      <c r="M154" s="295" t="s">
        <v>156</v>
      </c>
      <c r="N154" s="306">
        <v>16.6</v>
      </c>
      <c r="O154" s="306" t="s">
        <v>156</v>
      </c>
      <c r="P154" s="307">
        <v>16.6</v>
      </c>
      <c r="Q154" s="307" t="s">
        <v>156</v>
      </c>
      <c r="R154" s="298" t="s">
        <v>156</v>
      </c>
      <c r="S154" s="297" t="s">
        <v>156</v>
      </c>
      <c r="T154" s="297" t="s">
        <v>156</v>
      </c>
      <c r="U154" s="307" t="s">
        <v>156</v>
      </c>
      <c r="V154" s="307" t="s">
        <v>156</v>
      </c>
      <c r="W154" s="307">
        <f t="shared" si="14"/>
        <v>0</v>
      </c>
      <c r="X154" s="307"/>
      <c r="Y154" s="307">
        <f t="shared" si="15"/>
        <v>0</v>
      </c>
      <c r="Z154" s="298"/>
    </row>
    <row r="155" s="282" customFormat="1" spans="1:26">
      <c r="A155" s="295" t="s">
        <v>795</v>
      </c>
      <c r="B155" s="296" t="s">
        <v>99</v>
      </c>
      <c r="C155" s="296" t="s">
        <v>42</v>
      </c>
      <c r="D155" s="295" t="s">
        <v>511</v>
      </c>
      <c r="E155" s="296" t="s">
        <v>529</v>
      </c>
      <c r="F155" s="296" t="s">
        <v>156</v>
      </c>
      <c r="G155" s="295" t="s">
        <v>513</v>
      </c>
      <c r="H155" s="295" t="s">
        <v>514</v>
      </c>
      <c r="I155" s="295"/>
      <c r="J155" s="296" t="s">
        <v>156</v>
      </c>
      <c r="K155" s="309" t="s">
        <v>156</v>
      </c>
      <c r="L155" s="306" t="s">
        <v>156</v>
      </c>
      <c r="M155" s="295" t="s">
        <v>156</v>
      </c>
      <c r="N155" s="306">
        <v>60.23</v>
      </c>
      <c r="O155" s="306" t="s">
        <v>156</v>
      </c>
      <c r="P155" s="307">
        <v>60.23</v>
      </c>
      <c r="Q155" s="307" t="s">
        <v>156</v>
      </c>
      <c r="R155" s="298" t="s">
        <v>156</v>
      </c>
      <c r="S155" s="297" t="s">
        <v>156</v>
      </c>
      <c r="T155" s="297" t="s">
        <v>156</v>
      </c>
      <c r="U155" s="307" t="s">
        <v>156</v>
      </c>
      <c r="V155" s="307" t="s">
        <v>156</v>
      </c>
      <c r="W155" s="307">
        <f t="shared" si="14"/>
        <v>0</v>
      </c>
      <c r="X155" s="307"/>
      <c r="Y155" s="307">
        <f t="shared" si="15"/>
        <v>0</v>
      </c>
      <c r="Z155" s="298"/>
    </row>
    <row r="156" s="282" customFormat="1" spans="1:26">
      <c r="A156" s="295" t="s">
        <v>796</v>
      </c>
      <c r="B156" s="296" t="s">
        <v>99</v>
      </c>
      <c r="C156" s="296" t="s">
        <v>42</v>
      </c>
      <c r="D156" s="295" t="s">
        <v>511</v>
      </c>
      <c r="E156" s="296" t="s">
        <v>531</v>
      </c>
      <c r="F156" s="296" t="s">
        <v>156</v>
      </c>
      <c r="G156" s="295" t="s">
        <v>513</v>
      </c>
      <c r="H156" s="295" t="s">
        <v>514</v>
      </c>
      <c r="I156" s="295"/>
      <c r="J156" s="296" t="s">
        <v>156</v>
      </c>
      <c r="K156" s="309" t="s">
        <v>156</v>
      </c>
      <c r="L156" s="306" t="s">
        <v>156</v>
      </c>
      <c r="M156" s="295" t="s">
        <v>156</v>
      </c>
      <c r="N156" s="306">
        <v>12.71</v>
      </c>
      <c r="O156" s="306" t="s">
        <v>156</v>
      </c>
      <c r="P156" s="307">
        <v>12.71</v>
      </c>
      <c r="Q156" s="307" t="s">
        <v>156</v>
      </c>
      <c r="R156" s="298" t="s">
        <v>156</v>
      </c>
      <c r="S156" s="297" t="s">
        <v>156</v>
      </c>
      <c r="T156" s="297" t="s">
        <v>156</v>
      </c>
      <c r="U156" s="307" t="s">
        <v>156</v>
      </c>
      <c r="V156" s="307" t="s">
        <v>156</v>
      </c>
      <c r="W156" s="307">
        <f t="shared" si="14"/>
        <v>0</v>
      </c>
      <c r="X156" s="307"/>
      <c r="Y156" s="307">
        <f t="shared" si="15"/>
        <v>0</v>
      </c>
      <c r="Z156" s="298"/>
    </row>
    <row r="157" s="282" customFormat="1" spans="1:26">
      <c r="A157" s="295" t="s">
        <v>797</v>
      </c>
      <c r="B157" s="296" t="s">
        <v>99</v>
      </c>
      <c r="C157" s="296" t="s">
        <v>42</v>
      </c>
      <c r="D157" s="295" t="s">
        <v>511</v>
      </c>
      <c r="E157" s="296" t="s">
        <v>533</v>
      </c>
      <c r="F157" s="296" t="s">
        <v>156</v>
      </c>
      <c r="G157" s="295" t="s">
        <v>513</v>
      </c>
      <c r="H157" s="295" t="s">
        <v>514</v>
      </c>
      <c r="I157" s="295"/>
      <c r="J157" s="296" t="s">
        <v>156</v>
      </c>
      <c r="K157" s="309" t="s">
        <v>156</v>
      </c>
      <c r="L157" s="306" t="s">
        <v>156</v>
      </c>
      <c r="M157" s="295" t="s">
        <v>156</v>
      </c>
      <c r="N157" s="306">
        <v>8.04</v>
      </c>
      <c r="O157" s="306" t="s">
        <v>156</v>
      </c>
      <c r="P157" s="307">
        <v>8.04</v>
      </c>
      <c r="Q157" s="307" t="s">
        <v>156</v>
      </c>
      <c r="R157" s="298" t="s">
        <v>156</v>
      </c>
      <c r="S157" s="297" t="s">
        <v>156</v>
      </c>
      <c r="T157" s="297" t="s">
        <v>156</v>
      </c>
      <c r="U157" s="307" t="s">
        <v>156</v>
      </c>
      <c r="V157" s="307" t="s">
        <v>156</v>
      </c>
      <c r="W157" s="307">
        <f t="shared" si="14"/>
        <v>0</v>
      </c>
      <c r="X157" s="307"/>
      <c r="Y157" s="307">
        <f t="shared" si="15"/>
        <v>0</v>
      </c>
      <c r="Z157" s="298"/>
    </row>
    <row r="158" s="282" customFormat="1" spans="1:26">
      <c r="A158" s="295" t="s">
        <v>798</v>
      </c>
      <c r="B158" s="296" t="s">
        <v>99</v>
      </c>
      <c r="C158" s="296" t="s">
        <v>42</v>
      </c>
      <c r="D158" s="295" t="s">
        <v>511</v>
      </c>
      <c r="E158" s="296" t="s">
        <v>535</v>
      </c>
      <c r="F158" s="296" t="s">
        <v>156</v>
      </c>
      <c r="G158" s="295" t="s">
        <v>513</v>
      </c>
      <c r="H158" s="295" t="s">
        <v>514</v>
      </c>
      <c r="I158" s="295"/>
      <c r="J158" s="296" t="s">
        <v>156</v>
      </c>
      <c r="K158" s="309" t="s">
        <v>156</v>
      </c>
      <c r="L158" s="306" t="s">
        <v>156</v>
      </c>
      <c r="M158" s="295" t="s">
        <v>156</v>
      </c>
      <c r="N158" s="306">
        <v>11.43</v>
      </c>
      <c r="O158" s="306" t="s">
        <v>156</v>
      </c>
      <c r="P158" s="307">
        <v>11.43</v>
      </c>
      <c r="Q158" s="307" t="s">
        <v>156</v>
      </c>
      <c r="R158" s="298" t="s">
        <v>156</v>
      </c>
      <c r="S158" s="297" t="s">
        <v>156</v>
      </c>
      <c r="T158" s="297" t="s">
        <v>156</v>
      </c>
      <c r="U158" s="307" t="s">
        <v>156</v>
      </c>
      <c r="V158" s="307" t="s">
        <v>156</v>
      </c>
      <c r="W158" s="307">
        <f t="shared" si="14"/>
        <v>0</v>
      </c>
      <c r="X158" s="307"/>
      <c r="Y158" s="307">
        <f t="shared" si="15"/>
        <v>0</v>
      </c>
      <c r="Z158" s="298"/>
    </row>
    <row r="159" s="282" customFormat="1" spans="1:26">
      <c r="A159" s="295" t="s">
        <v>799</v>
      </c>
      <c r="B159" s="296" t="s">
        <v>99</v>
      </c>
      <c r="C159" s="296" t="s">
        <v>42</v>
      </c>
      <c r="D159" s="295" t="s">
        <v>511</v>
      </c>
      <c r="E159" s="296" t="s">
        <v>537</v>
      </c>
      <c r="F159" s="296" t="s">
        <v>156</v>
      </c>
      <c r="G159" s="295" t="s">
        <v>513</v>
      </c>
      <c r="H159" s="295" t="s">
        <v>514</v>
      </c>
      <c r="I159" s="295"/>
      <c r="J159" s="296" t="s">
        <v>156</v>
      </c>
      <c r="K159" s="309" t="s">
        <v>156</v>
      </c>
      <c r="L159" s="306" t="s">
        <v>156</v>
      </c>
      <c r="M159" s="295" t="s">
        <v>156</v>
      </c>
      <c r="N159" s="306">
        <v>10.58</v>
      </c>
      <c r="O159" s="306" t="s">
        <v>156</v>
      </c>
      <c r="P159" s="307">
        <v>10.58</v>
      </c>
      <c r="Q159" s="307" t="s">
        <v>156</v>
      </c>
      <c r="R159" s="298" t="s">
        <v>156</v>
      </c>
      <c r="S159" s="297" t="s">
        <v>156</v>
      </c>
      <c r="T159" s="297" t="s">
        <v>156</v>
      </c>
      <c r="U159" s="307" t="s">
        <v>156</v>
      </c>
      <c r="V159" s="307" t="s">
        <v>156</v>
      </c>
      <c r="W159" s="307">
        <f t="shared" si="14"/>
        <v>0</v>
      </c>
      <c r="X159" s="307"/>
      <c r="Y159" s="307">
        <f t="shared" si="15"/>
        <v>0</v>
      </c>
      <c r="Z159" s="298"/>
    </row>
    <row r="160" s="282" customFormat="1" spans="1:26">
      <c r="A160" s="295" t="s">
        <v>800</v>
      </c>
      <c r="B160" s="296" t="s">
        <v>99</v>
      </c>
      <c r="C160" s="296" t="s">
        <v>42</v>
      </c>
      <c r="D160" s="295" t="s">
        <v>511</v>
      </c>
      <c r="E160" s="296" t="s">
        <v>539</v>
      </c>
      <c r="F160" s="296" t="s">
        <v>156</v>
      </c>
      <c r="G160" s="295" t="s">
        <v>513</v>
      </c>
      <c r="H160" s="295" t="s">
        <v>514</v>
      </c>
      <c r="I160" s="295"/>
      <c r="J160" s="296" t="s">
        <v>156</v>
      </c>
      <c r="K160" s="309" t="s">
        <v>156</v>
      </c>
      <c r="L160" s="306" t="s">
        <v>156</v>
      </c>
      <c r="M160" s="295" t="s">
        <v>156</v>
      </c>
      <c r="N160" s="306">
        <v>6.1</v>
      </c>
      <c r="O160" s="306" t="s">
        <v>156</v>
      </c>
      <c r="P160" s="307">
        <v>6.1</v>
      </c>
      <c r="Q160" s="307" t="s">
        <v>156</v>
      </c>
      <c r="R160" s="298" t="s">
        <v>156</v>
      </c>
      <c r="S160" s="297" t="s">
        <v>156</v>
      </c>
      <c r="T160" s="297" t="s">
        <v>156</v>
      </c>
      <c r="U160" s="307" t="s">
        <v>156</v>
      </c>
      <c r="V160" s="307" t="s">
        <v>156</v>
      </c>
      <c r="W160" s="307">
        <f t="shared" si="14"/>
        <v>0</v>
      </c>
      <c r="X160" s="307"/>
      <c r="Y160" s="307">
        <f t="shared" si="15"/>
        <v>0</v>
      </c>
      <c r="Z160" s="298"/>
    </row>
    <row r="161" s="282" customFormat="1" spans="1:26">
      <c r="A161" s="295" t="s">
        <v>801</v>
      </c>
      <c r="B161" s="296" t="s">
        <v>99</v>
      </c>
      <c r="C161" s="296" t="s">
        <v>45</v>
      </c>
      <c r="D161" s="295" t="s">
        <v>511</v>
      </c>
      <c r="E161" s="296" t="s">
        <v>541</v>
      </c>
      <c r="F161" s="296" t="s">
        <v>156</v>
      </c>
      <c r="G161" s="295" t="s">
        <v>513</v>
      </c>
      <c r="H161" s="295" t="s">
        <v>514</v>
      </c>
      <c r="I161" s="295"/>
      <c r="J161" s="304" t="s">
        <v>156</v>
      </c>
      <c r="K161" s="309" t="s">
        <v>156</v>
      </c>
      <c r="L161" s="306" t="s">
        <v>156</v>
      </c>
      <c r="M161" s="295" t="s">
        <v>156</v>
      </c>
      <c r="N161" s="306">
        <v>6.1</v>
      </c>
      <c r="O161" s="306" t="s">
        <v>156</v>
      </c>
      <c r="P161" s="307">
        <v>6.1</v>
      </c>
      <c r="Q161" s="307" t="s">
        <v>156</v>
      </c>
      <c r="R161" s="298" t="s">
        <v>156</v>
      </c>
      <c r="S161" s="297" t="s">
        <v>156</v>
      </c>
      <c r="T161" s="297" t="s">
        <v>156</v>
      </c>
      <c r="U161" s="307" t="s">
        <v>156</v>
      </c>
      <c r="V161" s="307"/>
      <c r="W161" s="307">
        <f t="shared" si="14"/>
        <v>0</v>
      </c>
      <c r="X161" s="307" t="str">
        <f t="shared" ref="X161:X202" si="16">U161</f>
        <v/>
      </c>
      <c r="Y161" s="307">
        <f t="shared" si="15"/>
        <v>0</v>
      </c>
      <c r="Z161" s="298"/>
    </row>
    <row r="162" s="282" customFormat="1" spans="1:26">
      <c r="A162" s="295" t="s">
        <v>802</v>
      </c>
      <c r="B162" s="296" t="s">
        <v>99</v>
      </c>
      <c r="C162" s="296" t="s">
        <v>45</v>
      </c>
      <c r="D162" s="295" t="s">
        <v>511</v>
      </c>
      <c r="E162" s="296" t="s">
        <v>542</v>
      </c>
      <c r="F162" s="296" t="s">
        <v>156</v>
      </c>
      <c r="G162" s="295" t="s">
        <v>513</v>
      </c>
      <c r="H162" s="295" t="s">
        <v>514</v>
      </c>
      <c r="I162" s="295"/>
      <c r="J162" s="304" t="s">
        <v>156</v>
      </c>
      <c r="K162" s="309" t="s">
        <v>156</v>
      </c>
      <c r="L162" s="306" t="s">
        <v>156</v>
      </c>
      <c r="M162" s="295" t="s">
        <v>156</v>
      </c>
      <c r="N162" s="306">
        <v>10.58</v>
      </c>
      <c r="O162" s="306" t="s">
        <v>156</v>
      </c>
      <c r="P162" s="307">
        <v>10.58</v>
      </c>
      <c r="Q162" s="307" t="s">
        <v>156</v>
      </c>
      <c r="R162" s="298" t="s">
        <v>156</v>
      </c>
      <c r="S162" s="297" t="s">
        <v>156</v>
      </c>
      <c r="T162" s="297" t="s">
        <v>156</v>
      </c>
      <c r="U162" s="307" t="s">
        <v>156</v>
      </c>
      <c r="V162" s="307"/>
      <c r="W162" s="307">
        <f t="shared" si="14"/>
        <v>0</v>
      </c>
      <c r="X162" s="307" t="str">
        <f t="shared" si="16"/>
        <v/>
      </c>
      <c r="Y162" s="307">
        <f t="shared" si="15"/>
        <v>0</v>
      </c>
      <c r="Z162" s="298"/>
    </row>
    <row r="163" s="282" customFormat="1" spans="1:26">
      <c r="A163" s="295" t="s">
        <v>803</v>
      </c>
      <c r="B163" s="296" t="s">
        <v>99</v>
      </c>
      <c r="C163" s="296" t="s">
        <v>45</v>
      </c>
      <c r="D163" s="295" t="s">
        <v>511</v>
      </c>
      <c r="E163" s="296" t="s">
        <v>544</v>
      </c>
      <c r="F163" s="296" t="s">
        <v>156</v>
      </c>
      <c r="G163" s="295" t="s">
        <v>513</v>
      </c>
      <c r="H163" s="295" t="s">
        <v>514</v>
      </c>
      <c r="I163" s="295"/>
      <c r="J163" s="304" t="s">
        <v>156</v>
      </c>
      <c r="K163" s="309" t="s">
        <v>156</v>
      </c>
      <c r="L163" s="306" t="s">
        <v>156</v>
      </c>
      <c r="M163" s="295" t="s">
        <v>156</v>
      </c>
      <c r="N163" s="306">
        <v>11.43</v>
      </c>
      <c r="O163" s="306" t="s">
        <v>156</v>
      </c>
      <c r="P163" s="307">
        <v>11.43</v>
      </c>
      <c r="Q163" s="307" t="s">
        <v>156</v>
      </c>
      <c r="R163" s="298" t="s">
        <v>156</v>
      </c>
      <c r="S163" s="297" t="s">
        <v>156</v>
      </c>
      <c r="T163" s="297" t="s">
        <v>156</v>
      </c>
      <c r="U163" s="307" t="s">
        <v>156</v>
      </c>
      <c r="V163" s="307"/>
      <c r="W163" s="307">
        <f t="shared" si="14"/>
        <v>0</v>
      </c>
      <c r="X163" s="307" t="str">
        <f t="shared" si="16"/>
        <v/>
      </c>
      <c r="Y163" s="307">
        <f t="shared" si="15"/>
        <v>0</v>
      </c>
      <c r="Z163" s="298"/>
    </row>
    <row r="164" s="282" customFormat="1" spans="1:26">
      <c r="A164" s="295" t="s">
        <v>804</v>
      </c>
      <c r="B164" s="296" t="s">
        <v>99</v>
      </c>
      <c r="C164" s="296" t="s">
        <v>45</v>
      </c>
      <c r="D164" s="295" t="s">
        <v>511</v>
      </c>
      <c r="E164" s="296" t="s">
        <v>546</v>
      </c>
      <c r="F164" s="296" t="s">
        <v>156</v>
      </c>
      <c r="G164" s="295" t="s">
        <v>513</v>
      </c>
      <c r="H164" s="295" t="s">
        <v>514</v>
      </c>
      <c r="I164" s="295"/>
      <c r="J164" s="304" t="s">
        <v>156</v>
      </c>
      <c r="K164" s="309" t="s">
        <v>156</v>
      </c>
      <c r="L164" s="306" t="s">
        <v>156</v>
      </c>
      <c r="M164" s="295" t="s">
        <v>156</v>
      </c>
      <c r="N164" s="306">
        <v>8.04</v>
      </c>
      <c r="O164" s="306" t="s">
        <v>156</v>
      </c>
      <c r="P164" s="307">
        <v>8.04</v>
      </c>
      <c r="Q164" s="307" t="s">
        <v>156</v>
      </c>
      <c r="R164" s="298" t="s">
        <v>156</v>
      </c>
      <c r="S164" s="297" t="s">
        <v>156</v>
      </c>
      <c r="T164" s="297" t="s">
        <v>156</v>
      </c>
      <c r="U164" s="307" t="s">
        <v>156</v>
      </c>
      <c r="V164" s="307"/>
      <c r="W164" s="307">
        <f t="shared" si="14"/>
        <v>0</v>
      </c>
      <c r="X164" s="307" t="str">
        <f t="shared" si="16"/>
        <v/>
      </c>
      <c r="Y164" s="307">
        <f t="shared" si="15"/>
        <v>0</v>
      </c>
      <c r="Z164" s="298"/>
    </row>
    <row r="165" s="282" customFormat="1" spans="1:26">
      <c r="A165" s="295" t="s">
        <v>805</v>
      </c>
      <c r="B165" s="296" t="s">
        <v>99</v>
      </c>
      <c r="C165" s="296" t="s">
        <v>45</v>
      </c>
      <c r="D165" s="295" t="s">
        <v>511</v>
      </c>
      <c r="E165" s="296" t="s">
        <v>548</v>
      </c>
      <c r="F165" s="296" t="s">
        <v>156</v>
      </c>
      <c r="G165" s="295" t="s">
        <v>513</v>
      </c>
      <c r="H165" s="295" t="s">
        <v>514</v>
      </c>
      <c r="I165" s="295"/>
      <c r="J165" s="304" t="s">
        <v>156</v>
      </c>
      <c r="K165" s="309" t="s">
        <v>156</v>
      </c>
      <c r="L165" s="306" t="s">
        <v>156</v>
      </c>
      <c r="M165" s="295" t="s">
        <v>156</v>
      </c>
      <c r="N165" s="306">
        <v>12.71</v>
      </c>
      <c r="O165" s="306" t="s">
        <v>156</v>
      </c>
      <c r="P165" s="307">
        <v>12.71</v>
      </c>
      <c r="Q165" s="307" t="s">
        <v>156</v>
      </c>
      <c r="R165" s="298" t="s">
        <v>156</v>
      </c>
      <c r="S165" s="297" t="s">
        <v>156</v>
      </c>
      <c r="T165" s="297" t="s">
        <v>156</v>
      </c>
      <c r="U165" s="307" t="s">
        <v>156</v>
      </c>
      <c r="V165" s="307"/>
      <c r="W165" s="307">
        <f t="shared" si="14"/>
        <v>0</v>
      </c>
      <c r="X165" s="307" t="str">
        <f t="shared" si="16"/>
        <v/>
      </c>
      <c r="Y165" s="307">
        <f t="shared" si="15"/>
        <v>0</v>
      </c>
      <c r="Z165" s="298"/>
    </row>
    <row r="166" s="282" customFormat="1" spans="1:26">
      <c r="A166" s="295" t="s">
        <v>806</v>
      </c>
      <c r="B166" s="296" t="s">
        <v>99</v>
      </c>
      <c r="C166" s="296" t="s">
        <v>45</v>
      </c>
      <c r="D166" s="295" t="s">
        <v>511</v>
      </c>
      <c r="E166" s="296" t="s">
        <v>549</v>
      </c>
      <c r="F166" s="296" t="s">
        <v>156</v>
      </c>
      <c r="G166" s="295" t="s">
        <v>513</v>
      </c>
      <c r="H166" s="295" t="s">
        <v>514</v>
      </c>
      <c r="I166" s="295"/>
      <c r="J166" s="304" t="s">
        <v>156</v>
      </c>
      <c r="K166" s="309" t="s">
        <v>156</v>
      </c>
      <c r="L166" s="306" t="s">
        <v>156</v>
      </c>
      <c r="M166" s="295" t="s">
        <v>156</v>
      </c>
      <c r="N166" s="306">
        <v>60.23</v>
      </c>
      <c r="O166" s="306" t="s">
        <v>156</v>
      </c>
      <c r="P166" s="307">
        <v>60.23</v>
      </c>
      <c r="Q166" s="307" t="s">
        <v>156</v>
      </c>
      <c r="R166" s="298" t="s">
        <v>156</v>
      </c>
      <c r="S166" s="297" t="s">
        <v>156</v>
      </c>
      <c r="T166" s="297" t="s">
        <v>156</v>
      </c>
      <c r="U166" s="307" t="s">
        <v>156</v>
      </c>
      <c r="V166" s="307"/>
      <c r="W166" s="307">
        <f t="shared" si="14"/>
        <v>0</v>
      </c>
      <c r="X166" s="307" t="str">
        <f t="shared" si="16"/>
        <v/>
      </c>
      <c r="Y166" s="307">
        <f t="shared" si="15"/>
        <v>0</v>
      </c>
      <c r="Z166" s="298"/>
    </row>
    <row r="167" s="282" customFormat="1" spans="1:26">
      <c r="A167" s="295" t="s">
        <v>807</v>
      </c>
      <c r="B167" s="296" t="s">
        <v>99</v>
      </c>
      <c r="C167" s="296" t="s">
        <v>45</v>
      </c>
      <c r="D167" s="295" t="s">
        <v>511</v>
      </c>
      <c r="E167" s="296" t="s">
        <v>550</v>
      </c>
      <c r="F167" s="296" t="s">
        <v>156</v>
      </c>
      <c r="G167" s="295" t="s">
        <v>513</v>
      </c>
      <c r="H167" s="295" t="s">
        <v>514</v>
      </c>
      <c r="I167" s="295"/>
      <c r="J167" s="304" t="s">
        <v>156</v>
      </c>
      <c r="K167" s="309" t="s">
        <v>156</v>
      </c>
      <c r="L167" s="306" t="s">
        <v>156</v>
      </c>
      <c r="M167" s="295" t="s">
        <v>156</v>
      </c>
      <c r="N167" s="306">
        <v>16.6</v>
      </c>
      <c r="O167" s="306" t="s">
        <v>156</v>
      </c>
      <c r="P167" s="307">
        <v>16.6</v>
      </c>
      <c r="Q167" s="307" t="s">
        <v>156</v>
      </c>
      <c r="R167" s="298" t="s">
        <v>156</v>
      </c>
      <c r="S167" s="297" t="s">
        <v>156</v>
      </c>
      <c r="T167" s="297" t="s">
        <v>156</v>
      </c>
      <c r="U167" s="307" t="s">
        <v>156</v>
      </c>
      <c r="V167" s="307"/>
      <c r="W167" s="307">
        <f t="shared" si="14"/>
        <v>0</v>
      </c>
      <c r="X167" s="307" t="str">
        <f t="shared" si="16"/>
        <v/>
      </c>
      <c r="Y167" s="307">
        <f t="shared" si="15"/>
        <v>0</v>
      </c>
      <c r="Z167" s="298"/>
    </row>
    <row r="168" s="282" customFormat="1" spans="1:26">
      <c r="A168" s="295" t="s">
        <v>808</v>
      </c>
      <c r="B168" s="296" t="s">
        <v>99</v>
      </c>
      <c r="C168" s="296" t="s">
        <v>45</v>
      </c>
      <c r="D168" s="295" t="s">
        <v>511</v>
      </c>
      <c r="E168" s="296" t="s">
        <v>552</v>
      </c>
      <c r="F168" s="296" t="s">
        <v>156</v>
      </c>
      <c r="G168" s="295" t="s">
        <v>513</v>
      </c>
      <c r="H168" s="295" t="s">
        <v>514</v>
      </c>
      <c r="I168" s="295"/>
      <c r="J168" s="304" t="s">
        <v>156</v>
      </c>
      <c r="K168" s="309" t="s">
        <v>156</v>
      </c>
      <c r="L168" s="306" t="s">
        <v>156</v>
      </c>
      <c r="M168" s="295" t="s">
        <v>156</v>
      </c>
      <c r="N168" s="306">
        <v>16.6</v>
      </c>
      <c r="O168" s="306" t="s">
        <v>156</v>
      </c>
      <c r="P168" s="307">
        <v>16.6</v>
      </c>
      <c r="Q168" s="307" t="s">
        <v>156</v>
      </c>
      <c r="R168" s="298" t="s">
        <v>156</v>
      </c>
      <c r="S168" s="297" t="s">
        <v>156</v>
      </c>
      <c r="T168" s="297" t="s">
        <v>156</v>
      </c>
      <c r="U168" s="307" t="s">
        <v>156</v>
      </c>
      <c r="V168" s="307"/>
      <c r="W168" s="307">
        <f t="shared" si="14"/>
        <v>0</v>
      </c>
      <c r="X168" s="307" t="str">
        <f t="shared" si="16"/>
        <v/>
      </c>
      <c r="Y168" s="307">
        <f t="shared" si="15"/>
        <v>0</v>
      </c>
      <c r="Z168" s="298"/>
    </row>
    <row r="169" s="282" customFormat="1" spans="1:26">
      <c r="A169" s="295" t="s">
        <v>809</v>
      </c>
      <c r="B169" s="296" t="s">
        <v>99</v>
      </c>
      <c r="C169" s="296" t="s">
        <v>45</v>
      </c>
      <c r="D169" s="295" t="s">
        <v>511</v>
      </c>
      <c r="E169" s="296" t="s">
        <v>554</v>
      </c>
      <c r="F169" s="296" t="s">
        <v>156</v>
      </c>
      <c r="G169" s="295" t="s">
        <v>513</v>
      </c>
      <c r="H169" s="295" t="s">
        <v>514</v>
      </c>
      <c r="I169" s="295"/>
      <c r="J169" s="304" t="s">
        <v>156</v>
      </c>
      <c r="K169" s="309" t="s">
        <v>156</v>
      </c>
      <c r="L169" s="306" t="s">
        <v>156</v>
      </c>
      <c r="M169" s="295" t="s">
        <v>156</v>
      </c>
      <c r="N169" s="306">
        <v>60.34</v>
      </c>
      <c r="O169" s="306" t="s">
        <v>156</v>
      </c>
      <c r="P169" s="307">
        <v>60.34</v>
      </c>
      <c r="Q169" s="307" t="s">
        <v>156</v>
      </c>
      <c r="R169" s="298" t="s">
        <v>156</v>
      </c>
      <c r="S169" s="297" t="s">
        <v>156</v>
      </c>
      <c r="T169" s="297" t="s">
        <v>156</v>
      </c>
      <c r="U169" s="307" t="s">
        <v>156</v>
      </c>
      <c r="V169" s="307"/>
      <c r="W169" s="307">
        <f t="shared" si="14"/>
        <v>0</v>
      </c>
      <c r="X169" s="307" t="str">
        <f t="shared" si="16"/>
        <v/>
      </c>
      <c r="Y169" s="307">
        <f t="shared" si="15"/>
        <v>0</v>
      </c>
      <c r="Z169" s="298"/>
    </row>
    <row r="170" s="282" customFormat="1" spans="1:26">
      <c r="A170" s="295" t="s">
        <v>810</v>
      </c>
      <c r="B170" s="296" t="s">
        <v>99</v>
      </c>
      <c r="C170" s="296" t="s">
        <v>45</v>
      </c>
      <c r="D170" s="295" t="s">
        <v>511</v>
      </c>
      <c r="E170" s="296" t="s">
        <v>556</v>
      </c>
      <c r="F170" s="296" t="s">
        <v>156</v>
      </c>
      <c r="G170" s="295" t="s">
        <v>513</v>
      </c>
      <c r="H170" s="295" t="s">
        <v>514</v>
      </c>
      <c r="I170" s="295"/>
      <c r="J170" s="304" t="s">
        <v>156</v>
      </c>
      <c r="K170" s="309" t="s">
        <v>156</v>
      </c>
      <c r="L170" s="306" t="s">
        <v>156</v>
      </c>
      <c r="M170" s="295" t="s">
        <v>156</v>
      </c>
      <c r="N170" s="306">
        <v>7.35</v>
      </c>
      <c r="O170" s="306" t="s">
        <v>156</v>
      </c>
      <c r="P170" s="307">
        <v>7.35</v>
      </c>
      <c r="Q170" s="307" t="s">
        <v>156</v>
      </c>
      <c r="R170" s="298" t="s">
        <v>156</v>
      </c>
      <c r="S170" s="297" t="s">
        <v>156</v>
      </c>
      <c r="T170" s="297" t="s">
        <v>156</v>
      </c>
      <c r="U170" s="307" t="s">
        <v>156</v>
      </c>
      <c r="V170" s="307"/>
      <c r="W170" s="307">
        <f t="shared" si="14"/>
        <v>0</v>
      </c>
      <c r="X170" s="307" t="str">
        <f t="shared" si="16"/>
        <v/>
      </c>
      <c r="Y170" s="307">
        <f t="shared" si="15"/>
        <v>0</v>
      </c>
      <c r="Z170" s="298"/>
    </row>
    <row r="171" s="282" customFormat="1" spans="1:26">
      <c r="A171" s="295" t="s">
        <v>811</v>
      </c>
      <c r="B171" s="296" t="s">
        <v>99</v>
      </c>
      <c r="C171" s="296" t="s">
        <v>45</v>
      </c>
      <c r="D171" s="295" t="s">
        <v>511</v>
      </c>
      <c r="E171" s="296" t="s">
        <v>558</v>
      </c>
      <c r="F171" s="296" t="s">
        <v>156</v>
      </c>
      <c r="G171" s="295" t="s">
        <v>513</v>
      </c>
      <c r="H171" s="295" t="s">
        <v>514</v>
      </c>
      <c r="I171" s="295"/>
      <c r="J171" s="304" t="s">
        <v>156</v>
      </c>
      <c r="K171" s="309" t="s">
        <v>156</v>
      </c>
      <c r="L171" s="306" t="s">
        <v>156</v>
      </c>
      <c r="M171" s="295" t="s">
        <v>156</v>
      </c>
      <c r="N171" s="306">
        <v>9.07</v>
      </c>
      <c r="O171" s="306" t="s">
        <v>156</v>
      </c>
      <c r="P171" s="307">
        <v>9.07</v>
      </c>
      <c r="Q171" s="307" t="s">
        <v>156</v>
      </c>
      <c r="R171" s="298" t="s">
        <v>156</v>
      </c>
      <c r="S171" s="297" t="s">
        <v>156</v>
      </c>
      <c r="T171" s="297" t="s">
        <v>156</v>
      </c>
      <c r="U171" s="307" t="s">
        <v>156</v>
      </c>
      <c r="V171" s="307"/>
      <c r="W171" s="307">
        <f t="shared" si="14"/>
        <v>0</v>
      </c>
      <c r="X171" s="307" t="str">
        <f t="shared" si="16"/>
        <v/>
      </c>
      <c r="Y171" s="307">
        <f t="shared" si="15"/>
        <v>0</v>
      </c>
      <c r="Z171" s="298"/>
    </row>
    <row r="172" s="282" customFormat="1" spans="1:26">
      <c r="A172" s="295" t="s">
        <v>812</v>
      </c>
      <c r="B172" s="296" t="s">
        <v>99</v>
      </c>
      <c r="C172" s="296" t="s">
        <v>45</v>
      </c>
      <c r="D172" s="295" t="s">
        <v>511</v>
      </c>
      <c r="E172" s="296" t="s">
        <v>560</v>
      </c>
      <c r="F172" s="296" t="s">
        <v>156</v>
      </c>
      <c r="G172" s="295" t="s">
        <v>513</v>
      </c>
      <c r="H172" s="295" t="s">
        <v>514</v>
      </c>
      <c r="I172" s="295"/>
      <c r="J172" s="304" t="s">
        <v>156</v>
      </c>
      <c r="K172" s="309" t="s">
        <v>156</v>
      </c>
      <c r="L172" s="306" t="s">
        <v>156</v>
      </c>
      <c r="M172" s="295" t="s">
        <v>156</v>
      </c>
      <c r="N172" s="306">
        <v>6.67</v>
      </c>
      <c r="O172" s="306" t="s">
        <v>156</v>
      </c>
      <c r="P172" s="307">
        <v>6.67</v>
      </c>
      <c r="Q172" s="307" t="s">
        <v>156</v>
      </c>
      <c r="R172" s="298" t="s">
        <v>156</v>
      </c>
      <c r="S172" s="297" t="s">
        <v>156</v>
      </c>
      <c r="T172" s="297" t="s">
        <v>156</v>
      </c>
      <c r="U172" s="307" t="s">
        <v>156</v>
      </c>
      <c r="V172" s="307"/>
      <c r="W172" s="307">
        <f t="shared" si="14"/>
        <v>0</v>
      </c>
      <c r="X172" s="307" t="str">
        <f t="shared" si="16"/>
        <v/>
      </c>
      <c r="Y172" s="307">
        <f t="shared" si="15"/>
        <v>0</v>
      </c>
      <c r="Z172" s="298"/>
    </row>
    <row r="173" s="282" customFormat="1" spans="1:26">
      <c r="A173" s="295" t="s">
        <v>813</v>
      </c>
      <c r="B173" s="296" t="s">
        <v>99</v>
      </c>
      <c r="C173" s="296" t="s">
        <v>45</v>
      </c>
      <c r="D173" s="295" t="s">
        <v>511</v>
      </c>
      <c r="E173" s="296" t="s">
        <v>562</v>
      </c>
      <c r="F173" s="296" t="s">
        <v>156</v>
      </c>
      <c r="G173" s="295" t="s">
        <v>513</v>
      </c>
      <c r="H173" s="295" t="s">
        <v>514</v>
      </c>
      <c r="I173" s="295"/>
      <c r="J173" s="304" t="s">
        <v>156</v>
      </c>
      <c r="K173" s="309" t="s">
        <v>156</v>
      </c>
      <c r="L173" s="306" t="s">
        <v>156</v>
      </c>
      <c r="M173" s="295" t="s">
        <v>156</v>
      </c>
      <c r="N173" s="306">
        <v>6.1</v>
      </c>
      <c r="O173" s="306" t="s">
        <v>156</v>
      </c>
      <c r="P173" s="307">
        <v>6.1</v>
      </c>
      <c r="Q173" s="307" t="s">
        <v>156</v>
      </c>
      <c r="R173" s="298" t="s">
        <v>156</v>
      </c>
      <c r="S173" s="297" t="s">
        <v>156</v>
      </c>
      <c r="T173" s="297" t="s">
        <v>156</v>
      </c>
      <c r="U173" s="307" t="s">
        <v>156</v>
      </c>
      <c r="V173" s="307"/>
      <c r="W173" s="307">
        <f t="shared" si="14"/>
        <v>0</v>
      </c>
      <c r="X173" s="307" t="str">
        <f t="shared" si="16"/>
        <v/>
      </c>
      <c r="Y173" s="307">
        <f t="shared" si="15"/>
        <v>0</v>
      </c>
      <c r="Z173" s="298"/>
    </row>
    <row r="174" s="282" customFormat="1" spans="1:26">
      <c r="A174" s="295" t="s">
        <v>814</v>
      </c>
      <c r="B174" s="296" t="s">
        <v>99</v>
      </c>
      <c r="C174" s="296" t="s">
        <v>45</v>
      </c>
      <c r="D174" s="295" t="s">
        <v>511</v>
      </c>
      <c r="E174" s="296" t="s">
        <v>564</v>
      </c>
      <c r="F174" s="296" t="s">
        <v>156</v>
      </c>
      <c r="G174" s="295" t="s">
        <v>513</v>
      </c>
      <c r="H174" s="295" t="s">
        <v>514</v>
      </c>
      <c r="I174" s="295"/>
      <c r="J174" s="304" t="s">
        <v>156</v>
      </c>
      <c r="K174" s="309" t="s">
        <v>156</v>
      </c>
      <c r="L174" s="306" t="s">
        <v>156</v>
      </c>
      <c r="M174" s="295" t="s">
        <v>156</v>
      </c>
      <c r="N174" s="306">
        <v>12.77</v>
      </c>
      <c r="O174" s="306" t="s">
        <v>156</v>
      </c>
      <c r="P174" s="307">
        <v>12.77</v>
      </c>
      <c r="Q174" s="307" t="s">
        <v>156</v>
      </c>
      <c r="R174" s="298" t="s">
        <v>156</v>
      </c>
      <c r="S174" s="297" t="s">
        <v>156</v>
      </c>
      <c r="T174" s="297" t="s">
        <v>156</v>
      </c>
      <c r="U174" s="307" t="s">
        <v>156</v>
      </c>
      <c r="V174" s="307"/>
      <c r="W174" s="307">
        <f t="shared" si="14"/>
        <v>0</v>
      </c>
      <c r="X174" s="307" t="str">
        <f t="shared" si="16"/>
        <v/>
      </c>
      <c r="Y174" s="307">
        <f t="shared" si="15"/>
        <v>0</v>
      </c>
      <c r="Z174" s="298"/>
    </row>
    <row r="175" s="282" customFormat="1" ht="23.8" spans="1:26">
      <c r="A175" s="295" t="s">
        <v>815</v>
      </c>
      <c r="B175" s="296" t="s">
        <v>102</v>
      </c>
      <c r="C175" s="296" t="s">
        <v>42</v>
      </c>
      <c r="D175" s="295" t="s">
        <v>42</v>
      </c>
      <c r="E175" s="296" t="s">
        <v>388</v>
      </c>
      <c r="F175" s="296" t="s">
        <v>156</v>
      </c>
      <c r="G175" s="295" t="s">
        <v>214</v>
      </c>
      <c r="H175" s="295" t="s">
        <v>389</v>
      </c>
      <c r="I175" s="295" t="s">
        <v>294</v>
      </c>
      <c r="J175" s="304">
        <v>20220004391</v>
      </c>
      <c r="K175" s="309" t="s">
        <v>816</v>
      </c>
      <c r="L175" s="306">
        <v>1070000</v>
      </c>
      <c r="M175" s="295" t="s">
        <v>817</v>
      </c>
      <c r="N175" s="306">
        <v>139.37</v>
      </c>
      <c r="O175" s="306" t="s">
        <v>156</v>
      </c>
      <c r="P175" s="307">
        <v>139.37</v>
      </c>
      <c r="Q175" s="307" t="s">
        <v>156</v>
      </c>
      <c r="R175" s="298" t="s">
        <v>156</v>
      </c>
      <c r="S175" s="563" t="s">
        <v>392</v>
      </c>
      <c r="T175" s="318" t="s">
        <v>818</v>
      </c>
      <c r="U175" s="316">
        <v>981651.38</v>
      </c>
      <c r="V175" s="307">
        <f t="shared" ref="V175:V202" si="17">ROUND(U175*0.09,2)</f>
        <v>88348.62</v>
      </c>
      <c r="W175" s="307">
        <f t="shared" si="14"/>
        <v>1070000</v>
      </c>
      <c r="X175" s="307">
        <f t="shared" si="16"/>
        <v>981651.38</v>
      </c>
      <c r="Y175" s="307">
        <f t="shared" si="15"/>
        <v>7043.49</v>
      </c>
      <c r="Z175" s="298"/>
    </row>
    <row r="176" s="282" customFormat="1" ht="23.8" spans="1:26">
      <c r="A176" s="295" t="s">
        <v>819</v>
      </c>
      <c r="B176" s="296" t="s">
        <v>102</v>
      </c>
      <c r="C176" s="296" t="s">
        <v>42</v>
      </c>
      <c r="D176" s="295" t="s">
        <v>42</v>
      </c>
      <c r="E176" s="296" t="s">
        <v>395</v>
      </c>
      <c r="F176" s="296" t="s">
        <v>156</v>
      </c>
      <c r="G176" s="295" t="s">
        <v>214</v>
      </c>
      <c r="H176" s="295" t="s">
        <v>389</v>
      </c>
      <c r="I176" s="295" t="s">
        <v>294</v>
      </c>
      <c r="J176" s="304">
        <v>20210009154</v>
      </c>
      <c r="K176" s="309" t="s">
        <v>820</v>
      </c>
      <c r="L176" s="306">
        <v>1042125</v>
      </c>
      <c r="M176" s="295" t="s">
        <v>821</v>
      </c>
      <c r="N176" s="306">
        <v>138.95</v>
      </c>
      <c r="O176" s="306" t="s">
        <v>156</v>
      </c>
      <c r="P176" s="307">
        <v>138.95</v>
      </c>
      <c r="Q176" s="307" t="s">
        <v>156</v>
      </c>
      <c r="R176" s="298" t="s">
        <v>156</v>
      </c>
      <c r="S176" s="563" t="s">
        <v>392</v>
      </c>
      <c r="T176" s="318" t="s">
        <v>822</v>
      </c>
      <c r="U176" s="316">
        <v>956077.98</v>
      </c>
      <c r="V176" s="307">
        <f t="shared" si="17"/>
        <v>86047.02</v>
      </c>
      <c r="W176" s="307">
        <f t="shared" si="14"/>
        <v>1042125</v>
      </c>
      <c r="X176" s="307">
        <f t="shared" si="16"/>
        <v>956077.98</v>
      </c>
      <c r="Y176" s="307">
        <f t="shared" si="15"/>
        <v>6880.73</v>
      </c>
      <c r="Z176" s="298"/>
    </row>
    <row r="177" s="282" customFormat="1" ht="15.05" spans="1:26">
      <c r="A177" s="295" t="s">
        <v>823</v>
      </c>
      <c r="B177" s="297" t="s">
        <v>102</v>
      </c>
      <c r="C177" s="297" t="s">
        <v>42</v>
      </c>
      <c r="D177" s="298" t="s">
        <v>45</v>
      </c>
      <c r="E177" s="297" t="s">
        <v>400</v>
      </c>
      <c r="F177" s="297" t="s">
        <v>156</v>
      </c>
      <c r="G177" s="295" t="s">
        <v>214</v>
      </c>
      <c r="H177" s="298" t="s">
        <v>389</v>
      </c>
      <c r="I177" s="295" t="s">
        <v>294</v>
      </c>
      <c r="J177" s="308">
        <v>20200009403</v>
      </c>
      <c r="K177" s="305" t="s">
        <v>824</v>
      </c>
      <c r="L177" s="307">
        <v>603288</v>
      </c>
      <c r="M177" s="298" t="s">
        <v>825</v>
      </c>
      <c r="N177" s="307">
        <v>139.37</v>
      </c>
      <c r="O177" s="307" t="s">
        <v>156</v>
      </c>
      <c r="P177" s="307">
        <v>139.37</v>
      </c>
      <c r="Q177" s="307" t="s">
        <v>156</v>
      </c>
      <c r="R177" s="298" t="s">
        <v>156</v>
      </c>
      <c r="S177" s="563" t="s">
        <v>392</v>
      </c>
      <c r="T177" s="318" t="s">
        <v>826</v>
      </c>
      <c r="U177" s="316">
        <v>553475.23</v>
      </c>
      <c r="V177" s="307">
        <f t="shared" si="17"/>
        <v>49812.77</v>
      </c>
      <c r="W177" s="307">
        <f t="shared" si="14"/>
        <v>603288</v>
      </c>
      <c r="X177" s="307">
        <f t="shared" si="16"/>
        <v>553475.23</v>
      </c>
      <c r="Y177" s="307">
        <f t="shared" si="15"/>
        <v>3971.27</v>
      </c>
      <c r="Z177" s="298"/>
    </row>
    <row r="178" s="282" customFormat="1" spans="1:26">
      <c r="A178" s="295" t="s">
        <v>827</v>
      </c>
      <c r="B178" s="296" t="s">
        <v>102</v>
      </c>
      <c r="C178" s="296" t="s">
        <v>42</v>
      </c>
      <c r="D178" s="295" t="s">
        <v>45</v>
      </c>
      <c r="E178" s="296" t="s">
        <v>405</v>
      </c>
      <c r="F178" s="296" t="s">
        <v>156</v>
      </c>
      <c r="G178" s="295" t="s">
        <v>214</v>
      </c>
      <c r="H178" s="295" t="s">
        <v>389</v>
      </c>
      <c r="I178" s="295" t="s">
        <v>294</v>
      </c>
      <c r="J178" s="304">
        <v>20210002471</v>
      </c>
      <c r="K178" s="309" t="s">
        <v>828</v>
      </c>
      <c r="L178" s="306">
        <v>618328</v>
      </c>
      <c r="M178" s="295" t="s">
        <v>829</v>
      </c>
      <c r="N178" s="306">
        <v>138.95</v>
      </c>
      <c r="O178" s="306" t="s">
        <v>156</v>
      </c>
      <c r="P178" s="307">
        <v>138.95</v>
      </c>
      <c r="Q178" s="307" t="s">
        <v>156</v>
      </c>
      <c r="R178" s="298" t="s">
        <v>156</v>
      </c>
      <c r="S178" s="563" t="s">
        <v>392</v>
      </c>
      <c r="T178" s="317" t="s">
        <v>830</v>
      </c>
      <c r="U178" s="316">
        <v>567273.39</v>
      </c>
      <c r="V178" s="307">
        <f t="shared" si="17"/>
        <v>51054.61</v>
      </c>
      <c r="W178" s="307">
        <f t="shared" si="14"/>
        <v>618328</v>
      </c>
      <c r="X178" s="307">
        <f t="shared" si="16"/>
        <v>567273.39</v>
      </c>
      <c r="Y178" s="307">
        <f t="shared" si="15"/>
        <v>4082.57</v>
      </c>
      <c r="Z178" s="298"/>
    </row>
    <row r="179" s="282" customFormat="1" spans="1:26">
      <c r="A179" s="295" t="s">
        <v>831</v>
      </c>
      <c r="B179" s="296" t="s">
        <v>102</v>
      </c>
      <c r="C179" s="296" t="s">
        <v>42</v>
      </c>
      <c r="D179" s="295" t="s">
        <v>48</v>
      </c>
      <c r="E179" s="296" t="s">
        <v>410</v>
      </c>
      <c r="F179" s="296" t="s">
        <v>156</v>
      </c>
      <c r="G179" s="295" t="s">
        <v>214</v>
      </c>
      <c r="H179" s="295" t="s">
        <v>389</v>
      </c>
      <c r="I179" s="295" t="s">
        <v>294</v>
      </c>
      <c r="J179" s="304">
        <v>20200007636</v>
      </c>
      <c r="K179" s="309" t="s">
        <v>832</v>
      </c>
      <c r="L179" s="306">
        <v>610351</v>
      </c>
      <c r="M179" s="295" t="s">
        <v>833</v>
      </c>
      <c r="N179" s="306">
        <v>139.37</v>
      </c>
      <c r="O179" s="306" t="s">
        <v>156</v>
      </c>
      <c r="P179" s="307">
        <v>139.37</v>
      </c>
      <c r="Q179" s="307" t="s">
        <v>156</v>
      </c>
      <c r="R179" s="298" t="s">
        <v>156</v>
      </c>
      <c r="S179" s="563" t="s">
        <v>392</v>
      </c>
      <c r="T179" s="564" t="s">
        <v>834</v>
      </c>
      <c r="U179" s="316">
        <v>559955.05</v>
      </c>
      <c r="V179" s="307">
        <f t="shared" si="17"/>
        <v>50395.95</v>
      </c>
      <c r="W179" s="307">
        <f t="shared" si="14"/>
        <v>610351</v>
      </c>
      <c r="X179" s="307">
        <f t="shared" si="16"/>
        <v>559955.05</v>
      </c>
      <c r="Y179" s="307">
        <f t="shared" si="15"/>
        <v>4017.76</v>
      </c>
      <c r="Z179" s="298"/>
    </row>
    <row r="180" s="282" customFormat="1" spans="1:26">
      <c r="A180" s="295" t="s">
        <v>835</v>
      </c>
      <c r="B180" s="296" t="s">
        <v>102</v>
      </c>
      <c r="C180" s="296" t="s">
        <v>42</v>
      </c>
      <c r="D180" s="295" t="s">
        <v>48</v>
      </c>
      <c r="E180" s="296" t="s">
        <v>415</v>
      </c>
      <c r="F180" s="296" t="s">
        <v>156</v>
      </c>
      <c r="G180" s="295" t="s">
        <v>214</v>
      </c>
      <c r="H180" s="295" t="s">
        <v>389</v>
      </c>
      <c r="I180" s="295" t="s">
        <v>294</v>
      </c>
      <c r="J180" s="304">
        <v>20200003367</v>
      </c>
      <c r="K180" s="309" t="s">
        <v>836</v>
      </c>
      <c r="L180" s="306">
        <v>608512</v>
      </c>
      <c r="M180" s="295" t="s">
        <v>837</v>
      </c>
      <c r="N180" s="306">
        <v>138.95</v>
      </c>
      <c r="O180" s="306" t="s">
        <v>156</v>
      </c>
      <c r="P180" s="307">
        <v>138.95</v>
      </c>
      <c r="Q180" s="307" t="s">
        <v>156</v>
      </c>
      <c r="R180" s="298" t="s">
        <v>156</v>
      </c>
      <c r="S180" s="563" t="s">
        <v>392</v>
      </c>
      <c r="T180" s="330" t="s">
        <v>838</v>
      </c>
      <c r="U180" s="316">
        <v>558267.89</v>
      </c>
      <c r="V180" s="307">
        <f t="shared" si="17"/>
        <v>50244.11</v>
      </c>
      <c r="W180" s="307">
        <f t="shared" si="14"/>
        <v>608512</v>
      </c>
      <c r="X180" s="307">
        <f t="shared" si="16"/>
        <v>558267.89</v>
      </c>
      <c r="Y180" s="307">
        <f t="shared" si="15"/>
        <v>4017.76</v>
      </c>
      <c r="Z180" s="298"/>
    </row>
    <row r="181" s="282" customFormat="1" ht="23.8" spans="1:26">
      <c r="A181" s="295" t="s">
        <v>839</v>
      </c>
      <c r="B181" s="296" t="s">
        <v>102</v>
      </c>
      <c r="C181" s="296" t="s">
        <v>42</v>
      </c>
      <c r="D181" s="295" t="s">
        <v>92</v>
      </c>
      <c r="E181" s="296" t="s">
        <v>420</v>
      </c>
      <c r="F181" s="296" t="s">
        <v>156</v>
      </c>
      <c r="G181" s="295" t="s">
        <v>214</v>
      </c>
      <c r="H181" s="295" t="s">
        <v>389</v>
      </c>
      <c r="I181" s="295" t="s">
        <v>294</v>
      </c>
      <c r="J181" s="304">
        <v>20200010849</v>
      </c>
      <c r="K181" s="309" t="s">
        <v>840</v>
      </c>
      <c r="L181" s="306">
        <v>617833</v>
      </c>
      <c r="M181" s="295" t="s">
        <v>841</v>
      </c>
      <c r="N181" s="306">
        <v>139.37</v>
      </c>
      <c r="O181" s="306" t="s">
        <v>156</v>
      </c>
      <c r="P181" s="307">
        <v>139.37</v>
      </c>
      <c r="Q181" s="307" t="s">
        <v>156</v>
      </c>
      <c r="R181" s="298" t="s">
        <v>156</v>
      </c>
      <c r="S181" s="563" t="s">
        <v>392</v>
      </c>
      <c r="T181" s="564" t="s">
        <v>842</v>
      </c>
      <c r="U181" s="316">
        <v>566819.27</v>
      </c>
      <c r="V181" s="307">
        <f t="shared" si="17"/>
        <v>51013.73</v>
      </c>
      <c r="W181" s="307">
        <f t="shared" si="14"/>
        <v>617833</v>
      </c>
      <c r="X181" s="307">
        <f t="shared" si="16"/>
        <v>566819.27</v>
      </c>
      <c r="Y181" s="307">
        <f t="shared" si="15"/>
        <v>4067.01</v>
      </c>
      <c r="Z181" s="298"/>
    </row>
    <row r="182" s="282" customFormat="1" ht="15.05" spans="1:26">
      <c r="A182" s="295" t="s">
        <v>843</v>
      </c>
      <c r="B182" s="296" t="s">
        <v>102</v>
      </c>
      <c r="C182" s="296" t="s">
        <v>42</v>
      </c>
      <c r="D182" s="295" t="s">
        <v>92</v>
      </c>
      <c r="E182" s="296" t="s">
        <v>425</v>
      </c>
      <c r="F182" s="296" t="s">
        <v>156</v>
      </c>
      <c r="G182" s="295" t="s">
        <v>214</v>
      </c>
      <c r="H182" s="295" t="s">
        <v>389</v>
      </c>
      <c r="I182" s="295" t="s">
        <v>294</v>
      </c>
      <c r="J182" s="304">
        <v>20210004885</v>
      </c>
      <c r="K182" s="309" t="s">
        <v>844</v>
      </c>
      <c r="L182" s="306">
        <v>615276</v>
      </c>
      <c r="M182" s="295" t="s">
        <v>845</v>
      </c>
      <c r="N182" s="306">
        <v>138.95</v>
      </c>
      <c r="O182" s="306" t="s">
        <v>156</v>
      </c>
      <c r="P182" s="307">
        <v>138.95</v>
      </c>
      <c r="Q182" s="307" t="s">
        <v>156</v>
      </c>
      <c r="R182" s="298" t="s">
        <v>156</v>
      </c>
      <c r="S182" s="563" t="s">
        <v>392</v>
      </c>
      <c r="T182" s="331" t="s">
        <v>846</v>
      </c>
      <c r="U182" s="316">
        <v>564473.39</v>
      </c>
      <c r="V182" s="307">
        <f t="shared" si="17"/>
        <v>50802.61</v>
      </c>
      <c r="W182" s="307">
        <f t="shared" si="14"/>
        <v>615276</v>
      </c>
      <c r="X182" s="307">
        <f t="shared" si="16"/>
        <v>564473.39</v>
      </c>
      <c r="Y182" s="307">
        <f t="shared" si="15"/>
        <v>4062.42</v>
      </c>
      <c r="Z182" s="298"/>
    </row>
    <row r="183" s="282" customFormat="1" ht="15.05" spans="1:26">
      <c r="A183" s="295" t="s">
        <v>847</v>
      </c>
      <c r="B183" s="296" t="s">
        <v>102</v>
      </c>
      <c r="C183" s="296" t="s">
        <v>42</v>
      </c>
      <c r="D183" s="295" t="s">
        <v>95</v>
      </c>
      <c r="E183" s="296" t="s">
        <v>430</v>
      </c>
      <c r="F183" s="296" t="s">
        <v>156</v>
      </c>
      <c r="G183" s="295" t="s">
        <v>214</v>
      </c>
      <c r="H183" s="295" t="s">
        <v>389</v>
      </c>
      <c r="I183" s="295" t="s">
        <v>294</v>
      </c>
      <c r="J183" s="304">
        <v>20200009663</v>
      </c>
      <c r="K183" s="309" t="s">
        <v>605</v>
      </c>
      <c r="L183" s="306">
        <v>634133</v>
      </c>
      <c r="M183" s="295" t="s">
        <v>848</v>
      </c>
      <c r="N183" s="306">
        <v>139.37</v>
      </c>
      <c r="O183" s="306" t="s">
        <v>156</v>
      </c>
      <c r="P183" s="307">
        <v>139.37</v>
      </c>
      <c r="Q183" s="307" t="s">
        <v>156</v>
      </c>
      <c r="R183" s="298" t="s">
        <v>156</v>
      </c>
      <c r="S183" s="563" t="s">
        <v>392</v>
      </c>
      <c r="T183" s="318" t="s">
        <v>849</v>
      </c>
      <c r="U183" s="316">
        <v>581773.39</v>
      </c>
      <c r="V183" s="307">
        <f t="shared" si="17"/>
        <v>52359.61</v>
      </c>
      <c r="W183" s="307">
        <f t="shared" si="14"/>
        <v>634133</v>
      </c>
      <c r="X183" s="307">
        <f t="shared" si="16"/>
        <v>581773.39</v>
      </c>
      <c r="Y183" s="307">
        <f t="shared" si="15"/>
        <v>4174.31</v>
      </c>
      <c r="Z183" s="298"/>
    </row>
    <row r="184" s="282" customFormat="1" spans="1:26">
      <c r="A184" s="295" t="s">
        <v>850</v>
      </c>
      <c r="B184" s="296" t="s">
        <v>102</v>
      </c>
      <c r="C184" s="296" t="s">
        <v>42</v>
      </c>
      <c r="D184" s="295" t="s">
        <v>95</v>
      </c>
      <c r="E184" s="296" t="s">
        <v>435</v>
      </c>
      <c r="F184" s="296" t="s">
        <v>156</v>
      </c>
      <c r="G184" s="295" t="s">
        <v>214</v>
      </c>
      <c r="H184" s="295" t="s">
        <v>389</v>
      </c>
      <c r="I184" s="295" t="s">
        <v>294</v>
      </c>
      <c r="J184" s="304">
        <v>20200008427</v>
      </c>
      <c r="K184" s="309" t="s">
        <v>713</v>
      </c>
      <c r="L184" s="306">
        <v>619717</v>
      </c>
      <c r="M184" s="295" t="s">
        <v>851</v>
      </c>
      <c r="N184" s="306">
        <v>138.95</v>
      </c>
      <c r="O184" s="306" t="s">
        <v>156</v>
      </c>
      <c r="P184" s="307">
        <v>138.95</v>
      </c>
      <c r="Q184" s="307" t="s">
        <v>156</v>
      </c>
      <c r="R184" s="298" t="s">
        <v>156</v>
      </c>
      <c r="S184" s="563" t="s">
        <v>392</v>
      </c>
      <c r="T184" s="319" t="s">
        <v>852</v>
      </c>
      <c r="U184" s="316">
        <v>568547.71</v>
      </c>
      <c r="V184" s="307">
        <f t="shared" si="17"/>
        <v>51169.29</v>
      </c>
      <c r="W184" s="307">
        <f t="shared" si="14"/>
        <v>619717</v>
      </c>
      <c r="X184" s="307">
        <f t="shared" si="16"/>
        <v>568547.71</v>
      </c>
      <c r="Y184" s="307">
        <f t="shared" si="15"/>
        <v>4091.74</v>
      </c>
      <c r="Z184" s="298"/>
    </row>
    <row r="185" s="282" customFormat="1" ht="15.05" spans="1:26">
      <c r="A185" s="295" t="s">
        <v>853</v>
      </c>
      <c r="B185" s="297" t="s">
        <v>102</v>
      </c>
      <c r="C185" s="297" t="s">
        <v>42</v>
      </c>
      <c r="D185" s="298" t="s">
        <v>99</v>
      </c>
      <c r="E185" s="297" t="s">
        <v>440</v>
      </c>
      <c r="F185" s="297" t="s">
        <v>156</v>
      </c>
      <c r="G185" s="295" t="s">
        <v>214</v>
      </c>
      <c r="H185" s="298" t="s">
        <v>389</v>
      </c>
      <c r="I185" s="295" t="s">
        <v>294</v>
      </c>
      <c r="J185" s="308">
        <v>20210000195</v>
      </c>
      <c r="K185" s="305" t="s">
        <v>854</v>
      </c>
      <c r="L185" s="307">
        <v>630984</v>
      </c>
      <c r="M185" s="298" t="s">
        <v>855</v>
      </c>
      <c r="N185" s="307">
        <v>139.37</v>
      </c>
      <c r="O185" s="307" t="s">
        <v>156</v>
      </c>
      <c r="P185" s="307">
        <v>139.37</v>
      </c>
      <c r="Q185" s="307" t="s">
        <v>156</v>
      </c>
      <c r="R185" s="298" t="s">
        <v>156</v>
      </c>
      <c r="S185" s="563" t="s">
        <v>392</v>
      </c>
      <c r="T185" s="318" t="s">
        <v>856</v>
      </c>
      <c r="U185" s="316">
        <v>578884.4</v>
      </c>
      <c r="V185" s="307">
        <f t="shared" si="17"/>
        <v>52099.6</v>
      </c>
      <c r="W185" s="307">
        <f t="shared" si="14"/>
        <v>630984</v>
      </c>
      <c r="X185" s="307">
        <f t="shared" si="16"/>
        <v>578884.4</v>
      </c>
      <c r="Y185" s="307">
        <f t="shared" si="15"/>
        <v>4153.58</v>
      </c>
      <c r="Z185" s="298"/>
    </row>
    <row r="186" s="282" customFormat="1" ht="15.05" spans="1:26">
      <c r="A186" s="295" t="s">
        <v>857</v>
      </c>
      <c r="B186" s="296" t="s">
        <v>102</v>
      </c>
      <c r="C186" s="296" t="s">
        <v>42</v>
      </c>
      <c r="D186" s="295" t="s">
        <v>99</v>
      </c>
      <c r="E186" s="296" t="s">
        <v>444</v>
      </c>
      <c r="F186" s="296" t="s">
        <v>156</v>
      </c>
      <c r="G186" s="295" t="s">
        <v>214</v>
      </c>
      <c r="H186" s="295" t="s">
        <v>389</v>
      </c>
      <c r="I186" s="295" t="s">
        <v>294</v>
      </c>
      <c r="J186" s="304">
        <v>20210000283</v>
      </c>
      <c r="K186" s="309" t="s">
        <v>858</v>
      </c>
      <c r="L186" s="306">
        <v>628387</v>
      </c>
      <c r="M186" s="295" t="s">
        <v>859</v>
      </c>
      <c r="N186" s="306">
        <v>138.95</v>
      </c>
      <c r="O186" s="306" t="s">
        <v>156</v>
      </c>
      <c r="P186" s="307">
        <v>138.95</v>
      </c>
      <c r="Q186" s="307" t="s">
        <v>156</v>
      </c>
      <c r="R186" s="298" t="s">
        <v>156</v>
      </c>
      <c r="S186" s="563" t="s">
        <v>392</v>
      </c>
      <c r="T186" s="318" t="s">
        <v>860</v>
      </c>
      <c r="U186" s="316">
        <v>576501.83</v>
      </c>
      <c r="V186" s="307">
        <f t="shared" si="17"/>
        <v>51885.16</v>
      </c>
      <c r="W186" s="307">
        <f t="shared" si="14"/>
        <v>628386.99</v>
      </c>
      <c r="X186" s="307">
        <f t="shared" si="16"/>
        <v>576501.83</v>
      </c>
      <c r="Y186" s="307">
        <f t="shared" si="15"/>
        <v>4148.99</v>
      </c>
      <c r="Z186" s="298"/>
    </row>
    <row r="187" s="282" customFormat="1" ht="23.8" spans="1:26">
      <c r="A187" s="295" t="s">
        <v>861</v>
      </c>
      <c r="B187" s="296" t="s">
        <v>102</v>
      </c>
      <c r="C187" s="296" t="s">
        <v>42</v>
      </c>
      <c r="D187" s="295" t="s">
        <v>102</v>
      </c>
      <c r="E187" s="296" t="s">
        <v>448</v>
      </c>
      <c r="F187" s="296" t="s">
        <v>156</v>
      </c>
      <c r="G187" s="295" t="s">
        <v>215</v>
      </c>
      <c r="H187" s="295" t="s">
        <v>389</v>
      </c>
      <c r="I187" s="295" t="s">
        <v>294</v>
      </c>
      <c r="J187" s="304">
        <v>20210003329</v>
      </c>
      <c r="K187" s="309" t="s">
        <v>862</v>
      </c>
      <c r="L187" s="306">
        <v>958228</v>
      </c>
      <c r="M187" s="295" t="s">
        <v>863</v>
      </c>
      <c r="N187" s="306">
        <v>209.22</v>
      </c>
      <c r="O187" s="306" t="s">
        <v>156</v>
      </c>
      <c r="P187" s="307">
        <v>209.22</v>
      </c>
      <c r="Q187" s="307" t="s">
        <v>156</v>
      </c>
      <c r="R187" s="298" t="s">
        <v>156</v>
      </c>
      <c r="S187" s="563" t="s">
        <v>392</v>
      </c>
      <c r="T187" s="318" t="s">
        <v>864</v>
      </c>
      <c r="U187" s="316">
        <v>879108.26</v>
      </c>
      <c r="V187" s="307">
        <f t="shared" si="17"/>
        <v>79119.74</v>
      </c>
      <c r="W187" s="307">
        <f t="shared" si="14"/>
        <v>958228</v>
      </c>
      <c r="X187" s="307">
        <f t="shared" si="16"/>
        <v>879108.26</v>
      </c>
      <c r="Y187" s="307">
        <f t="shared" si="15"/>
        <v>4201.84</v>
      </c>
      <c r="Z187" s="298"/>
    </row>
    <row r="188" s="282" customFormat="1" ht="15.05" spans="1:26">
      <c r="A188" s="295" t="s">
        <v>865</v>
      </c>
      <c r="B188" s="296" t="s">
        <v>102</v>
      </c>
      <c r="C188" s="296" t="s">
        <v>42</v>
      </c>
      <c r="D188" s="295" t="s">
        <v>102</v>
      </c>
      <c r="E188" s="296" t="s">
        <v>452</v>
      </c>
      <c r="F188" s="296" t="s">
        <v>156</v>
      </c>
      <c r="G188" s="295" t="s">
        <v>215</v>
      </c>
      <c r="H188" s="295" t="s">
        <v>389</v>
      </c>
      <c r="I188" s="295" t="s">
        <v>294</v>
      </c>
      <c r="J188" s="304">
        <v>20200011922</v>
      </c>
      <c r="K188" s="309" t="s">
        <v>653</v>
      </c>
      <c r="L188" s="306">
        <v>930000</v>
      </c>
      <c r="M188" s="295" t="s">
        <v>866</v>
      </c>
      <c r="N188" s="306">
        <v>208.8</v>
      </c>
      <c r="O188" s="306" t="s">
        <v>156</v>
      </c>
      <c r="P188" s="307">
        <v>208.8</v>
      </c>
      <c r="Q188" s="307" t="s">
        <v>156</v>
      </c>
      <c r="R188" s="298" t="s">
        <v>156</v>
      </c>
      <c r="S188" s="563" t="s">
        <v>392</v>
      </c>
      <c r="T188" s="318" t="s">
        <v>867</v>
      </c>
      <c r="U188" s="316">
        <v>853211.01</v>
      </c>
      <c r="V188" s="307">
        <f t="shared" si="17"/>
        <v>76788.99</v>
      </c>
      <c r="W188" s="307">
        <f t="shared" si="14"/>
        <v>930000</v>
      </c>
      <c r="X188" s="307">
        <f t="shared" si="16"/>
        <v>853211.01</v>
      </c>
      <c r="Y188" s="307">
        <f t="shared" si="15"/>
        <v>4086.26</v>
      </c>
      <c r="Z188" s="298"/>
    </row>
    <row r="189" s="282" customFormat="1" ht="15.05" spans="1:26">
      <c r="A189" s="295" t="s">
        <v>868</v>
      </c>
      <c r="B189" s="296" t="s">
        <v>102</v>
      </c>
      <c r="C189" s="296" t="s">
        <v>45</v>
      </c>
      <c r="D189" s="295" t="s">
        <v>42</v>
      </c>
      <c r="E189" s="296" t="s">
        <v>388</v>
      </c>
      <c r="F189" s="296" t="s">
        <v>156</v>
      </c>
      <c r="G189" s="295" t="s">
        <v>214</v>
      </c>
      <c r="H189" s="295" t="s">
        <v>389</v>
      </c>
      <c r="I189" s="295" t="s">
        <v>294</v>
      </c>
      <c r="J189" s="304">
        <v>20210005494</v>
      </c>
      <c r="K189" s="309" t="s">
        <v>869</v>
      </c>
      <c r="L189" s="306">
        <v>1042125</v>
      </c>
      <c r="M189" s="295" t="s">
        <v>870</v>
      </c>
      <c r="N189" s="306">
        <v>138.95</v>
      </c>
      <c r="O189" s="306" t="s">
        <v>156</v>
      </c>
      <c r="P189" s="307">
        <v>138.95</v>
      </c>
      <c r="Q189" s="307" t="s">
        <v>156</v>
      </c>
      <c r="R189" s="298" t="s">
        <v>156</v>
      </c>
      <c r="S189" s="563" t="s">
        <v>392</v>
      </c>
      <c r="T189" s="318" t="s">
        <v>871</v>
      </c>
      <c r="U189" s="316">
        <v>956077.98</v>
      </c>
      <c r="V189" s="307">
        <f t="shared" si="17"/>
        <v>86047.02</v>
      </c>
      <c r="W189" s="307">
        <f t="shared" si="14"/>
        <v>1042125</v>
      </c>
      <c r="X189" s="307">
        <f t="shared" si="16"/>
        <v>956077.98</v>
      </c>
      <c r="Y189" s="307">
        <f t="shared" si="15"/>
        <v>6880.73</v>
      </c>
      <c r="Z189" s="298"/>
    </row>
    <row r="190" s="282" customFormat="1" ht="15.05" spans="1:26">
      <c r="A190" s="295" t="s">
        <v>872</v>
      </c>
      <c r="B190" s="296" t="s">
        <v>102</v>
      </c>
      <c r="C190" s="296" t="s">
        <v>45</v>
      </c>
      <c r="D190" s="295" t="s">
        <v>42</v>
      </c>
      <c r="E190" s="296" t="s">
        <v>395</v>
      </c>
      <c r="F190" s="296" t="s">
        <v>156</v>
      </c>
      <c r="G190" s="295" t="s">
        <v>214</v>
      </c>
      <c r="H190" s="295" t="s">
        <v>389</v>
      </c>
      <c r="I190" s="295" t="s">
        <v>294</v>
      </c>
      <c r="J190" s="304">
        <v>2020004106</v>
      </c>
      <c r="K190" s="309" t="s">
        <v>873</v>
      </c>
      <c r="L190" s="306">
        <v>1003464</v>
      </c>
      <c r="M190" s="295" t="s">
        <v>874</v>
      </c>
      <c r="N190" s="306">
        <v>139.37</v>
      </c>
      <c r="O190" s="306" t="s">
        <v>156</v>
      </c>
      <c r="P190" s="307">
        <v>139.37</v>
      </c>
      <c r="Q190" s="307" t="s">
        <v>156</v>
      </c>
      <c r="R190" s="298" t="s">
        <v>156</v>
      </c>
      <c r="S190" s="563" t="s">
        <v>392</v>
      </c>
      <c r="T190" s="318" t="s">
        <v>875</v>
      </c>
      <c r="U190" s="316">
        <v>920609.17</v>
      </c>
      <c r="V190" s="307">
        <f t="shared" si="17"/>
        <v>82854.83</v>
      </c>
      <c r="W190" s="307">
        <f t="shared" si="14"/>
        <v>1003464</v>
      </c>
      <c r="X190" s="307">
        <f t="shared" si="16"/>
        <v>920609.17</v>
      </c>
      <c r="Y190" s="307">
        <f t="shared" si="15"/>
        <v>6605.5</v>
      </c>
      <c r="Z190" s="298"/>
    </row>
    <row r="191" s="282" customFormat="1" ht="15.05" spans="1:26">
      <c r="A191" s="295" t="s">
        <v>876</v>
      </c>
      <c r="B191" s="296" t="s">
        <v>102</v>
      </c>
      <c r="C191" s="296" t="s">
        <v>45</v>
      </c>
      <c r="D191" s="295" t="s">
        <v>45</v>
      </c>
      <c r="E191" s="296" t="s">
        <v>400</v>
      </c>
      <c r="F191" s="296" t="s">
        <v>156</v>
      </c>
      <c r="G191" s="295" t="s">
        <v>214</v>
      </c>
      <c r="H191" s="295" t="s">
        <v>389</v>
      </c>
      <c r="I191" s="295" t="s">
        <v>294</v>
      </c>
      <c r="J191" s="304">
        <v>20200012465</v>
      </c>
      <c r="K191" s="309" t="s">
        <v>877</v>
      </c>
      <c r="L191" s="306">
        <v>601470</v>
      </c>
      <c r="M191" s="295" t="s">
        <v>878</v>
      </c>
      <c r="N191" s="306">
        <v>138.95</v>
      </c>
      <c r="O191" s="306" t="s">
        <v>156</v>
      </c>
      <c r="P191" s="307">
        <v>138.95</v>
      </c>
      <c r="Q191" s="307" t="s">
        <v>156</v>
      </c>
      <c r="R191" s="298" t="s">
        <v>156</v>
      </c>
      <c r="S191" s="563" t="s">
        <v>392</v>
      </c>
      <c r="T191" s="318" t="s">
        <v>879</v>
      </c>
      <c r="U191" s="316">
        <v>551807.34</v>
      </c>
      <c r="V191" s="307">
        <f t="shared" si="17"/>
        <v>49662.66</v>
      </c>
      <c r="W191" s="307">
        <f t="shared" si="14"/>
        <v>601470</v>
      </c>
      <c r="X191" s="307">
        <f t="shared" si="16"/>
        <v>551807.34</v>
      </c>
      <c r="Y191" s="307">
        <f t="shared" si="15"/>
        <v>3971.27</v>
      </c>
      <c r="Z191" s="298"/>
    </row>
    <row r="192" s="282" customFormat="1" ht="15.05" spans="1:26">
      <c r="A192" s="295" t="s">
        <v>880</v>
      </c>
      <c r="B192" s="296" t="s">
        <v>102</v>
      </c>
      <c r="C192" s="296" t="s">
        <v>45</v>
      </c>
      <c r="D192" s="295" t="s">
        <v>45</v>
      </c>
      <c r="E192" s="296" t="s">
        <v>405</v>
      </c>
      <c r="F192" s="296" t="s">
        <v>156</v>
      </c>
      <c r="G192" s="295" t="s">
        <v>214</v>
      </c>
      <c r="H192" s="295" t="s">
        <v>389</v>
      </c>
      <c r="I192" s="295" t="s">
        <v>294</v>
      </c>
      <c r="J192" s="304">
        <v>20200007966</v>
      </c>
      <c r="K192" s="309" t="s">
        <v>629</v>
      </c>
      <c r="L192" s="306">
        <v>603288</v>
      </c>
      <c r="M192" s="295" t="s">
        <v>881</v>
      </c>
      <c r="N192" s="306">
        <v>139.37</v>
      </c>
      <c r="O192" s="306" t="s">
        <v>156</v>
      </c>
      <c r="P192" s="307">
        <v>139.37</v>
      </c>
      <c r="Q192" s="307" t="s">
        <v>156</v>
      </c>
      <c r="R192" s="298" t="s">
        <v>156</v>
      </c>
      <c r="S192" s="563" t="s">
        <v>392</v>
      </c>
      <c r="T192" s="318" t="s">
        <v>882</v>
      </c>
      <c r="U192" s="316">
        <v>553475.23</v>
      </c>
      <c r="V192" s="307">
        <f t="shared" si="17"/>
        <v>49812.77</v>
      </c>
      <c r="W192" s="307">
        <f t="shared" si="14"/>
        <v>603288</v>
      </c>
      <c r="X192" s="307">
        <f t="shared" si="16"/>
        <v>553475.23</v>
      </c>
      <c r="Y192" s="307">
        <f t="shared" si="15"/>
        <v>3971.27</v>
      </c>
      <c r="Z192" s="298"/>
    </row>
    <row r="193" s="282" customFormat="1" ht="15.05" spans="1:26">
      <c r="A193" s="295" t="s">
        <v>883</v>
      </c>
      <c r="B193" s="296" t="s">
        <v>102</v>
      </c>
      <c r="C193" s="296" t="s">
        <v>45</v>
      </c>
      <c r="D193" s="295" t="s">
        <v>48</v>
      </c>
      <c r="E193" s="296" t="s">
        <v>410</v>
      </c>
      <c r="F193" s="296" t="s">
        <v>156</v>
      </c>
      <c r="G193" s="295" t="s">
        <v>214</v>
      </c>
      <c r="H193" s="295" t="s">
        <v>389</v>
      </c>
      <c r="I193" s="295" t="s">
        <v>294</v>
      </c>
      <c r="J193" s="304">
        <v>20200008389</v>
      </c>
      <c r="K193" s="309" t="s">
        <v>884</v>
      </c>
      <c r="L193" s="306">
        <v>608512</v>
      </c>
      <c r="M193" s="295" t="s">
        <v>885</v>
      </c>
      <c r="N193" s="306">
        <v>138.95</v>
      </c>
      <c r="O193" s="306" t="s">
        <v>156</v>
      </c>
      <c r="P193" s="307">
        <v>138.95</v>
      </c>
      <c r="Q193" s="307" t="s">
        <v>156</v>
      </c>
      <c r="R193" s="298" t="s">
        <v>156</v>
      </c>
      <c r="S193" s="563" t="s">
        <v>392</v>
      </c>
      <c r="T193" s="318" t="s">
        <v>886</v>
      </c>
      <c r="U193" s="316">
        <v>558267.89</v>
      </c>
      <c r="V193" s="307">
        <f t="shared" si="17"/>
        <v>50244.11</v>
      </c>
      <c r="W193" s="307">
        <f t="shared" si="14"/>
        <v>608512</v>
      </c>
      <c r="X193" s="307">
        <f t="shared" si="16"/>
        <v>558267.89</v>
      </c>
      <c r="Y193" s="307">
        <f t="shared" si="15"/>
        <v>4017.76</v>
      </c>
      <c r="Z193" s="298"/>
    </row>
    <row r="194" s="282" customFormat="1" spans="1:26">
      <c r="A194" s="295" t="s">
        <v>887</v>
      </c>
      <c r="B194" s="296" t="s">
        <v>102</v>
      </c>
      <c r="C194" s="296" t="s">
        <v>45</v>
      </c>
      <c r="D194" s="295" t="s">
        <v>48</v>
      </c>
      <c r="E194" s="296" t="s">
        <v>415</v>
      </c>
      <c r="F194" s="296" t="s">
        <v>156</v>
      </c>
      <c r="G194" s="295" t="s">
        <v>214</v>
      </c>
      <c r="H194" s="295" t="s">
        <v>389</v>
      </c>
      <c r="I194" s="295" t="s">
        <v>294</v>
      </c>
      <c r="J194" s="304">
        <v>20200009993</v>
      </c>
      <c r="K194" s="309" t="s">
        <v>888</v>
      </c>
      <c r="L194" s="306">
        <v>610351</v>
      </c>
      <c r="M194" s="295" t="s">
        <v>889</v>
      </c>
      <c r="N194" s="306">
        <v>139.37</v>
      </c>
      <c r="O194" s="306" t="s">
        <v>156</v>
      </c>
      <c r="P194" s="307">
        <v>139.37</v>
      </c>
      <c r="Q194" s="307" t="s">
        <v>156</v>
      </c>
      <c r="R194" s="298" t="s">
        <v>156</v>
      </c>
      <c r="S194" s="563" t="s">
        <v>392</v>
      </c>
      <c r="T194" s="564" t="s">
        <v>890</v>
      </c>
      <c r="U194" s="316">
        <v>559955.05</v>
      </c>
      <c r="V194" s="307">
        <f t="shared" si="17"/>
        <v>50395.95</v>
      </c>
      <c r="W194" s="307">
        <f t="shared" si="14"/>
        <v>610351</v>
      </c>
      <c r="X194" s="307">
        <f t="shared" si="16"/>
        <v>559955.05</v>
      </c>
      <c r="Y194" s="307">
        <f t="shared" si="15"/>
        <v>4017.76</v>
      </c>
      <c r="Z194" s="298"/>
    </row>
    <row r="195" s="282" customFormat="1" ht="23.8" spans="1:26">
      <c r="A195" s="295" t="s">
        <v>891</v>
      </c>
      <c r="B195" s="296" t="s">
        <v>102</v>
      </c>
      <c r="C195" s="296" t="s">
        <v>45</v>
      </c>
      <c r="D195" s="295" t="s">
        <v>92</v>
      </c>
      <c r="E195" s="296" t="s">
        <v>420</v>
      </c>
      <c r="F195" s="296" t="s">
        <v>156</v>
      </c>
      <c r="G195" s="295" t="s">
        <v>214</v>
      </c>
      <c r="H195" s="295" t="s">
        <v>389</v>
      </c>
      <c r="I195" s="295" t="s">
        <v>294</v>
      </c>
      <c r="J195" s="304">
        <v>20200008483</v>
      </c>
      <c r="K195" s="309" t="s">
        <v>580</v>
      </c>
      <c r="L195" s="306">
        <v>615276</v>
      </c>
      <c r="M195" s="295" t="s">
        <v>892</v>
      </c>
      <c r="N195" s="306">
        <v>138.95</v>
      </c>
      <c r="O195" s="306" t="s">
        <v>156</v>
      </c>
      <c r="P195" s="307">
        <v>138.95</v>
      </c>
      <c r="Q195" s="307" t="s">
        <v>156</v>
      </c>
      <c r="R195" s="298" t="s">
        <v>156</v>
      </c>
      <c r="S195" s="563" t="s">
        <v>392</v>
      </c>
      <c r="T195" s="318" t="s">
        <v>893</v>
      </c>
      <c r="U195" s="316">
        <v>564473.39</v>
      </c>
      <c r="V195" s="307">
        <f t="shared" si="17"/>
        <v>50802.61</v>
      </c>
      <c r="W195" s="307">
        <f t="shared" si="14"/>
        <v>615276</v>
      </c>
      <c r="X195" s="307">
        <f t="shared" si="16"/>
        <v>564473.39</v>
      </c>
      <c r="Y195" s="307">
        <f t="shared" si="15"/>
        <v>4062.42</v>
      </c>
      <c r="Z195" s="298"/>
    </row>
    <row r="196" s="282" customFormat="1" ht="15.05" spans="1:26">
      <c r="A196" s="295" t="s">
        <v>894</v>
      </c>
      <c r="B196" s="296" t="s">
        <v>102</v>
      </c>
      <c r="C196" s="296" t="s">
        <v>45</v>
      </c>
      <c r="D196" s="295" t="s">
        <v>92</v>
      </c>
      <c r="E196" s="296" t="s">
        <v>425</v>
      </c>
      <c r="F196" s="296" t="s">
        <v>156</v>
      </c>
      <c r="G196" s="295" t="s">
        <v>214</v>
      </c>
      <c r="H196" s="295" t="s">
        <v>389</v>
      </c>
      <c r="I196" s="295" t="s">
        <v>294</v>
      </c>
      <c r="J196" s="304">
        <v>20200009334</v>
      </c>
      <c r="K196" s="309" t="s">
        <v>895</v>
      </c>
      <c r="L196" s="306">
        <v>617972</v>
      </c>
      <c r="M196" s="295" t="s">
        <v>896</v>
      </c>
      <c r="N196" s="306">
        <v>139.37</v>
      </c>
      <c r="O196" s="306" t="s">
        <v>156</v>
      </c>
      <c r="P196" s="307">
        <v>139.37</v>
      </c>
      <c r="Q196" s="307" t="s">
        <v>156</v>
      </c>
      <c r="R196" s="298" t="s">
        <v>156</v>
      </c>
      <c r="S196" s="563" t="s">
        <v>392</v>
      </c>
      <c r="T196" s="318" t="s">
        <v>897</v>
      </c>
      <c r="U196" s="316">
        <v>566946.79</v>
      </c>
      <c r="V196" s="307">
        <f t="shared" si="17"/>
        <v>51025.21</v>
      </c>
      <c r="W196" s="307">
        <f t="shared" si="14"/>
        <v>617972</v>
      </c>
      <c r="X196" s="307">
        <f t="shared" si="16"/>
        <v>566946.79</v>
      </c>
      <c r="Y196" s="307">
        <f t="shared" si="15"/>
        <v>4067.93</v>
      </c>
      <c r="Z196" s="298"/>
    </row>
    <row r="197" s="282" customFormat="1" ht="15.05" spans="1:26">
      <c r="A197" s="295" t="s">
        <v>898</v>
      </c>
      <c r="B197" s="296" t="s">
        <v>102</v>
      </c>
      <c r="C197" s="296" t="s">
        <v>45</v>
      </c>
      <c r="D197" s="295" t="s">
        <v>95</v>
      </c>
      <c r="E197" s="296" t="s">
        <v>430</v>
      </c>
      <c r="F197" s="296" t="s">
        <v>156</v>
      </c>
      <c r="G197" s="295" t="s">
        <v>214</v>
      </c>
      <c r="H197" s="295" t="s">
        <v>389</v>
      </c>
      <c r="I197" s="295" t="s">
        <v>294</v>
      </c>
      <c r="J197" s="304">
        <v>20200008398</v>
      </c>
      <c r="K197" s="309" t="s">
        <v>884</v>
      </c>
      <c r="L197" s="306">
        <v>620000</v>
      </c>
      <c r="M197" s="295" t="s">
        <v>899</v>
      </c>
      <c r="N197" s="306">
        <v>138.95</v>
      </c>
      <c r="O197" s="306" t="s">
        <v>156</v>
      </c>
      <c r="P197" s="307">
        <v>138.95</v>
      </c>
      <c r="Q197" s="307" t="s">
        <v>156</v>
      </c>
      <c r="R197" s="298" t="s">
        <v>156</v>
      </c>
      <c r="S197" s="563" t="s">
        <v>392</v>
      </c>
      <c r="T197" s="318" t="s">
        <v>900</v>
      </c>
      <c r="U197" s="316">
        <v>568807.34</v>
      </c>
      <c r="V197" s="307">
        <f t="shared" si="17"/>
        <v>51192.66</v>
      </c>
      <c r="W197" s="307">
        <f t="shared" si="14"/>
        <v>620000</v>
      </c>
      <c r="X197" s="307">
        <f t="shared" si="16"/>
        <v>568807.34</v>
      </c>
      <c r="Y197" s="307">
        <f t="shared" si="15"/>
        <v>4093.61</v>
      </c>
      <c r="Z197" s="298"/>
    </row>
    <row r="198" s="282" customFormat="1" ht="15.05" spans="1:26">
      <c r="A198" s="295" t="s">
        <v>901</v>
      </c>
      <c r="B198" s="296" t="s">
        <v>102</v>
      </c>
      <c r="C198" s="296" t="s">
        <v>45</v>
      </c>
      <c r="D198" s="295" t="s">
        <v>95</v>
      </c>
      <c r="E198" s="296" t="s">
        <v>435</v>
      </c>
      <c r="F198" s="296" t="s">
        <v>156</v>
      </c>
      <c r="G198" s="295" t="s">
        <v>214</v>
      </c>
      <c r="H198" s="295" t="s">
        <v>389</v>
      </c>
      <c r="I198" s="295" t="s">
        <v>294</v>
      </c>
      <c r="J198" s="304">
        <v>20200008526</v>
      </c>
      <c r="K198" s="309" t="s">
        <v>902</v>
      </c>
      <c r="L198" s="306">
        <v>624757</v>
      </c>
      <c r="M198" s="295" t="s">
        <v>903</v>
      </c>
      <c r="N198" s="306">
        <v>139.37</v>
      </c>
      <c r="O198" s="306" t="s">
        <v>156</v>
      </c>
      <c r="P198" s="307">
        <v>139.37</v>
      </c>
      <c r="Q198" s="307" t="s">
        <v>156</v>
      </c>
      <c r="R198" s="298" t="s">
        <v>156</v>
      </c>
      <c r="S198" s="563" t="s">
        <v>392</v>
      </c>
      <c r="T198" s="318" t="s">
        <v>904</v>
      </c>
      <c r="U198" s="316">
        <v>573171.56</v>
      </c>
      <c r="V198" s="307">
        <f t="shared" si="17"/>
        <v>51585.44</v>
      </c>
      <c r="W198" s="307">
        <f t="shared" si="14"/>
        <v>624757</v>
      </c>
      <c r="X198" s="307">
        <f t="shared" si="16"/>
        <v>573171.56</v>
      </c>
      <c r="Y198" s="307">
        <f t="shared" si="15"/>
        <v>4112.59</v>
      </c>
      <c r="Z198" s="298"/>
    </row>
    <row r="199" s="282" customFormat="1" ht="23.8" spans="1:26">
      <c r="A199" s="295" t="s">
        <v>905</v>
      </c>
      <c r="B199" s="296" t="s">
        <v>102</v>
      </c>
      <c r="C199" s="296" t="s">
        <v>45</v>
      </c>
      <c r="D199" s="295" t="s">
        <v>99</v>
      </c>
      <c r="E199" s="296" t="s">
        <v>440</v>
      </c>
      <c r="F199" s="296" t="s">
        <v>156</v>
      </c>
      <c r="G199" s="295" t="s">
        <v>214</v>
      </c>
      <c r="H199" s="295" t="s">
        <v>389</v>
      </c>
      <c r="I199" s="295" t="s">
        <v>294</v>
      </c>
      <c r="J199" s="304">
        <v>20200009696</v>
      </c>
      <c r="K199" s="309" t="s">
        <v>906</v>
      </c>
      <c r="L199" s="306">
        <v>625275</v>
      </c>
      <c r="M199" s="295" t="s">
        <v>907</v>
      </c>
      <c r="N199" s="306">
        <v>138.95</v>
      </c>
      <c r="O199" s="306" t="s">
        <v>156</v>
      </c>
      <c r="P199" s="307">
        <v>138.95</v>
      </c>
      <c r="Q199" s="307" t="s">
        <v>156</v>
      </c>
      <c r="R199" s="298" t="s">
        <v>156</v>
      </c>
      <c r="S199" s="563" t="s">
        <v>392</v>
      </c>
      <c r="T199" s="319" t="s">
        <v>908</v>
      </c>
      <c r="U199" s="316">
        <v>573646.79</v>
      </c>
      <c r="V199" s="307">
        <f t="shared" si="17"/>
        <v>51628.21</v>
      </c>
      <c r="W199" s="307">
        <f t="shared" ref="W199:W262" si="18">SUM(U199)+SUM(V199)</f>
        <v>625275</v>
      </c>
      <c r="X199" s="307">
        <f t="shared" si="16"/>
        <v>573646.79</v>
      </c>
      <c r="Y199" s="307">
        <f t="shared" ref="Y199:Y262" si="19">IF(SUM(P199)=0,"",ROUND(SUM(X199)/SUM(P199),2))</f>
        <v>4128.44</v>
      </c>
      <c r="Z199" s="298"/>
    </row>
    <row r="200" s="282" customFormat="1" spans="1:26">
      <c r="A200" s="295" t="s">
        <v>909</v>
      </c>
      <c r="B200" s="296" t="s">
        <v>102</v>
      </c>
      <c r="C200" s="296" t="s">
        <v>45</v>
      </c>
      <c r="D200" s="295" t="s">
        <v>99</v>
      </c>
      <c r="E200" s="296" t="s">
        <v>444</v>
      </c>
      <c r="F200" s="296" t="s">
        <v>156</v>
      </c>
      <c r="G200" s="295" t="s">
        <v>214</v>
      </c>
      <c r="H200" s="295" t="s">
        <v>389</v>
      </c>
      <c r="I200" s="295" t="s">
        <v>294</v>
      </c>
      <c r="J200" s="304">
        <v>20200008945</v>
      </c>
      <c r="K200" s="309" t="s">
        <v>910</v>
      </c>
      <c r="L200" s="306">
        <v>629123</v>
      </c>
      <c r="M200" s="295" t="s">
        <v>911</v>
      </c>
      <c r="N200" s="306">
        <v>139.37</v>
      </c>
      <c r="O200" s="306" t="s">
        <v>156</v>
      </c>
      <c r="P200" s="307">
        <v>139.37</v>
      </c>
      <c r="Q200" s="307" t="s">
        <v>156</v>
      </c>
      <c r="R200" s="298" t="s">
        <v>156</v>
      </c>
      <c r="S200" s="563" t="s">
        <v>392</v>
      </c>
      <c r="T200" s="564" t="s">
        <v>912</v>
      </c>
      <c r="U200" s="316">
        <v>577177.06</v>
      </c>
      <c r="V200" s="307">
        <f t="shared" si="17"/>
        <v>51945.94</v>
      </c>
      <c r="W200" s="307">
        <f t="shared" si="18"/>
        <v>629123</v>
      </c>
      <c r="X200" s="307">
        <f t="shared" si="16"/>
        <v>577177.06</v>
      </c>
      <c r="Y200" s="307">
        <f t="shared" si="19"/>
        <v>4141.33</v>
      </c>
      <c r="Z200" s="298"/>
    </row>
    <row r="201" s="282" customFormat="1" spans="1:26">
      <c r="A201" s="295" t="s">
        <v>913</v>
      </c>
      <c r="B201" s="296" t="s">
        <v>102</v>
      </c>
      <c r="C201" s="296" t="s">
        <v>45</v>
      </c>
      <c r="D201" s="295" t="s">
        <v>102</v>
      </c>
      <c r="E201" s="296" t="s">
        <v>448</v>
      </c>
      <c r="F201" s="296" t="s">
        <v>156</v>
      </c>
      <c r="G201" s="295" t="s">
        <v>215</v>
      </c>
      <c r="H201" s="295" t="s">
        <v>389</v>
      </c>
      <c r="I201" s="295" t="s">
        <v>294</v>
      </c>
      <c r="J201" s="304">
        <v>20210001659</v>
      </c>
      <c r="K201" s="309" t="s">
        <v>469</v>
      </c>
      <c r="L201" s="306">
        <v>960000</v>
      </c>
      <c r="M201" s="295" t="s">
        <v>914</v>
      </c>
      <c r="N201" s="306">
        <v>208.8</v>
      </c>
      <c r="O201" s="306" t="s">
        <v>156</v>
      </c>
      <c r="P201" s="307">
        <v>208.8</v>
      </c>
      <c r="Q201" s="307" t="s">
        <v>156</v>
      </c>
      <c r="R201" s="298" t="s">
        <v>156</v>
      </c>
      <c r="S201" s="563" t="s">
        <v>392</v>
      </c>
      <c r="T201" s="564" t="s">
        <v>915</v>
      </c>
      <c r="U201" s="316">
        <v>880733.94</v>
      </c>
      <c r="V201" s="307">
        <f t="shared" si="17"/>
        <v>79266.05</v>
      </c>
      <c r="W201" s="307">
        <f t="shared" si="18"/>
        <v>959999.99</v>
      </c>
      <c r="X201" s="307">
        <f t="shared" si="16"/>
        <v>880733.94</v>
      </c>
      <c r="Y201" s="307">
        <f t="shared" si="19"/>
        <v>4218.07</v>
      </c>
      <c r="Z201" s="298"/>
    </row>
    <row r="202" s="282" customFormat="1" ht="15.05" spans="1:26">
      <c r="A202" s="295" t="s">
        <v>916</v>
      </c>
      <c r="B202" s="296" t="s">
        <v>102</v>
      </c>
      <c r="C202" s="296" t="s">
        <v>45</v>
      </c>
      <c r="D202" s="295" t="s">
        <v>102</v>
      </c>
      <c r="E202" s="296" t="s">
        <v>452</v>
      </c>
      <c r="F202" s="296" t="s">
        <v>156</v>
      </c>
      <c r="G202" s="295" t="s">
        <v>215</v>
      </c>
      <c r="H202" s="295" t="s">
        <v>389</v>
      </c>
      <c r="I202" s="295" t="s">
        <v>294</v>
      </c>
      <c r="J202" s="304">
        <v>20200008767</v>
      </c>
      <c r="K202" s="309" t="s">
        <v>917</v>
      </c>
      <c r="L202" s="306">
        <v>932247</v>
      </c>
      <c r="M202" s="295" t="s">
        <v>918</v>
      </c>
      <c r="N202" s="306">
        <v>209.22</v>
      </c>
      <c r="O202" s="306" t="s">
        <v>156</v>
      </c>
      <c r="P202" s="307">
        <v>209.22</v>
      </c>
      <c r="Q202" s="307" t="s">
        <v>156</v>
      </c>
      <c r="R202" s="298" t="s">
        <v>156</v>
      </c>
      <c r="S202" s="563" t="s">
        <v>392</v>
      </c>
      <c r="T202" s="318" t="s">
        <v>919</v>
      </c>
      <c r="U202" s="316">
        <v>855272.48</v>
      </c>
      <c r="V202" s="307">
        <f t="shared" si="17"/>
        <v>76974.52</v>
      </c>
      <c r="W202" s="307">
        <f t="shared" si="18"/>
        <v>932247</v>
      </c>
      <c r="X202" s="307">
        <f t="shared" si="16"/>
        <v>855272.48</v>
      </c>
      <c r="Y202" s="307">
        <f t="shared" si="19"/>
        <v>4087.91</v>
      </c>
      <c r="Z202" s="298"/>
    </row>
    <row r="203" s="282" customFormat="1" spans="1:26">
      <c r="A203" s="295" t="s">
        <v>920</v>
      </c>
      <c r="B203" s="296" t="s">
        <v>102</v>
      </c>
      <c r="C203" s="296" t="s">
        <v>42</v>
      </c>
      <c r="D203" s="295" t="s">
        <v>511</v>
      </c>
      <c r="E203" s="296" t="s">
        <v>512</v>
      </c>
      <c r="F203" s="296" t="s">
        <v>156</v>
      </c>
      <c r="G203" s="295" t="s">
        <v>513</v>
      </c>
      <c r="H203" s="295" t="s">
        <v>514</v>
      </c>
      <c r="I203" s="295"/>
      <c r="J203" s="296" t="s">
        <v>156</v>
      </c>
      <c r="K203" s="309" t="s">
        <v>156</v>
      </c>
      <c r="L203" s="306" t="s">
        <v>156</v>
      </c>
      <c r="M203" s="295" t="s">
        <v>156</v>
      </c>
      <c r="N203" s="306">
        <v>10.3</v>
      </c>
      <c r="O203" s="306" t="s">
        <v>156</v>
      </c>
      <c r="P203" s="307">
        <v>10.3</v>
      </c>
      <c r="Q203" s="307" t="s">
        <v>156</v>
      </c>
      <c r="R203" s="298" t="s">
        <v>156</v>
      </c>
      <c r="S203" s="297" t="s">
        <v>156</v>
      </c>
      <c r="T203" s="297" t="s">
        <v>156</v>
      </c>
      <c r="U203" s="307" t="s">
        <v>156</v>
      </c>
      <c r="V203" s="307" t="s">
        <v>156</v>
      </c>
      <c r="W203" s="307">
        <f t="shared" si="18"/>
        <v>0</v>
      </c>
      <c r="X203" s="307"/>
      <c r="Y203" s="307">
        <f t="shared" si="19"/>
        <v>0</v>
      </c>
      <c r="Z203" s="298"/>
    </row>
    <row r="204" s="282" customFormat="1" spans="1:26">
      <c r="A204" s="295" t="s">
        <v>921</v>
      </c>
      <c r="B204" s="296" t="s">
        <v>102</v>
      </c>
      <c r="C204" s="296" t="s">
        <v>42</v>
      </c>
      <c r="D204" s="295" t="s">
        <v>511</v>
      </c>
      <c r="E204" s="296" t="s">
        <v>516</v>
      </c>
      <c r="F204" s="296" t="s">
        <v>156</v>
      </c>
      <c r="G204" s="295" t="s">
        <v>513</v>
      </c>
      <c r="H204" s="295" t="s">
        <v>514</v>
      </c>
      <c r="I204" s="295"/>
      <c r="J204" s="296" t="s">
        <v>156</v>
      </c>
      <c r="K204" s="309" t="s">
        <v>156</v>
      </c>
      <c r="L204" s="306" t="s">
        <v>156</v>
      </c>
      <c r="M204" s="295" t="s">
        <v>156</v>
      </c>
      <c r="N204" s="306">
        <v>8.95</v>
      </c>
      <c r="O204" s="306" t="s">
        <v>156</v>
      </c>
      <c r="P204" s="307">
        <v>8.95</v>
      </c>
      <c r="Q204" s="307" t="s">
        <v>156</v>
      </c>
      <c r="R204" s="298" t="s">
        <v>156</v>
      </c>
      <c r="S204" s="297" t="s">
        <v>156</v>
      </c>
      <c r="T204" s="297" t="s">
        <v>156</v>
      </c>
      <c r="U204" s="307" t="s">
        <v>156</v>
      </c>
      <c r="V204" s="307" t="s">
        <v>156</v>
      </c>
      <c r="W204" s="307">
        <f t="shared" si="18"/>
        <v>0</v>
      </c>
      <c r="X204" s="307"/>
      <c r="Y204" s="307">
        <f t="shared" si="19"/>
        <v>0</v>
      </c>
      <c r="Z204" s="298"/>
    </row>
    <row r="205" s="282" customFormat="1" spans="1:26">
      <c r="A205" s="295" t="s">
        <v>922</v>
      </c>
      <c r="B205" s="296" t="s">
        <v>102</v>
      </c>
      <c r="C205" s="296" t="s">
        <v>42</v>
      </c>
      <c r="D205" s="295" t="s">
        <v>511</v>
      </c>
      <c r="E205" s="296" t="s">
        <v>518</v>
      </c>
      <c r="F205" s="296" t="s">
        <v>156</v>
      </c>
      <c r="G205" s="295" t="s">
        <v>513</v>
      </c>
      <c r="H205" s="295" t="s">
        <v>514</v>
      </c>
      <c r="I205" s="295"/>
      <c r="J205" s="296" t="s">
        <v>156</v>
      </c>
      <c r="K205" s="309" t="s">
        <v>156</v>
      </c>
      <c r="L205" s="306" t="s">
        <v>156</v>
      </c>
      <c r="M205" s="295" t="s">
        <v>156</v>
      </c>
      <c r="N205" s="306">
        <v>9.4</v>
      </c>
      <c r="O205" s="306" t="s">
        <v>156</v>
      </c>
      <c r="P205" s="307">
        <v>9.4</v>
      </c>
      <c r="Q205" s="307" t="s">
        <v>156</v>
      </c>
      <c r="R205" s="298" t="s">
        <v>156</v>
      </c>
      <c r="S205" s="297" t="s">
        <v>156</v>
      </c>
      <c r="T205" s="297" t="s">
        <v>156</v>
      </c>
      <c r="U205" s="307" t="s">
        <v>156</v>
      </c>
      <c r="V205" s="307" t="s">
        <v>156</v>
      </c>
      <c r="W205" s="307">
        <f t="shared" si="18"/>
        <v>0</v>
      </c>
      <c r="X205" s="307"/>
      <c r="Y205" s="307">
        <f t="shared" si="19"/>
        <v>0</v>
      </c>
      <c r="Z205" s="298"/>
    </row>
    <row r="206" s="282" customFormat="1" spans="1:26">
      <c r="A206" s="295" t="s">
        <v>923</v>
      </c>
      <c r="B206" s="296" t="s">
        <v>102</v>
      </c>
      <c r="C206" s="296" t="s">
        <v>42</v>
      </c>
      <c r="D206" s="295" t="s">
        <v>511</v>
      </c>
      <c r="E206" s="296" t="s">
        <v>520</v>
      </c>
      <c r="F206" s="296" t="s">
        <v>156</v>
      </c>
      <c r="G206" s="295" t="s">
        <v>513</v>
      </c>
      <c r="H206" s="295" t="s">
        <v>514</v>
      </c>
      <c r="I206" s="295"/>
      <c r="J206" s="296" t="s">
        <v>156</v>
      </c>
      <c r="K206" s="309" t="s">
        <v>156</v>
      </c>
      <c r="L206" s="306" t="s">
        <v>156</v>
      </c>
      <c r="M206" s="295" t="s">
        <v>156</v>
      </c>
      <c r="N206" s="306">
        <v>8.95</v>
      </c>
      <c r="O206" s="306" t="s">
        <v>156</v>
      </c>
      <c r="P206" s="307">
        <v>8.95</v>
      </c>
      <c r="Q206" s="307" t="s">
        <v>156</v>
      </c>
      <c r="R206" s="298" t="s">
        <v>156</v>
      </c>
      <c r="S206" s="297" t="s">
        <v>156</v>
      </c>
      <c r="T206" s="297" t="s">
        <v>156</v>
      </c>
      <c r="U206" s="307" t="s">
        <v>156</v>
      </c>
      <c r="V206" s="307" t="s">
        <v>156</v>
      </c>
      <c r="W206" s="307">
        <f t="shared" si="18"/>
        <v>0</v>
      </c>
      <c r="X206" s="307"/>
      <c r="Y206" s="307">
        <f t="shared" si="19"/>
        <v>0</v>
      </c>
      <c r="Z206" s="298"/>
    </row>
    <row r="207" s="282" customFormat="1" spans="1:26">
      <c r="A207" s="295" t="s">
        <v>113</v>
      </c>
      <c r="B207" s="296" t="s">
        <v>102</v>
      </c>
      <c r="C207" s="296" t="s">
        <v>42</v>
      </c>
      <c r="D207" s="295" t="s">
        <v>511</v>
      </c>
      <c r="E207" s="296" t="s">
        <v>522</v>
      </c>
      <c r="F207" s="296" t="s">
        <v>156</v>
      </c>
      <c r="G207" s="295" t="s">
        <v>513</v>
      </c>
      <c r="H207" s="295" t="s">
        <v>514</v>
      </c>
      <c r="I207" s="295"/>
      <c r="J207" s="296" t="s">
        <v>156</v>
      </c>
      <c r="K207" s="309" t="s">
        <v>156</v>
      </c>
      <c r="L207" s="306" t="s">
        <v>156</v>
      </c>
      <c r="M207" s="295" t="s">
        <v>156</v>
      </c>
      <c r="N207" s="306">
        <v>8.22</v>
      </c>
      <c r="O207" s="306" t="s">
        <v>156</v>
      </c>
      <c r="P207" s="307">
        <v>8.22</v>
      </c>
      <c r="Q207" s="307" t="s">
        <v>156</v>
      </c>
      <c r="R207" s="298" t="s">
        <v>156</v>
      </c>
      <c r="S207" s="297" t="s">
        <v>156</v>
      </c>
      <c r="T207" s="297" t="s">
        <v>156</v>
      </c>
      <c r="U207" s="307" t="s">
        <v>156</v>
      </c>
      <c r="V207" s="307" t="s">
        <v>156</v>
      </c>
      <c r="W207" s="307">
        <f t="shared" si="18"/>
        <v>0</v>
      </c>
      <c r="X207" s="307"/>
      <c r="Y207" s="307">
        <f t="shared" si="19"/>
        <v>0</v>
      </c>
      <c r="Z207" s="298"/>
    </row>
    <row r="208" s="282" customFormat="1" spans="1:26">
      <c r="A208" s="295" t="s">
        <v>924</v>
      </c>
      <c r="B208" s="296" t="s">
        <v>102</v>
      </c>
      <c r="C208" s="296" t="s">
        <v>42</v>
      </c>
      <c r="D208" s="295" t="s">
        <v>511</v>
      </c>
      <c r="E208" s="296" t="s">
        <v>524</v>
      </c>
      <c r="F208" s="296" t="s">
        <v>156</v>
      </c>
      <c r="G208" s="295" t="s">
        <v>513</v>
      </c>
      <c r="H208" s="295" t="s">
        <v>514</v>
      </c>
      <c r="I208" s="295"/>
      <c r="J208" s="296" t="s">
        <v>156</v>
      </c>
      <c r="K208" s="309" t="s">
        <v>156</v>
      </c>
      <c r="L208" s="306" t="s">
        <v>156</v>
      </c>
      <c r="M208" s="295" t="s">
        <v>156</v>
      </c>
      <c r="N208" s="306">
        <v>76.79</v>
      </c>
      <c r="O208" s="306" t="s">
        <v>156</v>
      </c>
      <c r="P208" s="307">
        <v>76.79</v>
      </c>
      <c r="Q208" s="307" t="s">
        <v>156</v>
      </c>
      <c r="R208" s="298" t="s">
        <v>156</v>
      </c>
      <c r="S208" s="297" t="s">
        <v>156</v>
      </c>
      <c r="T208" s="297" t="s">
        <v>156</v>
      </c>
      <c r="U208" s="307" t="s">
        <v>156</v>
      </c>
      <c r="V208" s="307" t="s">
        <v>156</v>
      </c>
      <c r="W208" s="307">
        <f t="shared" si="18"/>
        <v>0</v>
      </c>
      <c r="X208" s="307"/>
      <c r="Y208" s="307">
        <f t="shared" si="19"/>
        <v>0</v>
      </c>
      <c r="Z208" s="298"/>
    </row>
    <row r="209" s="282" customFormat="1" spans="1:26">
      <c r="A209" s="295" t="s">
        <v>925</v>
      </c>
      <c r="B209" s="296" t="s">
        <v>102</v>
      </c>
      <c r="C209" s="296" t="s">
        <v>42</v>
      </c>
      <c r="D209" s="295" t="s">
        <v>511</v>
      </c>
      <c r="E209" s="296" t="s">
        <v>526</v>
      </c>
      <c r="F209" s="296" t="s">
        <v>156</v>
      </c>
      <c r="G209" s="295" t="s">
        <v>513</v>
      </c>
      <c r="H209" s="295" t="s">
        <v>514</v>
      </c>
      <c r="I209" s="295"/>
      <c r="J209" s="296" t="s">
        <v>156</v>
      </c>
      <c r="K209" s="309" t="s">
        <v>156</v>
      </c>
      <c r="L209" s="306" t="s">
        <v>156</v>
      </c>
      <c r="M209" s="295" t="s">
        <v>156</v>
      </c>
      <c r="N209" s="306">
        <v>14.58</v>
      </c>
      <c r="O209" s="306" t="s">
        <v>156</v>
      </c>
      <c r="P209" s="307">
        <v>14.58</v>
      </c>
      <c r="Q209" s="307" t="s">
        <v>156</v>
      </c>
      <c r="R209" s="298" t="s">
        <v>156</v>
      </c>
      <c r="S209" s="297" t="s">
        <v>156</v>
      </c>
      <c r="T209" s="297" t="s">
        <v>156</v>
      </c>
      <c r="U209" s="307" t="s">
        <v>156</v>
      </c>
      <c r="V209" s="307" t="s">
        <v>156</v>
      </c>
      <c r="W209" s="307">
        <f t="shared" si="18"/>
        <v>0</v>
      </c>
      <c r="X209" s="307"/>
      <c r="Y209" s="307">
        <f t="shared" si="19"/>
        <v>0</v>
      </c>
      <c r="Z209" s="298"/>
    </row>
    <row r="210" s="282" customFormat="1" spans="1:26">
      <c r="A210" s="295" t="s">
        <v>926</v>
      </c>
      <c r="B210" s="296" t="s">
        <v>102</v>
      </c>
      <c r="C210" s="296" t="s">
        <v>42</v>
      </c>
      <c r="D210" s="295" t="s">
        <v>511</v>
      </c>
      <c r="E210" s="296" t="s">
        <v>528</v>
      </c>
      <c r="F210" s="296" t="s">
        <v>156</v>
      </c>
      <c r="G210" s="295" t="s">
        <v>513</v>
      </c>
      <c r="H210" s="295" t="s">
        <v>514</v>
      </c>
      <c r="I210" s="295"/>
      <c r="J210" s="296" t="s">
        <v>156</v>
      </c>
      <c r="K210" s="309" t="s">
        <v>156</v>
      </c>
      <c r="L210" s="306" t="s">
        <v>156</v>
      </c>
      <c r="M210" s="295" t="s">
        <v>156</v>
      </c>
      <c r="N210" s="306">
        <v>14.58</v>
      </c>
      <c r="O210" s="306" t="s">
        <v>156</v>
      </c>
      <c r="P210" s="307">
        <v>14.58</v>
      </c>
      <c r="Q210" s="307" t="s">
        <v>156</v>
      </c>
      <c r="R210" s="298" t="s">
        <v>156</v>
      </c>
      <c r="S210" s="297" t="s">
        <v>156</v>
      </c>
      <c r="T210" s="297" t="s">
        <v>156</v>
      </c>
      <c r="U210" s="307" t="s">
        <v>156</v>
      </c>
      <c r="V210" s="307" t="s">
        <v>156</v>
      </c>
      <c r="W210" s="307">
        <f t="shared" si="18"/>
        <v>0</v>
      </c>
      <c r="X210" s="307"/>
      <c r="Y210" s="307">
        <f t="shared" si="19"/>
        <v>0</v>
      </c>
      <c r="Z210" s="298"/>
    </row>
    <row r="211" s="282" customFormat="1" spans="1:26">
      <c r="A211" s="295" t="s">
        <v>927</v>
      </c>
      <c r="B211" s="296" t="s">
        <v>102</v>
      </c>
      <c r="C211" s="296" t="s">
        <v>42</v>
      </c>
      <c r="D211" s="295" t="s">
        <v>511</v>
      </c>
      <c r="E211" s="296" t="s">
        <v>529</v>
      </c>
      <c r="F211" s="296" t="s">
        <v>156</v>
      </c>
      <c r="G211" s="295" t="s">
        <v>513</v>
      </c>
      <c r="H211" s="295" t="s">
        <v>514</v>
      </c>
      <c r="I211" s="295"/>
      <c r="J211" s="296" t="s">
        <v>156</v>
      </c>
      <c r="K211" s="309" t="s">
        <v>156</v>
      </c>
      <c r="L211" s="306" t="s">
        <v>156</v>
      </c>
      <c r="M211" s="295" t="s">
        <v>156</v>
      </c>
      <c r="N211" s="306">
        <v>76.79</v>
      </c>
      <c r="O211" s="306" t="s">
        <v>156</v>
      </c>
      <c r="P211" s="307">
        <v>76.79</v>
      </c>
      <c r="Q211" s="307" t="s">
        <v>156</v>
      </c>
      <c r="R211" s="298" t="s">
        <v>156</v>
      </c>
      <c r="S211" s="297" t="s">
        <v>156</v>
      </c>
      <c r="T211" s="297" t="s">
        <v>156</v>
      </c>
      <c r="U211" s="307" t="s">
        <v>156</v>
      </c>
      <c r="V211" s="307" t="s">
        <v>156</v>
      </c>
      <c r="W211" s="307">
        <f t="shared" si="18"/>
        <v>0</v>
      </c>
      <c r="X211" s="307"/>
      <c r="Y211" s="307">
        <f t="shared" si="19"/>
        <v>0</v>
      </c>
      <c r="Z211" s="298"/>
    </row>
    <row r="212" s="282" customFormat="1" spans="1:26">
      <c r="A212" s="295" t="s">
        <v>928</v>
      </c>
      <c r="B212" s="296" t="s">
        <v>102</v>
      </c>
      <c r="C212" s="296" t="s">
        <v>42</v>
      </c>
      <c r="D212" s="295" t="s">
        <v>511</v>
      </c>
      <c r="E212" s="296" t="s">
        <v>531</v>
      </c>
      <c r="F212" s="296" t="s">
        <v>156</v>
      </c>
      <c r="G212" s="295" t="s">
        <v>513</v>
      </c>
      <c r="H212" s="295" t="s">
        <v>514</v>
      </c>
      <c r="I212" s="295"/>
      <c r="J212" s="296" t="s">
        <v>156</v>
      </c>
      <c r="K212" s="309" t="s">
        <v>156</v>
      </c>
      <c r="L212" s="306" t="s">
        <v>156</v>
      </c>
      <c r="M212" s="295" t="s">
        <v>156</v>
      </c>
      <c r="N212" s="306">
        <v>8.22</v>
      </c>
      <c r="O212" s="306" t="s">
        <v>156</v>
      </c>
      <c r="P212" s="307">
        <v>8.22</v>
      </c>
      <c r="Q212" s="307" t="s">
        <v>156</v>
      </c>
      <c r="R212" s="298" t="s">
        <v>156</v>
      </c>
      <c r="S212" s="297" t="s">
        <v>156</v>
      </c>
      <c r="T212" s="297" t="s">
        <v>156</v>
      </c>
      <c r="U212" s="307" t="s">
        <v>156</v>
      </c>
      <c r="V212" s="307" t="s">
        <v>156</v>
      </c>
      <c r="W212" s="307">
        <f t="shared" si="18"/>
        <v>0</v>
      </c>
      <c r="X212" s="307"/>
      <c r="Y212" s="307">
        <f t="shared" si="19"/>
        <v>0</v>
      </c>
      <c r="Z212" s="298"/>
    </row>
    <row r="213" s="282" customFormat="1" spans="1:26">
      <c r="A213" s="298" t="s">
        <v>929</v>
      </c>
      <c r="B213" s="297" t="s">
        <v>102</v>
      </c>
      <c r="C213" s="297" t="s">
        <v>42</v>
      </c>
      <c r="D213" s="298" t="s">
        <v>511</v>
      </c>
      <c r="E213" s="297" t="s">
        <v>533</v>
      </c>
      <c r="F213" s="297" t="s">
        <v>156</v>
      </c>
      <c r="G213" s="295" t="s">
        <v>513</v>
      </c>
      <c r="H213" s="295" t="s">
        <v>514</v>
      </c>
      <c r="I213" s="298"/>
      <c r="J213" s="297" t="s">
        <v>156</v>
      </c>
      <c r="K213" s="305" t="s">
        <v>156</v>
      </c>
      <c r="L213" s="307" t="s">
        <v>156</v>
      </c>
      <c r="M213" s="298" t="s">
        <v>156</v>
      </c>
      <c r="N213" s="307">
        <v>8.95</v>
      </c>
      <c r="O213" s="307" t="s">
        <v>156</v>
      </c>
      <c r="P213" s="307">
        <v>8.95</v>
      </c>
      <c r="Q213" s="307" t="s">
        <v>156</v>
      </c>
      <c r="R213" s="298" t="s">
        <v>156</v>
      </c>
      <c r="S213" s="297" t="s">
        <v>156</v>
      </c>
      <c r="T213" s="297" t="s">
        <v>156</v>
      </c>
      <c r="U213" s="307" t="s">
        <v>156</v>
      </c>
      <c r="V213" s="307" t="s">
        <v>156</v>
      </c>
      <c r="W213" s="307">
        <f t="shared" si="18"/>
        <v>0</v>
      </c>
      <c r="X213" s="307"/>
      <c r="Y213" s="307">
        <f t="shared" si="19"/>
        <v>0</v>
      </c>
      <c r="Z213" s="298"/>
    </row>
    <row r="214" s="282" customFormat="1" spans="1:26">
      <c r="A214" s="295" t="s">
        <v>430</v>
      </c>
      <c r="B214" s="296" t="s">
        <v>102</v>
      </c>
      <c r="C214" s="296" t="s">
        <v>42</v>
      </c>
      <c r="D214" s="295" t="s">
        <v>511</v>
      </c>
      <c r="E214" s="296" t="s">
        <v>535</v>
      </c>
      <c r="F214" s="296" t="s">
        <v>156</v>
      </c>
      <c r="G214" s="295" t="s">
        <v>513</v>
      </c>
      <c r="H214" s="295" t="s">
        <v>514</v>
      </c>
      <c r="I214" s="295"/>
      <c r="J214" s="296" t="s">
        <v>156</v>
      </c>
      <c r="K214" s="309" t="s">
        <v>156</v>
      </c>
      <c r="L214" s="306" t="s">
        <v>156</v>
      </c>
      <c r="M214" s="295" t="s">
        <v>156</v>
      </c>
      <c r="N214" s="306">
        <v>9.4</v>
      </c>
      <c r="O214" s="306" t="s">
        <v>156</v>
      </c>
      <c r="P214" s="307">
        <v>9.4</v>
      </c>
      <c r="Q214" s="307" t="s">
        <v>156</v>
      </c>
      <c r="R214" s="298" t="s">
        <v>156</v>
      </c>
      <c r="S214" s="297" t="s">
        <v>156</v>
      </c>
      <c r="T214" s="297" t="s">
        <v>156</v>
      </c>
      <c r="U214" s="307" t="s">
        <v>156</v>
      </c>
      <c r="V214" s="307" t="s">
        <v>156</v>
      </c>
      <c r="W214" s="307">
        <f t="shared" si="18"/>
        <v>0</v>
      </c>
      <c r="X214" s="307"/>
      <c r="Y214" s="307">
        <f t="shared" si="19"/>
        <v>0</v>
      </c>
      <c r="Z214" s="298"/>
    </row>
    <row r="215" s="282" customFormat="1" spans="1:26">
      <c r="A215" s="298" t="s">
        <v>316</v>
      </c>
      <c r="B215" s="297" t="s">
        <v>102</v>
      </c>
      <c r="C215" s="297" t="s">
        <v>42</v>
      </c>
      <c r="D215" s="298" t="s">
        <v>511</v>
      </c>
      <c r="E215" s="297" t="s">
        <v>537</v>
      </c>
      <c r="F215" s="297" t="s">
        <v>156</v>
      </c>
      <c r="G215" s="295" t="s">
        <v>513</v>
      </c>
      <c r="H215" s="295" t="s">
        <v>514</v>
      </c>
      <c r="I215" s="298"/>
      <c r="J215" s="297" t="s">
        <v>156</v>
      </c>
      <c r="K215" s="305" t="s">
        <v>156</v>
      </c>
      <c r="L215" s="307" t="s">
        <v>156</v>
      </c>
      <c r="M215" s="298" t="s">
        <v>156</v>
      </c>
      <c r="N215" s="307">
        <v>8.95</v>
      </c>
      <c r="O215" s="307" t="s">
        <v>156</v>
      </c>
      <c r="P215" s="307">
        <v>8.95</v>
      </c>
      <c r="Q215" s="307" t="s">
        <v>156</v>
      </c>
      <c r="R215" s="298" t="s">
        <v>156</v>
      </c>
      <c r="S215" s="297" t="s">
        <v>156</v>
      </c>
      <c r="T215" s="297" t="s">
        <v>156</v>
      </c>
      <c r="U215" s="307" t="s">
        <v>156</v>
      </c>
      <c r="V215" s="307" t="s">
        <v>156</v>
      </c>
      <c r="W215" s="307">
        <f t="shared" si="18"/>
        <v>0</v>
      </c>
      <c r="X215" s="307"/>
      <c r="Y215" s="307">
        <f t="shared" si="19"/>
        <v>0</v>
      </c>
      <c r="Z215" s="298"/>
    </row>
    <row r="216" s="282" customFormat="1" spans="1:26">
      <c r="A216" s="295" t="s">
        <v>388</v>
      </c>
      <c r="B216" s="296" t="s">
        <v>102</v>
      </c>
      <c r="C216" s="296" t="s">
        <v>42</v>
      </c>
      <c r="D216" s="295" t="s">
        <v>511</v>
      </c>
      <c r="E216" s="296" t="s">
        <v>539</v>
      </c>
      <c r="F216" s="296" t="s">
        <v>156</v>
      </c>
      <c r="G216" s="295" t="s">
        <v>513</v>
      </c>
      <c r="H216" s="295" t="s">
        <v>514</v>
      </c>
      <c r="I216" s="295"/>
      <c r="J216" s="296" t="s">
        <v>156</v>
      </c>
      <c r="K216" s="309" t="s">
        <v>156</v>
      </c>
      <c r="L216" s="306" t="s">
        <v>156</v>
      </c>
      <c r="M216" s="295" t="s">
        <v>156</v>
      </c>
      <c r="N216" s="306">
        <v>8.95</v>
      </c>
      <c r="O216" s="306" t="s">
        <v>156</v>
      </c>
      <c r="P216" s="307">
        <v>8.95</v>
      </c>
      <c r="Q216" s="307" t="s">
        <v>156</v>
      </c>
      <c r="R216" s="298" t="s">
        <v>156</v>
      </c>
      <c r="S216" s="297" t="s">
        <v>156</v>
      </c>
      <c r="T216" s="297" t="s">
        <v>156</v>
      </c>
      <c r="U216" s="307" t="s">
        <v>156</v>
      </c>
      <c r="V216" s="307" t="s">
        <v>156</v>
      </c>
      <c r="W216" s="307">
        <f t="shared" si="18"/>
        <v>0</v>
      </c>
      <c r="X216" s="307"/>
      <c r="Y216" s="307">
        <f t="shared" si="19"/>
        <v>0</v>
      </c>
      <c r="Z216" s="298"/>
    </row>
    <row r="217" s="282" customFormat="1" spans="1:26">
      <c r="A217" s="295" t="s">
        <v>670</v>
      </c>
      <c r="B217" s="296" t="s">
        <v>102</v>
      </c>
      <c r="C217" s="296" t="s">
        <v>45</v>
      </c>
      <c r="D217" s="295" t="s">
        <v>511</v>
      </c>
      <c r="E217" s="296" t="s">
        <v>541</v>
      </c>
      <c r="F217" s="296" t="s">
        <v>156</v>
      </c>
      <c r="G217" s="295" t="s">
        <v>513</v>
      </c>
      <c r="H217" s="295" t="s">
        <v>514</v>
      </c>
      <c r="I217" s="295"/>
      <c r="J217" s="304" t="s">
        <v>156</v>
      </c>
      <c r="K217" s="309" t="s">
        <v>156</v>
      </c>
      <c r="L217" s="306" t="s">
        <v>156</v>
      </c>
      <c r="M217" s="295" t="s">
        <v>156</v>
      </c>
      <c r="N217" s="306">
        <v>10.3</v>
      </c>
      <c r="O217" s="306" t="s">
        <v>156</v>
      </c>
      <c r="P217" s="307">
        <v>10.3</v>
      </c>
      <c r="Q217" s="307" t="s">
        <v>156</v>
      </c>
      <c r="R217" s="298" t="s">
        <v>156</v>
      </c>
      <c r="S217" s="297" t="s">
        <v>156</v>
      </c>
      <c r="T217" s="297" t="s">
        <v>156</v>
      </c>
      <c r="U217" s="307" t="s">
        <v>156</v>
      </c>
      <c r="V217" s="307"/>
      <c r="W217" s="307">
        <f t="shared" si="18"/>
        <v>0</v>
      </c>
      <c r="X217" s="307" t="str">
        <f t="shared" ref="X217:X258" si="20">U217</f>
        <v/>
      </c>
      <c r="Y217" s="307">
        <f t="shared" si="19"/>
        <v>0</v>
      </c>
      <c r="Z217" s="298"/>
    </row>
    <row r="218" s="282" customFormat="1" spans="1:26">
      <c r="A218" s="295" t="s">
        <v>921</v>
      </c>
      <c r="B218" s="296" t="s">
        <v>102</v>
      </c>
      <c r="C218" s="296" t="s">
        <v>45</v>
      </c>
      <c r="D218" s="295" t="s">
        <v>511</v>
      </c>
      <c r="E218" s="296" t="s">
        <v>542</v>
      </c>
      <c r="F218" s="296" t="s">
        <v>156</v>
      </c>
      <c r="G218" s="295" t="s">
        <v>513</v>
      </c>
      <c r="H218" s="295" t="s">
        <v>514</v>
      </c>
      <c r="I218" s="295"/>
      <c r="J218" s="304" t="s">
        <v>156</v>
      </c>
      <c r="K218" s="309" t="s">
        <v>156</v>
      </c>
      <c r="L218" s="306" t="s">
        <v>156</v>
      </c>
      <c r="M218" s="295" t="s">
        <v>156</v>
      </c>
      <c r="N218" s="306">
        <v>8.95</v>
      </c>
      <c r="O218" s="306" t="s">
        <v>156</v>
      </c>
      <c r="P218" s="307">
        <v>8.95</v>
      </c>
      <c r="Q218" s="307" t="s">
        <v>156</v>
      </c>
      <c r="R218" s="298" t="s">
        <v>156</v>
      </c>
      <c r="S218" s="297" t="s">
        <v>156</v>
      </c>
      <c r="T218" s="297" t="s">
        <v>156</v>
      </c>
      <c r="U218" s="307" t="s">
        <v>156</v>
      </c>
      <c r="V218" s="307"/>
      <c r="W218" s="307">
        <f t="shared" si="18"/>
        <v>0</v>
      </c>
      <c r="X218" s="307" t="str">
        <f t="shared" si="20"/>
        <v/>
      </c>
      <c r="Y218" s="307">
        <f t="shared" si="19"/>
        <v>0</v>
      </c>
      <c r="Z218" s="298"/>
    </row>
    <row r="219" s="282" customFormat="1" spans="1:26">
      <c r="A219" s="295" t="s">
        <v>930</v>
      </c>
      <c r="B219" s="296" t="s">
        <v>102</v>
      </c>
      <c r="C219" s="296" t="s">
        <v>45</v>
      </c>
      <c r="D219" s="295" t="s">
        <v>511</v>
      </c>
      <c r="E219" s="296" t="s">
        <v>544</v>
      </c>
      <c r="F219" s="296" t="s">
        <v>156</v>
      </c>
      <c r="G219" s="295" t="s">
        <v>513</v>
      </c>
      <c r="H219" s="295" t="s">
        <v>514</v>
      </c>
      <c r="I219" s="295"/>
      <c r="J219" s="304" t="s">
        <v>156</v>
      </c>
      <c r="K219" s="309" t="s">
        <v>156</v>
      </c>
      <c r="L219" s="306" t="s">
        <v>156</v>
      </c>
      <c r="M219" s="295" t="s">
        <v>156</v>
      </c>
      <c r="N219" s="306">
        <v>9.4</v>
      </c>
      <c r="O219" s="306" t="s">
        <v>156</v>
      </c>
      <c r="P219" s="307">
        <v>9.4</v>
      </c>
      <c r="Q219" s="307" t="s">
        <v>156</v>
      </c>
      <c r="R219" s="298" t="s">
        <v>156</v>
      </c>
      <c r="S219" s="297" t="s">
        <v>156</v>
      </c>
      <c r="T219" s="297" t="s">
        <v>156</v>
      </c>
      <c r="U219" s="307" t="s">
        <v>156</v>
      </c>
      <c r="V219" s="307"/>
      <c r="W219" s="307">
        <f t="shared" si="18"/>
        <v>0</v>
      </c>
      <c r="X219" s="307" t="str">
        <f t="shared" si="20"/>
        <v/>
      </c>
      <c r="Y219" s="307">
        <f t="shared" si="19"/>
        <v>0</v>
      </c>
      <c r="Z219" s="298"/>
    </row>
    <row r="220" s="282" customFormat="1" spans="1:26">
      <c r="A220" s="295" t="s">
        <v>931</v>
      </c>
      <c r="B220" s="296" t="s">
        <v>102</v>
      </c>
      <c r="C220" s="296" t="s">
        <v>45</v>
      </c>
      <c r="D220" s="295" t="s">
        <v>511</v>
      </c>
      <c r="E220" s="296" t="s">
        <v>546</v>
      </c>
      <c r="F220" s="296" t="s">
        <v>156</v>
      </c>
      <c r="G220" s="295" t="s">
        <v>513</v>
      </c>
      <c r="H220" s="295" t="s">
        <v>514</v>
      </c>
      <c r="I220" s="295"/>
      <c r="J220" s="304" t="s">
        <v>156</v>
      </c>
      <c r="K220" s="309" t="s">
        <v>156</v>
      </c>
      <c r="L220" s="306" t="s">
        <v>156</v>
      </c>
      <c r="M220" s="295" t="s">
        <v>156</v>
      </c>
      <c r="N220" s="306">
        <v>8.95</v>
      </c>
      <c r="O220" s="306" t="s">
        <v>156</v>
      </c>
      <c r="P220" s="307">
        <v>8.95</v>
      </c>
      <c r="Q220" s="307" t="s">
        <v>156</v>
      </c>
      <c r="R220" s="298" t="s">
        <v>156</v>
      </c>
      <c r="S220" s="297" t="s">
        <v>156</v>
      </c>
      <c r="T220" s="297" t="s">
        <v>156</v>
      </c>
      <c r="U220" s="307" t="s">
        <v>156</v>
      </c>
      <c r="V220" s="307"/>
      <c r="W220" s="307">
        <f t="shared" si="18"/>
        <v>0</v>
      </c>
      <c r="X220" s="307" t="str">
        <f t="shared" si="20"/>
        <v/>
      </c>
      <c r="Y220" s="307">
        <f t="shared" si="19"/>
        <v>0</v>
      </c>
      <c r="Z220" s="298"/>
    </row>
    <row r="221" s="282" customFormat="1" spans="1:26">
      <c r="A221" s="295" t="s">
        <v>932</v>
      </c>
      <c r="B221" s="296" t="s">
        <v>102</v>
      </c>
      <c r="C221" s="296" t="s">
        <v>45</v>
      </c>
      <c r="D221" s="295" t="s">
        <v>511</v>
      </c>
      <c r="E221" s="296" t="s">
        <v>548</v>
      </c>
      <c r="F221" s="296" t="s">
        <v>156</v>
      </c>
      <c r="G221" s="295" t="s">
        <v>513</v>
      </c>
      <c r="H221" s="295" t="s">
        <v>514</v>
      </c>
      <c r="I221" s="295"/>
      <c r="J221" s="304" t="s">
        <v>156</v>
      </c>
      <c r="K221" s="309" t="s">
        <v>156</v>
      </c>
      <c r="L221" s="306" t="s">
        <v>156</v>
      </c>
      <c r="M221" s="295" t="s">
        <v>156</v>
      </c>
      <c r="N221" s="306">
        <v>8.22</v>
      </c>
      <c r="O221" s="306" t="s">
        <v>156</v>
      </c>
      <c r="P221" s="307">
        <v>8.22</v>
      </c>
      <c r="Q221" s="307" t="s">
        <v>156</v>
      </c>
      <c r="R221" s="298" t="s">
        <v>156</v>
      </c>
      <c r="S221" s="297" t="s">
        <v>156</v>
      </c>
      <c r="T221" s="297" t="s">
        <v>156</v>
      </c>
      <c r="U221" s="307" t="s">
        <v>156</v>
      </c>
      <c r="V221" s="307"/>
      <c r="W221" s="307">
        <f t="shared" si="18"/>
        <v>0</v>
      </c>
      <c r="X221" s="307" t="str">
        <f t="shared" si="20"/>
        <v/>
      </c>
      <c r="Y221" s="307">
        <f t="shared" si="19"/>
        <v>0</v>
      </c>
      <c r="Z221" s="298"/>
    </row>
    <row r="222" s="282" customFormat="1" spans="1:26">
      <c r="A222" s="295" t="s">
        <v>933</v>
      </c>
      <c r="B222" s="296" t="s">
        <v>102</v>
      </c>
      <c r="C222" s="296" t="s">
        <v>45</v>
      </c>
      <c r="D222" s="295" t="s">
        <v>511</v>
      </c>
      <c r="E222" s="296" t="s">
        <v>549</v>
      </c>
      <c r="F222" s="296" t="s">
        <v>156</v>
      </c>
      <c r="G222" s="295" t="s">
        <v>513</v>
      </c>
      <c r="H222" s="295" t="s">
        <v>514</v>
      </c>
      <c r="I222" s="295"/>
      <c r="J222" s="304" t="s">
        <v>156</v>
      </c>
      <c r="K222" s="309" t="s">
        <v>156</v>
      </c>
      <c r="L222" s="306" t="s">
        <v>156</v>
      </c>
      <c r="M222" s="295" t="s">
        <v>156</v>
      </c>
      <c r="N222" s="306">
        <v>76.79</v>
      </c>
      <c r="O222" s="306" t="s">
        <v>156</v>
      </c>
      <c r="P222" s="307">
        <v>76.79</v>
      </c>
      <c r="Q222" s="307" t="s">
        <v>156</v>
      </c>
      <c r="R222" s="298" t="s">
        <v>156</v>
      </c>
      <c r="S222" s="297" t="s">
        <v>156</v>
      </c>
      <c r="T222" s="297" t="s">
        <v>156</v>
      </c>
      <c r="U222" s="307" t="s">
        <v>156</v>
      </c>
      <c r="V222" s="307"/>
      <c r="W222" s="307">
        <f t="shared" si="18"/>
        <v>0</v>
      </c>
      <c r="X222" s="307" t="str">
        <f t="shared" si="20"/>
        <v/>
      </c>
      <c r="Y222" s="307">
        <f t="shared" si="19"/>
        <v>0</v>
      </c>
      <c r="Z222" s="298"/>
    </row>
    <row r="223" s="282" customFormat="1" spans="1:26">
      <c r="A223" s="295" t="s">
        <v>934</v>
      </c>
      <c r="B223" s="296" t="s">
        <v>102</v>
      </c>
      <c r="C223" s="296" t="s">
        <v>45</v>
      </c>
      <c r="D223" s="295" t="s">
        <v>511</v>
      </c>
      <c r="E223" s="296" t="s">
        <v>550</v>
      </c>
      <c r="F223" s="296" t="s">
        <v>156</v>
      </c>
      <c r="G223" s="295" t="s">
        <v>513</v>
      </c>
      <c r="H223" s="295" t="s">
        <v>514</v>
      </c>
      <c r="I223" s="295"/>
      <c r="J223" s="304" t="s">
        <v>156</v>
      </c>
      <c r="K223" s="309" t="s">
        <v>156</v>
      </c>
      <c r="L223" s="306" t="s">
        <v>156</v>
      </c>
      <c r="M223" s="295" t="s">
        <v>156</v>
      </c>
      <c r="N223" s="306">
        <v>14.58</v>
      </c>
      <c r="O223" s="306" t="s">
        <v>156</v>
      </c>
      <c r="P223" s="307">
        <v>14.58</v>
      </c>
      <c r="Q223" s="307" t="s">
        <v>156</v>
      </c>
      <c r="R223" s="298" t="s">
        <v>156</v>
      </c>
      <c r="S223" s="297" t="s">
        <v>156</v>
      </c>
      <c r="T223" s="297" t="s">
        <v>156</v>
      </c>
      <c r="U223" s="307" t="s">
        <v>156</v>
      </c>
      <c r="V223" s="307"/>
      <c r="W223" s="307">
        <f t="shared" si="18"/>
        <v>0</v>
      </c>
      <c r="X223" s="307" t="str">
        <f t="shared" si="20"/>
        <v/>
      </c>
      <c r="Y223" s="307">
        <f t="shared" si="19"/>
        <v>0</v>
      </c>
      <c r="Z223" s="298"/>
    </row>
    <row r="224" s="282" customFormat="1" spans="1:26">
      <c r="A224" s="295" t="s">
        <v>935</v>
      </c>
      <c r="B224" s="296" t="s">
        <v>102</v>
      </c>
      <c r="C224" s="296" t="s">
        <v>45</v>
      </c>
      <c r="D224" s="295" t="s">
        <v>511</v>
      </c>
      <c r="E224" s="296" t="s">
        <v>552</v>
      </c>
      <c r="F224" s="296" t="s">
        <v>156</v>
      </c>
      <c r="G224" s="295" t="s">
        <v>513</v>
      </c>
      <c r="H224" s="295" t="s">
        <v>514</v>
      </c>
      <c r="I224" s="295"/>
      <c r="J224" s="304" t="s">
        <v>156</v>
      </c>
      <c r="K224" s="309" t="s">
        <v>156</v>
      </c>
      <c r="L224" s="306" t="s">
        <v>156</v>
      </c>
      <c r="M224" s="295" t="s">
        <v>156</v>
      </c>
      <c r="N224" s="306">
        <v>14.58</v>
      </c>
      <c r="O224" s="306" t="s">
        <v>156</v>
      </c>
      <c r="P224" s="307">
        <v>14.58</v>
      </c>
      <c r="Q224" s="307" t="s">
        <v>156</v>
      </c>
      <c r="R224" s="298" t="s">
        <v>156</v>
      </c>
      <c r="S224" s="297" t="s">
        <v>156</v>
      </c>
      <c r="T224" s="297" t="s">
        <v>156</v>
      </c>
      <c r="U224" s="307" t="s">
        <v>156</v>
      </c>
      <c r="V224" s="307"/>
      <c r="W224" s="307">
        <f t="shared" si="18"/>
        <v>0</v>
      </c>
      <c r="X224" s="307" t="str">
        <f t="shared" si="20"/>
        <v/>
      </c>
      <c r="Y224" s="307">
        <f t="shared" si="19"/>
        <v>0</v>
      </c>
      <c r="Z224" s="298"/>
    </row>
    <row r="225" s="282" customFormat="1" spans="1:26">
      <c r="A225" s="295" t="s">
        <v>674</v>
      </c>
      <c r="B225" s="296" t="s">
        <v>102</v>
      </c>
      <c r="C225" s="296" t="s">
        <v>45</v>
      </c>
      <c r="D225" s="295" t="s">
        <v>511</v>
      </c>
      <c r="E225" s="296" t="s">
        <v>554</v>
      </c>
      <c r="F225" s="296" t="s">
        <v>156</v>
      </c>
      <c r="G225" s="295" t="s">
        <v>513</v>
      </c>
      <c r="H225" s="295" t="s">
        <v>514</v>
      </c>
      <c r="I225" s="295"/>
      <c r="J225" s="304" t="s">
        <v>156</v>
      </c>
      <c r="K225" s="309" t="s">
        <v>156</v>
      </c>
      <c r="L225" s="306" t="s">
        <v>156</v>
      </c>
      <c r="M225" s="295" t="s">
        <v>156</v>
      </c>
      <c r="N225" s="306">
        <v>76.79</v>
      </c>
      <c r="O225" s="306" t="s">
        <v>156</v>
      </c>
      <c r="P225" s="307">
        <v>76.79</v>
      </c>
      <c r="Q225" s="307" t="s">
        <v>156</v>
      </c>
      <c r="R225" s="298" t="s">
        <v>156</v>
      </c>
      <c r="S225" s="297" t="s">
        <v>156</v>
      </c>
      <c r="T225" s="297" t="s">
        <v>156</v>
      </c>
      <c r="U225" s="307" t="s">
        <v>156</v>
      </c>
      <c r="V225" s="307"/>
      <c r="W225" s="307">
        <f t="shared" si="18"/>
        <v>0</v>
      </c>
      <c r="X225" s="307" t="str">
        <f t="shared" si="20"/>
        <v/>
      </c>
      <c r="Y225" s="307">
        <f t="shared" si="19"/>
        <v>0</v>
      </c>
      <c r="Z225" s="298"/>
    </row>
    <row r="226" s="282" customFormat="1" spans="1:26">
      <c r="A226" s="295" t="s">
        <v>936</v>
      </c>
      <c r="B226" s="296" t="s">
        <v>102</v>
      </c>
      <c r="C226" s="296" t="s">
        <v>45</v>
      </c>
      <c r="D226" s="295" t="s">
        <v>511</v>
      </c>
      <c r="E226" s="296" t="s">
        <v>556</v>
      </c>
      <c r="F226" s="296" t="s">
        <v>156</v>
      </c>
      <c r="G226" s="295" t="s">
        <v>513</v>
      </c>
      <c r="H226" s="295" t="s">
        <v>514</v>
      </c>
      <c r="I226" s="295"/>
      <c r="J226" s="304" t="s">
        <v>156</v>
      </c>
      <c r="K226" s="309" t="s">
        <v>156</v>
      </c>
      <c r="L226" s="306" t="s">
        <v>156</v>
      </c>
      <c r="M226" s="295" t="s">
        <v>156</v>
      </c>
      <c r="N226" s="306">
        <v>8.22</v>
      </c>
      <c r="O226" s="306" t="s">
        <v>156</v>
      </c>
      <c r="P226" s="307">
        <v>8.22</v>
      </c>
      <c r="Q226" s="307" t="s">
        <v>156</v>
      </c>
      <c r="R226" s="298" t="s">
        <v>156</v>
      </c>
      <c r="S226" s="297" t="s">
        <v>156</v>
      </c>
      <c r="T226" s="297" t="s">
        <v>156</v>
      </c>
      <c r="U226" s="307" t="s">
        <v>156</v>
      </c>
      <c r="V226" s="307"/>
      <c r="W226" s="307">
        <f t="shared" si="18"/>
        <v>0</v>
      </c>
      <c r="X226" s="307" t="str">
        <f t="shared" si="20"/>
        <v/>
      </c>
      <c r="Y226" s="307">
        <f t="shared" si="19"/>
        <v>0</v>
      </c>
      <c r="Z226" s="298"/>
    </row>
    <row r="227" s="282" customFormat="1" spans="1:26">
      <c r="A227" s="295" t="s">
        <v>937</v>
      </c>
      <c r="B227" s="296" t="s">
        <v>102</v>
      </c>
      <c r="C227" s="296" t="s">
        <v>45</v>
      </c>
      <c r="D227" s="295" t="s">
        <v>511</v>
      </c>
      <c r="E227" s="296" t="s">
        <v>558</v>
      </c>
      <c r="F227" s="296" t="s">
        <v>156</v>
      </c>
      <c r="G227" s="295" t="s">
        <v>513</v>
      </c>
      <c r="H227" s="295" t="s">
        <v>514</v>
      </c>
      <c r="I227" s="295"/>
      <c r="J227" s="304" t="s">
        <v>156</v>
      </c>
      <c r="K227" s="309" t="s">
        <v>156</v>
      </c>
      <c r="L227" s="306" t="s">
        <v>156</v>
      </c>
      <c r="M227" s="295" t="s">
        <v>156</v>
      </c>
      <c r="N227" s="306">
        <v>8.95</v>
      </c>
      <c r="O227" s="306" t="s">
        <v>156</v>
      </c>
      <c r="P227" s="307">
        <v>8.95</v>
      </c>
      <c r="Q227" s="307" t="s">
        <v>156</v>
      </c>
      <c r="R227" s="298" t="s">
        <v>156</v>
      </c>
      <c r="S227" s="297" t="s">
        <v>156</v>
      </c>
      <c r="T227" s="297" t="s">
        <v>156</v>
      </c>
      <c r="U227" s="307" t="s">
        <v>156</v>
      </c>
      <c r="V227" s="307"/>
      <c r="W227" s="307">
        <f t="shared" si="18"/>
        <v>0</v>
      </c>
      <c r="X227" s="307" t="str">
        <f t="shared" si="20"/>
        <v/>
      </c>
      <c r="Y227" s="307">
        <f t="shared" si="19"/>
        <v>0</v>
      </c>
      <c r="Z227" s="298"/>
    </row>
    <row r="228" s="282" customFormat="1" spans="1:26">
      <c r="A228" s="295" t="s">
        <v>938</v>
      </c>
      <c r="B228" s="296" t="s">
        <v>102</v>
      </c>
      <c r="C228" s="296" t="s">
        <v>45</v>
      </c>
      <c r="D228" s="295" t="s">
        <v>511</v>
      </c>
      <c r="E228" s="296" t="s">
        <v>560</v>
      </c>
      <c r="F228" s="296" t="s">
        <v>156</v>
      </c>
      <c r="G228" s="295" t="s">
        <v>513</v>
      </c>
      <c r="H228" s="295" t="s">
        <v>514</v>
      </c>
      <c r="I228" s="295"/>
      <c r="J228" s="304" t="s">
        <v>156</v>
      </c>
      <c r="K228" s="309" t="s">
        <v>156</v>
      </c>
      <c r="L228" s="306" t="s">
        <v>156</v>
      </c>
      <c r="M228" s="295" t="s">
        <v>156</v>
      </c>
      <c r="N228" s="306">
        <v>9.4</v>
      </c>
      <c r="O228" s="306" t="s">
        <v>156</v>
      </c>
      <c r="P228" s="307">
        <v>9.4</v>
      </c>
      <c r="Q228" s="307" t="s">
        <v>156</v>
      </c>
      <c r="R228" s="298" t="s">
        <v>156</v>
      </c>
      <c r="S228" s="297" t="s">
        <v>156</v>
      </c>
      <c r="T228" s="297" t="s">
        <v>156</v>
      </c>
      <c r="U228" s="307" t="s">
        <v>156</v>
      </c>
      <c r="V228" s="307"/>
      <c r="W228" s="307">
        <f t="shared" si="18"/>
        <v>0</v>
      </c>
      <c r="X228" s="307" t="str">
        <f t="shared" si="20"/>
        <v/>
      </c>
      <c r="Y228" s="307">
        <f t="shared" si="19"/>
        <v>0</v>
      </c>
      <c r="Z228" s="298"/>
    </row>
    <row r="229" s="282" customFormat="1" spans="1:26">
      <c r="A229" s="295" t="s">
        <v>939</v>
      </c>
      <c r="B229" s="296" t="s">
        <v>102</v>
      </c>
      <c r="C229" s="296" t="s">
        <v>45</v>
      </c>
      <c r="D229" s="295" t="s">
        <v>511</v>
      </c>
      <c r="E229" s="296" t="s">
        <v>562</v>
      </c>
      <c r="F229" s="296" t="s">
        <v>156</v>
      </c>
      <c r="G229" s="295" t="s">
        <v>513</v>
      </c>
      <c r="H229" s="295" t="s">
        <v>514</v>
      </c>
      <c r="I229" s="295"/>
      <c r="J229" s="304" t="s">
        <v>156</v>
      </c>
      <c r="K229" s="309" t="s">
        <v>156</v>
      </c>
      <c r="L229" s="306" t="s">
        <v>156</v>
      </c>
      <c r="M229" s="295" t="s">
        <v>156</v>
      </c>
      <c r="N229" s="306">
        <v>8.95</v>
      </c>
      <c r="O229" s="306" t="s">
        <v>156</v>
      </c>
      <c r="P229" s="307">
        <v>8.95</v>
      </c>
      <c r="Q229" s="307" t="s">
        <v>156</v>
      </c>
      <c r="R229" s="298" t="s">
        <v>156</v>
      </c>
      <c r="S229" s="297" t="s">
        <v>156</v>
      </c>
      <c r="T229" s="297" t="s">
        <v>156</v>
      </c>
      <c r="U229" s="307" t="s">
        <v>156</v>
      </c>
      <c r="V229" s="307"/>
      <c r="W229" s="307">
        <f t="shared" si="18"/>
        <v>0</v>
      </c>
      <c r="X229" s="307" t="str">
        <f t="shared" si="20"/>
        <v/>
      </c>
      <c r="Y229" s="307">
        <f t="shared" si="19"/>
        <v>0</v>
      </c>
      <c r="Z229" s="298"/>
    </row>
    <row r="230" s="282" customFormat="1" spans="1:26">
      <c r="A230" s="295" t="s">
        <v>940</v>
      </c>
      <c r="B230" s="296" t="s">
        <v>102</v>
      </c>
      <c r="C230" s="296" t="s">
        <v>45</v>
      </c>
      <c r="D230" s="295" t="s">
        <v>511</v>
      </c>
      <c r="E230" s="296" t="s">
        <v>564</v>
      </c>
      <c r="F230" s="296" t="s">
        <v>156</v>
      </c>
      <c r="G230" s="295" t="s">
        <v>513</v>
      </c>
      <c r="H230" s="295" t="s">
        <v>514</v>
      </c>
      <c r="I230" s="295"/>
      <c r="J230" s="304" t="s">
        <v>156</v>
      </c>
      <c r="K230" s="309" t="s">
        <v>156</v>
      </c>
      <c r="L230" s="306" t="s">
        <v>156</v>
      </c>
      <c r="M230" s="295" t="s">
        <v>156</v>
      </c>
      <c r="N230" s="306">
        <v>8.95</v>
      </c>
      <c r="O230" s="306" t="s">
        <v>156</v>
      </c>
      <c r="P230" s="307">
        <v>8.95</v>
      </c>
      <c r="Q230" s="307" t="s">
        <v>156</v>
      </c>
      <c r="R230" s="298" t="s">
        <v>156</v>
      </c>
      <c r="S230" s="297" t="s">
        <v>156</v>
      </c>
      <c r="T230" s="297" t="s">
        <v>156</v>
      </c>
      <c r="U230" s="307" t="s">
        <v>156</v>
      </c>
      <c r="V230" s="307"/>
      <c r="W230" s="307">
        <f t="shared" si="18"/>
        <v>0</v>
      </c>
      <c r="X230" s="307" t="str">
        <f t="shared" si="20"/>
        <v/>
      </c>
      <c r="Y230" s="307">
        <f t="shared" si="19"/>
        <v>0</v>
      </c>
      <c r="Z230" s="298"/>
    </row>
    <row r="231" s="282" customFormat="1" spans="1:26">
      <c r="A231" s="295" t="s">
        <v>941</v>
      </c>
      <c r="B231" s="296" t="s">
        <v>105</v>
      </c>
      <c r="C231" s="296" t="s">
        <v>42</v>
      </c>
      <c r="D231" s="295" t="s">
        <v>42</v>
      </c>
      <c r="E231" s="296" t="s">
        <v>388</v>
      </c>
      <c r="F231" s="296" t="s">
        <v>156</v>
      </c>
      <c r="G231" s="295" t="s">
        <v>215</v>
      </c>
      <c r="H231" s="295" t="s">
        <v>389</v>
      </c>
      <c r="I231" s="295" t="s">
        <v>294</v>
      </c>
      <c r="J231" s="304">
        <v>20210008817</v>
      </c>
      <c r="K231" s="309" t="s">
        <v>566</v>
      </c>
      <c r="L231" s="306">
        <v>1116438</v>
      </c>
      <c r="M231" s="295" t="s">
        <v>942</v>
      </c>
      <c r="N231" s="306">
        <v>150.87</v>
      </c>
      <c r="O231" s="306" t="s">
        <v>156</v>
      </c>
      <c r="P231" s="307">
        <v>150.87</v>
      </c>
      <c r="Q231" s="307" t="s">
        <v>156</v>
      </c>
      <c r="R231" s="298" t="s">
        <v>156</v>
      </c>
      <c r="S231" s="563" t="s">
        <v>392</v>
      </c>
      <c r="T231" s="333" t="s">
        <v>943</v>
      </c>
      <c r="U231" s="316">
        <v>1024255.04</v>
      </c>
      <c r="V231" s="307">
        <f t="shared" ref="V231:V258" si="21">ROUND(U231*0.09,2)</f>
        <v>92182.95</v>
      </c>
      <c r="W231" s="307">
        <f t="shared" si="18"/>
        <v>1116437.99</v>
      </c>
      <c r="X231" s="307">
        <f t="shared" si="20"/>
        <v>1024255.04</v>
      </c>
      <c r="Y231" s="307">
        <f t="shared" si="19"/>
        <v>6788.99</v>
      </c>
      <c r="Z231" s="298"/>
    </row>
    <row r="232" s="282" customFormat="1" spans="1:26">
      <c r="A232" s="295" t="s">
        <v>944</v>
      </c>
      <c r="B232" s="296" t="s">
        <v>105</v>
      </c>
      <c r="C232" s="296" t="s">
        <v>42</v>
      </c>
      <c r="D232" s="295" t="s">
        <v>42</v>
      </c>
      <c r="E232" s="296" t="s">
        <v>395</v>
      </c>
      <c r="F232" s="296" t="s">
        <v>156</v>
      </c>
      <c r="G232" s="295" t="s">
        <v>215</v>
      </c>
      <c r="H232" s="295" t="s">
        <v>389</v>
      </c>
      <c r="I232" s="295" t="s">
        <v>294</v>
      </c>
      <c r="J232" s="304">
        <v>20230009995</v>
      </c>
      <c r="K232" s="309" t="s">
        <v>945</v>
      </c>
      <c r="L232" s="306">
        <v>1119661</v>
      </c>
      <c r="M232" s="295" t="s">
        <v>946</v>
      </c>
      <c r="N232" s="306">
        <v>150.29</v>
      </c>
      <c r="O232" s="306" t="s">
        <v>156</v>
      </c>
      <c r="P232" s="307">
        <v>150.29</v>
      </c>
      <c r="Q232" s="307" t="s">
        <v>156</v>
      </c>
      <c r="R232" s="298" t="s">
        <v>156</v>
      </c>
      <c r="S232" s="563" t="s">
        <v>392</v>
      </c>
      <c r="T232" s="333" t="s">
        <v>947</v>
      </c>
      <c r="U232" s="316">
        <v>1027211.92</v>
      </c>
      <c r="V232" s="307">
        <f t="shared" si="21"/>
        <v>92449.07</v>
      </c>
      <c r="W232" s="307">
        <f t="shared" si="18"/>
        <v>1119660.99</v>
      </c>
      <c r="X232" s="307">
        <f t="shared" si="20"/>
        <v>1027211.92</v>
      </c>
      <c r="Y232" s="307">
        <f t="shared" si="19"/>
        <v>6834.87</v>
      </c>
      <c r="Z232" s="298"/>
    </row>
    <row r="233" s="282" customFormat="1" spans="1:26">
      <c r="A233" s="295" t="s">
        <v>948</v>
      </c>
      <c r="B233" s="296" t="s">
        <v>105</v>
      </c>
      <c r="C233" s="296" t="s">
        <v>42</v>
      </c>
      <c r="D233" s="295" t="s">
        <v>45</v>
      </c>
      <c r="E233" s="296" t="s">
        <v>400</v>
      </c>
      <c r="F233" s="296" t="s">
        <v>156</v>
      </c>
      <c r="G233" s="295" t="s">
        <v>215</v>
      </c>
      <c r="H233" s="295" t="s">
        <v>389</v>
      </c>
      <c r="I233" s="295" t="s">
        <v>294</v>
      </c>
      <c r="J233" s="304">
        <v>20200008045</v>
      </c>
      <c r="K233" s="309" t="s">
        <v>406</v>
      </c>
      <c r="L233" s="306">
        <v>645524</v>
      </c>
      <c r="M233" s="295" t="s">
        <v>949</v>
      </c>
      <c r="N233" s="306">
        <v>150.87</v>
      </c>
      <c r="O233" s="306" t="s">
        <v>156</v>
      </c>
      <c r="P233" s="307">
        <v>150.87</v>
      </c>
      <c r="Q233" s="307" t="s">
        <v>156</v>
      </c>
      <c r="R233" s="298" t="s">
        <v>156</v>
      </c>
      <c r="S233" s="563" t="s">
        <v>392</v>
      </c>
      <c r="T233" s="565" t="s">
        <v>950</v>
      </c>
      <c r="U233" s="316">
        <v>592223.85</v>
      </c>
      <c r="V233" s="307">
        <f t="shared" si="21"/>
        <v>53300.15</v>
      </c>
      <c r="W233" s="307">
        <f t="shared" si="18"/>
        <v>645524</v>
      </c>
      <c r="X233" s="307">
        <f t="shared" si="20"/>
        <v>592223.85</v>
      </c>
      <c r="Y233" s="307">
        <f t="shared" si="19"/>
        <v>3925.39</v>
      </c>
      <c r="Z233" s="298"/>
    </row>
    <row r="234" s="282" customFormat="1" spans="1:26">
      <c r="A234" s="295" t="s">
        <v>951</v>
      </c>
      <c r="B234" s="296" t="s">
        <v>105</v>
      </c>
      <c r="C234" s="296" t="s">
        <v>42</v>
      </c>
      <c r="D234" s="295" t="s">
        <v>45</v>
      </c>
      <c r="E234" s="296" t="s">
        <v>405</v>
      </c>
      <c r="F234" s="296" t="s">
        <v>156</v>
      </c>
      <c r="G234" s="295" t="s">
        <v>215</v>
      </c>
      <c r="H234" s="295" t="s">
        <v>389</v>
      </c>
      <c r="I234" s="295" t="s">
        <v>294</v>
      </c>
      <c r="J234" s="304">
        <v>20200007979</v>
      </c>
      <c r="K234" s="309" t="s">
        <v>492</v>
      </c>
      <c r="L234" s="306">
        <v>643428</v>
      </c>
      <c r="M234" s="295" t="s">
        <v>952</v>
      </c>
      <c r="N234" s="306">
        <v>150.38</v>
      </c>
      <c r="O234" s="306" t="s">
        <v>156</v>
      </c>
      <c r="P234" s="307">
        <v>150.38</v>
      </c>
      <c r="Q234" s="307" t="s">
        <v>156</v>
      </c>
      <c r="R234" s="298" t="s">
        <v>156</v>
      </c>
      <c r="S234" s="563" t="s">
        <v>392</v>
      </c>
      <c r="T234" s="333" t="s">
        <v>953</v>
      </c>
      <c r="U234" s="316">
        <v>590300.92</v>
      </c>
      <c r="V234" s="307">
        <f t="shared" si="21"/>
        <v>53127.08</v>
      </c>
      <c r="W234" s="307">
        <f t="shared" si="18"/>
        <v>643428</v>
      </c>
      <c r="X234" s="307">
        <f t="shared" si="20"/>
        <v>590300.92</v>
      </c>
      <c r="Y234" s="307">
        <f t="shared" si="19"/>
        <v>3925.4</v>
      </c>
      <c r="Z234" s="298"/>
    </row>
    <row r="235" s="282" customFormat="1" spans="1:26">
      <c r="A235" s="295" t="s">
        <v>954</v>
      </c>
      <c r="B235" s="296" t="s">
        <v>105</v>
      </c>
      <c r="C235" s="296" t="s">
        <v>42</v>
      </c>
      <c r="D235" s="295" t="s">
        <v>48</v>
      </c>
      <c r="E235" s="296" t="s">
        <v>410</v>
      </c>
      <c r="F235" s="296" t="s">
        <v>156</v>
      </c>
      <c r="G235" s="295" t="s">
        <v>215</v>
      </c>
      <c r="H235" s="295" t="s">
        <v>389</v>
      </c>
      <c r="I235" s="295" t="s">
        <v>294</v>
      </c>
      <c r="J235" s="304">
        <v>20200011761</v>
      </c>
      <c r="K235" s="309" t="s">
        <v>955</v>
      </c>
      <c r="L235" s="306">
        <v>653171</v>
      </c>
      <c r="M235" s="295" t="s">
        <v>956</v>
      </c>
      <c r="N235" s="306">
        <v>150.87</v>
      </c>
      <c r="O235" s="306" t="s">
        <v>156</v>
      </c>
      <c r="P235" s="307">
        <v>150.87</v>
      </c>
      <c r="Q235" s="307" t="s">
        <v>156</v>
      </c>
      <c r="R235" s="298" t="s">
        <v>156</v>
      </c>
      <c r="S235" s="563" t="s">
        <v>392</v>
      </c>
      <c r="T235" s="333" t="s">
        <v>957</v>
      </c>
      <c r="U235" s="316">
        <v>599239.45</v>
      </c>
      <c r="V235" s="307">
        <f t="shared" si="21"/>
        <v>53931.55</v>
      </c>
      <c r="W235" s="307">
        <f t="shared" si="18"/>
        <v>653171</v>
      </c>
      <c r="X235" s="307">
        <f t="shared" si="20"/>
        <v>599239.45</v>
      </c>
      <c r="Y235" s="307">
        <f t="shared" si="19"/>
        <v>3971.89</v>
      </c>
      <c r="Z235" s="298"/>
    </row>
    <row r="236" s="282" customFormat="1" ht="23.8" spans="1:26">
      <c r="A236" s="295" t="s">
        <v>958</v>
      </c>
      <c r="B236" s="296" t="s">
        <v>105</v>
      </c>
      <c r="C236" s="296" t="s">
        <v>42</v>
      </c>
      <c r="D236" s="295" t="s">
        <v>48</v>
      </c>
      <c r="E236" s="296" t="s">
        <v>415</v>
      </c>
      <c r="F236" s="296" t="s">
        <v>156</v>
      </c>
      <c r="G236" s="295" t="s">
        <v>215</v>
      </c>
      <c r="H236" s="295" t="s">
        <v>389</v>
      </c>
      <c r="I236" s="295" t="s">
        <v>294</v>
      </c>
      <c r="J236" s="304">
        <v>20200009632</v>
      </c>
      <c r="K236" s="309" t="s">
        <v>431</v>
      </c>
      <c r="L236" s="306">
        <v>651049</v>
      </c>
      <c r="M236" s="295" t="s">
        <v>959</v>
      </c>
      <c r="N236" s="306">
        <v>150.38</v>
      </c>
      <c r="O236" s="306" t="s">
        <v>156</v>
      </c>
      <c r="P236" s="307">
        <v>150.38</v>
      </c>
      <c r="Q236" s="307" t="s">
        <v>156</v>
      </c>
      <c r="R236" s="298" t="s">
        <v>156</v>
      </c>
      <c r="S236" s="563" t="s">
        <v>392</v>
      </c>
      <c r="T236" s="333" t="s">
        <v>960</v>
      </c>
      <c r="U236" s="316">
        <v>597292.66</v>
      </c>
      <c r="V236" s="307">
        <f t="shared" si="21"/>
        <v>53756.34</v>
      </c>
      <c r="W236" s="307">
        <f t="shared" si="18"/>
        <v>651049</v>
      </c>
      <c r="X236" s="307">
        <f t="shared" si="20"/>
        <v>597292.66</v>
      </c>
      <c r="Y236" s="307">
        <f t="shared" si="19"/>
        <v>3971.89</v>
      </c>
      <c r="Z236" s="298"/>
    </row>
    <row r="237" s="282" customFormat="1" ht="23.8" spans="1:26">
      <c r="A237" s="295" t="s">
        <v>961</v>
      </c>
      <c r="B237" s="296" t="s">
        <v>105</v>
      </c>
      <c r="C237" s="296" t="s">
        <v>42</v>
      </c>
      <c r="D237" s="295" t="s">
        <v>92</v>
      </c>
      <c r="E237" s="296" t="s">
        <v>420</v>
      </c>
      <c r="F237" s="296" t="s">
        <v>156</v>
      </c>
      <c r="G237" s="295" t="s">
        <v>215</v>
      </c>
      <c r="H237" s="295" t="s">
        <v>389</v>
      </c>
      <c r="I237" s="295" t="s">
        <v>294</v>
      </c>
      <c r="J237" s="304">
        <v>20200009281</v>
      </c>
      <c r="K237" s="309" t="s">
        <v>962</v>
      </c>
      <c r="L237" s="306">
        <v>660810</v>
      </c>
      <c r="M237" s="295" t="s">
        <v>963</v>
      </c>
      <c r="N237" s="306">
        <v>150.87</v>
      </c>
      <c r="O237" s="306" t="s">
        <v>156</v>
      </c>
      <c r="P237" s="307">
        <v>150.87</v>
      </c>
      <c r="Q237" s="307" t="s">
        <v>156</v>
      </c>
      <c r="R237" s="298" t="s">
        <v>156</v>
      </c>
      <c r="S237" s="563" t="s">
        <v>392</v>
      </c>
      <c r="T237" s="333" t="s">
        <v>964</v>
      </c>
      <c r="U237" s="316">
        <v>606247.71</v>
      </c>
      <c r="V237" s="307">
        <f t="shared" si="21"/>
        <v>54562.29</v>
      </c>
      <c r="W237" s="307">
        <f t="shared" si="18"/>
        <v>660810</v>
      </c>
      <c r="X237" s="307">
        <f t="shared" si="20"/>
        <v>606247.71</v>
      </c>
      <c r="Y237" s="307">
        <f t="shared" si="19"/>
        <v>4018.34</v>
      </c>
      <c r="Z237" s="298"/>
    </row>
    <row r="238" s="282" customFormat="1" spans="1:26">
      <c r="A238" s="295" t="s">
        <v>965</v>
      </c>
      <c r="B238" s="296" t="s">
        <v>105</v>
      </c>
      <c r="C238" s="296" t="s">
        <v>42</v>
      </c>
      <c r="D238" s="295" t="s">
        <v>92</v>
      </c>
      <c r="E238" s="296" t="s">
        <v>425</v>
      </c>
      <c r="F238" s="296" t="s">
        <v>156</v>
      </c>
      <c r="G238" s="295" t="s">
        <v>215</v>
      </c>
      <c r="H238" s="295" t="s">
        <v>389</v>
      </c>
      <c r="I238" s="295" t="s">
        <v>294</v>
      </c>
      <c r="J238" s="304">
        <v>20200007730</v>
      </c>
      <c r="K238" s="309" t="s">
        <v>436</v>
      </c>
      <c r="L238" s="306">
        <v>655000</v>
      </c>
      <c r="M238" s="295" t="s">
        <v>966</v>
      </c>
      <c r="N238" s="306">
        <v>150.38</v>
      </c>
      <c r="O238" s="306" t="s">
        <v>156</v>
      </c>
      <c r="P238" s="307">
        <v>150.38</v>
      </c>
      <c r="Q238" s="307" t="s">
        <v>156</v>
      </c>
      <c r="R238" s="298" t="s">
        <v>156</v>
      </c>
      <c r="S238" s="563" t="s">
        <v>392</v>
      </c>
      <c r="T238" s="333" t="s">
        <v>967</v>
      </c>
      <c r="U238" s="316">
        <v>600917.43</v>
      </c>
      <c r="V238" s="307">
        <f t="shared" si="21"/>
        <v>54082.57</v>
      </c>
      <c r="W238" s="307">
        <f t="shared" si="18"/>
        <v>655000</v>
      </c>
      <c r="X238" s="307">
        <f t="shared" si="20"/>
        <v>600917.43</v>
      </c>
      <c r="Y238" s="307">
        <f t="shared" si="19"/>
        <v>3995.99</v>
      </c>
      <c r="Z238" s="298"/>
    </row>
    <row r="239" s="282" customFormat="1" spans="1:26">
      <c r="A239" s="295" t="s">
        <v>968</v>
      </c>
      <c r="B239" s="297" t="s">
        <v>105</v>
      </c>
      <c r="C239" s="297" t="s">
        <v>42</v>
      </c>
      <c r="D239" s="298" t="s">
        <v>95</v>
      </c>
      <c r="E239" s="297" t="s">
        <v>430</v>
      </c>
      <c r="F239" s="297" t="s">
        <v>156</v>
      </c>
      <c r="G239" s="295" t="s">
        <v>215</v>
      </c>
      <c r="H239" s="298" t="s">
        <v>389</v>
      </c>
      <c r="I239" s="295" t="s">
        <v>294</v>
      </c>
      <c r="J239" s="308">
        <v>20200008777</v>
      </c>
      <c r="K239" s="305" t="s">
        <v>917</v>
      </c>
      <c r="L239" s="307">
        <v>665764</v>
      </c>
      <c r="M239" s="298" t="s">
        <v>969</v>
      </c>
      <c r="N239" s="307">
        <v>150.87</v>
      </c>
      <c r="O239" s="307" t="s">
        <v>156</v>
      </c>
      <c r="P239" s="307">
        <v>150.87</v>
      </c>
      <c r="Q239" s="307" t="s">
        <v>156</v>
      </c>
      <c r="R239" s="298" t="s">
        <v>156</v>
      </c>
      <c r="S239" s="563" t="s">
        <v>392</v>
      </c>
      <c r="T239" s="333" t="s">
        <v>970</v>
      </c>
      <c r="U239" s="316">
        <v>610792.66</v>
      </c>
      <c r="V239" s="307">
        <f t="shared" si="21"/>
        <v>54971.34</v>
      </c>
      <c r="W239" s="307">
        <f t="shared" si="18"/>
        <v>665764</v>
      </c>
      <c r="X239" s="307">
        <f t="shared" si="20"/>
        <v>610792.66</v>
      </c>
      <c r="Y239" s="307">
        <f t="shared" si="19"/>
        <v>4048.47</v>
      </c>
      <c r="Z239" s="298"/>
    </row>
    <row r="240" s="282" customFormat="1" spans="1:26">
      <c r="A240" s="295" t="s">
        <v>971</v>
      </c>
      <c r="B240" s="296" t="s">
        <v>105</v>
      </c>
      <c r="C240" s="296" t="s">
        <v>42</v>
      </c>
      <c r="D240" s="295" t="s">
        <v>95</v>
      </c>
      <c r="E240" s="296" t="s">
        <v>435</v>
      </c>
      <c r="F240" s="296" t="s">
        <v>156</v>
      </c>
      <c r="G240" s="295" t="s">
        <v>215</v>
      </c>
      <c r="H240" s="295" t="s">
        <v>389</v>
      </c>
      <c r="I240" s="295" t="s">
        <v>294</v>
      </c>
      <c r="J240" s="304">
        <v>20200007729</v>
      </c>
      <c r="K240" s="309" t="s">
        <v>436</v>
      </c>
      <c r="L240" s="306">
        <v>662000</v>
      </c>
      <c r="M240" s="295" t="s">
        <v>972</v>
      </c>
      <c r="N240" s="306">
        <v>150.38</v>
      </c>
      <c r="O240" s="306" t="s">
        <v>156</v>
      </c>
      <c r="P240" s="307">
        <v>150.38</v>
      </c>
      <c r="Q240" s="307" t="s">
        <v>156</v>
      </c>
      <c r="R240" s="298" t="s">
        <v>156</v>
      </c>
      <c r="S240" s="563" t="s">
        <v>392</v>
      </c>
      <c r="T240" s="333" t="s">
        <v>973</v>
      </c>
      <c r="U240" s="316">
        <v>607339.45</v>
      </c>
      <c r="V240" s="307">
        <f t="shared" si="21"/>
        <v>54660.55</v>
      </c>
      <c r="W240" s="307">
        <f t="shared" si="18"/>
        <v>662000</v>
      </c>
      <c r="X240" s="307">
        <f t="shared" si="20"/>
        <v>607339.45</v>
      </c>
      <c r="Y240" s="307">
        <f t="shared" si="19"/>
        <v>4038.7</v>
      </c>
      <c r="Z240" s="298"/>
    </row>
    <row r="241" s="282" customFormat="1" spans="1:26">
      <c r="A241" s="295" t="s">
        <v>974</v>
      </c>
      <c r="B241" s="296" t="s">
        <v>105</v>
      </c>
      <c r="C241" s="296" t="s">
        <v>42</v>
      </c>
      <c r="D241" s="295" t="s">
        <v>99</v>
      </c>
      <c r="E241" s="296" t="s">
        <v>440</v>
      </c>
      <c r="F241" s="296" t="s">
        <v>156</v>
      </c>
      <c r="G241" s="295" t="s">
        <v>215</v>
      </c>
      <c r="H241" s="295" t="s">
        <v>389</v>
      </c>
      <c r="I241" s="295" t="s">
        <v>294</v>
      </c>
      <c r="J241" s="304">
        <v>20200007959</v>
      </c>
      <c r="K241" s="309" t="s">
        <v>629</v>
      </c>
      <c r="L241" s="306">
        <v>675656</v>
      </c>
      <c r="M241" s="295" t="s">
        <v>975</v>
      </c>
      <c r="N241" s="306">
        <v>150.87</v>
      </c>
      <c r="O241" s="306" t="s">
        <v>156</v>
      </c>
      <c r="P241" s="307">
        <v>150.87</v>
      </c>
      <c r="Q241" s="307" t="s">
        <v>156</v>
      </c>
      <c r="R241" s="298" t="s">
        <v>156</v>
      </c>
      <c r="S241" s="563" t="s">
        <v>392</v>
      </c>
      <c r="T241" s="333" t="s">
        <v>976</v>
      </c>
      <c r="U241" s="316">
        <v>619867.89</v>
      </c>
      <c r="V241" s="307">
        <f t="shared" si="21"/>
        <v>55788.11</v>
      </c>
      <c r="W241" s="307">
        <f t="shared" si="18"/>
        <v>675656</v>
      </c>
      <c r="X241" s="307">
        <f t="shared" si="20"/>
        <v>619867.89</v>
      </c>
      <c r="Y241" s="307">
        <f t="shared" si="19"/>
        <v>4108.62</v>
      </c>
      <c r="Z241" s="298"/>
    </row>
    <row r="242" s="282" customFormat="1" spans="1:26">
      <c r="A242" s="295" t="s">
        <v>977</v>
      </c>
      <c r="B242" s="296" t="s">
        <v>105</v>
      </c>
      <c r="C242" s="296" t="s">
        <v>42</v>
      </c>
      <c r="D242" s="295" t="s">
        <v>99</v>
      </c>
      <c r="E242" s="296" t="s">
        <v>444</v>
      </c>
      <c r="F242" s="296" t="s">
        <v>156</v>
      </c>
      <c r="G242" s="295" t="s">
        <v>215</v>
      </c>
      <c r="H242" s="295" t="s">
        <v>389</v>
      </c>
      <c r="I242" s="295" t="s">
        <v>294</v>
      </c>
      <c r="J242" s="304">
        <v>20200011668</v>
      </c>
      <c r="K242" s="309" t="s">
        <v>978</v>
      </c>
      <c r="L242" s="306">
        <v>669060</v>
      </c>
      <c r="M242" s="295" t="s">
        <v>979</v>
      </c>
      <c r="N242" s="306">
        <v>150.38</v>
      </c>
      <c r="O242" s="306" t="s">
        <v>156</v>
      </c>
      <c r="P242" s="307">
        <v>150.38</v>
      </c>
      <c r="Q242" s="307" t="s">
        <v>156</v>
      </c>
      <c r="R242" s="298" t="s">
        <v>156</v>
      </c>
      <c r="S242" s="563" t="s">
        <v>392</v>
      </c>
      <c r="T242" s="333" t="s">
        <v>980</v>
      </c>
      <c r="U242" s="316">
        <v>613816.51</v>
      </c>
      <c r="V242" s="307">
        <f t="shared" si="21"/>
        <v>55243.49</v>
      </c>
      <c r="W242" s="307">
        <f t="shared" si="18"/>
        <v>669060</v>
      </c>
      <c r="X242" s="307">
        <f t="shared" si="20"/>
        <v>613816.51</v>
      </c>
      <c r="Y242" s="307">
        <f t="shared" si="19"/>
        <v>4081.77</v>
      </c>
      <c r="Z242" s="298"/>
    </row>
    <row r="243" s="282" customFormat="1" spans="1:26">
      <c r="A243" s="295" t="s">
        <v>981</v>
      </c>
      <c r="B243" s="297" t="s">
        <v>105</v>
      </c>
      <c r="C243" s="297" t="s">
        <v>42</v>
      </c>
      <c r="D243" s="298" t="s">
        <v>102</v>
      </c>
      <c r="E243" s="297" t="s">
        <v>448</v>
      </c>
      <c r="F243" s="297" t="s">
        <v>156</v>
      </c>
      <c r="G243" s="295" t="s">
        <v>215</v>
      </c>
      <c r="H243" s="298" t="s">
        <v>389</v>
      </c>
      <c r="I243" s="295" t="s">
        <v>294</v>
      </c>
      <c r="J243" s="308">
        <v>20210001394</v>
      </c>
      <c r="K243" s="305" t="s">
        <v>982</v>
      </c>
      <c r="L243" s="307">
        <v>1064401</v>
      </c>
      <c r="M243" s="298" t="s">
        <v>983</v>
      </c>
      <c r="N243" s="307">
        <v>241.65</v>
      </c>
      <c r="O243" s="307" t="s">
        <v>156</v>
      </c>
      <c r="P243" s="307">
        <v>241.65</v>
      </c>
      <c r="Q243" s="307" t="s">
        <v>156</v>
      </c>
      <c r="R243" s="298" t="s">
        <v>156</v>
      </c>
      <c r="S243" s="563" t="s">
        <v>392</v>
      </c>
      <c r="T243" s="333" t="s">
        <v>984</v>
      </c>
      <c r="U243" s="316">
        <v>976514.68</v>
      </c>
      <c r="V243" s="307">
        <f t="shared" si="21"/>
        <v>87886.32</v>
      </c>
      <c r="W243" s="307">
        <f t="shared" si="18"/>
        <v>1064401</v>
      </c>
      <c r="X243" s="307">
        <f t="shared" si="20"/>
        <v>976514.68</v>
      </c>
      <c r="Y243" s="307">
        <f t="shared" si="19"/>
        <v>4041.03</v>
      </c>
      <c r="Z243" s="298"/>
    </row>
    <row r="244" s="282" customFormat="1" spans="1:26">
      <c r="A244" s="295" t="s">
        <v>985</v>
      </c>
      <c r="B244" s="296" t="s">
        <v>105</v>
      </c>
      <c r="C244" s="296" t="s">
        <v>42</v>
      </c>
      <c r="D244" s="295" t="s">
        <v>102</v>
      </c>
      <c r="E244" s="296" t="s">
        <v>452</v>
      </c>
      <c r="F244" s="296" t="s">
        <v>156</v>
      </c>
      <c r="G244" s="295" t="s">
        <v>215</v>
      </c>
      <c r="H244" s="295" t="s">
        <v>389</v>
      </c>
      <c r="I244" s="295" t="s">
        <v>294</v>
      </c>
      <c r="J244" s="304">
        <v>20210000958</v>
      </c>
      <c r="K244" s="309" t="s">
        <v>986</v>
      </c>
      <c r="L244" s="306">
        <v>1076879</v>
      </c>
      <c r="M244" s="295" t="s">
        <v>987</v>
      </c>
      <c r="N244" s="306">
        <v>241.16</v>
      </c>
      <c r="O244" s="306" t="s">
        <v>156</v>
      </c>
      <c r="P244" s="307">
        <v>241.16</v>
      </c>
      <c r="Q244" s="307" t="s">
        <v>156</v>
      </c>
      <c r="R244" s="298" t="s">
        <v>156</v>
      </c>
      <c r="S244" s="563" t="s">
        <v>392</v>
      </c>
      <c r="T244" s="333" t="s">
        <v>988</v>
      </c>
      <c r="U244" s="316">
        <v>987962.39</v>
      </c>
      <c r="V244" s="307">
        <f t="shared" si="21"/>
        <v>88916.62</v>
      </c>
      <c r="W244" s="307">
        <f t="shared" si="18"/>
        <v>1076879.01</v>
      </c>
      <c r="X244" s="307">
        <f t="shared" si="20"/>
        <v>987962.39</v>
      </c>
      <c r="Y244" s="307">
        <f t="shared" si="19"/>
        <v>4096.71</v>
      </c>
      <c r="Z244" s="298"/>
    </row>
    <row r="245" s="282" customFormat="1" spans="1:26">
      <c r="A245" s="295" t="s">
        <v>989</v>
      </c>
      <c r="B245" s="296" t="s">
        <v>105</v>
      </c>
      <c r="C245" s="296" t="s">
        <v>45</v>
      </c>
      <c r="D245" s="295" t="s">
        <v>42</v>
      </c>
      <c r="E245" s="296" t="s">
        <v>388</v>
      </c>
      <c r="F245" s="296" t="s">
        <v>156</v>
      </c>
      <c r="G245" s="295" t="s">
        <v>215</v>
      </c>
      <c r="H245" s="295" t="s">
        <v>389</v>
      </c>
      <c r="I245" s="295" t="s">
        <v>294</v>
      </c>
      <c r="J245" s="304">
        <v>123123</v>
      </c>
      <c r="K245" s="332">
        <v>45645</v>
      </c>
      <c r="L245" s="306">
        <f>1172964</f>
        <v>1172964</v>
      </c>
      <c r="M245" s="295" t="s">
        <v>990</v>
      </c>
      <c r="N245" s="306">
        <v>150.38</v>
      </c>
      <c r="O245" s="306" t="s">
        <v>156</v>
      </c>
      <c r="P245" s="307">
        <v>150.38</v>
      </c>
      <c r="Q245" s="307" t="s">
        <v>156</v>
      </c>
      <c r="R245" s="298" t="s">
        <v>156</v>
      </c>
      <c r="S245" s="297" t="s">
        <v>156</v>
      </c>
      <c r="T245" s="334" t="s">
        <v>991</v>
      </c>
      <c r="U245" s="307">
        <v>1076113.76</v>
      </c>
      <c r="V245" s="307">
        <f t="shared" si="21"/>
        <v>96850.24</v>
      </c>
      <c r="W245" s="307">
        <f t="shared" si="18"/>
        <v>1172964</v>
      </c>
      <c r="X245" s="307">
        <f t="shared" si="20"/>
        <v>1076113.76</v>
      </c>
      <c r="Y245" s="307">
        <f t="shared" si="19"/>
        <v>7155.96</v>
      </c>
      <c r="Z245" s="298"/>
    </row>
    <row r="246" s="282" customFormat="1" spans="1:26">
      <c r="A246" s="295" t="s">
        <v>992</v>
      </c>
      <c r="B246" s="296" t="s">
        <v>105</v>
      </c>
      <c r="C246" s="296" t="s">
        <v>45</v>
      </c>
      <c r="D246" s="295" t="s">
        <v>42</v>
      </c>
      <c r="E246" s="296" t="s">
        <v>395</v>
      </c>
      <c r="F246" s="296" t="s">
        <v>156</v>
      </c>
      <c r="G246" s="295" t="s">
        <v>215</v>
      </c>
      <c r="H246" s="295" t="s">
        <v>389</v>
      </c>
      <c r="I246" s="295" t="s">
        <v>294</v>
      </c>
      <c r="J246" s="304">
        <v>20220003640</v>
      </c>
      <c r="K246" s="309" t="s">
        <v>993</v>
      </c>
      <c r="L246" s="306">
        <v>1145852</v>
      </c>
      <c r="M246" s="295" t="s">
        <v>994</v>
      </c>
      <c r="N246" s="306">
        <v>150.77</v>
      </c>
      <c r="O246" s="306" t="s">
        <v>156</v>
      </c>
      <c r="P246" s="307">
        <v>150.77</v>
      </c>
      <c r="Q246" s="307" t="s">
        <v>156</v>
      </c>
      <c r="R246" s="298" t="s">
        <v>156</v>
      </c>
      <c r="S246" s="563" t="s">
        <v>392</v>
      </c>
      <c r="T246" s="333" t="s">
        <v>995</v>
      </c>
      <c r="U246" s="316">
        <v>1051240.36</v>
      </c>
      <c r="V246" s="307">
        <f t="shared" si="21"/>
        <v>94611.63</v>
      </c>
      <c r="W246" s="307">
        <f t="shared" si="18"/>
        <v>1145851.99</v>
      </c>
      <c r="X246" s="307">
        <f t="shared" si="20"/>
        <v>1051240.36</v>
      </c>
      <c r="Y246" s="307">
        <f t="shared" si="19"/>
        <v>6972.48</v>
      </c>
      <c r="Z246" s="298"/>
    </row>
    <row r="247" s="282" customFormat="1" spans="1:26">
      <c r="A247" s="295" t="s">
        <v>789</v>
      </c>
      <c r="B247" s="296" t="s">
        <v>105</v>
      </c>
      <c r="C247" s="296" t="s">
        <v>45</v>
      </c>
      <c r="D247" s="295" t="s">
        <v>45</v>
      </c>
      <c r="E247" s="296" t="s">
        <v>400</v>
      </c>
      <c r="F247" s="296" t="s">
        <v>156</v>
      </c>
      <c r="G247" s="295" t="s">
        <v>215</v>
      </c>
      <c r="H247" s="295" t="s">
        <v>389</v>
      </c>
      <c r="I247" s="295" t="s">
        <v>294</v>
      </c>
      <c r="J247" s="304">
        <v>20200010225</v>
      </c>
      <c r="K247" s="309" t="s">
        <v>996</v>
      </c>
      <c r="L247" s="306">
        <v>658338</v>
      </c>
      <c r="M247" s="295" t="s">
        <v>997</v>
      </c>
      <c r="N247" s="306">
        <v>150.38</v>
      </c>
      <c r="O247" s="306" t="s">
        <v>156</v>
      </c>
      <c r="P247" s="307">
        <v>150.38</v>
      </c>
      <c r="Q247" s="307" t="s">
        <v>156</v>
      </c>
      <c r="R247" s="298" t="s">
        <v>156</v>
      </c>
      <c r="S247" s="563" t="s">
        <v>392</v>
      </c>
      <c r="T247" s="333" t="s">
        <v>998</v>
      </c>
      <c r="U247" s="316">
        <v>603979.82</v>
      </c>
      <c r="V247" s="307">
        <f t="shared" si="21"/>
        <v>54358.18</v>
      </c>
      <c r="W247" s="307">
        <f t="shared" si="18"/>
        <v>658338</v>
      </c>
      <c r="X247" s="307">
        <f t="shared" si="20"/>
        <v>603979.82</v>
      </c>
      <c r="Y247" s="307">
        <f t="shared" si="19"/>
        <v>4016.36</v>
      </c>
      <c r="Z247" s="298"/>
    </row>
    <row r="248" s="282" customFormat="1" spans="1:26">
      <c r="A248" s="295" t="s">
        <v>999</v>
      </c>
      <c r="B248" s="296" t="s">
        <v>105</v>
      </c>
      <c r="C248" s="296" t="s">
        <v>45</v>
      </c>
      <c r="D248" s="295" t="s">
        <v>45</v>
      </c>
      <c r="E248" s="296" t="s">
        <v>405</v>
      </c>
      <c r="F248" s="296" t="s">
        <v>156</v>
      </c>
      <c r="G248" s="295" t="s">
        <v>215</v>
      </c>
      <c r="H248" s="295" t="s">
        <v>389</v>
      </c>
      <c r="I248" s="295" t="s">
        <v>294</v>
      </c>
      <c r="J248" s="304">
        <v>20200009176</v>
      </c>
      <c r="K248" s="309" t="s">
        <v>421</v>
      </c>
      <c r="L248" s="306">
        <v>644016</v>
      </c>
      <c r="M248" s="295" t="s">
        <v>1000</v>
      </c>
      <c r="N248" s="306">
        <v>150.87</v>
      </c>
      <c r="O248" s="306" t="s">
        <v>156</v>
      </c>
      <c r="P248" s="307">
        <v>150.87</v>
      </c>
      <c r="Q248" s="307" t="s">
        <v>156</v>
      </c>
      <c r="R248" s="298" t="s">
        <v>156</v>
      </c>
      <c r="S248" s="563" t="s">
        <v>392</v>
      </c>
      <c r="T248" s="333" t="s">
        <v>1001</v>
      </c>
      <c r="U248" s="316">
        <v>590840.37</v>
      </c>
      <c r="V248" s="307">
        <f t="shared" si="21"/>
        <v>53175.63</v>
      </c>
      <c r="W248" s="307">
        <f t="shared" si="18"/>
        <v>644016</v>
      </c>
      <c r="X248" s="307">
        <f t="shared" si="20"/>
        <v>590840.37</v>
      </c>
      <c r="Y248" s="307">
        <f t="shared" si="19"/>
        <v>3916.22</v>
      </c>
      <c r="Z248" s="298"/>
    </row>
    <row r="249" s="282" customFormat="1" spans="1:26">
      <c r="A249" s="295" t="s">
        <v>530</v>
      </c>
      <c r="B249" s="296" t="s">
        <v>105</v>
      </c>
      <c r="C249" s="296" t="s">
        <v>45</v>
      </c>
      <c r="D249" s="295" t="s">
        <v>48</v>
      </c>
      <c r="E249" s="296" t="s">
        <v>410</v>
      </c>
      <c r="F249" s="296" t="s">
        <v>156</v>
      </c>
      <c r="G249" s="295" t="s">
        <v>215</v>
      </c>
      <c r="H249" s="295" t="s">
        <v>389</v>
      </c>
      <c r="I249" s="295" t="s">
        <v>294</v>
      </c>
      <c r="J249" s="304">
        <v>20200007981</v>
      </c>
      <c r="K249" s="309" t="s">
        <v>492</v>
      </c>
      <c r="L249" s="306">
        <v>651049</v>
      </c>
      <c r="M249" s="295" t="s">
        <v>1002</v>
      </c>
      <c r="N249" s="306">
        <v>150.38</v>
      </c>
      <c r="O249" s="306" t="s">
        <v>156</v>
      </c>
      <c r="P249" s="307">
        <v>150.38</v>
      </c>
      <c r="Q249" s="307" t="s">
        <v>156</v>
      </c>
      <c r="R249" s="298" t="s">
        <v>156</v>
      </c>
      <c r="S249" s="563" t="s">
        <v>392</v>
      </c>
      <c r="T249" s="333" t="s">
        <v>1003</v>
      </c>
      <c r="U249" s="316">
        <v>597292.66</v>
      </c>
      <c r="V249" s="307">
        <f t="shared" si="21"/>
        <v>53756.34</v>
      </c>
      <c r="W249" s="307">
        <f t="shared" si="18"/>
        <v>651049</v>
      </c>
      <c r="X249" s="307">
        <f t="shared" si="20"/>
        <v>597292.66</v>
      </c>
      <c r="Y249" s="307">
        <f t="shared" si="19"/>
        <v>3971.89</v>
      </c>
      <c r="Z249" s="298"/>
    </row>
    <row r="250" s="282" customFormat="1" spans="1:26">
      <c r="A250" s="295" t="s">
        <v>1004</v>
      </c>
      <c r="B250" s="296" t="s">
        <v>105</v>
      </c>
      <c r="C250" s="296" t="s">
        <v>45</v>
      </c>
      <c r="D250" s="295" t="s">
        <v>48</v>
      </c>
      <c r="E250" s="296" t="s">
        <v>415</v>
      </c>
      <c r="F250" s="296" t="s">
        <v>156</v>
      </c>
      <c r="G250" s="295" t="s">
        <v>215</v>
      </c>
      <c r="H250" s="295" t="s">
        <v>389</v>
      </c>
      <c r="I250" s="295" t="s">
        <v>294</v>
      </c>
      <c r="J250" s="304">
        <v>20210011727</v>
      </c>
      <c r="K250" s="309" t="s">
        <v>1005</v>
      </c>
      <c r="L250" s="306">
        <v>668354</v>
      </c>
      <c r="M250" s="295" t="s">
        <v>1006</v>
      </c>
      <c r="N250" s="306">
        <v>150.87</v>
      </c>
      <c r="O250" s="306" t="s">
        <v>156</v>
      </c>
      <c r="P250" s="307">
        <v>150.87</v>
      </c>
      <c r="Q250" s="307" t="s">
        <v>156</v>
      </c>
      <c r="R250" s="298" t="s">
        <v>156</v>
      </c>
      <c r="S250" s="563" t="s">
        <v>392</v>
      </c>
      <c r="T250" s="333" t="s">
        <v>1007</v>
      </c>
      <c r="U250" s="316">
        <v>613168.81</v>
      </c>
      <c r="V250" s="307">
        <f t="shared" si="21"/>
        <v>55185.19</v>
      </c>
      <c r="W250" s="307">
        <f t="shared" si="18"/>
        <v>668354</v>
      </c>
      <c r="X250" s="307">
        <f t="shared" si="20"/>
        <v>613168.81</v>
      </c>
      <c r="Y250" s="307">
        <f t="shared" si="19"/>
        <v>4064.22</v>
      </c>
      <c r="Z250" s="298"/>
    </row>
    <row r="251" s="282" customFormat="1" spans="1:26">
      <c r="A251" s="295" t="s">
        <v>1008</v>
      </c>
      <c r="B251" s="296" t="s">
        <v>105</v>
      </c>
      <c r="C251" s="296" t="s">
        <v>45</v>
      </c>
      <c r="D251" s="295" t="s">
        <v>92</v>
      </c>
      <c r="E251" s="296" t="s">
        <v>420</v>
      </c>
      <c r="F251" s="296" t="s">
        <v>156</v>
      </c>
      <c r="G251" s="295" t="s">
        <v>215</v>
      </c>
      <c r="H251" s="295" t="s">
        <v>389</v>
      </c>
      <c r="I251" s="295" t="s">
        <v>294</v>
      </c>
      <c r="J251" s="304">
        <v>20200008689</v>
      </c>
      <c r="K251" s="309" t="s">
        <v>1009</v>
      </c>
      <c r="L251" s="306">
        <v>658370</v>
      </c>
      <c r="M251" s="295" t="s">
        <v>1010</v>
      </c>
      <c r="N251" s="306">
        <v>150.38</v>
      </c>
      <c r="O251" s="306" t="s">
        <v>156</v>
      </c>
      <c r="P251" s="307">
        <v>150.38</v>
      </c>
      <c r="Q251" s="307" t="s">
        <v>156</v>
      </c>
      <c r="R251" s="298" t="s">
        <v>156</v>
      </c>
      <c r="S251" s="563" t="s">
        <v>392</v>
      </c>
      <c r="T251" s="333" t="s">
        <v>1011</v>
      </c>
      <c r="U251" s="316">
        <v>604009.17</v>
      </c>
      <c r="V251" s="307">
        <f t="shared" si="21"/>
        <v>54360.83</v>
      </c>
      <c r="W251" s="307">
        <f t="shared" si="18"/>
        <v>658370</v>
      </c>
      <c r="X251" s="307">
        <f t="shared" si="20"/>
        <v>604009.17</v>
      </c>
      <c r="Y251" s="307">
        <f t="shared" si="19"/>
        <v>4016.55</v>
      </c>
      <c r="Z251" s="298"/>
    </row>
    <row r="252" s="282" customFormat="1" spans="1:26">
      <c r="A252" s="295" t="s">
        <v>1012</v>
      </c>
      <c r="B252" s="296" t="s">
        <v>105</v>
      </c>
      <c r="C252" s="296" t="s">
        <v>45</v>
      </c>
      <c r="D252" s="295" t="s">
        <v>92</v>
      </c>
      <c r="E252" s="296" t="s">
        <v>425</v>
      </c>
      <c r="F252" s="296" t="s">
        <v>156</v>
      </c>
      <c r="G252" s="295" t="s">
        <v>215</v>
      </c>
      <c r="H252" s="295" t="s">
        <v>389</v>
      </c>
      <c r="I252" s="295" t="s">
        <v>294</v>
      </c>
      <c r="J252" s="304">
        <v>20200009278</v>
      </c>
      <c r="K252" s="309" t="s">
        <v>962</v>
      </c>
      <c r="L252" s="306">
        <v>661269</v>
      </c>
      <c r="M252" s="295" t="s">
        <v>1013</v>
      </c>
      <c r="N252" s="306">
        <v>150.87</v>
      </c>
      <c r="O252" s="306" t="s">
        <v>156</v>
      </c>
      <c r="P252" s="307">
        <v>150.87</v>
      </c>
      <c r="Q252" s="307" t="s">
        <v>156</v>
      </c>
      <c r="R252" s="298" t="s">
        <v>156</v>
      </c>
      <c r="S252" s="563" t="s">
        <v>392</v>
      </c>
      <c r="T252" s="333" t="s">
        <v>1014</v>
      </c>
      <c r="U252" s="316">
        <v>606668.81</v>
      </c>
      <c r="V252" s="307">
        <f t="shared" si="21"/>
        <v>54600.19</v>
      </c>
      <c r="W252" s="307">
        <f t="shared" si="18"/>
        <v>661269</v>
      </c>
      <c r="X252" s="307">
        <f t="shared" si="20"/>
        <v>606668.81</v>
      </c>
      <c r="Y252" s="307">
        <f t="shared" si="19"/>
        <v>4021.14</v>
      </c>
      <c r="Z252" s="298"/>
    </row>
    <row r="253" s="282" customFormat="1" spans="1:26">
      <c r="A253" s="295" t="s">
        <v>1015</v>
      </c>
      <c r="B253" s="296" t="s">
        <v>105</v>
      </c>
      <c r="C253" s="296" t="s">
        <v>45</v>
      </c>
      <c r="D253" s="295" t="s">
        <v>95</v>
      </c>
      <c r="E253" s="296" t="s">
        <v>430</v>
      </c>
      <c r="F253" s="296" t="s">
        <v>156</v>
      </c>
      <c r="G253" s="295" t="s">
        <v>215</v>
      </c>
      <c r="H253" s="295" t="s">
        <v>389</v>
      </c>
      <c r="I253" s="295" t="s">
        <v>294</v>
      </c>
      <c r="J253" s="304">
        <v>20200007743</v>
      </c>
      <c r="K253" s="309" t="s">
        <v>436</v>
      </c>
      <c r="L253" s="306">
        <v>661931</v>
      </c>
      <c r="M253" s="295" t="s">
        <v>1016</v>
      </c>
      <c r="N253" s="306">
        <v>150.38</v>
      </c>
      <c r="O253" s="306" t="s">
        <v>156</v>
      </c>
      <c r="P253" s="307">
        <v>150.38</v>
      </c>
      <c r="Q253" s="307" t="s">
        <v>156</v>
      </c>
      <c r="R253" s="298" t="s">
        <v>156</v>
      </c>
      <c r="S253" s="563" t="s">
        <v>392</v>
      </c>
      <c r="T253" s="333" t="s">
        <v>1017</v>
      </c>
      <c r="U253" s="316">
        <v>607276.15</v>
      </c>
      <c r="V253" s="307">
        <f t="shared" si="21"/>
        <v>54654.85</v>
      </c>
      <c r="W253" s="307">
        <f t="shared" si="18"/>
        <v>661931</v>
      </c>
      <c r="X253" s="307">
        <f t="shared" si="20"/>
        <v>607276.15</v>
      </c>
      <c r="Y253" s="307">
        <f t="shared" si="19"/>
        <v>4038.28</v>
      </c>
      <c r="Z253" s="298"/>
    </row>
    <row r="254" s="282" customFormat="1" ht="23.8" spans="1:26">
      <c r="A254" s="295" t="s">
        <v>1018</v>
      </c>
      <c r="B254" s="296" t="s">
        <v>105</v>
      </c>
      <c r="C254" s="296" t="s">
        <v>45</v>
      </c>
      <c r="D254" s="295" t="s">
        <v>95</v>
      </c>
      <c r="E254" s="296" t="s">
        <v>435</v>
      </c>
      <c r="F254" s="296" t="s">
        <v>156</v>
      </c>
      <c r="G254" s="295" t="s">
        <v>215</v>
      </c>
      <c r="H254" s="295" t="s">
        <v>389</v>
      </c>
      <c r="I254" s="295" t="s">
        <v>294</v>
      </c>
      <c r="J254" s="304">
        <v>20210003699</v>
      </c>
      <c r="K254" s="309" t="s">
        <v>1019</v>
      </c>
      <c r="L254" s="306">
        <v>675572</v>
      </c>
      <c r="M254" s="295" t="s">
        <v>1020</v>
      </c>
      <c r="N254" s="306">
        <v>150.87</v>
      </c>
      <c r="O254" s="306" t="s">
        <v>156</v>
      </c>
      <c r="P254" s="307">
        <v>150.87</v>
      </c>
      <c r="Q254" s="307" t="s">
        <v>156</v>
      </c>
      <c r="R254" s="298" t="s">
        <v>156</v>
      </c>
      <c r="S254" s="563" t="s">
        <v>392</v>
      </c>
      <c r="T254" s="333" t="s">
        <v>1021</v>
      </c>
      <c r="U254" s="316">
        <v>619790.83</v>
      </c>
      <c r="V254" s="307">
        <f t="shared" si="21"/>
        <v>55781.17</v>
      </c>
      <c r="W254" s="307">
        <f t="shared" si="18"/>
        <v>675572</v>
      </c>
      <c r="X254" s="307">
        <f t="shared" si="20"/>
        <v>619790.83</v>
      </c>
      <c r="Y254" s="307">
        <f t="shared" si="19"/>
        <v>4108.11</v>
      </c>
      <c r="Z254" s="298"/>
    </row>
    <row r="255" s="282" customFormat="1" spans="1:26">
      <c r="A255" s="295" t="s">
        <v>1022</v>
      </c>
      <c r="B255" s="296" t="s">
        <v>105</v>
      </c>
      <c r="C255" s="296" t="s">
        <v>45</v>
      </c>
      <c r="D255" s="295" t="s">
        <v>99</v>
      </c>
      <c r="E255" s="296" t="s">
        <v>440</v>
      </c>
      <c r="F255" s="296" t="s">
        <v>156</v>
      </c>
      <c r="G255" s="295" t="s">
        <v>215</v>
      </c>
      <c r="H255" s="295" t="s">
        <v>389</v>
      </c>
      <c r="I255" s="295" t="s">
        <v>294</v>
      </c>
      <c r="J255" s="304">
        <v>20200008645</v>
      </c>
      <c r="K255" s="309" t="s">
        <v>1009</v>
      </c>
      <c r="L255" s="306">
        <v>672560</v>
      </c>
      <c r="M255" s="295" t="s">
        <v>1023</v>
      </c>
      <c r="N255" s="306">
        <v>150.38</v>
      </c>
      <c r="O255" s="306" t="s">
        <v>156</v>
      </c>
      <c r="P255" s="307">
        <v>150.38</v>
      </c>
      <c r="Q255" s="307" t="s">
        <v>156</v>
      </c>
      <c r="R255" s="298" t="s">
        <v>156</v>
      </c>
      <c r="S255" s="563" t="s">
        <v>392</v>
      </c>
      <c r="T255" s="333" t="s">
        <v>1024</v>
      </c>
      <c r="U255" s="316">
        <v>617027.52</v>
      </c>
      <c r="V255" s="307">
        <f t="shared" si="21"/>
        <v>55532.48</v>
      </c>
      <c r="W255" s="307">
        <f t="shared" si="18"/>
        <v>672560</v>
      </c>
      <c r="X255" s="307">
        <f t="shared" si="20"/>
        <v>617027.52</v>
      </c>
      <c r="Y255" s="307">
        <f t="shared" si="19"/>
        <v>4103.12</v>
      </c>
      <c r="Z255" s="298"/>
    </row>
    <row r="256" s="282" customFormat="1" ht="23.8" spans="1:26">
      <c r="A256" s="295" t="s">
        <v>1025</v>
      </c>
      <c r="B256" s="296" t="s">
        <v>105</v>
      </c>
      <c r="C256" s="296" t="s">
        <v>45</v>
      </c>
      <c r="D256" s="295" t="s">
        <v>99</v>
      </c>
      <c r="E256" s="296" t="s">
        <v>444</v>
      </c>
      <c r="F256" s="296" t="s">
        <v>156</v>
      </c>
      <c r="G256" s="295" t="s">
        <v>215</v>
      </c>
      <c r="H256" s="295" t="s">
        <v>389</v>
      </c>
      <c r="I256" s="295" t="s">
        <v>294</v>
      </c>
      <c r="J256" s="304">
        <v>20210001567</v>
      </c>
      <c r="K256" s="309" t="s">
        <v>1026</v>
      </c>
      <c r="L256" s="306">
        <v>688000</v>
      </c>
      <c r="M256" s="295" t="s">
        <v>1027</v>
      </c>
      <c r="N256" s="306">
        <v>150.87</v>
      </c>
      <c r="O256" s="306" t="s">
        <v>156</v>
      </c>
      <c r="P256" s="307">
        <v>150.87</v>
      </c>
      <c r="Q256" s="307" t="s">
        <v>156</v>
      </c>
      <c r="R256" s="298" t="s">
        <v>156</v>
      </c>
      <c r="S256" s="563" t="s">
        <v>392</v>
      </c>
      <c r="T256" s="333" t="s">
        <v>1028</v>
      </c>
      <c r="U256" s="316">
        <v>631192.66</v>
      </c>
      <c r="V256" s="307">
        <f t="shared" si="21"/>
        <v>56807.34</v>
      </c>
      <c r="W256" s="307">
        <f t="shared" si="18"/>
        <v>688000</v>
      </c>
      <c r="X256" s="307">
        <f t="shared" si="20"/>
        <v>631192.66</v>
      </c>
      <c r="Y256" s="307">
        <f t="shared" si="19"/>
        <v>4183.69</v>
      </c>
      <c r="Z256" s="298"/>
    </row>
    <row r="257" s="282" customFormat="1" spans="1:26">
      <c r="A257" s="295" t="s">
        <v>1029</v>
      </c>
      <c r="B257" s="296" t="s">
        <v>105</v>
      </c>
      <c r="C257" s="296" t="s">
        <v>45</v>
      </c>
      <c r="D257" s="295" t="s">
        <v>102</v>
      </c>
      <c r="E257" s="296" t="s">
        <v>448</v>
      </c>
      <c r="F257" s="296" t="s">
        <v>156</v>
      </c>
      <c r="G257" s="295" t="s">
        <v>215</v>
      </c>
      <c r="H257" s="295" t="s">
        <v>389</v>
      </c>
      <c r="I257" s="295" t="s">
        <v>294</v>
      </c>
      <c r="J257" s="304">
        <v>321321</v>
      </c>
      <c r="K257" s="332">
        <v>45645</v>
      </c>
      <c r="L257" s="306">
        <v>1157568</v>
      </c>
      <c r="M257" s="295" t="s">
        <v>1030</v>
      </c>
      <c r="N257" s="306">
        <v>241.16</v>
      </c>
      <c r="O257" s="306" t="s">
        <v>156</v>
      </c>
      <c r="P257" s="307">
        <v>241.16</v>
      </c>
      <c r="Q257" s="307" t="s">
        <v>156</v>
      </c>
      <c r="R257" s="298" t="s">
        <v>156</v>
      </c>
      <c r="S257" s="297" t="s">
        <v>156</v>
      </c>
      <c r="T257" s="334" t="s">
        <v>1031</v>
      </c>
      <c r="U257" s="307">
        <v>1061988.99</v>
      </c>
      <c r="V257" s="307">
        <f t="shared" si="21"/>
        <v>95579.01</v>
      </c>
      <c r="W257" s="307">
        <f t="shared" si="18"/>
        <v>1157568</v>
      </c>
      <c r="X257" s="307">
        <f t="shared" si="20"/>
        <v>1061988.99</v>
      </c>
      <c r="Y257" s="307">
        <f t="shared" si="19"/>
        <v>4403.67</v>
      </c>
      <c r="Z257" s="298"/>
    </row>
    <row r="258" s="282" customFormat="1" spans="1:26">
      <c r="A258" s="295" t="s">
        <v>1032</v>
      </c>
      <c r="B258" s="296" t="s">
        <v>105</v>
      </c>
      <c r="C258" s="296" t="s">
        <v>45</v>
      </c>
      <c r="D258" s="295" t="s">
        <v>102</v>
      </c>
      <c r="E258" s="296" t="s">
        <v>452</v>
      </c>
      <c r="F258" s="296" t="s">
        <v>156</v>
      </c>
      <c r="G258" s="295" t="s">
        <v>215</v>
      </c>
      <c r="H258" s="295" t="s">
        <v>389</v>
      </c>
      <c r="I258" s="295" t="s">
        <v>294</v>
      </c>
      <c r="J258" s="304">
        <v>20200011616</v>
      </c>
      <c r="K258" s="309" t="s">
        <v>786</v>
      </c>
      <c r="L258" s="306">
        <v>1082000</v>
      </c>
      <c r="M258" s="295" t="s">
        <v>1033</v>
      </c>
      <c r="N258" s="306">
        <v>241.65</v>
      </c>
      <c r="O258" s="306" t="s">
        <v>156</v>
      </c>
      <c r="P258" s="307">
        <v>241.65</v>
      </c>
      <c r="Q258" s="307" t="s">
        <v>156</v>
      </c>
      <c r="R258" s="298" t="s">
        <v>156</v>
      </c>
      <c r="S258" s="563" t="s">
        <v>392</v>
      </c>
      <c r="T258" s="333" t="s">
        <v>1034</v>
      </c>
      <c r="U258" s="316">
        <v>992660.55</v>
      </c>
      <c r="V258" s="307">
        <f t="shared" si="21"/>
        <v>89339.45</v>
      </c>
      <c r="W258" s="307">
        <f t="shared" si="18"/>
        <v>1082000</v>
      </c>
      <c r="X258" s="307">
        <f t="shared" si="20"/>
        <v>992660.55</v>
      </c>
      <c r="Y258" s="307">
        <f t="shared" si="19"/>
        <v>4107.84</v>
      </c>
      <c r="Z258" s="298"/>
    </row>
    <row r="259" s="282" customFormat="1" spans="1:26">
      <c r="A259" s="295" t="s">
        <v>555</v>
      </c>
      <c r="B259" s="296" t="s">
        <v>105</v>
      </c>
      <c r="C259" s="296" t="s">
        <v>42</v>
      </c>
      <c r="D259" s="295" t="s">
        <v>511</v>
      </c>
      <c r="E259" s="296" t="s">
        <v>512</v>
      </c>
      <c r="F259" s="296" t="s">
        <v>156</v>
      </c>
      <c r="G259" s="295" t="s">
        <v>513</v>
      </c>
      <c r="H259" s="295" t="s">
        <v>514</v>
      </c>
      <c r="I259" s="295"/>
      <c r="J259" s="296" t="s">
        <v>156</v>
      </c>
      <c r="K259" s="309" t="s">
        <v>156</v>
      </c>
      <c r="L259" s="306" t="s">
        <v>156</v>
      </c>
      <c r="M259" s="295" t="s">
        <v>156</v>
      </c>
      <c r="N259" s="306">
        <v>12.42</v>
      </c>
      <c r="O259" s="306" t="s">
        <v>156</v>
      </c>
      <c r="P259" s="307">
        <v>12.42</v>
      </c>
      <c r="Q259" s="307" t="s">
        <v>156</v>
      </c>
      <c r="R259" s="298" t="s">
        <v>156</v>
      </c>
      <c r="S259" s="297" t="s">
        <v>156</v>
      </c>
      <c r="T259" s="333" t="s">
        <v>156</v>
      </c>
      <c r="U259" s="307" t="s">
        <v>156</v>
      </c>
      <c r="V259" s="307" t="s">
        <v>156</v>
      </c>
      <c r="W259" s="307">
        <f t="shared" si="18"/>
        <v>0</v>
      </c>
      <c r="X259" s="307"/>
      <c r="Y259" s="307">
        <f t="shared" si="19"/>
        <v>0</v>
      </c>
      <c r="Z259" s="298"/>
    </row>
    <row r="260" s="282" customFormat="1" spans="1:26">
      <c r="A260" s="295" t="s">
        <v>561</v>
      </c>
      <c r="B260" s="296" t="s">
        <v>105</v>
      </c>
      <c r="C260" s="296" t="s">
        <v>42</v>
      </c>
      <c r="D260" s="295" t="s">
        <v>511</v>
      </c>
      <c r="E260" s="296" t="s">
        <v>516</v>
      </c>
      <c r="F260" s="296" t="s">
        <v>156</v>
      </c>
      <c r="G260" s="295" t="s">
        <v>513</v>
      </c>
      <c r="H260" s="295" t="s">
        <v>514</v>
      </c>
      <c r="I260" s="295"/>
      <c r="J260" s="296" t="s">
        <v>156</v>
      </c>
      <c r="K260" s="309" t="s">
        <v>156</v>
      </c>
      <c r="L260" s="306" t="s">
        <v>156</v>
      </c>
      <c r="M260" s="295" t="s">
        <v>156</v>
      </c>
      <c r="N260" s="306">
        <v>11.04</v>
      </c>
      <c r="O260" s="306" t="s">
        <v>156</v>
      </c>
      <c r="P260" s="307">
        <v>11.04</v>
      </c>
      <c r="Q260" s="307" t="s">
        <v>156</v>
      </c>
      <c r="R260" s="298" t="s">
        <v>156</v>
      </c>
      <c r="S260" s="297" t="s">
        <v>156</v>
      </c>
      <c r="T260" s="333" t="s">
        <v>156</v>
      </c>
      <c r="U260" s="307" t="s">
        <v>156</v>
      </c>
      <c r="V260" s="307" t="s">
        <v>156</v>
      </c>
      <c r="W260" s="307">
        <f t="shared" si="18"/>
        <v>0</v>
      </c>
      <c r="X260" s="307"/>
      <c r="Y260" s="307">
        <f t="shared" si="19"/>
        <v>0</v>
      </c>
      <c r="Z260" s="298"/>
    </row>
    <row r="261" s="282" customFormat="1" spans="1:26">
      <c r="A261" s="295" t="s">
        <v>843</v>
      </c>
      <c r="B261" s="296" t="s">
        <v>105</v>
      </c>
      <c r="C261" s="296" t="s">
        <v>42</v>
      </c>
      <c r="D261" s="295" t="s">
        <v>511</v>
      </c>
      <c r="E261" s="296" t="s">
        <v>518</v>
      </c>
      <c r="F261" s="296" t="s">
        <v>156</v>
      </c>
      <c r="G261" s="295" t="s">
        <v>513</v>
      </c>
      <c r="H261" s="295" t="s">
        <v>514</v>
      </c>
      <c r="I261" s="295"/>
      <c r="J261" s="296" t="s">
        <v>156</v>
      </c>
      <c r="K261" s="309" t="s">
        <v>156</v>
      </c>
      <c r="L261" s="306" t="s">
        <v>156</v>
      </c>
      <c r="M261" s="295" t="s">
        <v>156</v>
      </c>
      <c r="N261" s="306">
        <v>9.2</v>
      </c>
      <c r="O261" s="306" t="s">
        <v>156</v>
      </c>
      <c r="P261" s="307">
        <v>9.2</v>
      </c>
      <c r="Q261" s="307" t="s">
        <v>156</v>
      </c>
      <c r="R261" s="298" t="s">
        <v>156</v>
      </c>
      <c r="S261" s="297" t="s">
        <v>156</v>
      </c>
      <c r="T261" s="333" t="s">
        <v>156</v>
      </c>
      <c r="U261" s="307" t="s">
        <v>156</v>
      </c>
      <c r="V261" s="307" t="s">
        <v>156</v>
      </c>
      <c r="W261" s="307">
        <f t="shared" si="18"/>
        <v>0</v>
      </c>
      <c r="X261" s="307"/>
      <c r="Y261" s="307">
        <f t="shared" si="19"/>
        <v>0</v>
      </c>
      <c r="Z261" s="298"/>
    </row>
    <row r="262" s="282" customFormat="1" spans="1:26">
      <c r="A262" s="295" t="s">
        <v>1035</v>
      </c>
      <c r="B262" s="296" t="s">
        <v>105</v>
      </c>
      <c r="C262" s="296" t="s">
        <v>42</v>
      </c>
      <c r="D262" s="295" t="s">
        <v>511</v>
      </c>
      <c r="E262" s="296" t="s">
        <v>520</v>
      </c>
      <c r="F262" s="296" t="s">
        <v>156</v>
      </c>
      <c r="G262" s="295" t="s">
        <v>513</v>
      </c>
      <c r="H262" s="295" t="s">
        <v>514</v>
      </c>
      <c r="I262" s="295"/>
      <c r="J262" s="296" t="s">
        <v>156</v>
      </c>
      <c r="K262" s="309" t="s">
        <v>156</v>
      </c>
      <c r="L262" s="306" t="s">
        <v>156</v>
      </c>
      <c r="M262" s="295" t="s">
        <v>156</v>
      </c>
      <c r="N262" s="306">
        <v>14.72</v>
      </c>
      <c r="O262" s="306" t="s">
        <v>156</v>
      </c>
      <c r="P262" s="307">
        <v>14.72</v>
      </c>
      <c r="Q262" s="307" t="s">
        <v>156</v>
      </c>
      <c r="R262" s="298" t="s">
        <v>156</v>
      </c>
      <c r="S262" s="297" t="s">
        <v>156</v>
      </c>
      <c r="T262" s="333" t="s">
        <v>156</v>
      </c>
      <c r="U262" s="307" t="s">
        <v>156</v>
      </c>
      <c r="V262" s="307" t="s">
        <v>156</v>
      </c>
      <c r="W262" s="307">
        <f t="shared" si="18"/>
        <v>0</v>
      </c>
      <c r="X262" s="307"/>
      <c r="Y262" s="307">
        <f t="shared" si="19"/>
        <v>0</v>
      </c>
      <c r="Z262" s="298"/>
    </row>
    <row r="263" s="282" customFormat="1" spans="1:26">
      <c r="A263" s="295" t="s">
        <v>1036</v>
      </c>
      <c r="B263" s="296" t="s">
        <v>105</v>
      </c>
      <c r="C263" s="296" t="s">
        <v>42</v>
      </c>
      <c r="D263" s="295" t="s">
        <v>511</v>
      </c>
      <c r="E263" s="296" t="s">
        <v>522</v>
      </c>
      <c r="F263" s="296" t="s">
        <v>156</v>
      </c>
      <c r="G263" s="295" t="s">
        <v>513</v>
      </c>
      <c r="H263" s="295" t="s">
        <v>514</v>
      </c>
      <c r="I263" s="295"/>
      <c r="J263" s="296" t="s">
        <v>156</v>
      </c>
      <c r="K263" s="309" t="s">
        <v>156</v>
      </c>
      <c r="L263" s="306" t="s">
        <v>156</v>
      </c>
      <c r="M263" s="295" t="s">
        <v>156</v>
      </c>
      <c r="N263" s="306">
        <v>8.74</v>
      </c>
      <c r="O263" s="306" t="s">
        <v>156</v>
      </c>
      <c r="P263" s="307">
        <v>8.74</v>
      </c>
      <c r="Q263" s="307" t="s">
        <v>156</v>
      </c>
      <c r="R263" s="298" t="s">
        <v>156</v>
      </c>
      <c r="S263" s="297" t="s">
        <v>156</v>
      </c>
      <c r="T263" s="333" t="s">
        <v>156</v>
      </c>
      <c r="U263" s="307" t="s">
        <v>156</v>
      </c>
      <c r="V263" s="307" t="s">
        <v>156</v>
      </c>
      <c r="W263" s="307">
        <f t="shared" ref="W263:W326" si="22">SUM(U263)+SUM(V263)</f>
        <v>0</v>
      </c>
      <c r="X263" s="307"/>
      <c r="Y263" s="307">
        <f t="shared" ref="Y263:Y326" si="23">IF(SUM(P263)=0,"",ROUND(SUM(X263)/SUM(P263),2))</f>
        <v>0</v>
      </c>
      <c r="Z263" s="298"/>
    </row>
    <row r="264" s="282" customFormat="1" spans="1:26">
      <c r="A264" s="298" t="s">
        <v>1037</v>
      </c>
      <c r="B264" s="297" t="s">
        <v>105</v>
      </c>
      <c r="C264" s="297" t="s">
        <v>42</v>
      </c>
      <c r="D264" s="298" t="s">
        <v>511</v>
      </c>
      <c r="E264" s="297" t="s">
        <v>524</v>
      </c>
      <c r="F264" s="297" t="s">
        <v>156</v>
      </c>
      <c r="G264" s="295" t="s">
        <v>513</v>
      </c>
      <c r="H264" s="295" t="s">
        <v>514</v>
      </c>
      <c r="I264" s="298"/>
      <c r="J264" s="297" t="s">
        <v>156</v>
      </c>
      <c r="K264" s="305" t="s">
        <v>156</v>
      </c>
      <c r="L264" s="307" t="s">
        <v>156</v>
      </c>
      <c r="M264" s="298" t="s">
        <v>156</v>
      </c>
      <c r="N264" s="307">
        <v>76.26</v>
      </c>
      <c r="O264" s="307" t="s">
        <v>156</v>
      </c>
      <c r="P264" s="307">
        <v>76.26</v>
      </c>
      <c r="Q264" s="307" t="s">
        <v>156</v>
      </c>
      <c r="R264" s="298" t="s">
        <v>156</v>
      </c>
      <c r="S264" s="297" t="s">
        <v>156</v>
      </c>
      <c r="T264" s="333" t="s">
        <v>156</v>
      </c>
      <c r="U264" s="307" t="s">
        <v>156</v>
      </c>
      <c r="V264" s="307" t="s">
        <v>156</v>
      </c>
      <c r="W264" s="307">
        <f t="shared" si="22"/>
        <v>0</v>
      </c>
      <c r="X264" s="307"/>
      <c r="Y264" s="307">
        <f t="shared" si="23"/>
        <v>0</v>
      </c>
      <c r="Z264" s="298"/>
    </row>
    <row r="265" s="282" customFormat="1" spans="1:26">
      <c r="A265" s="295" t="s">
        <v>1038</v>
      </c>
      <c r="B265" s="296" t="s">
        <v>105</v>
      </c>
      <c r="C265" s="296" t="s">
        <v>42</v>
      </c>
      <c r="D265" s="295" t="s">
        <v>511</v>
      </c>
      <c r="E265" s="296" t="s">
        <v>526</v>
      </c>
      <c r="F265" s="296" t="s">
        <v>156</v>
      </c>
      <c r="G265" s="295" t="s">
        <v>513</v>
      </c>
      <c r="H265" s="295" t="s">
        <v>514</v>
      </c>
      <c r="I265" s="295"/>
      <c r="J265" s="296" t="s">
        <v>156</v>
      </c>
      <c r="K265" s="309" t="s">
        <v>156</v>
      </c>
      <c r="L265" s="306" t="s">
        <v>156</v>
      </c>
      <c r="M265" s="295" t="s">
        <v>156</v>
      </c>
      <c r="N265" s="306">
        <v>16.81</v>
      </c>
      <c r="O265" s="306" t="s">
        <v>156</v>
      </c>
      <c r="P265" s="307">
        <v>16.81</v>
      </c>
      <c r="Q265" s="307" t="s">
        <v>156</v>
      </c>
      <c r="R265" s="298" t="s">
        <v>156</v>
      </c>
      <c r="S265" s="297" t="s">
        <v>156</v>
      </c>
      <c r="T265" s="333" t="s">
        <v>156</v>
      </c>
      <c r="U265" s="307" t="s">
        <v>156</v>
      </c>
      <c r="V265" s="307" t="s">
        <v>156</v>
      </c>
      <c r="W265" s="307">
        <f t="shared" si="22"/>
        <v>0</v>
      </c>
      <c r="X265" s="307"/>
      <c r="Y265" s="307">
        <f t="shared" si="23"/>
        <v>0</v>
      </c>
      <c r="Z265" s="298"/>
    </row>
    <row r="266" s="282" customFormat="1" spans="1:26">
      <c r="A266" s="295" t="s">
        <v>1039</v>
      </c>
      <c r="B266" s="296" t="s">
        <v>105</v>
      </c>
      <c r="C266" s="296" t="s">
        <v>42</v>
      </c>
      <c r="D266" s="295" t="s">
        <v>511</v>
      </c>
      <c r="E266" s="296" t="s">
        <v>528</v>
      </c>
      <c r="F266" s="296" t="s">
        <v>156</v>
      </c>
      <c r="G266" s="295" t="s">
        <v>513</v>
      </c>
      <c r="H266" s="295" t="s">
        <v>514</v>
      </c>
      <c r="I266" s="295"/>
      <c r="J266" s="296" t="s">
        <v>156</v>
      </c>
      <c r="K266" s="309" t="s">
        <v>156</v>
      </c>
      <c r="L266" s="306" t="s">
        <v>156</v>
      </c>
      <c r="M266" s="295" t="s">
        <v>156</v>
      </c>
      <c r="N266" s="306">
        <v>16.81</v>
      </c>
      <c r="O266" s="306" t="s">
        <v>156</v>
      </c>
      <c r="P266" s="307">
        <v>16.81</v>
      </c>
      <c r="Q266" s="307" t="s">
        <v>156</v>
      </c>
      <c r="R266" s="298" t="s">
        <v>156</v>
      </c>
      <c r="S266" s="297" t="s">
        <v>156</v>
      </c>
      <c r="T266" s="333" t="s">
        <v>156</v>
      </c>
      <c r="U266" s="307" t="s">
        <v>156</v>
      </c>
      <c r="V266" s="307" t="s">
        <v>156</v>
      </c>
      <c r="W266" s="307">
        <f t="shared" si="22"/>
        <v>0</v>
      </c>
      <c r="X266" s="307"/>
      <c r="Y266" s="307">
        <f t="shared" si="23"/>
        <v>0</v>
      </c>
      <c r="Z266" s="298"/>
    </row>
    <row r="267" s="282" customFormat="1" spans="1:26">
      <c r="A267" s="295" t="s">
        <v>1040</v>
      </c>
      <c r="B267" s="296" t="s">
        <v>105</v>
      </c>
      <c r="C267" s="296" t="s">
        <v>42</v>
      </c>
      <c r="D267" s="295" t="s">
        <v>511</v>
      </c>
      <c r="E267" s="296" t="s">
        <v>529</v>
      </c>
      <c r="F267" s="296" t="s">
        <v>156</v>
      </c>
      <c r="G267" s="295" t="s">
        <v>513</v>
      </c>
      <c r="H267" s="295" t="s">
        <v>514</v>
      </c>
      <c r="I267" s="295"/>
      <c r="J267" s="296" t="s">
        <v>156</v>
      </c>
      <c r="K267" s="309" t="s">
        <v>156</v>
      </c>
      <c r="L267" s="306" t="s">
        <v>156</v>
      </c>
      <c r="M267" s="295" t="s">
        <v>156</v>
      </c>
      <c r="N267" s="306">
        <v>79.13</v>
      </c>
      <c r="O267" s="306" t="s">
        <v>156</v>
      </c>
      <c r="P267" s="307">
        <v>79.13</v>
      </c>
      <c r="Q267" s="307" t="s">
        <v>156</v>
      </c>
      <c r="R267" s="298" t="s">
        <v>156</v>
      </c>
      <c r="S267" s="297" t="s">
        <v>156</v>
      </c>
      <c r="T267" s="333" t="s">
        <v>156</v>
      </c>
      <c r="U267" s="307" t="s">
        <v>156</v>
      </c>
      <c r="V267" s="307" t="s">
        <v>156</v>
      </c>
      <c r="W267" s="307">
        <f t="shared" si="22"/>
        <v>0</v>
      </c>
      <c r="X267" s="307"/>
      <c r="Y267" s="307">
        <f t="shared" si="23"/>
        <v>0</v>
      </c>
      <c r="Z267" s="298"/>
    </row>
    <row r="268" s="282" customFormat="1" spans="1:26">
      <c r="A268" s="295" t="s">
        <v>400</v>
      </c>
      <c r="B268" s="296" t="s">
        <v>105</v>
      </c>
      <c r="C268" s="296" t="s">
        <v>42</v>
      </c>
      <c r="D268" s="295" t="s">
        <v>511</v>
      </c>
      <c r="E268" s="296" t="s">
        <v>531</v>
      </c>
      <c r="F268" s="296" t="s">
        <v>156</v>
      </c>
      <c r="G268" s="295" t="s">
        <v>513</v>
      </c>
      <c r="H268" s="295" t="s">
        <v>514</v>
      </c>
      <c r="I268" s="295"/>
      <c r="J268" s="296" t="s">
        <v>156</v>
      </c>
      <c r="K268" s="309" t="s">
        <v>156</v>
      </c>
      <c r="L268" s="306" t="s">
        <v>156</v>
      </c>
      <c r="M268" s="295" t="s">
        <v>156</v>
      </c>
      <c r="N268" s="306">
        <v>5.81</v>
      </c>
      <c r="O268" s="306" t="s">
        <v>156</v>
      </c>
      <c r="P268" s="307">
        <v>5.81</v>
      </c>
      <c r="Q268" s="307" t="s">
        <v>156</v>
      </c>
      <c r="R268" s="298" t="s">
        <v>156</v>
      </c>
      <c r="S268" s="297" t="s">
        <v>156</v>
      </c>
      <c r="T268" s="333" t="s">
        <v>156</v>
      </c>
      <c r="U268" s="307" t="s">
        <v>156</v>
      </c>
      <c r="V268" s="307" t="s">
        <v>156</v>
      </c>
      <c r="W268" s="307">
        <f t="shared" si="22"/>
        <v>0</v>
      </c>
      <c r="X268" s="307"/>
      <c r="Y268" s="307">
        <f t="shared" si="23"/>
        <v>0</v>
      </c>
      <c r="Z268" s="298"/>
    </row>
    <row r="269" s="282" customFormat="1" spans="1:26">
      <c r="A269" s="295" t="s">
        <v>656</v>
      </c>
      <c r="B269" s="296" t="s">
        <v>105</v>
      </c>
      <c r="C269" s="296" t="s">
        <v>42</v>
      </c>
      <c r="D269" s="295" t="s">
        <v>511</v>
      </c>
      <c r="E269" s="296" t="s">
        <v>533</v>
      </c>
      <c r="F269" s="296" t="s">
        <v>156</v>
      </c>
      <c r="G269" s="295" t="s">
        <v>513</v>
      </c>
      <c r="H269" s="295" t="s">
        <v>514</v>
      </c>
      <c r="I269" s="295"/>
      <c r="J269" s="296" t="s">
        <v>156</v>
      </c>
      <c r="K269" s="309" t="s">
        <v>156</v>
      </c>
      <c r="L269" s="306" t="s">
        <v>156</v>
      </c>
      <c r="M269" s="295" t="s">
        <v>156</v>
      </c>
      <c r="N269" s="306">
        <v>12.42</v>
      </c>
      <c r="O269" s="306" t="s">
        <v>156</v>
      </c>
      <c r="P269" s="307">
        <v>12.42</v>
      </c>
      <c r="Q269" s="307" t="s">
        <v>156</v>
      </c>
      <c r="R269" s="298" t="s">
        <v>156</v>
      </c>
      <c r="S269" s="297" t="s">
        <v>156</v>
      </c>
      <c r="T269" s="333" t="s">
        <v>156</v>
      </c>
      <c r="U269" s="307" t="s">
        <v>156</v>
      </c>
      <c r="V269" s="307" t="s">
        <v>156</v>
      </c>
      <c r="W269" s="307">
        <f t="shared" si="22"/>
        <v>0</v>
      </c>
      <c r="X269" s="307"/>
      <c r="Y269" s="307">
        <f t="shared" si="23"/>
        <v>0</v>
      </c>
      <c r="Z269" s="298"/>
    </row>
    <row r="270" s="282" customFormat="1" spans="1:26">
      <c r="A270" s="295" t="s">
        <v>1041</v>
      </c>
      <c r="B270" s="296" t="s">
        <v>105</v>
      </c>
      <c r="C270" s="296" t="s">
        <v>42</v>
      </c>
      <c r="D270" s="295" t="s">
        <v>511</v>
      </c>
      <c r="E270" s="296" t="s">
        <v>535</v>
      </c>
      <c r="F270" s="296" t="s">
        <v>156</v>
      </c>
      <c r="G270" s="295" t="s">
        <v>513</v>
      </c>
      <c r="H270" s="295" t="s">
        <v>514</v>
      </c>
      <c r="I270" s="295"/>
      <c r="J270" s="296" t="s">
        <v>156</v>
      </c>
      <c r="K270" s="309" t="s">
        <v>156</v>
      </c>
      <c r="L270" s="306" t="s">
        <v>156</v>
      </c>
      <c r="M270" s="295" t="s">
        <v>156</v>
      </c>
      <c r="N270" s="306">
        <v>9.2</v>
      </c>
      <c r="O270" s="306" t="s">
        <v>156</v>
      </c>
      <c r="P270" s="307">
        <v>9.2</v>
      </c>
      <c r="Q270" s="307" t="s">
        <v>156</v>
      </c>
      <c r="R270" s="298" t="s">
        <v>156</v>
      </c>
      <c r="S270" s="297" t="s">
        <v>156</v>
      </c>
      <c r="T270" s="333" t="s">
        <v>156</v>
      </c>
      <c r="U270" s="307" t="s">
        <v>156</v>
      </c>
      <c r="V270" s="307" t="s">
        <v>156</v>
      </c>
      <c r="W270" s="307">
        <f t="shared" si="22"/>
        <v>0</v>
      </c>
      <c r="X270" s="307"/>
      <c r="Y270" s="307">
        <f t="shared" si="23"/>
        <v>0</v>
      </c>
      <c r="Z270" s="298"/>
    </row>
    <row r="271" s="282" customFormat="1" spans="1:26">
      <c r="A271" s="295" t="s">
        <v>1042</v>
      </c>
      <c r="B271" s="296" t="s">
        <v>105</v>
      </c>
      <c r="C271" s="296" t="s">
        <v>42</v>
      </c>
      <c r="D271" s="295" t="s">
        <v>511</v>
      </c>
      <c r="E271" s="296" t="s">
        <v>537</v>
      </c>
      <c r="F271" s="296" t="s">
        <v>156</v>
      </c>
      <c r="G271" s="295" t="s">
        <v>513</v>
      </c>
      <c r="H271" s="295" t="s">
        <v>514</v>
      </c>
      <c r="I271" s="295"/>
      <c r="J271" s="296" t="s">
        <v>156</v>
      </c>
      <c r="K271" s="309" t="s">
        <v>156</v>
      </c>
      <c r="L271" s="306" t="s">
        <v>156</v>
      </c>
      <c r="M271" s="295" t="s">
        <v>156</v>
      </c>
      <c r="N271" s="306">
        <v>11.04</v>
      </c>
      <c r="O271" s="306" t="s">
        <v>156</v>
      </c>
      <c r="P271" s="307">
        <v>11.04</v>
      </c>
      <c r="Q271" s="307" t="s">
        <v>156</v>
      </c>
      <c r="R271" s="298" t="s">
        <v>156</v>
      </c>
      <c r="S271" s="297" t="s">
        <v>156</v>
      </c>
      <c r="T271" s="333" t="s">
        <v>156</v>
      </c>
      <c r="U271" s="307" t="s">
        <v>156</v>
      </c>
      <c r="V271" s="307" t="s">
        <v>156</v>
      </c>
      <c r="W271" s="307">
        <f t="shared" si="22"/>
        <v>0</v>
      </c>
      <c r="X271" s="307"/>
      <c r="Y271" s="307">
        <f t="shared" si="23"/>
        <v>0</v>
      </c>
      <c r="Z271" s="298"/>
    </row>
    <row r="272" s="282" customFormat="1" spans="1:26">
      <c r="A272" s="295" t="s">
        <v>1043</v>
      </c>
      <c r="B272" s="296" t="s">
        <v>105</v>
      </c>
      <c r="C272" s="296" t="s">
        <v>42</v>
      </c>
      <c r="D272" s="295" t="s">
        <v>511</v>
      </c>
      <c r="E272" s="296" t="s">
        <v>539</v>
      </c>
      <c r="F272" s="296" t="s">
        <v>156</v>
      </c>
      <c r="G272" s="295" t="s">
        <v>513</v>
      </c>
      <c r="H272" s="295" t="s">
        <v>514</v>
      </c>
      <c r="I272" s="295"/>
      <c r="J272" s="296" t="s">
        <v>156</v>
      </c>
      <c r="K272" s="309" t="s">
        <v>156</v>
      </c>
      <c r="L272" s="306" t="s">
        <v>156</v>
      </c>
      <c r="M272" s="295" t="s">
        <v>156</v>
      </c>
      <c r="N272" s="306">
        <v>12.42</v>
      </c>
      <c r="O272" s="306" t="s">
        <v>156</v>
      </c>
      <c r="P272" s="307">
        <v>12.42</v>
      </c>
      <c r="Q272" s="307" t="s">
        <v>156</v>
      </c>
      <c r="R272" s="298" t="s">
        <v>156</v>
      </c>
      <c r="S272" s="297" t="s">
        <v>156</v>
      </c>
      <c r="T272" s="333" t="s">
        <v>156</v>
      </c>
      <c r="U272" s="307" t="s">
        <v>156</v>
      </c>
      <c r="V272" s="307" t="s">
        <v>156</v>
      </c>
      <c r="W272" s="307">
        <f t="shared" si="22"/>
        <v>0</v>
      </c>
      <c r="X272" s="307"/>
      <c r="Y272" s="307">
        <f t="shared" si="23"/>
        <v>0</v>
      </c>
      <c r="Z272" s="298"/>
    </row>
    <row r="273" s="282" customFormat="1" spans="1:26">
      <c r="A273" s="295" t="s">
        <v>1044</v>
      </c>
      <c r="B273" s="296" t="s">
        <v>105</v>
      </c>
      <c r="C273" s="296" t="s">
        <v>45</v>
      </c>
      <c r="D273" s="295" t="s">
        <v>511</v>
      </c>
      <c r="E273" s="296" t="s">
        <v>541</v>
      </c>
      <c r="F273" s="296" t="s">
        <v>156</v>
      </c>
      <c r="G273" s="295" t="s">
        <v>513</v>
      </c>
      <c r="H273" s="295" t="s">
        <v>514</v>
      </c>
      <c r="I273" s="295"/>
      <c r="J273" s="304" t="s">
        <v>156</v>
      </c>
      <c r="K273" s="309" t="s">
        <v>156</v>
      </c>
      <c r="L273" s="306" t="s">
        <v>156</v>
      </c>
      <c r="M273" s="295" t="s">
        <v>156</v>
      </c>
      <c r="N273" s="306">
        <v>12.42</v>
      </c>
      <c r="O273" s="306" t="s">
        <v>156</v>
      </c>
      <c r="P273" s="307">
        <v>12.42</v>
      </c>
      <c r="Q273" s="307" t="s">
        <v>156</v>
      </c>
      <c r="R273" s="298" t="s">
        <v>156</v>
      </c>
      <c r="S273" s="297" t="s">
        <v>156</v>
      </c>
      <c r="T273" s="333" t="s">
        <v>156</v>
      </c>
      <c r="U273" s="307" t="s">
        <v>156</v>
      </c>
      <c r="V273" s="307"/>
      <c r="W273" s="307">
        <f t="shared" si="22"/>
        <v>0</v>
      </c>
      <c r="X273" s="307" t="str">
        <f t="shared" ref="X273:X314" si="24">U273</f>
        <v/>
      </c>
      <c r="Y273" s="307">
        <f t="shared" si="23"/>
        <v>0</v>
      </c>
      <c r="Z273" s="298"/>
    </row>
    <row r="274" s="282" customFormat="1" spans="1:26">
      <c r="A274" s="295" t="s">
        <v>1045</v>
      </c>
      <c r="B274" s="296" t="s">
        <v>105</v>
      </c>
      <c r="C274" s="296" t="s">
        <v>45</v>
      </c>
      <c r="D274" s="295" t="s">
        <v>511</v>
      </c>
      <c r="E274" s="296" t="s">
        <v>542</v>
      </c>
      <c r="F274" s="296" t="s">
        <v>156</v>
      </c>
      <c r="G274" s="295" t="s">
        <v>513</v>
      </c>
      <c r="H274" s="295" t="s">
        <v>514</v>
      </c>
      <c r="I274" s="295"/>
      <c r="J274" s="304" t="s">
        <v>156</v>
      </c>
      <c r="K274" s="309" t="s">
        <v>156</v>
      </c>
      <c r="L274" s="306" t="s">
        <v>156</v>
      </c>
      <c r="M274" s="295" t="s">
        <v>156</v>
      </c>
      <c r="N274" s="306">
        <v>11.04</v>
      </c>
      <c r="O274" s="306" t="s">
        <v>156</v>
      </c>
      <c r="P274" s="307">
        <v>11.04</v>
      </c>
      <c r="Q274" s="307" t="s">
        <v>156</v>
      </c>
      <c r="R274" s="298" t="s">
        <v>156</v>
      </c>
      <c r="S274" s="297" t="s">
        <v>156</v>
      </c>
      <c r="T274" s="333" t="s">
        <v>156</v>
      </c>
      <c r="U274" s="307" t="s">
        <v>156</v>
      </c>
      <c r="V274" s="307"/>
      <c r="W274" s="307">
        <f t="shared" si="22"/>
        <v>0</v>
      </c>
      <c r="X274" s="307" t="str">
        <f t="shared" si="24"/>
        <v/>
      </c>
      <c r="Y274" s="307">
        <f t="shared" si="23"/>
        <v>0</v>
      </c>
      <c r="Z274" s="298"/>
    </row>
    <row r="275" s="282" customFormat="1" spans="1:26">
      <c r="A275" s="295" t="s">
        <v>1046</v>
      </c>
      <c r="B275" s="296" t="s">
        <v>105</v>
      </c>
      <c r="C275" s="296" t="s">
        <v>45</v>
      </c>
      <c r="D275" s="295" t="s">
        <v>511</v>
      </c>
      <c r="E275" s="296" t="s">
        <v>544</v>
      </c>
      <c r="F275" s="296" t="s">
        <v>156</v>
      </c>
      <c r="G275" s="295" t="s">
        <v>513</v>
      </c>
      <c r="H275" s="295" t="s">
        <v>514</v>
      </c>
      <c r="I275" s="295"/>
      <c r="J275" s="304" t="s">
        <v>156</v>
      </c>
      <c r="K275" s="309" t="s">
        <v>156</v>
      </c>
      <c r="L275" s="306" t="s">
        <v>156</v>
      </c>
      <c r="M275" s="295" t="s">
        <v>156</v>
      </c>
      <c r="N275" s="306">
        <v>9.2</v>
      </c>
      <c r="O275" s="306" t="s">
        <v>156</v>
      </c>
      <c r="P275" s="307">
        <v>9.2</v>
      </c>
      <c r="Q275" s="307" t="s">
        <v>156</v>
      </c>
      <c r="R275" s="298" t="s">
        <v>156</v>
      </c>
      <c r="S275" s="297" t="s">
        <v>156</v>
      </c>
      <c r="T275" s="333" t="s">
        <v>156</v>
      </c>
      <c r="U275" s="307" t="s">
        <v>156</v>
      </c>
      <c r="V275" s="307"/>
      <c r="W275" s="307">
        <f t="shared" si="22"/>
        <v>0</v>
      </c>
      <c r="X275" s="307" t="str">
        <f t="shared" si="24"/>
        <v/>
      </c>
      <c r="Y275" s="307">
        <f t="shared" si="23"/>
        <v>0</v>
      </c>
      <c r="Z275" s="298"/>
    </row>
    <row r="276" s="282" customFormat="1" spans="1:26">
      <c r="A276" s="295" t="s">
        <v>1047</v>
      </c>
      <c r="B276" s="296" t="s">
        <v>105</v>
      </c>
      <c r="C276" s="296" t="s">
        <v>45</v>
      </c>
      <c r="D276" s="295" t="s">
        <v>511</v>
      </c>
      <c r="E276" s="296" t="s">
        <v>546</v>
      </c>
      <c r="F276" s="296" t="s">
        <v>156</v>
      </c>
      <c r="G276" s="295" t="s">
        <v>513</v>
      </c>
      <c r="H276" s="295" t="s">
        <v>514</v>
      </c>
      <c r="I276" s="295"/>
      <c r="J276" s="304" t="s">
        <v>156</v>
      </c>
      <c r="K276" s="309" t="s">
        <v>156</v>
      </c>
      <c r="L276" s="306" t="s">
        <v>156</v>
      </c>
      <c r="M276" s="295" t="s">
        <v>156</v>
      </c>
      <c r="N276" s="306">
        <v>12.42</v>
      </c>
      <c r="O276" s="306" t="s">
        <v>156</v>
      </c>
      <c r="P276" s="307">
        <v>12.42</v>
      </c>
      <c r="Q276" s="307" t="s">
        <v>156</v>
      </c>
      <c r="R276" s="298" t="s">
        <v>156</v>
      </c>
      <c r="S276" s="297" t="s">
        <v>156</v>
      </c>
      <c r="T276" s="333" t="s">
        <v>156</v>
      </c>
      <c r="U276" s="307" t="s">
        <v>156</v>
      </c>
      <c r="V276" s="307"/>
      <c r="W276" s="307">
        <f t="shared" si="22"/>
        <v>0</v>
      </c>
      <c r="X276" s="307" t="str">
        <f t="shared" si="24"/>
        <v/>
      </c>
      <c r="Y276" s="307">
        <f t="shared" si="23"/>
        <v>0</v>
      </c>
      <c r="Z276" s="298"/>
    </row>
    <row r="277" s="282" customFormat="1" spans="1:26">
      <c r="A277" s="295" t="s">
        <v>1048</v>
      </c>
      <c r="B277" s="296" t="s">
        <v>105</v>
      </c>
      <c r="C277" s="296" t="s">
        <v>45</v>
      </c>
      <c r="D277" s="295" t="s">
        <v>511</v>
      </c>
      <c r="E277" s="296" t="s">
        <v>548</v>
      </c>
      <c r="F277" s="296" t="s">
        <v>156</v>
      </c>
      <c r="G277" s="295" t="s">
        <v>513</v>
      </c>
      <c r="H277" s="295" t="s">
        <v>514</v>
      </c>
      <c r="I277" s="295"/>
      <c r="J277" s="304" t="s">
        <v>156</v>
      </c>
      <c r="K277" s="309" t="s">
        <v>156</v>
      </c>
      <c r="L277" s="306" t="s">
        <v>156</v>
      </c>
      <c r="M277" s="295" t="s">
        <v>156</v>
      </c>
      <c r="N277" s="306">
        <v>5.81</v>
      </c>
      <c r="O277" s="306" t="s">
        <v>156</v>
      </c>
      <c r="P277" s="307">
        <v>5.81</v>
      </c>
      <c r="Q277" s="307" t="s">
        <v>156</v>
      </c>
      <c r="R277" s="298" t="s">
        <v>156</v>
      </c>
      <c r="S277" s="297" t="s">
        <v>156</v>
      </c>
      <c r="T277" s="333" t="s">
        <v>156</v>
      </c>
      <c r="U277" s="307" t="s">
        <v>156</v>
      </c>
      <c r="V277" s="307"/>
      <c r="W277" s="307">
        <f t="shared" si="22"/>
        <v>0</v>
      </c>
      <c r="X277" s="307" t="str">
        <f t="shared" si="24"/>
        <v/>
      </c>
      <c r="Y277" s="307">
        <f t="shared" si="23"/>
        <v>0</v>
      </c>
      <c r="Z277" s="298"/>
    </row>
    <row r="278" s="282" customFormat="1" spans="1:26">
      <c r="A278" s="295" t="s">
        <v>1049</v>
      </c>
      <c r="B278" s="296" t="s">
        <v>105</v>
      </c>
      <c r="C278" s="296" t="s">
        <v>45</v>
      </c>
      <c r="D278" s="295" t="s">
        <v>511</v>
      </c>
      <c r="E278" s="296" t="s">
        <v>549</v>
      </c>
      <c r="F278" s="296" t="s">
        <v>156</v>
      </c>
      <c r="G278" s="295" t="s">
        <v>513</v>
      </c>
      <c r="H278" s="295" t="s">
        <v>514</v>
      </c>
      <c r="I278" s="295"/>
      <c r="J278" s="304" t="s">
        <v>156</v>
      </c>
      <c r="K278" s="309" t="s">
        <v>156</v>
      </c>
      <c r="L278" s="306" t="s">
        <v>156</v>
      </c>
      <c r="M278" s="295" t="s">
        <v>156</v>
      </c>
      <c r="N278" s="306">
        <v>79.13</v>
      </c>
      <c r="O278" s="306" t="s">
        <v>156</v>
      </c>
      <c r="P278" s="307">
        <v>79.13</v>
      </c>
      <c r="Q278" s="307" t="s">
        <v>156</v>
      </c>
      <c r="R278" s="298" t="s">
        <v>156</v>
      </c>
      <c r="S278" s="297" t="s">
        <v>156</v>
      </c>
      <c r="T278" s="333" t="s">
        <v>156</v>
      </c>
      <c r="U278" s="307" t="s">
        <v>156</v>
      </c>
      <c r="V278" s="307"/>
      <c r="W278" s="307">
        <f t="shared" si="22"/>
        <v>0</v>
      </c>
      <c r="X278" s="307" t="str">
        <f t="shared" si="24"/>
        <v/>
      </c>
      <c r="Y278" s="307">
        <f t="shared" si="23"/>
        <v>0</v>
      </c>
      <c r="Z278" s="298"/>
    </row>
    <row r="279" s="282" customFormat="1" spans="1:26">
      <c r="A279" s="295" t="s">
        <v>1050</v>
      </c>
      <c r="B279" s="296" t="s">
        <v>105</v>
      </c>
      <c r="C279" s="296" t="s">
        <v>45</v>
      </c>
      <c r="D279" s="295" t="s">
        <v>511</v>
      </c>
      <c r="E279" s="296" t="s">
        <v>550</v>
      </c>
      <c r="F279" s="296" t="s">
        <v>156</v>
      </c>
      <c r="G279" s="295" t="s">
        <v>513</v>
      </c>
      <c r="H279" s="295" t="s">
        <v>514</v>
      </c>
      <c r="I279" s="295"/>
      <c r="J279" s="304" t="s">
        <v>156</v>
      </c>
      <c r="K279" s="309" t="s">
        <v>156</v>
      </c>
      <c r="L279" s="306" t="s">
        <v>156</v>
      </c>
      <c r="M279" s="295" t="s">
        <v>156</v>
      </c>
      <c r="N279" s="306">
        <v>16.81</v>
      </c>
      <c r="O279" s="306" t="s">
        <v>156</v>
      </c>
      <c r="P279" s="307">
        <v>16.81</v>
      </c>
      <c r="Q279" s="307" t="s">
        <v>156</v>
      </c>
      <c r="R279" s="298" t="s">
        <v>156</v>
      </c>
      <c r="S279" s="297" t="s">
        <v>156</v>
      </c>
      <c r="T279" s="333" t="s">
        <v>156</v>
      </c>
      <c r="U279" s="307" t="s">
        <v>156</v>
      </c>
      <c r="V279" s="307"/>
      <c r="W279" s="307">
        <f t="shared" si="22"/>
        <v>0</v>
      </c>
      <c r="X279" s="307" t="str">
        <f t="shared" si="24"/>
        <v/>
      </c>
      <c r="Y279" s="307">
        <f t="shared" si="23"/>
        <v>0</v>
      </c>
      <c r="Z279" s="298"/>
    </row>
    <row r="280" s="282" customFormat="1" spans="1:26">
      <c r="A280" s="295" t="s">
        <v>1051</v>
      </c>
      <c r="B280" s="296" t="s">
        <v>105</v>
      </c>
      <c r="C280" s="296" t="s">
        <v>45</v>
      </c>
      <c r="D280" s="295" t="s">
        <v>511</v>
      </c>
      <c r="E280" s="296" t="s">
        <v>552</v>
      </c>
      <c r="F280" s="296" t="s">
        <v>156</v>
      </c>
      <c r="G280" s="295" t="s">
        <v>513</v>
      </c>
      <c r="H280" s="295" t="s">
        <v>514</v>
      </c>
      <c r="I280" s="295"/>
      <c r="J280" s="304" t="s">
        <v>156</v>
      </c>
      <c r="K280" s="309" t="s">
        <v>156</v>
      </c>
      <c r="L280" s="306" t="s">
        <v>156</v>
      </c>
      <c r="M280" s="295" t="s">
        <v>156</v>
      </c>
      <c r="N280" s="306">
        <v>16.81</v>
      </c>
      <c r="O280" s="306" t="s">
        <v>156</v>
      </c>
      <c r="P280" s="307">
        <v>16.81</v>
      </c>
      <c r="Q280" s="307" t="s">
        <v>156</v>
      </c>
      <c r="R280" s="298" t="s">
        <v>156</v>
      </c>
      <c r="S280" s="297" t="s">
        <v>156</v>
      </c>
      <c r="T280" s="333" t="s">
        <v>156</v>
      </c>
      <c r="U280" s="307" t="s">
        <v>156</v>
      </c>
      <c r="V280" s="307"/>
      <c r="W280" s="307">
        <f t="shared" si="22"/>
        <v>0</v>
      </c>
      <c r="X280" s="307" t="str">
        <f t="shared" si="24"/>
        <v/>
      </c>
      <c r="Y280" s="307">
        <f t="shared" si="23"/>
        <v>0</v>
      </c>
      <c r="Z280" s="298"/>
    </row>
    <row r="281" s="282" customFormat="1" spans="1:26">
      <c r="A281" s="295" t="s">
        <v>1052</v>
      </c>
      <c r="B281" s="296" t="s">
        <v>105</v>
      </c>
      <c r="C281" s="296" t="s">
        <v>45</v>
      </c>
      <c r="D281" s="295" t="s">
        <v>511</v>
      </c>
      <c r="E281" s="296" t="s">
        <v>554</v>
      </c>
      <c r="F281" s="296" t="s">
        <v>156</v>
      </c>
      <c r="G281" s="295" t="s">
        <v>513</v>
      </c>
      <c r="H281" s="295" t="s">
        <v>514</v>
      </c>
      <c r="I281" s="295"/>
      <c r="J281" s="304" t="s">
        <v>156</v>
      </c>
      <c r="K281" s="309" t="s">
        <v>156</v>
      </c>
      <c r="L281" s="306" t="s">
        <v>156</v>
      </c>
      <c r="M281" s="295" t="s">
        <v>156</v>
      </c>
      <c r="N281" s="306">
        <v>76.26</v>
      </c>
      <c r="O281" s="306" t="s">
        <v>156</v>
      </c>
      <c r="P281" s="307">
        <v>76.26</v>
      </c>
      <c r="Q281" s="307" t="s">
        <v>156</v>
      </c>
      <c r="R281" s="298" t="s">
        <v>156</v>
      </c>
      <c r="S281" s="297" t="s">
        <v>156</v>
      </c>
      <c r="T281" s="333" t="s">
        <v>156</v>
      </c>
      <c r="U281" s="307" t="s">
        <v>156</v>
      </c>
      <c r="V281" s="307"/>
      <c r="W281" s="307">
        <f t="shared" si="22"/>
        <v>0</v>
      </c>
      <c r="X281" s="307" t="str">
        <f t="shared" si="24"/>
        <v/>
      </c>
      <c r="Y281" s="307">
        <f t="shared" si="23"/>
        <v>0</v>
      </c>
      <c r="Z281" s="298"/>
    </row>
    <row r="282" s="282" customFormat="1" spans="1:26">
      <c r="A282" s="295" t="s">
        <v>1053</v>
      </c>
      <c r="B282" s="296" t="s">
        <v>105</v>
      </c>
      <c r="C282" s="296" t="s">
        <v>45</v>
      </c>
      <c r="D282" s="295" t="s">
        <v>511</v>
      </c>
      <c r="E282" s="296" t="s">
        <v>556</v>
      </c>
      <c r="F282" s="296" t="s">
        <v>156</v>
      </c>
      <c r="G282" s="295" t="s">
        <v>513</v>
      </c>
      <c r="H282" s="295" t="s">
        <v>514</v>
      </c>
      <c r="I282" s="295"/>
      <c r="J282" s="304" t="s">
        <v>156</v>
      </c>
      <c r="K282" s="309" t="s">
        <v>156</v>
      </c>
      <c r="L282" s="306" t="s">
        <v>156</v>
      </c>
      <c r="M282" s="295" t="s">
        <v>156</v>
      </c>
      <c r="N282" s="306">
        <v>8.74</v>
      </c>
      <c r="O282" s="306" t="s">
        <v>156</v>
      </c>
      <c r="P282" s="307">
        <v>8.74</v>
      </c>
      <c r="Q282" s="307" t="s">
        <v>156</v>
      </c>
      <c r="R282" s="298" t="s">
        <v>156</v>
      </c>
      <c r="S282" s="297" t="s">
        <v>156</v>
      </c>
      <c r="T282" s="333" t="s">
        <v>156</v>
      </c>
      <c r="U282" s="307" t="s">
        <v>156</v>
      </c>
      <c r="V282" s="307"/>
      <c r="W282" s="307">
        <f t="shared" si="22"/>
        <v>0</v>
      </c>
      <c r="X282" s="307" t="str">
        <f t="shared" si="24"/>
        <v/>
      </c>
      <c r="Y282" s="307">
        <f t="shared" si="23"/>
        <v>0</v>
      </c>
      <c r="Z282" s="298"/>
    </row>
    <row r="283" s="282" customFormat="1" spans="1:26">
      <c r="A283" s="295" t="s">
        <v>1054</v>
      </c>
      <c r="B283" s="296" t="s">
        <v>105</v>
      </c>
      <c r="C283" s="296" t="s">
        <v>45</v>
      </c>
      <c r="D283" s="295" t="s">
        <v>511</v>
      </c>
      <c r="E283" s="296" t="s">
        <v>558</v>
      </c>
      <c r="F283" s="296" t="s">
        <v>156</v>
      </c>
      <c r="G283" s="295" t="s">
        <v>513</v>
      </c>
      <c r="H283" s="295" t="s">
        <v>514</v>
      </c>
      <c r="I283" s="295"/>
      <c r="J283" s="304" t="s">
        <v>156</v>
      </c>
      <c r="K283" s="309" t="s">
        <v>156</v>
      </c>
      <c r="L283" s="306" t="s">
        <v>156</v>
      </c>
      <c r="M283" s="295" t="s">
        <v>156</v>
      </c>
      <c r="N283" s="306">
        <v>14.72</v>
      </c>
      <c r="O283" s="306" t="s">
        <v>156</v>
      </c>
      <c r="P283" s="307">
        <v>14.72</v>
      </c>
      <c r="Q283" s="307" t="s">
        <v>156</v>
      </c>
      <c r="R283" s="298" t="s">
        <v>156</v>
      </c>
      <c r="S283" s="297" t="s">
        <v>156</v>
      </c>
      <c r="T283" s="333" t="s">
        <v>156</v>
      </c>
      <c r="U283" s="307" t="s">
        <v>156</v>
      </c>
      <c r="V283" s="307"/>
      <c r="W283" s="307">
        <f t="shared" si="22"/>
        <v>0</v>
      </c>
      <c r="X283" s="307" t="str">
        <f t="shared" si="24"/>
        <v/>
      </c>
      <c r="Y283" s="307">
        <f t="shared" si="23"/>
        <v>0</v>
      </c>
      <c r="Z283" s="298"/>
    </row>
    <row r="284" s="282" customFormat="1" spans="1:26">
      <c r="A284" s="295" t="s">
        <v>1055</v>
      </c>
      <c r="B284" s="296" t="s">
        <v>105</v>
      </c>
      <c r="C284" s="296" t="s">
        <v>45</v>
      </c>
      <c r="D284" s="295" t="s">
        <v>511</v>
      </c>
      <c r="E284" s="296" t="s">
        <v>560</v>
      </c>
      <c r="F284" s="296" t="s">
        <v>156</v>
      </c>
      <c r="G284" s="295" t="s">
        <v>513</v>
      </c>
      <c r="H284" s="295" t="s">
        <v>514</v>
      </c>
      <c r="I284" s="295"/>
      <c r="J284" s="304" t="s">
        <v>156</v>
      </c>
      <c r="K284" s="309" t="s">
        <v>156</v>
      </c>
      <c r="L284" s="306" t="s">
        <v>156</v>
      </c>
      <c r="M284" s="295" t="s">
        <v>156</v>
      </c>
      <c r="N284" s="306">
        <v>9.2</v>
      </c>
      <c r="O284" s="306" t="s">
        <v>156</v>
      </c>
      <c r="P284" s="307">
        <v>9.2</v>
      </c>
      <c r="Q284" s="307" t="s">
        <v>156</v>
      </c>
      <c r="R284" s="298" t="s">
        <v>156</v>
      </c>
      <c r="S284" s="297" t="s">
        <v>156</v>
      </c>
      <c r="T284" s="333" t="s">
        <v>156</v>
      </c>
      <c r="U284" s="307" t="s">
        <v>156</v>
      </c>
      <c r="V284" s="307"/>
      <c r="W284" s="307">
        <f t="shared" si="22"/>
        <v>0</v>
      </c>
      <c r="X284" s="307" t="str">
        <f t="shared" si="24"/>
        <v/>
      </c>
      <c r="Y284" s="307">
        <f t="shared" si="23"/>
        <v>0</v>
      </c>
      <c r="Z284" s="298"/>
    </row>
    <row r="285" s="282" customFormat="1" spans="1:26">
      <c r="A285" s="295" t="s">
        <v>1056</v>
      </c>
      <c r="B285" s="296" t="s">
        <v>105</v>
      </c>
      <c r="C285" s="296" t="s">
        <v>45</v>
      </c>
      <c r="D285" s="295" t="s">
        <v>511</v>
      </c>
      <c r="E285" s="296" t="s">
        <v>562</v>
      </c>
      <c r="F285" s="296" t="s">
        <v>156</v>
      </c>
      <c r="G285" s="295" t="s">
        <v>513</v>
      </c>
      <c r="H285" s="295" t="s">
        <v>514</v>
      </c>
      <c r="I285" s="295"/>
      <c r="J285" s="304" t="s">
        <v>156</v>
      </c>
      <c r="K285" s="309" t="s">
        <v>156</v>
      </c>
      <c r="L285" s="306" t="s">
        <v>156</v>
      </c>
      <c r="M285" s="295" t="s">
        <v>156</v>
      </c>
      <c r="N285" s="306">
        <v>11.04</v>
      </c>
      <c r="O285" s="306" t="s">
        <v>156</v>
      </c>
      <c r="P285" s="307">
        <v>11.04</v>
      </c>
      <c r="Q285" s="307" t="s">
        <v>156</v>
      </c>
      <c r="R285" s="298" t="s">
        <v>156</v>
      </c>
      <c r="S285" s="297" t="s">
        <v>156</v>
      </c>
      <c r="T285" s="333" t="s">
        <v>156</v>
      </c>
      <c r="U285" s="307" t="s">
        <v>156</v>
      </c>
      <c r="V285" s="307"/>
      <c r="W285" s="307">
        <f t="shared" si="22"/>
        <v>0</v>
      </c>
      <c r="X285" s="307" t="str">
        <f t="shared" si="24"/>
        <v/>
      </c>
      <c r="Y285" s="307">
        <f t="shared" si="23"/>
        <v>0</v>
      </c>
      <c r="Z285" s="298"/>
    </row>
    <row r="286" s="282" customFormat="1" spans="1:26">
      <c r="A286" s="295" t="s">
        <v>1057</v>
      </c>
      <c r="B286" s="296" t="s">
        <v>105</v>
      </c>
      <c r="C286" s="296" t="s">
        <v>45</v>
      </c>
      <c r="D286" s="295" t="s">
        <v>511</v>
      </c>
      <c r="E286" s="296" t="s">
        <v>564</v>
      </c>
      <c r="F286" s="296" t="s">
        <v>156</v>
      </c>
      <c r="G286" s="295" t="s">
        <v>513</v>
      </c>
      <c r="H286" s="295" t="s">
        <v>514</v>
      </c>
      <c r="I286" s="295"/>
      <c r="J286" s="304" t="s">
        <v>156</v>
      </c>
      <c r="K286" s="309" t="s">
        <v>156</v>
      </c>
      <c r="L286" s="306" t="s">
        <v>156</v>
      </c>
      <c r="M286" s="295" t="s">
        <v>156</v>
      </c>
      <c r="N286" s="306">
        <v>12.42</v>
      </c>
      <c r="O286" s="306" t="s">
        <v>156</v>
      </c>
      <c r="P286" s="307">
        <v>12.42</v>
      </c>
      <c r="Q286" s="307" t="s">
        <v>156</v>
      </c>
      <c r="R286" s="298" t="s">
        <v>156</v>
      </c>
      <c r="S286" s="297" t="s">
        <v>156</v>
      </c>
      <c r="T286" s="333" t="s">
        <v>156</v>
      </c>
      <c r="U286" s="307" t="s">
        <v>156</v>
      </c>
      <c r="V286" s="307"/>
      <c r="W286" s="307">
        <f t="shared" si="22"/>
        <v>0</v>
      </c>
      <c r="X286" s="307" t="str">
        <f t="shared" si="24"/>
        <v/>
      </c>
      <c r="Y286" s="307">
        <f t="shared" si="23"/>
        <v>0</v>
      </c>
      <c r="Z286" s="298"/>
    </row>
    <row r="287" s="282" customFormat="1" spans="1:26">
      <c r="A287" s="295" t="s">
        <v>1058</v>
      </c>
      <c r="B287" s="296" t="s">
        <v>110</v>
      </c>
      <c r="C287" s="296" t="s">
        <v>42</v>
      </c>
      <c r="D287" s="295" t="s">
        <v>42</v>
      </c>
      <c r="E287" s="296" t="s">
        <v>388</v>
      </c>
      <c r="F287" s="296" t="s">
        <v>156</v>
      </c>
      <c r="G287" s="295" t="s">
        <v>215</v>
      </c>
      <c r="H287" s="295" t="s">
        <v>389</v>
      </c>
      <c r="I287" s="295" t="s">
        <v>294</v>
      </c>
      <c r="J287" s="304">
        <v>20210003133</v>
      </c>
      <c r="K287" s="309" t="s">
        <v>1059</v>
      </c>
      <c r="L287" s="306">
        <v>1121719</v>
      </c>
      <c r="M287" s="295" t="s">
        <v>1060</v>
      </c>
      <c r="N287" s="306">
        <v>150.87</v>
      </c>
      <c r="O287" s="306" t="s">
        <v>156</v>
      </c>
      <c r="P287" s="307">
        <v>150.87</v>
      </c>
      <c r="Q287" s="307" t="s">
        <v>156</v>
      </c>
      <c r="R287" s="298" t="s">
        <v>156</v>
      </c>
      <c r="S287" s="563" t="s">
        <v>392</v>
      </c>
      <c r="T287" s="333" t="s">
        <v>1061</v>
      </c>
      <c r="U287" s="335">
        <f>514550*2</f>
        <v>1029100</v>
      </c>
      <c r="V287" s="307">
        <f t="shared" ref="V287:V314" si="25">ROUND(U287*0.09,2)</f>
        <v>92619</v>
      </c>
      <c r="W287" s="307">
        <f t="shared" si="22"/>
        <v>1121719</v>
      </c>
      <c r="X287" s="307">
        <f t="shared" si="24"/>
        <v>1029100</v>
      </c>
      <c r="Y287" s="307">
        <f t="shared" si="23"/>
        <v>6821.1</v>
      </c>
      <c r="Z287" s="298"/>
    </row>
    <row r="288" s="282" customFormat="1" spans="1:26">
      <c r="A288" s="295" t="s">
        <v>1062</v>
      </c>
      <c r="B288" s="296" t="s">
        <v>110</v>
      </c>
      <c r="C288" s="296" t="s">
        <v>42</v>
      </c>
      <c r="D288" s="295" t="s">
        <v>42</v>
      </c>
      <c r="E288" s="296" t="s">
        <v>395</v>
      </c>
      <c r="F288" s="296" t="s">
        <v>156</v>
      </c>
      <c r="G288" s="295" t="s">
        <v>215</v>
      </c>
      <c r="H288" s="295" t="s">
        <v>389</v>
      </c>
      <c r="I288" s="295" t="s">
        <v>294</v>
      </c>
      <c r="J288" s="304">
        <v>20220004962</v>
      </c>
      <c r="K288" s="309" t="s">
        <v>1063</v>
      </c>
      <c r="L288" s="306">
        <v>1100000</v>
      </c>
      <c r="M288" s="295" t="s">
        <v>1064</v>
      </c>
      <c r="N288" s="306">
        <v>150.29</v>
      </c>
      <c r="O288" s="306" t="s">
        <v>156</v>
      </c>
      <c r="P288" s="307">
        <v>150.29</v>
      </c>
      <c r="Q288" s="307" t="s">
        <v>156</v>
      </c>
      <c r="R288" s="298" t="s">
        <v>156</v>
      </c>
      <c r="S288" s="563" t="s">
        <v>392</v>
      </c>
      <c r="T288" s="333" t="s">
        <v>1065</v>
      </c>
      <c r="U288" s="335">
        <f>504587.16*2</f>
        <v>1009174.32</v>
      </c>
      <c r="V288" s="307">
        <f t="shared" si="25"/>
        <v>90825.69</v>
      </c>
      <c r="W288" s="307">
        <f t="shared" si="22"/>
        <v>1100000.01</v>
      </c>
      <c r="X288" s="307">
        <f t="shared" si="24"/>
        <v>1009174.32</v>
      </c>
      <c r="Y288" s="307">
        <f t="shared" si="23"/>
        <v>6714.85</v>
      </c>
      <c r="Z288" s="298"/>
    </row>
    <row r="289" s="282" customFormat="1" ht="23.8" spans="1:26">
      <c r="A289" s="295" t="s">
        <v>1066</v>
      </c>
      <c r="B289" s="296" t="s">
        <v>110</v>
      </c>
      <c r="C289" s="296" t="s">
        <v>42</v>
      </c>
      <c r="D289" s="295" t="s">
        <v>45</v>
      </c>
      <c r="E289" s="296" t="s">
        <v>400</v>
      </c>
      <c r="F289" s="296" t="s">
        <v>156</v>
      </c>
      <c r="G289" s="295" t="s">
        <v>215</v>
      </c>
      <c r="H289" s="295" t="s">
        <v>389</v>
      </c>
      <c r="I289" s="295" t="s">
        <v>294</v>
      </c>
      <c r="J289" s="304">
        <v>20200012549</v>
      </c>
      <c r="K289" s="309" t="s">
        <v>1067</v>
      </c>
      <c r="L289" s="306">
        <v>641753</v>
      </c>
      <c r="M289" s="295" t="s">
        <v>1068</v>
      </c>
      <c r="N289" s="306">
        <v>150.87</v>
      </c>
      <c r="O289" s="306" t="s">
        <v>156</v>
      </c>
      <c r="P289" s="307">
        <v>150.87</v>
      </c>
      <c r="Q289" s="307" t="s">
        <v>156</v>
      </c>
      <c r="R289" s="298" t="s">
        <v>156</v>
      </c>
      <c r="S289" s="563" t="s">
        <v>392</v>
      </c>
      <c r="T289" s="333" t="s">
        <v>1069</v>
      </c>
      <c r="U289" s="335">
        <v>588764.22</v>
      </c>
      <c r="V289" s="307">
        <f t="shared" si="25"/>
        <v>52988.78</v>
      </c>
      <c r="W289" s="307">
        <f t="shared" si="22"/>
        <v>641753</v>
      </c>
      <c r="X289" s="307">
        <f t="shared" si="24"/>
        <v>588764.22</v>
      </c>
      <c r="Y289" s="307">
        <f t="shared" si="23"/>
        <v>3902.46</v>
      </c>
      <c r="Z289" s="298"/>
    </row>
    <row r="290" s="282" customFormat="1" ht="23.8" spans="1:26">
      <c r="A290" s="295" t="s">
        <v>1070</v>
      </c>
      <c r="B290" s="296" t="s">
        <v>110</v>
      </c>
      <c r="C290" s="296" t="s">
        <v>42</v>
      </c>
      <c r="D290" s="295" t="s">
        <v>45</v>
      </c>
      <c r="E290" s="296" t="s">
        <v>405</v>
      </c>
      <c r="F290" s="296" t="s">
        <v>156</v>
      </c>
      <c r="G290" s="295" t="s">
        <v>215</v>
      </c>
      <c r="H290" s="295" t="s">
        <v>389</v>
      </c>
      <c r="I290" s="295" t="s">
        <v>294</v>
      </c>
      <c r="J290" s="304">
        <v>20200010556</v>
      </c>
      <c r="K290" s="309" t="s">
        <v>1071</v>
      </c>
      <c r="L290" s="306">
        <v>658338</v>
      </c>
      <c r="M290" s="295" t="s">
        <v>1072</v>
      </c>
      <c r="N290" s="306">
        <v>150.38</v>
      </c>
      <c r="O290" s="306" t="s">
        <v>156</v>
      </c>
      <c r="P290" s="307">
        <v>150.38</v>
      </c>
      <c r="Q290" s="307" t="s">
        <v>156</v>
      </c>
      <c r="R290" s="298" t="s">
        <v>156</v>
      </c>
      <c r="S290" s="563" t="s">
        <v>392</v>
      </c>
      <c r="T290" s="333" t="s">
        <v>1073</v>
      </c>
      <c r="U290" s="335">
        <v>603979.82</v>
      </c>
      <c r="V290" s="307">
        <f t="shared" si="25"/>
        <v>54358.18</v>
      </c>
      <c r="W290" s="307">
        <f t="shared" si="22"/>
        <v>658338</v>
      </c>
      <c r="X290" s="307">
        <f t="shared" si="24"/>
        <v>603979.82</v>
      </c>
      <c r="Y290" s="307">
        <f t="shared" si="23"/>
        <v>4016.36</v>
      </c>
      <c r="Z290" s="298"/>
    </row>
    <row r="291" s="282" customFormat="1" spans="1:26">
      <c r="A291" s="295" t="s">
        <v>1074</v>
      </c>
      <c r="B291" s="296" t="s">
        <v>110</v>
      </c>
      <c r="C291" s="296" t="s">
        <v>42</v>
      </c>
      <c r="D291" s="295" t="s">
        <v>48</v>
      </c>
      <c r="E291" s="296" t="s">
        <v>410</v>
      </c>
      <c r="F291" s="296" t="s">
        <v>156</v>
      </c>
      <c r="G291" s="295" t="s">
        <v>215</v>
      </c>
      <c r="H291" s="295" t="s">
        <v>389</v>
      </c>
      <c r="I291" s="295" t="s">
        <v>294</v>
      </c>
      <c r="J291" s="304">
        <v>20200010147</v>
      </c>
      <c r="K291" s="309" t="s">
        <v>728</v>
      </c>
      <c r="L291" s="306">
        <v>668129</v>
      </c>
      <c r="M291" s="295" t="s">
        <v>1075</v>
      </c>
      <c r="N291" s="306">
        <v>150.87</v>
      </c>
      <c r="O291" s="306" t="s">
        <v>156</v>
      </c>
      <c r="P291" s="307">
        <v>150.87</v>
      </c>
      <c r="Q291" s="307" t="s">
        <v>156</v>
      </c>
      <c r="R291" s="298" t="s">
        <v>156</v>
      </c>
      <c r="S291" s="563" t="s">
        <v>392</v>
      </c>
      <c r="T291" s="333" t="s">
        <v>1076</v>
      </c>
      <c r="U291" s="335">
        <v>612962.39</v>
      </c>
      <c r="V291" s="307">
        <f t="shared" si="25"/>
        <v>55166.62</v>
      </c>
      <c r="W291" s="307">
        <f t="shared" si="22"/>
        <v>668129.01</v>
      </c>
      <c r="X291" s="307">
        <f t="shared" si="24"/>
        <v>612962.39</v>
      </c>
      <c r="Y291" s="307">
        <f t="shared" si="23"/>
        <v>4062.85</v>
      </c>
      <c r="Z291" s="298"/>
    </row>
    <row r="292" s="282" customFormat="1" ht="23.8" spans="1:26">
      <c r="A292" s="295" t="s">
        <v>1077</v>
      </c>
      <c r="B292" s="296" t="s">
        <v>110</v>
      </c>
      <c r="C292" s="296" t="s">
        <v>42</v>
      </c>
      <c r="D292" s="295" t="s">
        <v>48</v>
      </c>
      <c r="E292" s="296" t="s">
        <v>415</v>
      </c>
      <c r="F292" s="296" t="s">
        <v>156</v>
      </c>
      <c r="G292" s="295" t="s">
        <v>215</v>
      </c>
      <c r="H292" s="295" t="s">
        <v>389</v>
      </c>
      <c r="I292" s="295" t="s">
        <v>294</v>
      </c>
      <c r="J292" s="304">
        <v>20200008099</v>
      </c>
      <c r="K292" s="309" t="s">
        <v>465</v>
      </c>
      <c r="L292" s="306">
        <v>646634</v>
      </c>
      <c r="M292" s="295" t="s">
        <v>1078</v>
      </c>
      <c r="N292" s="306">
        <v>150.38</v>
      </c>
      <c r="O292" s="306" t="s">
        <v>156</v>
      </c>
      <c r="P292" s="307">
        <v>150.38</v>
      </c>
      <c r="Q292" s="307" t="s">
        <v>156</v>
      </c>
      <c r="R292" s="298" t="s">
        <v>156</v>
      </c>
      <c r="S292" s="563" t="s">
        <v>392</v>
      </c>
      <c r="T292" s="333" t="s">
        <v>1079</v>
      </c>
      <c r="U292" s="320">
        <v>593242.2</v>
      </c>
      <c r="V292" s="307">
        <f t="shared" si="25"/>
        <v>53391.8</v>
      </c>
      <c r="W292" s="307">
        <f t="shared" si="22"/>
        <v>646634</v>
      </c>
      <c r="X292" s="307">
        <f t="shared" si="24"/>
        <v>593242.2</v>
      </c>
      <c r="Y292" s="307">
        <f t="shared" si="23"/>
        <v>3944.95</v>
      </c>
      <c r="Z292" s="298"/>
    </row>
    <row r="293" s="282" customFormat="1" spans="1:26">
      <c r="A293" s="295" t="s">
        <v>510</v>
      </c>
      <c r="B293" s="296" t="s">
        <v>110</v>
      </c>
      <c r="C293" s="296" t="s">
        <v>42</v>
      </c>
      <c r="D293" s="295" t="s">
        <v>92</v>
      </c>
      <c r="E293" s="296" t="s">
        <v>420</v>
      </c>
      <c r="F293" s="296" t="s">
        <v>156</v>
      </c>
      <c r="G293" s="295" t="s">
        <v>215</v>
      </c>
      <c r="H293" s="295" t="s">
        <v>389</v>
      </c>
      <c r="I293" s="295" t="s">
        <v>294</v>
      </c>
      <c r="J293" s="304">
        <v>20200009923</v>
      </c>
      <c r="K293" s="309" t="s">
        <v>888</v>
      </c>
      <c r="L293" s="306">
        <v>676228</v>
      </c>
      <c r="M293" s="295" t="s">
        <v>1080</v>
      </c>
      <c r="N293" s="306">
        <v>150.87</v>
      </c>
      <c r="O293" s="306" t="s">
        <v>156</v>
      </c>
      <c r="P293" s="307">
        <v>150.87</v>
      </c>
      <c r="Q293" s="307" t="s">
        <v>156</v>
      </c>
      <c r="R293" s="298" t="s">
        <v>156</v>
      </c>
      <c r="S293" s="563" t="s">
        <v>392</v>
      </c>
      <c r="T293" s="333" t="s">
        <v>1081</v>
      </c>
      <c r="U293" s="320">
        <v>620392.66</v>
      </c>
      <c r="V293" s="307">
        <f t="shared" si="25"/>
        <v>55835.34</v>
      </c>
      <c r="W293" s="307">
        <f t="shared" si="22"/>
        <v>676228</v>
      </c>
      <c r="X293" s="307">
        <f t="shared" si="24"/>
        <v>620392.66</v>
      </c>
      <c r="Y293" s="307">
        <f t="shared" si="23"/>
        <v>4112.1</v>
      </c>
      <c r="Z293" s="298"/>
    </row>
    <row r="294" s="282" customFormat="1" ht="23.8" spans="1:26">
      <c r="A294" s="295" t="s">
        <v>1082</v>
      </c>
      <c r="B294" s="296" t="s">
        <v>110</v>
      </c>
      <c r="C294" s="296" t="s">
        <v>42</v>
      </c>
      <c r="D294" s="295" t="s">
        <v>92</v>
      </c>
      <c r="E294" s="296" t="s">
        <v>425</v>
      </c>
      <c r="F294" s="296" t="s">
        <v>156</v>
      </c>
      <c r="G294" s="295" t="s">
        <v>215</v>
      </c>
      <c r="H294" s="295" t="s">
        <v>389</v>
      </c>
      <c r="I294" s="295" t="s">
        <v>294</v>
      </c>
      <c r="J294" s="304">
        <v>20200012226</v>
      </c>
      <c r="K294" s="309" t="s">
        <v>1083</v>
      </c>
      <c r="L294" s="306">
        <v>656000</v>
      </c>
      <c r="M294" s="295" t="s">
        <v>1084</v>
      </c>
      <c r="N294" s="306">
        <v>150.38</v>
      </c>
      <c r="O294" s="306" t="s">
        <v>156</v>
      </c>
      <c r="P294" s="307">
        <v>150.38</v>
      </c>
      <c r="Q294" s="307" t="s">
        <v>156</v>
      </c>
      <c r="R294" s="298" t="s">
        <v>156</v>
      </c>
      <c r="S294" s="563" t="s">
        <v>392</v>
      </c>
      <c r="T294" s="333" t="s">
        <v>1085</v>
      </c>
      <c r="U294" s="320">
        <v>601834.86</v>
      </c>
      <c r="V294" s="307">
        <f t="shared" si="25"/>
        <v>54165.14</v>
      </c>
      <c r="W294" s="307">
        <f t="shared" si="22"/>
        <v>656000</v>
      </c>
      <c r="X294" s="307">
        <f t="shared" si="24"/>
        <v>601834.86</v>
      </c>
      <c r="Y294" s="307">
        <f t="shared" si="23"/>
        <v>4002.09</v>
      </c>
      <c r="Z294" s="298"/>
    </row>
    <row r="295" s="282" customFormat="1" spans="1:26">
      <c r="A295" s="295" t="s">
        <v>1086</v>
      </c>
      <c r="B295" s="296" t="s">
        <v>110</v>
      </c>
      <c r="C295" s="296" t="s">
        <v>42</v>
      </c>
      <c r="D295" s="295" t="s">
        <v>95</v>
      </c>
      <c r="E295" s="296" t="s">
        <v>430</v>
      </c>
      <c r="F295" s="296" t="s">
        <v>156</v>
      </c>
      <c r="G295" s="295" t="s">
        <v>215</v>
      </c>
      <c r="H295" s="295" t="s">
        <v>389</v>
      </c>
      <c r="I295" s="295" t="s">
        <v>294</v>
      </c>
      <c r="J295" s="304">
        <v>20200008288</v>
      </c>
      <c r="K295" s="309" t="s">
        <v>637</v>
      </c>
      <c r="L295" s="306">
        <v>666000</v>
      </c>
      <c r="M295" s="295" t="s">
        <v>1087</v>
      </c>
      <c r="N295" s="306">
        <v>150.87</v>
      </c>
      <c r="O295" s="306" t="s">
        <v>156</v>
      </c>
      <c r="P295" s="307">
        <v>150.87</v>
      </c>
      <c r="Q295" s="307" t="s">
        <v>156</v>
      </c>
      <c r="R295" s="298" t="s">
        <v>156</v>
      </c>
      <c r="S295" s="563" t="s">
        <v>392</v>
      </c>
      <c r="T295" s="333" t="s">
        <v>1088</v>
      </c>
      <c r="U295" s="320">
        <v>611009.17</v>
      </c>
      <c r="V295" s="307">
        <f t="shared" si="25"/>
        <v>54990.83</v>
      </c>
      <c r="W295" s="307">
        <f t="shared" si="22"/>
        <v>666000</v>
      </c>
      <c r="X295" s="307">
        <f t="shared" si="24"/>
        <v>611009.17</v>
      </c>
      <c r="Y295" s="307">
        <f t="shared" si="23"/>
        <v>4049.91</v>
      </c>
      <c r="Z295" s="298"/>
    </row>
    <row r="296" s="282" customFormat="1" spans="1:26">
      <c r="A296" s="295" t="s">
        <v>1089</v>
      </c>
      <c r="B296" s="296" t="s">
        <v>110</v>
      </c>
      <c r="C296" s="296" t="s">
        <v>42</v>
      </c>
      <c r="D296" s="295" t="s">
        <v>95</v>
      </c>
      <c r="E296" s="296" t="s">
        <v>435</v>
      </c>
      <c r="F296" s="296" t="s">
        <v>156</v>
      </c>
      <c r="G296" s="295" t="s">
        <v>215</v>
      </c>
      <c r="H296" s="295" t="s">
        <v>389</v>
      </c>
      <c r="I296" s="295" t="s">
        <v>294</v>
      </c>
      <c r="J296" s="304">
        <v>20200007842</v>
      </c>
      <c r="K296" s="309" t="s">
        <v>436</v>
      </c>
      <c r="L296" s="306">
        <v>665690</v>
      </c>
      <c r="M296" s="295" t="s">
        <v>1090</v>
      </c>
      <c r="N296" s="306">
        <v>150.38</v>
      </c>
      <c r="O296" s="306" t="s">
        <v>156</v>
      </c>
      <c r="P296" s="307">
        <v>150.38</v>
      </c>
      <c r="Q296" s="307" t="s">
        <v>156</v>
      </c>
      <c r="R296" s="298" t="s">
        <v>156</v>
      </c>
      <c r="S296" s="563" t="s">
        <v>392</v>
      </c>
      <c r="T296" s="333" t="s">
        <v>1091</v>
      </c>
      <c r="U296" s="335">
        <v>610724.77</v>
      </c>
      <c r="V296" s="307">
        <f t="shared" si="25"/>
        <v>54965.23</v>
      </c>
      <c r="W296" s="307">
        <f t="shared" si="22"/>
        <v>665690</v>
      </c>
      <c r="X296" s="307">
        <f t="shared" si="24"/>
        <v>610724.77</v>
      </c>
      <c r="Y296" s="307">
        <f t="shared" si="23"/>
        <v>4061.21</v>
      </c>
      <c r="Z296" s="298"/>
    </row>
    <row r="297" s="282" customFormat="1" spans="1:26">
      <c r="A297" s="295" t="s">
        <v>1092</v>
      </c>
      <c r="B297" s="296" t="s">
        <v>110</v>
      </c>
      <c r="C297" s="296" t="s">
        <v>42</v>
      </c>
      <c r="D297" s="295" t="s">
        <v>99</v>
      </c>
      <c r="E297" s="296" t="s">
        <v>440</v>
      </c>
      <c r="F297" s="296" t="s">
        <v>156</v>
      </c>
      <c r="G297" s="295" t="s">
        <v>215</v>
      </c>
      <c r="H297" s="295" t="s">
        <v>389</v>
      </c>
      <c r="I297" s="295" t="s">
        <v>294</v>
      </c>
      <c r="J297" s="304">
        <v>20200008511</v>
      </c>
      <c r="K297" s="309" t="s">
        <v>902</v>
      </c>
      <c r="L297" s="306">
        <v>675505</v>
      </c>
      <c r="M297" s="295" t="s">
        <v>1093</v>
      </c>
      <c r="N297" s="306">
        <v>150.87</v>
      </c>
      <c r="O297" s="306" t="s">
        <v>156</v>
      </c>
      <c r="P297" s="307">
        <v>150.87</v>
      </c>
      <c r="Q297" s="307" t="s">
        <v>156</v>
      </c>
      <c r="R297" s="298" t="s">
        <v>156</v>
      </c>
      <c r="S297" s="563" t="s">
        <v>392</v>
      </c>
      <c r="T297" s="333" t="s">
        <v>1094</v>
      </c>
      <c r="U297" s="335">
        <v>619729.36</v>
      </c>
      <c r="V297" s="307">
        <f t="shared" si="25"/>
        <v>55775.64</v>
      </c>
      <c r="W297" s="307">
        <f t="shared" si="22"/>
        <v>675505</v>
      </c>
      <c r="X297" s="307">
        <f t="shared" si="24"/>
        <v>619729.36</v>
      </c>
      <c r="Y297" s="307">
        <f t="shared" si="23"/>
        <v>4107.7</v>
      </c>
      <c r="Z297" s="298"/>
    </row>
    <row r="298" s="282" customFormat="1" spans="1:26">
      <c r="A298" s="295" t="s">
        <v>1095</v>
      </c>
      <c r="B298" s="296" t="s">
        <v>110</v>
      </c>
      <c r="C298" s="296" t="s">
        <v>42</v>
      </c>
      <c r="D298" s="295" t="s">
        <v>99</v>
      </c>
      <c r="E298" s="296" t="s">
        <v>444</v>
      </c>
      <c r="F298" s="296" t="s">
        <v>156</v>
      </c>
      <c r="G298" s="295" t="s">
        <v>215</v>
      </c>
      <c r="H298" s="295" t="s">
        <v>389</v>
      </c>
      <c r="I298" s="295" t="s">
        <v>294</v>
      </c>
      <c r="J298" s="304">
        <v>20200009358</v>
      </c>
      <c r="K298" s="309" t="s">
        <v>836</v>
      </c>
      <c r="L298" s="306">
        <v>688888</v>
      </c>
      <c r="M298" s="295" t="s">
        <v>1096</v>
      </c>
      <c r="N298" s="306">
        <v>150.38</v>
      </c>
      <c r="O298" s="306" t="s">
        <v>156</v>
      </c>
      <c r="P298" s="307">
        <v>150.38</v>
      </c>
      <c r="Q298" s="307" t="s">
        <v>156</v>
      </c>
      <c r="R298" s="298" t="s">
        <v>156</v>
      </c>
      <c r="S298" s="563" t="s">
        <v>392</v>
      </c>
      <c r="T298" s="333" t="s">
        <v>1097</v>
      </c>
      <c r="U298" s="335">
        <v>632007.34</v>
      </c>
      <c r="V298" s="307">
        <f t="shared" si="25"/>
        <v>56880.66</v>
      </c>
      <c r="W298" s="307">
        <f t="shared" si="22"/>
        <v>688888</v>
      </c>
      <c r="X298" s="307">
        <f t="shared" si="24"/>
        <v>632007.34</v>
      </c>
      <c r="Y298" s="307">
        <f t="shared" si="23"/>
        <v>4202.74</v>
      </c>
      <c r="Z298" s="298"/>
    </row>
    <row r="299" s="282" customFormat="1" spans="1:26">
      <c r="A299" s="295" t="s">
        <v>1098</v>
      </c>
      <c r="B299" s="296" t="s">
        <v>110</v>
      </c>
      <c r="C299" s="296" t="s">
        <v>42</v>
      </c>
      <c r="D299" s="295" t="s">
        <v>102</v>
      </c>
      <c r="E299" s="296" t="s">
        <v>448</v>
      </c>
      <c r="F299" s="296" t="s">
        <v>156</v>
      </c>
      <c r="G299" s="295" t="s">
        <v>215</v>
      </c>
      <c r="H299" s="295" t="s">
        <v>389</v>
      </c>
      <c r="I299" s="295" t="s">
        <v>294</v>
      </c>
      <c r="J299" s="304">
        <v>20230006594</v>
      </c>
      <c r="K299" s="309" t="s">
        <v>1099</v>
      </c>
      <c r="L299" s="306">
        <v>1159920</v>
      </c>
      <c r="M299" s="295" t="s">
        <v>1100</v>
      </c>
      <c r="N299" s="306">
        <v>241.65</v>
      </c>
      <c r="O299" s="306" t="s">
        <v>156</v>
      </c>
      <c r="P299" s="307">
        <v>241.65</v>
      </c>
      <c r="Q299" s="307" t="s">
        <v>156</v>
      </c>
      <c r="R299" s="298" t="s">
        <v>156</v>
      </c>
      <c r="S299" s="563" t="s">
        <v>392</v>
      </c>
      <c r="T299" s="333" t="s">
        <v>1101</v>
      </c>
      <c r="U299" s="336">
        <f>532073.39*2</f>
        <v>1064146.78</v>
      </c>
      <c r="V299" s="307">
        <f t="shared" si="25"/>
        <v>95773.21</v>
      </c>
      <c r="W299" s="307">
        <f t="shared" si="22"/>
        <v>1159919.99</v>
      </c>
      <c r="X299" s="307">
        <f t="shared" si="24"/>
        <v>1064146.78</v>
      </c>
      <c r="Y299" s="307">
        <f t="shared" si="23"/>
        <v>4403.67</v>
      </c>
      <c r="Z299" s="298"/>
    </row>
    <row r="300" s="282" customFormat="1" spans="1:26">
      <c r="A300" s="295" t="s">
        <v>1102</v>
      </c>
      <c r="B300" s="296" t="s">
        <v>110</v>
      </c>
      <c r="C300" s="296" t="s">
        <v>42</v>
      </c>
      <c r="D300" s="295" t="s">
        <v>102</v>
      </c>
      <c r="E300" s="296" t="s">
        <v>452</v>
      </c>
      <c r="F300" s="296" t="s">
        <v>156</v>
      </c>
      <c r="G300" s="295" t="s">
        <v>215</v>
      </c>
      <c r="H300" s="295" t="s">
        <v>389</v>
      </c>
      <c r="I300" s="295" t="s">
        <v>294</v>
      </c>
      <c r="J300" s="304">
        <v>20210002726</v>
      </c>
      <c r="K300" s="309" t="s">
        <v>1103</v>
      </c>
      <c r="L300" s="306">
        <v>1088888</v>
      </c>
      <c r="M300" s="295" t="s">
        <v>1104</v>
      </c>
      <c r="N300" s="306">
        <v>241.16</v>
      </c>
      <c r="O300" s="306" t="s">
        <v>156</v>
      </c>
      <c r="P300" s="307">
        <v>241.16</v>
      </c>
      <c r="Q300" s="307" t="s">
        <v>156</v>
      </c>
      <c r="R300" s="298" t="s">
        <v>156</v>
      </c>
      <c r="S300" s="563" t="s">
        <v>392</v>
      </c>
      <c r="T300" s="333" t="s">
        <v>1105</v>
      </c>
      <c r="U300" s="320">
        <v>998979.82</v>
      </c>
      <c r="V300" s="307">
        <f t="shared" si="25"/>
        <v>89908.18</v>
      </c>
      <c r="W300" s="307">
        <f t="shared" si="22"/>
        <v>1088888</v>
      </c>
      <c r="X300" s="307">
        <f t="shared" si="24"/>
        <v>998979.82</v>
      </c>
      <c r="Y300" s="307">
        <f t="shared" si="23"/>
        <v>4142.39</v>
      </c>
      <c r="Z300" s="298"/>
    </row>
    <row r="301" s="282" customFormat="1" spans="1:26">
      <c r="A301" s="295" t="s">
        <v>1106</v>
      </c>
      <c r="B301" s="296" t="s">
        <v>110</v>
      </c>
      <c r="C301" s="296" t="s">
        <v>45</v>
      </c>
      <c r="D301" s="295" t="s">
        <v>42</v>
      </c>
      <c r="E301" s="296" t="s">
        <v>388</v>
      </c>
      <c r="F301" s="296" t="s">
        <v>156</v>
      </c>
      <c r="G301" s="295" t="s">
        <v>215</v>
      </c>
      <c r="H301" s="295" t="s">
        <v>389</v>
      </c>
      <c r="I301" s="295" t="s">
        <v>294</v>
      </c>
      <c r="J301" s="304">
        <v>20220003644</v>
      </c>
      <c r="K301" s="309" t="s">
        <v>993</v>
      </c>
      <c r="L301" s="306">
        <v>1120331</v>
      </c>
      <c r="M301" s="295" t="s">
        <v>1107</v>
      </c>
      <c r="N301" s="306">
        <v>150.38</v>
      </c>
      <c r="O301" s="306" t="s">
        <v>156</v>
      </c>
      <c r="P301" s="307">
        <v>150.38</v>
      </c>
      <c r="Q301" s="307" t="s">
        <v>156</v>
      </c>
      <c r="R301" s="298" t="s">
        <v>156</v>
      </c>
      <c r="S301" s="563" t="s">
        <v>392</v>
      </c>
      <c r="T301" s="333" t="s">
        <v>1108</v>
      </c>
      <c r="U301" s="337">
        <f>513913.3*2</f>
        <v>1027826.6</v>
      </c>
      <c r="V301" s="307">
        <f t="shared" si="25"/>
        <v>92504.39</v>
      </c>
      <c r="W301" s="307">
        <f t="shared" si="22"/>
        <v>1120330.99</v>
      </c>
      <c r="X301" s="307">
        <f t="shared" si="24"/>
        <v>1027826.6</v>
      </c>
      <c r="Y301" s="307">
        <f t="shared" si="23"/>
        <v>6834.86</v>
      </c>
      <c r="Z301" s="298"/>
    </row>
    <row r="302" s="282" customFormat="1" spans="1:26">
      <c r="A302" s="295" t="s">
        <v>1109</v>
      </c>
      <c r="B302" s="296" t="s">
        <v>110</v>
      </c>
      <c r="C302" s="296" t="s">
        <v>45</v>
      </c>
      <c r="D302" s="295" t="s">
        <v>42</v>
      </c>
      <c r="E302" s="296" t="s">
        <v>395</v>
      </c>
      <c r="F302" s="296" t="s">
        <v>156</v>
      </c>
      <c r="G302" s="295" t="s">
        <v>215</v>
      </c>
      <c r="H302" s="295" t="s">
        <v>389</v>
      </c>
      <c r="I302" s="295" t="s">
        <v>294</v>
      </c>
      <c r="J302" s="304">
        <v>20220003884</v>
      </c>
      <c r="K302" s="309" t="s">
        <v>1110</v>
      </c>
      <c r="L302" s="306">
        <v>1100000</v>
      </c>
      <c r="M302" s="295" t="s">
        <v>1111</v>
      </c>
      <c r="N302" s="306">
        <v>150.77</v>
      </c>
      <c r="O302" s="306" t="s">
        <v>156</v>
      </c>
      <c r="P302" s="307">
        <v>150.77</v>
      </c>
      <c r="Q302" s="307" t="s">
        <v>156</v>
      </c>
      <c r="R302" s="298" t="s">
        <v>156</v>
      </c>
      <c r="S302" s="563" t="s">
        <v>392</v>
      </c>
      <c r="T302" s="333" t="s">
        <v>1112</v>
      </c>
      <c r="U302" s="323">
        <f>504587.16*2</f>
        <v>1009174.32</v>
      </c>
      <c r="V302" s="307">
        <f t="shared" si="25"/>
        <v>90825.69</v>
      </c>
      <c r="W302" s="307">
        <f t="shared" si="22"/>
        <v>1100000.01</v>
      </c>
      <c r="X302" s="307">
        <f t="shared" si="24"/>
        <v>1009174.32</v>
      </c>
      <c r="Y302" s="307">
        <f t="shared" si="23"/>
        <v>6693.47</v>
      </c>
      <c r="Z302" s="298"/>
    </row>
    <row r="303" s="282" customFormat="1" ht="23.8" spans="1:26">
      <c r="A303" s="295" t="s">
        <v>1113</v>
      </c>
      <c r="B303" s="296" t="s">
        <v>110</v>
      </c>
      <c r="C303" s="296" t="s">
        <v>45</v>
      </c>
      <c r="D303" s="295" t="s">
        <v>45</v>
      </c>
      <c r="E303" s="296" t="s">
        <v>400</v>
      </c>
      <c r="F303" s="296" t="s">
        <v>156</v>
      </c>
      <c r="G303" s="295" t="s">
        <v>215</v>
      </c>
      <c r="H303" s="295" t="s">
        <v>389</v>
      </c>
      <c r="I303" s="295" t="s">
        <v>294</v>
      </c>
      <c r="J303" s="304">
        <v>20200007957</v>
      </c>
      <c r="K303" s="309" t="s">
        <v>629</v>
      </c>
      <c r="L303" s="306">
        <v>643428</v>
      </c>
      <c r="M303" s="295" t="s">
        <v>1114</v>
      </c>
      <c r="N303" s="306">
        <v>150.38</v>
      </c>
      <c r="O303" s="306" t="s">
        <v>156</v>
      </c>
      <c r="P303" s="307">
        <v>150.38</v>
      </c>
      <c r="Q303" s="307" t="s">
        <v>156</v>
      </c>
      <c r="R303" s="298" t="s">
        <v>156</v>
      </c>
      <c r="S303" s="563" t="s">
        <v>392</v>
      </c>
      <c r="T303" s="333" t="s">
        <v>1115</v>
      </c>
      <c r="U303" s="320">
        <v>590300.92</v>
      </c>
      <c r="V303" s="307">
        <f t="shared" si="25"/>
        <v>53127.08</v>
      </c>
      <c r="W303" s="307">
        <f t="shared" si="22"/>
        <v>643428</v>
      </c>
      <c r="X303" s="307">
        <f t="shared" si="24"/>
        <v>590300.92</v>
      </c>
      <c r="Y303" s="307">
        <f t="shared" si="23"/>
        <v>3925.4</v>
      </c>
      <c r="Z303" s="298"/>
    </row>
    <row r="304" s="282" customFormat="1" spans="1:26">
      <c r="A304" s="295" t="s">
        <v>1116</v>
      </c>
      <c r="B304" s="296" t="s">
        <v>110</v>
      </c>
      <c r="C304" s="296" t="s">
        <v>45</v>
      </c>
      <c r="D304" s="295" t="s">
        <v>45</v>
      </c>
      <c r="E304" s="296" t="s">
        <v>405</v>
      </c>
      <c r="F304" s="296" t="s">
        <v>156</v>
      </c>
      <c r="G304" s="295" t="s">
        <v>215</v>
      </c>
      <c r="H304" s="295" t="s">
        <v>389</v>
      </c>
      <c r="I304" s="295" t="s">
        <v>294</v>
      </c>
      <c r="J304" s="304">
        <v>20200010059</v>
      </c>
      <c r="K304" s="309" t="s">
        <v>1117</v>
      </c>
      <c r="L304" s="306">
        <v>660483</v>
      </c>
      <c r="M304" s="295" t="s">
        <v>1118</v>
      </c>
      <c r="N304" s="306">
        <v>150.87</v>
      </c>
      <c r="O304" s="306" t="s">
        <v>156</v>
      </c>
      <c r="P304" s="307">
        <v>150.87</v>
      </c>
      <c r="Q304" s="307" t="s">
        <v>156</v>
      </c>
      <c r="R304" s="298" t="s">
        <v>156</v>
      </c>
      <c r="S304" s="563" t="s">
        <v>392</v>
      </c>
      <c r="T304" s="333" t="s">
        <v>1119</v>
      </c>
      <c r="U304" s="320">
        <v>605947.71</v>
      </c>
      <c r="V304" s="307">
        <f t="shared" si="25"/>
        <v>54535.29</v>
      </c>
      <c r="W304" s="307">
        <f t="shared" si="22"/>
        <v>660483</v>
      </c>
      <c r="X304" s="307">
        <f t="shared" si="24"/>
        <v>605947.71</v>
      </c>
      <c r="Y304" s="307">
        <f t="shared" si="23"/>
        <v>4016.36</v>
      </c>
      <c r="Z304" s="298"/>
    </row>
    <row r="305" s="282" customFormat="1" spans="1:26">
      <c r="A305" s="295" t="s">
        <v>1120</v>
      </c>
      <c r="B305" s="296" t="s">
        <v>110</v>
      </c>
      <c r="C305" s="296" t="s">
        <v>45</v>
      </c>
      <c r="D305" s="295" t="s">
        <v>48</v>
      </c>
      <c r="E305" s="296" t="s">
        <v>410</v>
      </c>
      <c r="F305" s="296" t="s">
        <v>156</v>
      </c>
      <c r="G305" s="295" t="s">
        <v>215</v>
      </c>
      <c r="H305" s="295" t="s">
        <v>389</v>
      </c>
      <c r="I305" s="295" t="s">
        <v>294</v>
      </c>
      <c r="J305" s="304">
        <v>202000011638</v>
      </c>
      <c r="K305" s="309" t="s">
        <v>1121</v>
      </c>
      <c r="L305" s="306">
        <v>651049</v>
      </c>
      <c r="M305" s="295" t="s">
        <v>1122</v>
      </c>
      <c r="N305" s="306">
        <v>150.38</v>
      </c>
      <c r="O305" s="306" t="s">
        <v>156</v>
      </c>
      <c r="P305" s="307">
        <v>150.38</v>
      </c>
      <c r="Q305" s="307" t="s">
        <v>156</v>
      </c>
      <c r="R305" s="298" t="s">
        <v>156</v>
      </c>
      <c r="S305" s="563" t="s">
        <v>392</v>
      </c>
      <c r="T305" s="333" t="s">
        <v>1123</v>
      </c>
      <c r="U305" s="320">
        <v>597292.66</v>
      </c>
      <c r="V305" s="307">
        <f t="shared" si="25"/>
        <v>53756.34</v>
      </c>
      <c r="W305" s="307">
        <f t="shared" si="22"/>
        <v>651049</v>
      </c>
      <c r="X305" s="307">
        <f t="shared" si="24"/>
        <v>597292.66</v>
      </c>
      <c r="Y305" s="307">
        <f t="shared" si="23"/>
        <v>3971.89</v>
      </c>
      <c r="Z305" s="298"/>
    </row>
    <row r="306" s="282" customFormat="1" spans="1:26">
      <c r="A306" s="295" t="s">
        <v>1124</v>
      </c>
      <c r="B306" s="296" t="s">
        <v>110</v>
      </c>
      <c r="C306" s="296" t="s">
        <v>45</v>
      </c>
      <c r="D306" s="295" t="s">
        <v>48</v>
      </c>
      <c r="E306" s="296" t="s">
        <v>415</v>
      </c>
      <c r="F306" s="296" t="s">
        <v>156</v>
      </c>
      <c r="G306" s="295" t="s">
        <v>215</v>
      </c>
      <c r="H306" s="295" t="s">
        <v>389</v>
      </c>
      <c r="I306" s="295" t="s">
        <v>294</v>
      </c>
      <c r="J306" s="304">
        <v>20200009687</v>
      </c>
      <c r="K306" s="309" t="s">
        <v>1125</v>
      </c>
      <c r="L306" s="306">
        <v>668129</v>
      </c>
      <c r="M306" s="295" t="s">
        <v>1126</v>
      </c>
      <c r="N306" s="306">
        <v>150.87</v>
      </c>
      <c r="O306" s="306" t="s">
        <v>156</v>
      </c>
      <c r="P306" s="307">
        <v>150.87</v>
      </c>
      <c r="Q306" s="307" t="s">
        <v>156</v>
      </c>
      <c r="R306" s="298" t="s">
        <v>156</v>
      </c>
      <c r="S306" s="563" t="s">
        <v>392</v>
      </c>
      <c r="T306" s="333" t="s">
        <v>1127</v>
      </c>
      <c r="U306" s="337">
        <v>612962.39</v>
      </c>
      <c r="V306" s="307">
        <f t="shared" si="25"/>
        <v>55166.62</v>
      </c>
      <c r="W306" s="307">
        <f t="shared" si="22"/>
        <v>668129.01</v>
      </c>
      <c r="X306" s="307">
        <f t="shared" si="24"/>
        <v>612962.39</v>
      </c>
      <c r="Y306" s="307">
        <f t="shared" si="23"/>
        <v>4062.85</v>
      </c>
      <c r="Z306" s="298"/>
    </row>
    <row r="307" s="282" customFormat="1" spans="1:26">
      <c r="A307" s="295" t="s">
        <v>1128</v>
      </c>
      <c r="B307" s="296" t="s">
        <v>110</v>
      </c>
      <c r="C307" s="296" t="s">
        <v>45</v>
      </c>
      <c r="D307" s="295" t="s">
        <v>92</v>
      </c>
      <c r="E307" s="296" t="s">
        <v>420</v>
      </c>
      <c r="F307" s="296" t="s">
        <v>156</v>
      </c>
      <c r="G307" s="295" t="s">
        <v>215</v>
      </c>
      <c r="H307" s="295" t="s">
        <v>389</v>
      </c>
      <c r="I307" s="295" t="s">
        <v>294</v>
      </c>
      <c r="J307" s="304">
        <v>20200010188</v>
      </c>
      <c r="K307" s="309" t="s">
        <v>1129</v>
      </c>
      <c r="L307" s="306">
        <v>658370</v>
      </c>
      <c r="M307" s="295" t="s">
        <v>1130</v>
      </c>
      <c r="N307" s="306">
        <v>150.38</v>
      </c>
      <c r="O307" s="306" t="s">
        <v>156</v>
      </c>
      <c r="P307" s="307">
        <v>150.38</v>
      </c>
      <c r="Q307" s="307" t="s">
        <v>156</v>
      </c>
      <c r="R307" s="298" t="s">
        <v>156</v>
      </c>
      <c r="S307" s="563" t="s">
        <v>392</v>
      </c>
      <c r="T307" s="333" t="s">
        <v>1131</v>
      </c>
      <c r="U307" s="337">
        <v>604009.17</v>
      </c>
      <c r="V307" s="307">
        <f t="shared" si="25"/>
        <v>54360.83</v>
      </c>
      <c r="W307" s="307">
        <f t="shared" si="22"/>
        <v>658370</v>
      </c>
      <c r="X307" s="307">
        <f t="shared" si="24"/>
        <v>604009.17</v>
      </c>
      <c r="Y307" s="307">
        <f t="shared" si="23"/>
        <v>4016.55</v>
      </c>
      <c r="Z307" s="298"/>
    </row>
    <row r="308" s="282" customFormat="1" ht="23.8" spans="1:26">
      <c r="A308" s="295" t="s">
        <v>1132</v>
      </c>
      <c r="B308" s="296" t="s">
        <v>110</v>
      </c>
      <c r="C308" s="296" t="s">
        <v>45</v>
      </c>
      <c r="D308" s="295" t="s">
        <v>92</v>
      </c>
      <c r="E308" s="296" t="s">
        <v>425</v>
      </c>
      <c r="F308" s="296" t="s">
        <v>156</v>
      </c>
      <c r="G308" s="295" t="s">
        <v>215</v>
      </c>
      <c r="H308" s="295" t="s">
        <v>389</v>
      </c>
      <c r="I308" s="295" t="s">
        <v>294</v>
      </c>
      <c r="J308" s="304">
        <v>20200010165</v>
      </c>
      <c r="K308" s="309" t="s">
        <v>728</v>
      </c>
      <c r="L308" s="306">
        <v>661420</v>
      </c>
      <c r="M308" s="295" t="s">
        <v>1133</v>
      </c>
      <c r="N308" s="306">
        <v>150.87</v>
      </c>
      <c r="O308" s="306" t="s">
        <v>156</v>
      </c>
      <c r="P308" s="307">
        <v>150.87</v>
      </c>
      <c r="Q308" s="307" t="s">
        <v>156</v>
      </c>
      <c r="R308" s="298" t="s">
        <v>156</v>
      </c>
      <c r="S308" s="563" t="s">
        <v>392</v>
      </c>
      <c r="T308" s="333" t="s">
        <v>1134</v>
      </c>
      <c r="U308" s="337">
        <v>606807.34</v>
      </c>
      <c r="V308" s="307">
        <f t="shared" si="25"/>
        <v>54612.66</v>
      </c>
      <c r="W308" s="307">
        <f t="shared" si="22"/>
        <v>661420</v>
      </c>
      <c r="X308" s="307">
        <f t="shared" si="24"/>
        <v>606807.34</v>
      </c>
      <c r="Y308" s="307">
        <f t="shared" si="23"/>
        <v>4022.05</v>
      </c>
      <c r="Z308" s="298"/>
    </row>
    <row r="309" s="282" customFormat="1" spans="1:26">
      <c r="A309" s="295" t="s">
        <v>525</v>
      </c>
      <c r="B309" s="296" t="s">
        <v>110</v>
      </c>
      <c r="C309" s="296" t="s">
        <v>45</v>
      </c>
      <c r="D309" s="295" t="s">
        <v>95</v>
      </c>
      <c r="E309" s="296" t="s">
        <v>430</v>
      </c>
      <c r="F309" s="296" t="s">
        <v>156</v>
      </c>
      <c r="G309" s="295" t="s">
        <v>215</v>
      </c>
      <c r="H309" s="295" t="s">
        <v>389</v>
      </c>
      <c r="I309" s="295" t="s">
        <v>294</v>
      </c>
      <c r="J309" s="304">
        <v>20200009776</v>
      </c>
      <c r="K309" s="309" t="s">
        <v>1135</v>
      </c>
      <c r="L309" s="306">
        <v>665690</v>
      </c>
      <c r="M309" s="295" t="s">
        <v>1136</v>
      </c>
      <c r="N309" s="306">
        <v>150.38</v>
      </c>
      <c r="O309" s="306" t="s">
        <v>156</v>
      </c>
      <c r="P309" s="307">
        <v>150.38</v>
      </c>
      <c r="Q309" s="307" t="s">
        <v>156</v>
      </c>
      <c r="R309" s="298" t="s">
        <v>156</v>
      </c>
      <c r="S309" s="563" t="s">
        <v>392</v>
      </c>
      <c r="T309" s="333" t="s">
        <v>1137</v>
      </c>
      <c r="U309" s="320">
        <v>610724.77</v>
      </c>
      <c r="V309" s="307">
        <f t="shared" si="25"/>
        <v>54965.23</v>
      </c>
      <c r="W309" s="307">
        <f t="shared" si="22"/>
        <v>665690</v>
      </c>
      <c r="X309" s="307">
        <f t="shared" si="24"/>
        <v>610724.77</v>
      </c>
      <c r="Y309" s="307">
        <f t="shared" si="23"/>
        <v>4061.21</v>
      </c>
      <c r="Z309" s="298"/>
    </row>
    <row r="310" s="282" customFormat="1" spans="1:26">
      <c r="A310" s="295" t="s">
        <v>1138</v>
      </c>
      <c r="B310" s="296" t="s">
        <v>110</v>
      </c>
      <c r="C310" s="296" t="s">
        <v>45</v>
      </c>
      <c r="D310" s="295" t="s">
        <v>95</v>
      </c>
      <c r="E310" s="296" t="s">
        <v>435</v>
      </c>
      <c r="F310" s="296" t="s">
        <v>156</v>
      </c>
      <c r="G310" s="295" t="s">
        <v>215</v>
      </c>
      <c r="H310" s="295" t="s">
        <v>389</v>
      </c>
      <c r="I310" s="295" t="s">
        <v>294</v>
      </c>
      <c r="J310" s="304">
        <v>20200009705</v>
      </c>
      <c r="K310" s="309" t="s">
        <v>906</v>
      </c>
      <c r="L310" s="306">
        <v>668764</v>
      </c>
      <c r="M310" s="295" t="s">
        <v>1139</v>
      </c>
      <c r="N310" s="306">
        <v>150.87</v>
      </c>
      <c r="O310" s="306" t="s">
        <v>156</v>
      </c>
      <c r="P310" s="307">
        <v>150.87</v>
      </c>
      <c r="Q310" s="307" t="s">
        <v>156</v>
      </c>
      <c r="R310" s="298" t="s">
        <v>156</v>
      </c>
      <c r="S310" s="563" t="s">
        <v>392</v>
      </c>
      <c r="T310" s="333" t="s">
        <v>1140</v>
      </c>
      <c r="U310" s="320">
        <v>613544.95</v>
      </c>
      <c r="V310" s="307">
        <f t="shared" si="25"/>
        <v>55219.05</v>
      </c>
      <c r="W310" s="307">
        <f t="shared" si="22"/>
        <v>668764</v>
      </c>
      <c r="X310" s="307">
        <f t="shared" si="24"/>
        <v>613544.95</v>
      </c>
      <c r="Y310" s="307">
        <f t="shared" si="23"/>
        <v>4066.71</v>
      </c>
      <c r="Z310" s="298"/>
    </row>
    <row r="311" s="282" customFormat="1" spans="1:26">
      <c r="A311" s="295" t="s">
        <v>1141</v>
      </c>
      <c r="B311" s="296" t="s">
        <v>110</v>
      </c>
      <c r="C311" s="296" t="s">
        <v>45</v>
      </c>
      <c r="D311" s="295" t="s">
        <v>99</v>
      </c>
      <c r="E311" s="296" t="s">
        <v>440</v>
      </c>
      <c r="F311" s="296" t="s">
        <v>156</v>
      </c>
      <c r="G311" s="295" t="s">
        <v>215</v>
      </c>
      <c r="H311" s="295" t="s">
        <v>389</v>
      </c>
      <c r="I311" s="295" t="s">
        <v>294</v>
      </c>
      <c r="J311" s="304">
        <v>20210000008</v>
      </c>
      <c r="K311" s="309" t="s">
        <v>1142</v>
      </c>
      <c r="L311" s="306">
        <v>687688</v>
      </c>
      <c r="M311" s="295" t="s">
        <v>1143</v>
      </c>
      <c r="N311" s="306">
        <v>150.38</v>
      </c>
      <c r="O311" s="306" t="s">
        <v>156</v>
      </c>
      <c r="P311" s="307">
        <v>150.38</v>
      </c>
      <c r="Q311" s="307" t="s">
        <v>156</v>
      </c>
      <c r="R311" s="298" t="s">
        <v>156</v>
      </c>
      <c r="S311" s="563" t="s">
        <v>392</v>
      </c>
      <c r="T311" s="333" t="s">
        <v>1144</v>
      </c>
      <c r="U311" s="321">
        <v>630906.42</v>
      </c>
      <c r="V311" s="307">
        <f t="shared" si="25"/>
        <v>56781.58</v>
      </c>
      <c r="W311" s="307">
        <f t="shared" si="22"/>
        <v>687688</v>
      </c>
      <c r="X311" s="307">
        <f t="shared" si="24"/>
        <v>630906.42</v>
      </c>
      <c r="Y311" s="307">
        <f t="shared" si="23"/>
        <v>4195.41</v>
      </c>
      <c r="Z311" s="298"/>
    </row>
    <row r="312" s="282" customFormat="1" spans="1:26">
      <c r="A312" s="295" t="s">
        <v>1145</v>
      </c>
      <c r="B312" s="296" t="s">
        <v>110</v>
      </c>
      <c r="C312" s="296" t="s">
        <v>45</v>
      </c>
      <c r="D312" s="295" t="s">
        <v>99</v>
      </c>
      <c r="E312" s="296" t="s">
        <v>444</v>
      </c>
      <c r="F312" s="296" t="s">
        <v>156</v>
      </c>
      <c r="G312" s="295" t="s">
        <v>215</v>
      </c>
      <c r="H312" s="295" t="s">
        <v>389</v>
      </c>
      <c r="I312" s="295" t="s">
        <v>294</v>
      </c>
      <c r="J312" s="304">
        <v>20200009499</v>
      </c>
      <c r="K312" s="309" t="s">
        <v>1146</v>
      </c>
      <c r="L312" s="306">
        <v>690615</v>
      </c>
      <c r="M312" s="295" t="s">
        <v>1147</v>
      </c>
      <c r="N312" s="306">
        <v>150.87</v>
      </c>
      <c r="O312" s="306" t="s">
        <v>156</v>
      </c>
      <c r="P312" s="307">
        <v>150.87</v>
      </c>
      <c r="Q312" s="307" t="s">
        <v>156</v>
      </c>
      <c r="R312" s="298" t="s">
        <v>156</v>
      </c>
      <c r="S312" s="563" t="s">
        <v>392</v>
      </c>
      <c r="T312" s="333" t="s">
        <v>1148</v>
      </c>
      <c r="U312" s="337">
        <v>633591.74</v>
      </c>
      <c r="V312" s="307">
        <f t="shared" si="25"/>
        <v>57023.26</v>
      </c>
      <c r="W312" s="307">
        <f t="shared" si="22"/>
        <v>690615</v>
      </c>
      <c r="X312" s="307">
        <f t="shared" si="24"/>
        <v>633591.74</v>
      </c>
      <c r="Y312" s="307">
        <f t="shared" si="23"/>
        <v>4199.59</v>
      </c>
      <c r="Z312" s="298"/>
    </row>
    <row r="313" s="282" customFormat="1" spans="1:26">
      <c r="A313" s="295" t="s">
        <v>1149</v>
      </c>
      <c r="B313" s="296" t="s">
        <v>110</v>
      </c>
      <c r="C313" s="296" t="s">
        <v>45</v>
      </c>
      <c r="D313" s="295" t="s">
        <v>102</v>
      </c>
      <c r="E313" s="296" t="s">
        <v>448</v>
      </c>
      <c r="F313" s="296" t="s">
        <v>156</v>
      </c>
      <c r="G313" s="295" t="s">
        <v>215</v>
      </c>
      <c r="H313" s="295" t="s">
        <v>389</v>
      </c>
      <c r="I313" s="295" t="s">
        <v>294</v>
      </c>
      <c r="J313" s="304">
        <v>20210006416</v>
      </c>
      <c r="K313" s="309" t="s">
        <v>613</v>
      </c>
      <c r="L313" s="306">
        <v>1119224</v>
      </c>
      <c r="M313" s="295" t="s">
        <v>1150</v>
      </c>
      <c r="N313" s="306">
        <v>241.16</v>
      </c>
      <c r="O313" s="306" t="s">
        <v>156</v>
      </c>
      <c r="P313" s="307">
        <v>241.16</v>
      </c>
      <c r="Q313" s="307" t="s">
        <v>156</v>
      </c>
      <c r="R313" s="298" t="s">
        <v>156</v>
      </c>
      <c r="S313" s="563" t="s">
        <v>392</v>
      </c>
      <c r="T313" s="333" t="s">
        <v>1151</v>
      </c>
      <c r="U313" s="337">
        <f>513405.5*2</f>
        <v>1026811</v>
      </c>
      <c r="V313" s="307">
        <f t="shared" si="25"/>
        <v>92412.99</v>
      </c>
      <c r="W313" s="307">
        <f t="shared" si="22"/>
        <v>1119223.99</v>
      </c>
      <c r="X313" s="307">
        <f t="shared" si="24"/>
        <v>1026811</v>
      </c>
      <c r="Y313" s="307">
        <f t="shared" si="23"/>
        <v>4257.8</v>
      </c>
      <c r="Z313" s="298"/>
    </row>
    <row r="314" s="282" customFormat="1" spans="1:26">
      <c r="A314" s="295" t="s">
        <v>440</v>
      </c>
      <c r="B314" s="296" t="s">
        <v>110</v>
      </c>
      <c r="C314" s="296" t="s">
        <v>45</v>
      </c>
      <c r="D314" s="295" t="s">
        <v>102</v>
      </c>
      <c r="E314" s="296" t="s">
        <v>452</v>
      </c>
      <c r="F314" s="296" t="s">
        <v>156</v>
      </c>
      <c r="G314" s="295" t="s">
        <v>215</v>
      </c>
      <c r="H314" s="295" t="s">
        <v>389</v>
      </c>
      <c r="I314" s="295" t="s">
        <v>294</v>
      </c>
      <c r="J314" s="304">
        <v>20200008362</v>
      </c>
      <c r="K314" s="309" t="s">
        <v>884</v>
      </c>
      <c r="L314" s="306">
        <v>1070442</v>
      </c>
      <c r="M314" s="295" t="s">
        <v>1152</v>
      </c>
      <c r="N314" s="306">
        <v>241.65</v>
      </c>
      <c r="O314" s="306" t="s">
        <v>156</v>
      </c>
      <c r="P314" s="307">
        <v>241.65</v>
      </c>
      <c r="Q314" s="307" t="s">
        <v>156</v>
      </c>
      <c r="R314" s="298" t="s">
        <v>156</v>
      </c>
      <c r="S314" s="563" t="s">
        <v>392</v>
      </c>
      <c r="T314" s="333" t="s">
        <v>1153</v>
      </c>
      <c r="U314" s="320">
        <v>982056.88</v>
      </c>
      <c r="V314" s="307">
        <f t="shared" si="25"/>
        <v>88385.12</v>
      </c>
      <c r="W314" s="307">
        <f t="shared" si="22"/>
        <v>1070442</v>
      </c>
      <c r="X314" s="307">
        <f t="shared" si="24"/>
        <v>982056.88</v>
      </c>
      <c r="Y314" s="307">
        <f t="shared" si="23"/>
        <v>4063.96</v>
      </c>
      <c r="Z314" s="298"/>
    </row>
    <row r="315" s="282" customFormat="1" spans="1:26">
      <c r="A315" s="298" t="s">
        <v>291</v>
      </c>
      <c r="B315" s="297" t="s">
        <v>110</v>
      </c>
      <c r="C315" s="297" t="s">
        <v>42</v>
      </c>
      <c r="D315" s="298" t="s">
        <v>511</v>
      </c>
      <c r="E315" s="297" t="s">
        <v>512</v>
      </c>
      <c r="F315" s="297" t="s">
        <v>156</v>
      </c>
      <c r="G315" s="295" t="s">
        <v>513</v>
      </c>
      <c r="H315" s="295" t="s">
        <v>514</v>
      </c>
      <c r="I315" s="298"/>
      <c r="J315" s="297" t="s">
        <v>156</v>
      </c>
      <c r="K315" s="305" t="s">
        <v>156</v>
      </c>
      <c r="L315" s="307" t="s">
        <v>156</v>
      </c>
      <c r="M315" s="298" t="s">
        <v>156</v>
      </c>
      <c r="N315" s="307">
        <v>12.42</v>
      </c>
      <c r="O315" s="307" t="s">
        <v>156</v>
      </c>
      <c r="P315" s="307">
        <v>12.42</v>
      </c>
      <c r="Q315" s="307" t="s">
        <v>156</v>
      </c>
      <c r="R315" s="298" t="s">
        <v>156</v>
      </c>
      <c r="S315" s="297" t="s">
        <v>156</v>
      </c>
      <c r="T315" s="333" t="s">
        <v>156</v>
      </c>
      <c r="U315" s="307" t="s">
        <v>156</v>
      </c>
      <c r="V315" s="307" t="s">
        <v>156</v>
      </c>
      <c r="W315" s="307">
        <f t="shared" si="22"/>
        <v>0</v>
      </c>
      <c r="X315" s="307"/>
      <c r="Y315" s="307">
        <f t="shared" si="23"/>
        <v>0</v>
      </c>
      <c r="Z315" s="298"/>
    </row>
    <row r="316" s="282" customFormat="1" spans="1:26">
      <c r="A316" s="295" t="s">
        <v>801</v>
      </c>
      <c r="B316" s="296" t="s">
        <v>110</v>
      </c>
      <c r="C316" s="296" t="s">
        <v>42</v>
      </c>
      <c r="D316" s="295" t="s">
        <v>511</v>
      </c>
      <c r="E316" s="296" t="s">
        <v>516</v>
      </c>
      <c r="F316" s="296" t="s">
        <v>156</v>
      </c>
      <c r="G316" s="295" t="s">
        <v>513</v>
      </c>
      <c r="H316" s="295" t="s">
        <v>514</v>
      </c>
      <c r="I316" s="295"/>
      <c r="J316" s="296" t="s">
        <v>156</v>
      </c>
      <c r="K316" s="309" t="s">
        <v>156</v>
      </c>
      <c r="L316" s="306" t="s">
        <v>156</v>
      </c>
      <c r="M316" s="295" t="s">
        <v>156</v>
      </c>
      <c r="N316" s="306">
        <v>11.04</v>
      </c>
      <c r="O316" s="306" t="s">
        <v>156</v>
      </c>
      <c r="P316" s="307">
        <v>11.04</v>
      </c>
      <c r="Q316" s="307" t="s">
        <v>156</v>
      </c>
      <c r="R316" s="298" t="s">
        <v>156</v>
      </c>
      <c r="S316" s="297" t="s">
        <v>156</v>
      </c>
      <c r="T316" s="333" t="s">
        <v>156</v>
      </c>
      <c r="U316" s="307" t="s">
        <v>156</v>
      </c>
      <c r="V316" s="307" t="s">
        <v>156</v>
      </c>
      <c r="W316" s="307">
        <f t="shared" si="22"/>
        <v>0</v>
      </c>
      <c r="X316" s="307"/>
      <c r="Y316" s="307">
        <f t="shared" si="23"/>
        <v>0</v>
      </c>
      <c r="Z316" s="298"/>
    </row>
    <row r="317" s="282" customFormat="1" spans="1:26">
      <c r="A317" s="295" t="s">
        <v>985</v>
      </c>
      <c r="B317" s="296" t="s">
        <v>110</v>
      </c>
      <c r="C317" s="296" t="s">
        <v>42</v>
      </c>
      <c r="D317" s="295" t="s">
        <v>511</v>
      </c>
      <c r="E317" s="296" t="s">
        <v>518</v>
      </c>
      <c r="F317" s="296" t="s">
        <v>156</v>
      </c>
      <c r="G317" s="295" t="s">
        <v>513</v>
      </c>
      <c r="H317" s="295" t="s">
        <v>514</v>
      </c>
      <c r="I317" s="295"/>
      <c r="J317" s="296" t="s">
        <v>156</v>
      </c>
      <c r="K317" s="309" t="s">
        <v>156</v>
      </c>
      <c r="L317" s="306" t="s">
        <v>156</v>
      </c>
      <c r="M317" s="295" t="s">
        <v>156</v>
      </c>
      <c r="N317" s="306">
        <v>9.2</v>
      </c>
      <c r="O317" s="306" t="s">
        <v>156</v>
      </c>
      <c r="P317" s="307">
        <v>9.2</v>
      </c>
      <c r="Q317" s="307" t="s">
        <v>156</v>
      </c>
      <c r="R317" s="298" t="s">
        <v>156</v>
      </c>
      <c r="S317" s="297" t="s">
        <v>156</v>
      </c>
      <c r="T317" s="333" t="s">
        <v>156</v>
      </c>
      <c r="U317" s="307" t="s">
        <v>156</v>
      </c>
      <c r="V317" s="307" t="s">
        <v>156</v>
      </c>
      <c r="W317" s="307">
        <f t="shared" si="22"/>
        <v>0</v>
      </c>
      <c r="X317" s="307"/>
      <c r="Y317" s="307">
        <f t="shared" si="23"/>
        <v>0</v>
      </c>
      <c r="Z317" s="298"/>
    </row>
    <row r="318" s="282" customFormat="1" spans="1:26">
      <c r="A318" s="295" t="s">
        <v>935</v>
      </c>
      <c r="B318" s="296" t="s">
        <v>110</v>
      </c>
      <c r="C318" s="296" t="s">
        <v>42</v>
      </c>
      <c r="D318" s="295" t="s">
        <v>511</v>
      </c>
      <c r="E318" s="296" t="s">
        <v>520</v>
      </c>
      <c r="F318" s="296" t="s">
        <v>156</v>
      </c>
      <c r="G318" s="295" t="s">
        <v>513</v>
      </c>
      <c r="H318" s="295" t="s">
        <v>514</v>
      </c>
      <c r="I318" s="295"/>
      <c r="J318" s="296" t="s">
        <v>156</v>
      </c>
      <c r="K318" s="309" t="s">
        <v>156</v>
      </c>
      <c r="L318" s="306" t="s">
        <v>156</v>
      </c>
      <c r="M318" s="295" t="s">
        <v>156</v>
      </c>
      <c r="N318" s="306">
        <v>14.72</v>
      </c>
      <c r="O318" s="306" t="s">
        <v>156</v>
      </c>
      <c r="P318" s="307">
        <v>14.72</v>
      </c>
      <c r="Q318" s="307" t="s">
        <v>156</v>
      </c>
      <c r="R318" s="298" t="s">
        <v>156</v>
      </c>
      <c r="S318" s="297" t="s">
        <v>156</v>
      </c>
      <c r="T318" s="333" t="s">
        <v>156</v>
      </c>
      <c r="U318" s="307" t="s">
        <v>156</v>
      </c>
      <c r="V318" s="307" t="s">
        <v>156</v>
      </c>
      <c r="W318" s="307">
        <f t="shared" si="22"/>
        <v>0</v>
      </c>
      <c r="X318" s="307"/>
      <c r="Y318" s="307">
        <f t="shared" si="23"/>
        <v>0</v>
      </c>
      <c r="Z318" s="298"/>
    </row>
    <row r="319" s="282" customFormat="1" spans="1:26">
      <c r="A319" s="295" t="s">
        <v>785</v>
      </c>
      <c r="B319" s="296" t="s">
        <v>110</v>
      </c>
      <c r="C319" s="296" t="s">
        <v>42</v>
      </c>
      <c r="D319" s="295" t="s">
        <v>511</v>
      </c>
      <c r="E319" s="296" t="s">
        <v>522</v>
      </c>
      <c r="F319" s="296" t="s">
        <v>156</v>
      </c>
      <c r="G319" s="295" t="s">
        <v>513</v>
      </c>
      <c r="H319" s="295" t="s">
        <v>514</v>
      </c>
      <c r="I319" s="295"/>
      <c r="J319" s="296" t="s">
        <v>156</v>
      </c>
      <c r="K319" s="309" t="s">
        <v>156</v>
      </c>
      <c r="L319" s="306" t="s">
        <v>156</v>
      </c>
      <c r="M319" s="295" t="s">
        <v>156</v>
      </c>
      <c r="N319" s="306">
        <v>8.74</v>
      </c>
      <c r="O319" s="306" t="s">
        <v>156</v>
      </c>
      <c r="P319" s="307">
        <v>8.74</v>
      </c>
      <c r="Q319" s="307" t="s">
        <v>156</v>
      </c>
      <c r="R319" s="298" t="s">
        <v>156</v>
      </c>
      <c r="S319" s="297" t="s">
        <v>156</v>
      </c>
      <c r="T319" s="333" t="s">
        <v>156</v>
      </c>
      <c r="U319" s="307" t="s">
        <v>156</v>
      </c>
      <c r="V319" s="307" t="s">
        <v>156</v>
      </c>
      <c r="W319" s="307">
        <f t="shared" si="22"/>
        <v>0</v>
      </c>
      <c r="X319" s="307"/>
      <c r="Y319" s="307">
        <f t="shared" si="23"/>
        <v>0</v>
      </c>
      <c r="Z319" s="298"/>
    </row>
    <row r="320" s="282" customFormat="1" spans="1:26">
      <c r="A320" s="295" t="s">
        <v>1154</v>
      </c>
      <c r="B320" s="296" t="s">
        <v>110</v>
      </c>
      <c r="C320" s="296" t="s">
        <v>42</v>
      </c>
      <c r="D320" s="295" t="s">
        <v>511</v>
      </c>
      <c r="E320" s="296" t="s">
        <v>524</v>
      </c>
      <c r="F320" s="296" t="s">
        <v>156</v>
      </c>
      <c r="G320" s="295" t="s">
        <v>513</v>
      </c>
      <c r="H320" s="295" t="s">
        <v>514</v>
      </c>
      <c r="I320" s="295"/>
      <c r="J320" s="296" t="s">
        <v>156</v>
      </c>
      <c r="K320" s="309" t="s">
        <v>156</v>
      </c>
      <c r="L320" s="306" t="s">
        <v>156</v>
      </c>
      <c r="M320" s="295" t="s">
        <v>156</v>
      </c>
      <c r="N320" s="306">
        <v>76.26</v>
      </c>
      <c r="O320" s="306" t="s">
        <v>156</v>
      </c>
      <c r="P320" s="307">
        <v>76.26</v>
      </c>
      <c r="Q320" s="307" t="s">
        <v>156</v>
      </c>
      <c r="R320" s="298" t="s">
        <v>156</v>
      </c>
      <c r="S320" s="297" t="s">
        <v>156</v>
      </c>
      <c r="T320" s="333" t="s">
        <v>156</v>
      </c>
      <c r="U320" s="307" t="s">
        <v>156</v>
      </c>
      <c r="V320" s="307" t="s">
        <v>156</v>
      </c>
      <c r="W320" s="307">
        <f t="shared" si="22"/>
        <v>0</v>
      </c>
      <c r="X320" s="307"/>
      <c r="Y320" s="307">
        <f t="shared" si="23"/>
        <v>0</v>
      </c>
      <c r="Z320" s="298"/>
    </row>
    <row r="321" s="282" customFormat="1" spans="1:26">
      <c r="A321" s="295" t="s">
        <v>894</v>
      </c>
      <c r="B321" s="296" t="s">
        <v>110</v>
      </c>
      <c r="C321" s="296" t="s">
        <v>42</v>
      </c>
      <c r="D321" s="295" t="s">
        <v>511</v>
      </c>
      <c r="E321" s="296" t="s">
        <v>526</v>
      </c>
      <c r="F321" s="296" t="s">
        <v>156</v>
      </c>
      <c r="G321" s="295" t="s">
        <v>513</v>
      </c>
      <c r="H321" s="295" t="s">
        <v>514</v>
      </c>
      <c r="I321" s="295"/>
      <c r="J321" s="296" t="s">
        <v>156</v>
      </c>
      <c r="K321" s="309" t="s">
        <v>156</v>
      </c>
      <c r="L321" s="306" t="s">
        <v>156</v>
      </c>
      <c r="M321" s="295" t="s">
        <v>156</v>
      </c>
      <c r="N321" s="306">
        <v>16.81</v>
      </c>
      <c r="O321" s="306" t="s">
        <v>156</v>
      </c>
      <c r="P321" s="307">
        <v>16.81</v>
      </c>
      <c r="Q321" s="307" t="s">
        <v>156</v>
      </c>
      <c r="R321" s="298" t="s">
        <v>156</v>
      </c>
      <c r="S321" s="297" t="s">
        <v>156</v>
      </c>
      <c r="T321" s="333" t="s">
        <v>156</v>
      </c>
      <c r="U321" s="307" t="s">
        <v>156</v>
      </c>
      <c r="V321" s="307" t="s">
        <v>156</v>
      </c>
      <c r="W321" s="307">
        <f t="shared" si="22"/>
        <v>0</v>
      </c>
      <c r="X321" s="307"/>
      <c r="Y321" s="307">
        <f t="shared" si="23"/>
        <v>0</v>
      </c>
      <c r="Z321" s="298"/>
    </row>
    <row r="322" s="282" customFormat="1" spans="1:26">
      <c r="A322" s="295" t="s">
        <v>1155</v>
      </c>
      <c r="B322" s="296" t="s">
        <v>110</v>
      </c>
      <c r="C322" s="296" t="s">
        <v>42</v>
      </c>
      <c r="D322" s="295" t="s">
        <v>511</v>
      </c>
      <c r="E322" s="296" t="s">
        <v>528</v>
      </c>
      <c r="F322" s="296" t="s">
        <v>156</v>
      </c>
      <c r="G322" s="295" t="s">
        <v>513</v>
      </c>
      <c r="H322" s="295" t="s">
        <v>514</v>
      </c>
      <c r="I322" s="295"/>
      <c r="J322" s="296" t="s">
        <v>156</v>
      </c>
      <c r="K322" s="309" t="s">
        <v>156</v>
      </c>
      <c r="L322" s="306" t="s">
        <v>156</v>
      </c>
      <c r="M322" s="295" t="s">
        <v>156</v>
      </c>
      <c r="N322" s="306">
        <v>16.81</v>
      </c>
      <c r="O322" s="306" t="s">
        <v>156</v>
      </c>
      <c r="P322" s="307">
        <v>16.81</v>
      </c>
      <c r="Q322" s="307" t="s">
        <v>156</v>
      </c>
      <c r="R322" s="298" t="s">
        <v>156</v>
      </c>
      <c r="S322" s="297" t="s">
        <v>156</v>
      </c>
      <c r="T322" s="333" t="s">
        <v>156</v>
      </c>
      <c r="U322" s="307" t="s">
        <v>156</v>
      </c>
      <c r="V322" s="307" t="s">
        <v>156</v>
      </c>
      <c r="W322" s="307">
        <f t="shared" si="22"/>
        <v>0</v>
      </c>
      <c r="X322" s="307"/>
      <c r="Y322" s="307">
        <f t="shared" si="23"/>
        <v>0</v>
      </c>
      <c r="Z322" s="298"/>
    </row>
    <row r="323" s="282" customFormat="1" spans="1:26">
      <c r="A323" s="295" t="s">
        <v>1156</v>
      </c>
      <c r="B323" s="296" t="s">
        <v>110</v>
      </c>
      <c r="C323" s="296" t="s">
        <v>42</v>
      </c>
      <c r="D323" s="295" t="s">
        <v>511</v>
      </c>
      <c r="E323" s="296" t="s">
        <v>529</v>
      </c>
      <c r="F323" s="296" t="s">
        <v>156</v>
      </c>
      <c r="G323" s="295" t="s">
        <v>513</v>
      </c>
      <c r="H323" s="295" t="s">
        <v>514</v>
      </c>
      <c r="I323" s="295"/>
      <c r="J323" s="296" t="s">
        <v>156</v>
      </c>
      <c r="K323" s="309" t="s">
        <v>156</v>
      </c>
      <c r="L323" s="306" t="s">
        <v>156</v>
      </c>
      <c r="M323" s="295" t="s">
        <v>156</v>
      </c>
      <c r="N323" s="306">
        <v>79.13</v>
      </c>
      <c r="O323" s="306" t="s">
        <v>156</v>
      </c>
      <c r="P323" s="307">
        <v>79.13</v>
      </c>
      <c r="Q323" s="307" t="s">
        <v>156</v>
      </c>
      <c r="R323" s="298" t="s">
        <v>156</v>
      </c>
      <c r="S323" s="297" t="s">
        <v>156</v>
      </c>
      <c r="T323" s="333" t="s">
        <v>156</v>
      </c>
      <c r="U323" s="307" t="s">
        <v>156</v>
      </c>
      <c r="V323" s="307" t="s">
        <v>156</v>
      </c>
      <c r="W323" s="307">
        <f t="shared" si="22"/>
        <v>0</v>
      </c>
      <c r="X323" s="307"/>
      <c r="Y323" s="307">
        <f t="shared" si="23"/>
        <v>0</v>
      </c>
      <c r="Z323" s="298"/>
    </row>
    <row r="324" s="282" customFormat="1" spans="1:26">
      <c r="A324" s="295" t="s">
        <v>415</v>
      </c>
      <c r="B324" s="296" t="s">
        <v>110</v>
      </c>
      <c r="C324" s="296" t="s">
        <v>42</v>
      </c>
      <c r="D324" s="295" t="s">
        <v>511</v>
      </c>
      <c r="E324" s="296" t="s">
        <v>531</v>
      </c>
      <c r="F324" s="296" t="s">
        <v>156</v>
      </c>
      <c r="G324" s="295" t="s">
        <v>513</v>
      </c>
      <c r="H324" s="295" t="s">
        <v>514</v>
      </c>
      <c r="I324" s="295"/>
      <c r="J324" s="296" t="s">
        <v>156</v>
      </c>
      <c r="K324" s="309" t="s">
        <v>156</v>
      </c>
      <c r="L324" s="306" t="s">
        <v>156</v>
      </c>
      <c r="M324" s="295" t="s">
        <v>156</v>
      </c>
      <c r="N324" s="306">
        <v>5.81</v>
      </c>
      <c r="O324" s="306" t="s">
        <v>156</v>
      </c>
      <c r="P324" s="307">
        <v>5.81</v>
      </c>
      <c r="Q324" s="307" t="s">
        <v>156</v>
      </c>
      <c r="R324" s="298" t="s">
        <v>156</v>
      </c>
      <c r="S324" s="297" t="s">
        <v>156</v>
      </c>
      <c r="T324" s="333" t="s">
        <v>156</v>
      </c>
      <c r="U324" s="307" t="s">
        <v>156</v>
      </c>
      <c r="V324" s="307" t="s">
        <v>156</v>
      </c>
      <c r="W324" s="307">
        <f t="shared" si="22"/>
        <v>0</v>
      </c>
      <c r="X324" s="307"/>
      <c r="Y324" s="307">
        <f t="shared" si="23"/>
        <v>0</v>
      </c>
      <c r="Z324" s="298"/>
    </row>
    <row r="325" s="282" customFormat="1" spans="1:26">
      <c r="A325" s="295" t="s">
        <v>1157</v>
      </c>
      <c r="B325" s="296" t="s">
        <v>110</v>
      </c>
      <c r="C325" s="296" t="s">
        <v>42</v>
      </c>
      <c r="D325" s="295" t="s">
        <v>511</v>
      </c>
      <c r="E325" s="296" t="s">
        <v>533</v>
      </c>
      <c r="F325" s="296" t="s">
        <v>156</v>
      </c>
      <c r="G325" s="295" t="s">
        <v>513</v>
      </c>
      <c r="H325" s="295" t="s">
        <v>514</v>
      </c>
      <c r="I325" s="295"/>
      <c r="J325" s="296" t="s">
        <v>156</v>
      </c>
      <c r="K325" s="309" t="s">
        <v>156</v>
      </c>
      <c r="L325" s="306" t="s">
        <v>156</v>
      </c>
      <c r="M325" s="295" t="s">
        <v>156</v>
      </c>
      <c r="N325" s="306">
        <v>12.42</v>
      </c>
      <c r="O325" s="306" t="s">
        <v>156</v>
      </c>
      <c r="P325" s="307">
        <v>12.42</v>
      </c>
      <c r="Q325" s="307" t="s">
        <v>156</v>
      </c>
      <c r="R325" s="298" t="s">
        <v>156</v>
      </c>
      <c r="S325" s="297" t="s">
        <v>156</v>
      </c>
      <c r="T325" s="333" t="s">
        <v>156</v>
      </c>
      <c r="U325" s="307" t="s">
        <v>156</v>
      </c>
      <c r="V325" s="307" t="s">
        <v>156</v>
      </c>
      <c r="W325" s="307">
        <f t="shared" si="22"/>
        <v>0</v>
      </c>
      <c r="X325" s="307"/>
      <c r="Y325" s="307">
        <f t="shared" si="23"/>
        <v>0</v>
      </c>
      <c r="Z325" s="298"/>
    </row>
    <row r="326" s="282" customFormat="1" spans="1:26">
      <c r="A326" s="295" t="s">
        <v>1055</v>
      </c>
      <c r="B326" s="296" t="s">
        <v>110</v>
      </c>
      <c r="C326" s="296" t="s">
        <v>42</v>
      </c>
      <c r="D326" s="295" t="s">
        <v>511</v>
      </c>
      <c r="E326" s="296" t="s">
        <v>535</v>
      </c>
      <c r="F326" s="296" t="s">
        <v>156</v>
      </c>
      <c r="G326" s="295" t="s">
        <v>513</v>
      </c>
      <c r="H326" s="295" t="s">
        <v>514</v>
      </c>
      <c r="I326" s="295"/>
      <c r="J326" s="296" t="s">
        <v>156</v>
      </c>
      <c r="K326" s="309" t="s">
        <v>156</v>
      </c>
      <c r="L326" s="306" t="s">
        <v>156</v>
      </c>
      <c r="M326" s="295" t="s">
        <v>156</v>
      </c>
      <c r="N326" s="306">
        <v>9.2</v>
      </c>
      <c r="O326" s="306" t="s">
        <v>156</v>
      </c>
      <c r="P326" s="307">
        <v>9.2</v>
      </c>
      <c r="Q326" s="307" t="s">
        <v>156</v>
      </c>
      <c r="R326" s="298" t="s">
        <v>156</v>
      </c>
      <c r="S326" s="297" t="s">
        <v>156</v>
      </c>
      <c r="T326" s="333" t="s">
        <v>156</v>
      </c>
      <c r="U326" s="307" t="s">
        <v>156</v>
      </c>
      <c r="V326" s="307" t="s">
        <v>156</v>
      </c>
      <c r="W326" s="307">
        <f t="shared" si="22"/>
        <v>0</v>
      </c>
      <c r="X326" s="307"/>
      <c r="Y326" s="307">
        <f t="shared" si="23"/>
        <v>0</v>
      </c>
      <c r="Z326" s="298"/>
    </row>
    <row r="327" s="282" customFormat="1" spans="1:26">
      <c r="A327" s="295" t="s">
        <v>1158</v>
      </c>
      <c r="B327" s="296" t="s">
        <v>110</v>
      </c>
      <c r="C327" s="296" t="s">
        <v>42</v>
      </c>
      <c r="D327" s="295" t="s">
        <v>511</v>
      </c>
      <c r="E327" s="296" t="s">
        <v>537</v>
      </c>
      <c r="F327" s="296" t="s">
        <v>156</v>
      </c>
      <c r="G327" s="295" t="s">
        <v>513</v>
      </c>
      <c r="H327" s="295" t="s">
        <v>514</v>
      </c>
      <c r="I327" s="295"/>
      <c r="J327" s="296" t="s">
        <v>156</v>
      </c>
      <c r="K327" s="309" t="s">
        <v>156</v>
      </c>
      <c r="L327" s="306" t="s">
        <v>156</v>
      </c>
      <c r="M327" s="295" t="s">
        <v>156</v>
      </c>
      <c r="N327" s="306">
        <v>11.04</v>
      </c>
      <c r="O327" s="306" t="s">
        <v>156</v>
      </c>
      <c r="P327" s="307">
        <v>11.04</v>
      </c>
      <c r="Q327" s="307" t="s">
        <v>156</v>
      </c>
      <c r="R327" s="298" t="s">
        <v>156</v>
      </c>
      <c r="S327" s="297" t="s">
        <v>156</v>
      </c>
      <c r="T327" s="333" t="s">
        <v>156</v>
      </c>
      <c r="U327" s="307" t="s">
        <v>156</v>
      </c>
      <c r="V327" s="307" t="s">
        <v>156</v>
      </c>
      <c r="W327" s="307">
        <f t="shared" ref="W327:W390" si="26">SUM(U327)+SUM(V327)</f>
        <v>0</v>
      </c>
      <c r="X327" s="307"/>
      <c r="Y327" s="307">
        <f t="shared" ref="Y327:Y390" si="27">IF(SUM(P327)=0,"",ROUND(SUM(X327)/SUM(P327),2))</f>
        <v>0</v>
      </c>
      <c r="Z327" s="298"/>
    </row>
    <row r="328" s="282" customFormat="1" spans="1:26">
      <c r="A328" s="295" t="s">
        <v>1159</v>
      </c>
      <c r="B328" s="296" t="s">
        <v>110</v>
      </c>
      <c r="C328" s="296" t="s">
        <v>42</v>
      </c>
      <c r="D328" s="295" t="s">
        <v>511</v>
      </c>
      <c r="E328" s="296" t="s">
        <v>539</v>
      </c>
      <c r="F328" s="296" t="s">
        <v>156</v>
      </c>
      <c r="G328" s="295" t="s">
        <v>513</v>
      </c>
      <c r="H328" s="295" t="s">
        <v>514</v>
      </c>
      <c r="I328" s="295"/>
      <c r="J328" s="296" t="s">
        <v>156</v>
      </c>
      <c r="K328" s="309" t="s">
        <v>156</v>
      </c>
      <c r="L328" s="306" t="s">
        <v>156</v>
      </c>
      <c r="M328" s="295" t="s">
        <v>156</v>
      </c>
      <c r="N328" s="306">
        <v>12.42</v>
      </c>
      <c r="O328" s="306" t="s">
        <v>156</v>
      </c>
      <c r="P328" s="307">
        <v>12.42</v>
      </c>
      <c r="Q328" s="307" t="s">
        <v>156</v>
      </c>
      <c r="R328" s="298" t="s">
        <v>156</v>
      </c>
      <c r="S328" s="297" t="s">
        <v>156</v>
      </c>
      <c r="T328" s="333" t="s">
        <v>156</v>
      </c>
      <c r="U328" s="307" t="s">
        <v>156</v>
      </c>
      <c r="V328" s="307" t="s">
        <v>156</v>
      </c>
      <c r="W328" s="307">
        <f t="shared" si="26"/>
        <v>0</v>
      </c>
      <c r="X328" s="307"/>
      <c r="Y328" s="307">
        <f t="shared" si="27"/>
        <v>0</v>
      </c>
      <c r="Z328" s="298"/>
    </row>
    <row r="329" s="282" customFormat="1" spans="1:26">
      <c r="A329" s="295" t="s">
        <v>1160</v>
      </c>
      <c r="B329" s="296" t="s">
        <v>110</v>
      </c>
      <c r="C329" s="296" t="s">
        <v>45</v>
      </c>
      <c r="D329" s="295" t="s">
        <v>511</v>
      </c>
      <c r="E329" s="296" t="s">
        <v>541</v>
      </c>
      <c r="F329" s="296" t="s">
        <v>156</v>
      </c>
      <c r="G329" s="295" t="s">
        <v>513</v>
      </c>
      <c r="H329" s="295" t="s">
        <v>514</v>
      </c>
      <c r="I329" s="295"/>
      <c r="J329" s="304" t="s">
        <v>156</v>
      </c>
      <c r="K329" s="309" t="s">
        <v>156</v>
      </c>
      <c r="L329" s="306" t="s">
        <v>156</v>
      </c>
      <c r="M329" s="295" t="s">
        <v>156</v>
      </c>
      <c r="N329" s="306">
        <v>12.42</v>
      </c>
      <c r="O329" s="306" t="s">
        <v>156</v>
      </c>
      <c r="P329" s="307">
        <v>12.42</v>
      </c>
      <c r="Q329" s="307" t="s">
        <v>156</v>
      </c>
      <c r="R329" s="298" t="s">
        <v>156</v>
      </c>
      <c r="S329" s="297" t="s">
        <v>156</v>
      </c>
      <c r="T329" s="333" t="s">
        <v>156</v>
      </c>
      <c r="U329" s="307" t="s">
        <v>156</v>
      </c>
      <c r="V329" s="307"/>
      <c r="W329" s="307">
        <f t="shared" si="26"/>
        <v>0</v>
      </c>
      <c r="X329" s="307" t="str">
        <f t="shared" ref="X329:X392" si="28">U329</f>
        <v/>
      </c>
      <c r="Y329" s="307">
        <f t="shared" si="27"/>
        <v>0</v>
      </c>
      <c r="Z329" s="298"/>
    </row>
    <row r="330" s="282" customFormat="1" spans="1:26">
      <c r="A330" s="295" t="s">
        <v>1161</v>
      </c>
      <c r="B330" s="297" t="s">
        <v>110</v>
      </c>
      <c r="C330" s="297" t="s">
        <v>45</v>
      </c>
      <c r="D330" s="298" t="s">
        <v>511</v>
      </c>
      <c r="E330" s="297" t="s">
        <v>542</v>
      </c>
      <c r="F330" s="297" t="s">
        <v>156</v>
      </c>
      <c r="G330" s="295" t="s">
        <v>513</v>
      </c>
      <c r="H330" s="295" t="s">
        <v>514</v>
      </c>
      <c r="I330" s="298"/>
      <c r="J330" s="308" t="s">
        <v>156</v>
      </c>
      <c r="K330" s="305" t="s">
        <v>156</v>
      </c>
      <c r="L330" s="307" t="s">
        <v>156</v>
      </c>
      <c r="M330" s="298" t="s">
        <v>156</v>
      </c>
      <c r="N330" s="307">
        <v>11.04</v>
      </c>
      <c r="O330" s="307" t="s">
        <v>156</v>
      </c>
      <c r="P330" s="307">
        <v>11.04</v>
      </c>
      <c r="Q330" s="307" t="s">
        <v>156</v>
      </c>
      <c r="R330" s="298" t="s">
        <v>156</v>
      </c>
      <c r="S330" s="297" t="s">
        <v>156</v>
      </c>
      <c r="T330" s="333" t="s">
        <v>156</v>
      </c>
      <c r="U330" s="307" t="s">
        <v>156</v>
      </c>
      <c r="V330" s="307"/>
      <c r="W330" s="307">
        <f t="shared" si="26"/>
        <v>0</v>
      </c>
      <c r="X330" s="307" t="str">
        <f t="shared" si="28"/>
        <v/>
      </c>
      <c r="Y330" s="307">
        <f t="shared" si="27"/>
        <v>0</v>
      </c>
      <c r="Z330" s="298"/>
    </row>
    <row r="331" s="282" customFormat="1" spans="1:26">
      <c r="A331" s="295" t="s">
        <v>1162</v>
      </c>
      <c r="B331" s="297" t="s">
        <v>110</v>
      </c>
      <c r="C331" s="297" t="s">
        <v>45</v>
      </c>
      <c r="D331" s="298" t="s">
        <v>511</v>
      </c>
      <c r="E331" s="297" t="s">
        <v>544</v>
      </c>
      <c r="F331" s="297" t="s">
        <v>156</v>
      </c>
      <c r="G331" s="295" t="s">
        <v>513</v>
      </c>
      <c r="H331" s="295" t="s">
        <v>514</v>
      </c>
      <c r="I331" s="298"/>
      <c r="J331" s="308" t="s">
        <v>156</v>
      </c>
      <c r="K331" s="305" t="s">
        <v>156</v>
      </c>
      <c r="L331" s="307" t="s">
        <v>156</v>
      </c>
      <c r="M331" s="298" t="s">
        <v>156</v>
      </c>
      <c r="N331" s="307">
        <v>9.2</v>
      </c>
      <c r="O331" s="307" t="s">
        <v>156</v>
      </c>
      <c r="P331" s="307">
        <v>9.2</v>
      </c>
      <c r="Q331" s="307" t="s">
        <v>156</v>
      </c>
      <c r="R331" s="298" t="s">
        <v>156</v>
      </c>
      <c r="S331" s="297" t="s">
        <v>156</v>
      </c>
      <c r="T331" s="333" t="s">
        <v>156</v>
      </c>
      <c r="U331" s="307" t="s">
        <v>156</v>
      </c>
      <c r="V331" s="307"/>
      <c r="W331" s="307">
        <f t="shared" si="26"/>
        <v>0</v>
      </c>
      <c r="X331" s="307" t="str">
        <f t="shared" si="28"/>
        <v/>
      </c>
      <c r="Y331" s="307">
        <f t="shared" si="27"/>
        <v>0</v>
      </c>
      <c r="Z331" s="298"/>
    </row>
    <row r="332" s="282" customFormat="1" spans="1:26">
      <c r="A332" s="295" t="s">
        <v>1163</v>
      </c>
      <c r="B332" s="296" t="s">
        <v>110</v>
      </c>
      <c r="C332" s="296" t="s">
        <v>45</v>
      </c>
      <c r="D332" s="295" t="s">
        <v>511</v>
      </c>
      <c r="E332" s="296" t="s">
        <v>546</v>
      </c>
      <c r="F332" s="296" t="s">
        <v>156</v>
      </c>
      <c r="G332" s="295" t="s">
        <v>513</v>
      </c>
      <c r="H332" s="295" t="s">
        <v>514</v>
      </c>
      <c r="I332" s="295"/>
      <c r="J332" s="304" t="s">
        <v>156</v>
      </c>
      <c r="K332" s="309" t="s">
        <v>156</v>
      </c>
      <c r="L332" s="306" t="s">
        <v>156</v>
      </c>
      <c r="M332" s="295" t="s">
        <v>156</v>
      </c>
      <c r="N332" s="306">
        <v>12.42</v>
      </c>
      <c r="O332" s="306" t="s">
        <v>156</v>
      </c>
      <c r="P332" s="307">
        <v>12.42</v>
      </c>
      <c r="Q332" s="307" t="s">
        <v>156</v>
      </c>
      <c r="R332" s="298" t="s">
        <v>156</v>
      </c>
      <c r="S332" s="297" t="s">
        <v>156</v>
      </c>
      <c r="T332" s="333" t="s">
        <v>156</v>
      </c>
      <c r="U332" s="307" t="s">
        <v>156</v>
      </c>
      <c r="V332" s="307"/>
      <c r="W332" s="307">
        <f t="shared" si="26"/>
        <v>0</v>
      </c>
      <c r="X332" s="307" t="str">
        <f t="shared" si="28"/>
        <v/>
      </c>
      <c r="Y332" s="307">
        <f t="shared" si="27"/>
        <v>0</v>
      </c>
      <c r="Z332" s="298"/>
    </row>
    <row r="333" s="282" customFormat="1" spans="1:26">
      <c r="A333" s="295" t="s">
        <v>1164</v>
      </c>
      <c r="B333" s="296" t="s">
        <v>110</v>
      </c>
      <c r="C333" s="296" t="s">
        <v>45</v>
      </c>
      <c r="D333" s="295" t="s">
        <v>511</v>
      </c>
      <c r="E333" s="296" t="s">
        <v>548</v>
      </c>
      <c r="F333" s="296" t="s">
        <v>156</v>
      </c>
      <c r="G333" s="295" t="s">
        <v>513</v>
      </c>
      <c r="H333" s="295" t="s">
        <v>514</v>
      </c>
      <c r="I333" s="295"/>
      <c r="J333" s="304" t="s">
        <v>156</v>
      </c>
      <c r="K333" s="309" t="s">
        <v>156</v>
      </c>
      <c r="L333" s="306" t="s">
        <v>156</v>
      </c>
      <c r="M333" s="295" t="s">
        <v>156</v>
      </c>
      <c r="N333" s="306">
        <v>5.81</v>
      </c>
      <c r="O333" s="306" t="s">
        <v>156</v>
      </c>
      <c r="P333" s="307">
        <v>5.81</v>
      </c>
      <c r="Q333" s="307" t="s">
        <v>156</v>
      </c>
      <c r="R333" s="298" t="s">
        <v>156</v>
      </c>
      <c r="S333" s="297" t="s">
        <v>156</v>
      </c>
      <c r="T333" s="333" t="s">
        <v>156</v>
      </c>
      <c r="U333" s="307" t="s">
        <v>156</v>
      </c>
      <c r="V333" s="307"/>
      <c r="W333" s="307">
        <f t="shared" si="26"/>
        <v>0</v>
      </c>
      <c r="X333" s="307" t="str">
        <f t="shared" si="28"/>
        <v/>
      </c>
      <c r="Y333" s="307">
        <f t="shared" si="27"/>
        <v>0</v>
      </c>
      <c r="Z333" s="298"/>
    </row>
    <row r="334" s="282" customFormat="1" spans="1:26">
      <c r="A334" s="295" t="s">
        <v>1165</v>
      </c>
      <c r="B334" s="296" t="s">
        <v>110</v>
      </c>
      <c r="C334" s="296" t="s">
        <v>45</v>
      </c>
      <c r="D334" s="295" t="s">
        <v>511</v>
      </c>
      <c r="E334" s="296" t="s">
        <v>549</v>
      </c>
      <c r="F334" s="296" t="s">
        <v>156</v>
      </c>
      <c r="G334" s="295" t="s">
        <v>513</v>
      </c>
      <c r="H334" s="295" t="s">
        <v>514</v>
      </c>
      <c r="I334" s="295"/>
      <c r="J334" s="304" t="s">
        <v>156</v>
      </c>
      <c r="K334" s="309" t="s">
        <v>156</v>
      </c>
      <c r="L334" s="306" t="s">
        <v>156</v>
      </c>
      <c r="M334" s="295" t="s">
        <v>156</v>
      </c>
      <c r="N334" s="306">
        <v>79.13</v>
      </c>
      <c r="O334" s="306" t="s">
        <v>156</v>
      </c>
      <c r="P334" s="307">
        <v>79.13</v>
      </c>
      <c r="Q334" s="307" t="s">
        <v>156</v>
      </c>
      <c r="R334" s="298" t="s">
        <v>156</v>
      </c>
      <c r="S334" s="297" t="s">
        <v>156</v>
      </c>
      <c r="T334" s="333" t="s">
        <v>156</v>
      </c>
      <c r="U334" s="307" t="s">
        <v>156</v>
      </c>
      <c r="V334" s="307"/>
      <c r="W334" s="307">
        <f t="shared" si="26"/>
        <v>0</v>
      </c>
      <c r="X334" s="307" t="str">
        <f t="shared" si="28"/>
        <v/>
      </c>
      <c r="Y334" s="307">
        <f t="shared" si="27"/>
        <v>0</v>
      </c>
      <c r="Z334" s="298"/>
    </row>
    <row r="335" s="282" customFormat="1" spans="1:26">
      <c r="A335" s="295" t="s">
        <v>1166</v>
      </c>
      <c r="B335" s="296" t="s">
        <v>110</v>
      </c>
      <c r="C335" s="296" t="s">
        <v>45</v>
      </c>
      <c r="D335" s="295" t="s">
        <v>511</v>
      </c>
      <c r="E335" s="296" t="s">
        <v>550</v>
      </c>
      <c r="F335" s="296" t="s">
        <v>156</v>
      </c>
      <c r="G335" s="295" t="s">
        <v>513</v>
      </c>
      <c r="H335" s="295" t="s">
        <v>514</v>
      </c>
      <c r="I335" s="295"/>
      <c r="J335" s="304" t="s">
        <v>156</v>
      </c>
      <c r="K335" s="309" t="s">
        <v>156</v>
      </c>
      <c r="L335" s="306" t="s">
        <v>156</v>
      </c>
      <c r="M335" s="295" t="s">
        <v>156</v>
      </c>
      <c r="N335" s="306">
        <v>16.81</v>
      </c>
      <c r="O335" s="306" t="s">
        <v>156</v>
      </c>
      <c r="P335" s="307">
        <v>16.81</v>
      </c>
      <c r="Q335" s="307" t="s">
        <v>156</v>
      </c>
      <c r="R335" s="298" t="s">
        <v>156</v>
      </c>
      <c r="S335" s="297" t="s">
        <v>156</v>
      </c>
      <c r="T335" s="333" t="s">
        <v>156</v>
      </c>
      <c r="U335" s="307" t="s">
        <v>156</v>
      </c>
      <c r="V335" s="307"/>
      <c r="W335" s="307">
        <f t="shared" si="26"/>
        <v>0</v>
      </c>
      <c r="X335" s="307" t="str">
        <f t="shared" si="28"/>
        <v/>
      </c>
      <c r="Y335" s="307">
        <f t="shared" si="27"/>
        <v>0</v>
      </c>
      <c r="Z335" s="298"/>
    </row>
    <row r="336" s="282" customFormat="1" spans="1:26">
      <c r="A336" s="295" t="s">
        <v>1167</v>
      </c>
      <c r="B336" s="296" t="s">
        <v>110</v>
      </c>
      <c r="C336" s="296" t="s">
        <v>45</v>
      </c>
      <c r="D336" s="295" t="s">
        <v>511</v>
      </c>
      <c r="E336" s="296" t="s">
        <v>552</v>
      </c>
      <c r="F336" s="296" t="s">
        <v>156</v>
      </c>
      <c r="G336" s="295" t="s">
        <v>513</v>
      </c>
      <c r="H336" s="295" t="s">
        <v>514</v>
      </c>
      <c r="I336" s="295"/>
      <c r="J336" s="304" t="s">
        <v>156</v>
      </c>
      <c r="K336" s="309" t="s">
        <v>156</v>
      </c>
      <c r="L336" s="306" t="s">
        <v>156</v>
      </c>
      <c r="M336" s="295" t="s">
        <v>156</v>
      </c>
      <c r="N336" s="306">
        <v>16.81</v>
      </c>
      <c r="O336" s="306" t="s">
        <v>156</v>
      </c>
      <c r="P336" s="307">
        <v>16.81</v>
      </c>
      <c r="Q336" s="307" t="s">
        <v>156</v>
      </c>
      <c r="R336" s="298" t="s">
        <v>156</v>
      </c>
      <c r="S336" s="297" t="s">
        <v>156</v>
      </c>
      <c r="T336" s="333" t="s">
        <v>156</v>
      </c>
      <c r="U336" s="307" t="s">
        <v>156</v>
      </c>
      <c r="V336" s="307"/>
      <c r="W336" s="307">
        <f t="shared" si="26"/>
        <v>0</v>
      </c>
      <c r="X336" s="307" t="str">
        <f t="shared" si="28"/>
        <v/>
      </c>
      <c r="Y336" s="307">
        <f t="shared" si="27"/>
        <v>0</v>
      </c>
      <c r="Z336" s="298"/>
    </row>
    <row r="337" s="282" customFormat="1" spans="1:26">
      <c r="A337" s="295" t="s">
        <v>1168</v>
      </c>
      <c r="B337" s="296" t="s">
        <v>110</v>
      </c>
      <c r="C337" s="296" t="s">
        <v>45</v>
      </c>
      <c r="D337" s="295" t="s">
        <v>511</v>
      </c>
      <c r="E337" s="296" t="s">
        <v>554</v>
      </c>
      <c r="F337" s="296" t="s">
        <v>156</v>
      </c>
      <c r="G337" s="295" t="s">
        <v>513</v>
      </c>
      <c r="H337" s="295" t="s">
        <v>514</v>
      </c>
      <c r="I337" s="295"/>
      <c r="J337" s="304" t="s">
        <v>156</v>
      </c>
      <c r="K337" s="309" t="s">
        <v>156</v>
      </c>
      <c r="L337" s="306" t="s">
        <v>156</v>
      </c>
      <c r="M337" s="295" t="s">
        <v>156</v>
      </c>
      <c r="N337" s="306">
        <v>76.26</v>
      </c>
      <c r="O337" s="306" t="s">
        <v>156</v>
      </c>
      <c r="P337" s="307">
        <v>76.26</v>
      </c>
      <c r="Q337" s="307" t="s">
        <v>156</v>
      </c>
      <c r="R337" s="298" t="s">
        <v>156</v>
      </c>
      <c r="S337" s="297" t="s">
        <v>156</v>
      </c>
      <c r="T337" s="333" t="s">
        <v>156</v>
      </c>
      <c r="U337" s="307" t="s">
        <v>156</v>
      </c>
      <c r="V337" s="307"/>
      <c r="W337" s="307">
        <f t="shared" si="26"/>
        <v>0</v>
      </c>
      <c r="X337" s="307" t="str">
        <f t="shared" si="28"/>
        <v/>
      </c>
      <c r="Y337" s="307">
        <f t="shared" si="27"/>
        <v>0</v>
      </c>
      <c r="Z337" s="298"/>
    </row>
    <row r="338" s="282" customFormat="1" spans="1:26">
      <c r="A338" s="295" t="s">
        <v>1169</v>
      </c>
      <c r="B338" s="296" t="s">
        <v>110</v>
      </c>
      <c r="C338" s="296" t="s">
        <v>45</v>
      </c>
      <c r="D338" s="295" t="s">
        <v>511</v>
      </c>
      <c r="E338" s="296" t="s">
        <v>556</v>
      </c>
      <c r="F338" s="296" t="s">
        <v>156</v>
      </c>
      <c r="G338" s="295" t="s">
        <v>513</v>
      </c>
      <c r="H338" s="295" t="s">
        <v>514</v>
      </c>
      <c r="I338" s="295"/>
      <c r="J338" s="304" t="s">
        <v>156</v>
      </c>
      <c r="K338" s="309" t="s">
        <v>156</v>
      </c>
      <c r="L338" s="306" t="s">
        <v>156</v>
      </c>
      <c r="M338" s="295" t="s">
        <v>156</v>
      </c>
      <c r="N338" s="306">
        <v>8.74</v>
      </c>
      <c r="O338" s="306" t="s">
        <v>156</v>
      </c>
      <c r="P338" s="307">
        <v>8.74</v>
      </c>
      <c r="Q338" s="307" t="s">
        <v>156</v>
      </c>
      <c r="R338" s="298" t="s">
        <v>156</v>
      </c>
      <c r="S338" s="297" t="s">
        <v>156</v>
      </c>
      <c r="T338" s="333" t="s">
        <v>156</v>
      </c>
      <c r="U338" s="307" t="s">
        <v>156</v>
      </c>
      <c r="V338" s="307"/>
      <c r="W338" s="307">
        <f t="shared" si="26"/>
        <v>0</v>
      </c>
      <c r="X338" s="307" t="str">
        <f t="shared" si="28"/>
        <v/>
      </c>
      <c r="Y338" s="307">
        <f t="shared" si="27"/>
        <v>0</v>
      </c>
      <c r="Z338" s="298"/>
    </row>
    <row r="339" s="282" customFormat="1" spans="1:26">
      <c r="A339" s="295" t="s">
        <v>1170</v>
      </c>
      <c r="B339" s="296" t="s">
        <v>110</v>
      </c>
      <c r="C339" s="296" t="s">
        <v>45</v>
      </c>
      <c r="D339" s="295" t="s">
        <v>511</v>
      </c>
      <c r="E339" s="296" t="s">
        <v>558</v>
      </c>
      <c r="F339" s="296" t="s">
        <v>156</v>
      </c>
      <c r="G339" s="295" t="s">
        <v>513</v>
      </c>
      <c r="H339" s="295" t="s">
        <v>514</v>
      </c>
      <c r="I339" s="295"/>
      <c r="J339" s="304" t="s">
        <v>156</v>
      </c>
      <c r="K339" s="309" t="s">
        <v>156</v>
      </c>
      <c r="L339" s="306" t="s">
        <v>156</v>
      </c>
      <c r="M339" s="295" t="s">
        <v>156</v>
      </c>
      <c r="N339" s="306">
        <v>14.72</v>
      </c>
      <c r="O339" s="306" t="s">
        <v>156</v>
      </c>
      <c r="P339" s="307">
        <v>14.72</v>
      </c>
      <c r="Q339" s="307" t="s">
        <v>156</v>
      </c>
      <c r="R339" s="298" t="s">
        <v>156</v>
      </c>
      <c r="S339" s="297" t="s">
        <v>156</v>
      </c>
      <c r="T339" s="333" t="s">
        <v>156</v>
      </c>
      <c r="U339" s="307" t="s">
        <v>156</v>
      </c>
      <c r="V339" s="307"/>
      <c r="W339" s="307">
        <f t="shared" si="26"/>
        <v>0</v>
      </c>
      <c r="X339" s="307" t="str">
        <f t="shared" si="28"/>
        <v/>
      </c>
      <c r="Y339" s="307">
        <f t="shared" si="27"/>
        <v>0</v>
      </c>
      <c r="Z339" s="298"/>
    </row>
    <row r="340" s="282" customFormat="1" spans="1:26">
      <c r="A340" s="295" t="s">
        <v>1171</v>
      </c>
      <c r="B340" s="296" t="s">
        <v>110</v>
      </c>
      <c r="C340" s="296" t="s">
        <v>45</v>
      </c>
      <c r="D340" s="295" t="s">
        <v>511</v>
      </c>
      <c r="E340" s="296" t="s">
        <v>560</v>
      </c>
      <c r="F340" s="296" t="s">
        <v>156</v>
      </c>
      <c r="G340" s="295" t="s">
        <v>513</v>
      </c>
      <c r="H340" s="295" t="s">
        <v>514</v>
      </c>
      <c r="I340" s="295"/>
      <c r="J340" s="304" t="s">
        <v>156</v>
      </c>
      <c r="K340" s="309" t="s">
        <v>156</v>
      </c>
      <c r="L340" s="306" t="s">
        <v>156</v>
      </c>
      <c r="M340" s="295" t="s">
        <v>156</v>
      </c>
      <c r="N340" s="306">
        <v>9.2</v>
      </c>
      <c r="O340" s="306" t="s">
        <v>156</v>
      </c>
      <c r="P340" s="307">
        <v>9.2</v>
      </c>
      <c r="Q340" s="307" t="s">
        <v>156</v>
      </c>
      <c r="R340" s="298" t="s">
        <v>156</v>
      </c>
      <c r="S340" s="297" t="s">
        <v>156</v>
      </c>
      <c r="T340" s="333" t="s">
        <v>156</v>
      </c>
      <c r="U340" s="307" t="s">
        <v>156</v>
      </c>
      <c r="V340" s="307"/>
      <c r="W340" s="307">
        <f t="shared" si="26"/>
        <v>0</v>
      </c>
      <c r="X340" s="307" t="str">
        <f t="shared" si="28"/>
        <v/>
      </c>
      <c r="Y340" s="307">
        <f t="shared" si="27"/>
        <v>0</v>
      </c>
      <c r="Z340" s="298"/>
    </row>
    <row r="341" s="282" customFormat="1" spans="1:26">
      <c r="A341" s="295" t="s">
        <v>1172</v>
      </c>
      <c r="B341" s="296" t="s">
        <v>110</v>
      </c>
      <c r="C341" s="296" t="s">
        <v>45</v>
      </c>
      <c r="D341" s="295" t="s">
        <v>511</v>
      </c>
      <c r="E341" s="296" t="s">
        <v>562</v>
      </c>
      <c r="F341" s="296" t="s">
        <v>156</v>
      </c>
      <c r="G341" s="295" t="s">
        <v>513</v>
      </c>
      <c r="H341" s="295" t="s">
        <v>514</v>
      </c>
      <c r="I341" s="295"/>
      <c r="J341" s="304" t="s">
        <v>156</v>
      </c>
      <c r="K341" s="309" t="s">
        <v>156</v>
      </c>
      <c r="L341" s="306" t="s">
        <v>156</v>
      </c>
      <c r="M341" s="295" t="s">
        <v>156</v>
      </c>
      <c r="N341" s="306">
        <v>11.04</v>
      </c>
      <c r="O341" s="306" t="s">
        <v>156</v>
      </c>
      <c r="P341" s="307">
        <v>11.04</v>
      </c>
      <c r="Q341" s="307" t="s">
        <v>156</v>
      </c>
      <c r="R341" s="298" t="s">
        <v>156</v>
      </c>
      <c r="S341" s="297" t="s">
        <v>156</v>
      </c>
      <c r="T341" s="333" t="s">
        <v>156</v>
      </c>
      <c r="U341" s="307" t="s">
        <v>156</v>
      </c>
      <c r="V341" s="307"/>
      <c r="W341" s="307">
        <f t="shared" si="26"/>
        <v>0</v>
      </c>
      <c r="X341" s="307" t="str">
        <f t="shared" si="28"/>
        <v/>
      </c>
      <c r="Y341" s="307">
        <f t="shared" si="27"/>
        <v>0</v>
      </c>
      <c r="Z341" s="298"/>
    </row>
    <row r="342" s="282" customFormat="1" spans="1:26">
      <c r="A342" s="295" t="s">
        <v>1173</v>
      </c>
      <c r="B342" s="296" t="s">
        <v>110</v>
      </c>
      <c r="C342" s="296" t="s">
        <v>45</v>
      </c>
      <c r="D342" s="295" t="s">
        <v>511</v>
      </c>
      <c r="E342" s="296" t="s">
        <v>564</v>
      </c>
      <c r="F342" s="296" t="s">
        <v>156</v>
      </c>
      <c r="G342" s="295" t="s">
        <v>513</v>
      </c>
      <c r="H342" s="295" t="s">
        <v>514</v>
      </c>
      <c r="I342" s="295"/>
      <c r="J342" s="304" t="s">
        <v>156</v>
      </c>
      <c r="K342" s="309" t="s">
        <v>156</v>
      </c>
      <c r="L342" s="306" t="s">
        <v>156</v>
      </c>
      <c r="M342" s="295" t="s">
        <v>156</v>
      </c>
      <c r="N342" s="306">
        <v>12.42</v>
      </c>
      <c r="O342" s="306" t="s">
        <v>156</v>
      </c>
      <c r="P342" s="307">
        <v>12.42</v>
      </c>
      <c r="Q342" s="307" t="s">
        <v>156</v>
      </c>
      <c r="R342" s="298" t="s">
        <v>156</v>
      </c>
      <c r="S342" s="297" t="s">
        <v>156</v>
      </c>
      <c r="T342" s="333" t="s">
        <v>156</v>
      </c>
      <c r="U342" s="307" t="s">
        <v>156</v>
      </c>
      <c r="V342" s="307"/>
      <c r="W342" s="307">
        <f t="shared" si="26"/>
        <v>0</v>
      </c>
      <c r="X342" s="307" t="str">
        <f t="shared" si="28"/>
        <v/>
      </c>
      <c r="Y342" s="307">
        <f t="shared" si="27"/>
        <v>0</v>
      </c>
      <c r="Z342" s="298"/>
    </row>
    <row r="343" s="278" customFormat="1" spans="1:26">
      <c r="A343" s="295" t="s">
        <v>42</v>
      </c>
      <c r="B343" s="296" t="s">
        <v>113</v>
      </c>
      <c r="C343" s="296" t="s">
        <v>42</v>
      </c>
      <c r="D343" s="295" t="s">
        <v>42</v>
      </c>
      <c r="E343" s="296" t="s">
        <v>388</v>
      </c>
      <c r="F343" s="296" t="s">
        <v>156</v>
      </c>
      <c r="G343" s="295" t="s">
        <v>214</v>
      </c>
      <c r="H343" s="295" t="s">
        <v>389</v>
      </c>
      <c r="I343" s="295" t="s">
        <v>294</v>
      </c>
      <c r="J343" s="304">
        <v>20230004644</v>
      </c>
      <c r="K343" s="309" t="s">
        <v>1174</v>
      </c>
      <c r="L343" s="306">
        <v>989527</v>
      </c>
      <c r="M343" s="295" t="s">
        <v>1175</v>
      </c>
      <c r="N343" s="306">
        <v>139.37</v>
      </c>
      <c r="O343" s="306" t="s">
        <v>156</v>
      </c>
      <c r="P343" s="307">
        <v>139.37</v>
      </c>
      <c r="Q343" s="307" t="s">
        <v>156</v>
      </c>
      <c r="R343" s="298" t="s">
        <v>156</v>
      </c>
      <c r="S343" s="563" t="s">
        <v>392</v>
      </c>
      <c r="T343" s="333" t="s">
        <v>1176</v>
      </c>
      <c r="U343" s="338">
        <v>907822.94</v>
      </c>
      <c r="V343" s="307">
        <f t="shared" ref="V343:V370" si="29">ROUND(U343*0.09,2)</f>
        <v>81704.06</v>
      </c>
      <c r="W343" s="307">
        <f t="shared" si="26"/>
        <v>989527</v>
      </c>
      <c r="X343" s="307">
        <f t="shared" si="28"/>
        <v>907822.94</v>
      </c>
      <c r="Y343" s="307">
        <f t="shared" si="27"/>
        <v>6513.76</v>
      </c>
      <c r="Z343" s="298"/>
    </row>
    <row r="344" s="278" customFormat="1" spans="1:26">
      <c r="A344" s="295" t="s">
        <v>45</v>
      </c>
      <c r="B344" s="297" t="s">
        <v>113</v>
      </c>
      <c r="C344" s="297" t="s">
        <v>42</v>
      </c>
      <c r="D344" s="298" t="s">
        <v>42</v>
      </c>
      <c r="E344" s="297" t="s">
        <v>395</v>
      </c>
      <c r="F344" s="297" t="s">
        <v>156</v>
      </c>
      <c r="G344" s="295" t="s">
        <v>214</v>
      </c>
      <c r="H344" s="298" t="s">
        <v>389</v>
      </c>
      <c r="I344" s="295" t="s">
        <v>294</v>
      </c>
      <c r="J344" s="308">
        <v>20210006248</v>
      </c>
      <c r="K344" s="305" t="s">
        <v>613</v>
      </c>
      <c r="L344" s="307">
        <v>1035178</v>
      </c>
      <c r="M344" s="298" t="s">
        <v>1177</v>
      </c>
      <c r="N344" s="307">
        <v>138.95</v>
      </c>
      <c r="O344" s="307" t="s">
        <v>156</v>
      </c>
      <c r="P344" s="307">
        <v>138.95</v>
      </c>
      <c r="Q344" s="307" t="s">
        <v>156</v>
      </c>
      <c r="R344" s="298" t="s">
        <v>156</v>
      </c>
      <c r="S344" s="563" t="s">
        <v>392</v>
      </c>
      <c r="T344" s="565" t="s">
        <v>1178</v>
      </c>
      <c r="U344" s="323">
        <v>949704.59</v>
      </c>
      <c r="V344" s="307">
        <f t="shared" si="29"/>
        <v>85473.41</v>
      </c>
      <c r="W344" s="307">
        <f t="shared" si="26"/>
        <v>1035178</v>
      </c>
      <c r="X344" s="307">
        <f t="shared" si="28"/>
        <v>949704.59</v>
      </c>
      <c r="Y344" s="307">
        <f t="shared" si="27"/>
        <v>6834.87</v>
      </c>
      <c r="Z344" s="298"/>
    </row>
    <row r="345" s="278" customFormat="1" spans="1:26">
      <c r="A345" s="298" t="s">
        <v>317</v>
      </c>
      <c r="B345" s="296" t="s">
        <v>113</v>
      </c>
      <c r="C345" s="296" t="s">
        <v>42</v>
      </c>
      <c r="D345" s="295" t="s">
        <v>45</v>
      </c>
      <c r="E345" s="296" t="s">
        <v>400</v>
      </c>
      <c r="F345" s="296" t="s">
        <v>156</v>
      </c>
      <c r="G345" s="295" t="s">
        <v>214</v>
      </c>
      <c r="H345" s="295" t="s">
        <v>389</v>
      </c>
      <c r="I345" s="295" t="s">
        <v>294</v>
      </c>
      <c r="J345" s="304">
        <v>20200007910</v>
      </c>
      <c r="K345" s="309" t="s">
        <v>1179</v>
      </c>
      <c r="L345" s="306">
        <v>603288</v>
      </c>
      <c r="M345" s="295" t="s">
        <v>1180</v>
      </c>
      <c r="N345" s="306">
        <v>139.37</v>
      </c>
      <c r="O345" s="306" t="s">
        <v>156</v>
      </c>
      <c r="P345" s="307">
        <v>139.37</v>
      </c>
      <c r="Q345" s="307" t="s">
        <v>156</v>
      </c>
      <c r="R345" s="298" t="s">
        <v>156</v>
      </c>
      <c r="S345" s="563" t="s">
        <v>392</v>
      </c>
      <c r="T345" s="333" t="s">
        <v>1181</v>
      </c>
      <c r="U345" s="323">
        <v>553475.23</v>
      </c>
      <c r="V345" s="307">
        <f t="shared" si="29"/>
        <v>49812.77</v>
      </c>
      <c r="W345" s="307">
        <f t="shared" si="26"/>
        <v>603288</v>
      </c>
      <c r="X345" s="307">
        <f t="shared" si="28"/>
        <v>553475.23</v>
      </c>
      <c r="Y345" s="307">
        <f t="shared" si="27"/>
        <v>3971.27</v>
      </c>
      <c r="Z345" s="298"/>
    </row>
    <row r="346" s="278" customFormat="1" spans="1:26">
      <c r="A346" s="298" t="s">
        <v>318</v>
      </c>
      <c r="B346" s="296" t="s">
        <v>113</v>
      </c>
      <c r="C346" s="296" t="s">
        <v>42</v>
      </c>
      <c r="D346" s="295" t="s">
        <v>45</v>
      </c>
      <c r="E346" s="296" t="s">
        <v>405</v>
      </c>
      <c r="F346" s="296" t="s">
        <v>156</v>
      </c>
      <c r="G346" s="295" t="s">
        <v>214</v>
      </c>
      <c r="H346" s="295" t="s">
        <v>389</v>
      </c>
      <c r="I346" s="295" t="s">
        <v>294</v>
      </c>
      <c r="J346" s="304">
        <v>20210001157</v>
      </c>
      <c r="K346" s="309" t="s">
        <v>1182</v>
      </c>
      <c r="L346" s="306">
        <v>616297</v>
      </c>
      <c r="M346" s="295" t="s">
        <v>1183</v>
      </c>
      <c r="N346" s="306">
        <v>138.95</v>
      </c>
      <c r="O346" s="306" t="s">
        <v>156</v>
      </c>
      <c r="P346" s="307">
        <v>138.95</v>
      </c>
      <c r="Q346" s="307" t="s">
        <v>156</v>
      </c>
      <c r="R346" s="298" t="s">
        <v>156</v>
      </c>
      <c r="S346" s="563" t="s">
        <v>392</v>
      </c>
      <c r="T346" s="333" t="s">
        <v>1184</v>
      </c>
      <c r="U346" s="337">
        <v>565410.09</v>
      </c>
      <c r="V346" s="307">
        <f t="shared" si="29"/>
        <v>50886.91</v>
      </c>
      <c r="W346" s="307">
        <f t="shared" si="26"/>
        <v>616297</v>
      </c>
      <c r="X346" s="307">
        <f t="shared" si="28"/>
        <v>565410.09</v>
      </c>
      <c r="Y346" s="307">
        <f t="shared" si="27"/>
        <v>4069.16</v>
      </c>
      <c r="Z346" s="298"/>
    </row>
    <row r="347" s="278" customFormat="1" spans="1:26">
      <c r="A347" s="298" t="s">
        <v>320</v>
      </c>
      <c r="B347" s="296" t="s">
        <v>113</v>
      </c>
      <c r="C347" s="296" t="s">
        <v>42</v>
      </c>
      <c r="D347" s="295" t="s">
        <v>48</v>
      </c>
      <c r="E347" s="296" t="s">
        <v>410</v>
      </c>
      <c r="F347" s="296" t="s">
        <v>156</v>
      </c>
      <c r="G347" s="295" t="s">
        <v>214</v>
      </c>
      <c r="H347" s="295" t="s">
        <v>389</v>
      </c>
      <c r="I347" s="295" t="s">
        <v>294</v>
      </c>
      <c r="J347" s="304">
        <v>20200008413</v>
      </c>
      <c r="K347" s="309" t="s">
        <v>713</v>
      </c>
      <c r="L347" s="306">
        <v>610351</v>
      </c>
      <c r="M347" s="295" t="s">
        <v>1185</v>
      </c>
      <c r="N347" s="306">
        <v>139.37</v>
      </c>
      <c r="O347" s="306" t="s">
        <v>156</v>
      </c>
      <c r="P347" s="307">
        <v>139.37</v>
      </c>
      <c r="Q347" s="307" t="s">
        <v>156</v>
      </c>
      <c r="R347" s="298" t="s">
        <v>156</v>
      </c>
      <c r="S347" s="563" t="s">
        <v>392</v>
      </c>
      <c r="T347" s="333" t="s">
        <v>1186</v>
      </c>
      <c r="U347" s="323">
        <v>559955.05</v>
      </c>
      <c r="V347" s="307">
        <f t="shared" si="29"/>
        <v>50395.95</v>
      </c>
      <c r="W347" s="307">
        <f t="shared" si="26"/>
        <v>610351</v>
      </c>
      <c r="X347" s="307">
        <f t="shared" si="28"/>
        <v>559955.05</v>
      </c>
      <c r="Y347" s="307">
        <f t="shared" si="27"/>
        <v>4017.76</v>
      </c>
      <c r="Z347" s="298"/>
    </row>
    <row r="348" s="278" customFormat="1" spans="1:26">
      <c r="A348" s="298" t="s">
        <v>322</v>
      </c>
      <c r="B348" s="296" t="s">
        <v>113</v>
      </c>
      <c r="C348" s="296" t="s">
        <v>42</v>
      </c>
      <c r="D348" s="295" t="s">
        <v>48</v>
      </c>
      <c r="E348" s="296" t="s">
        <v>415</v>
      </c>
      <c r="F348" s="296" t="s">
        <v>156</v>
      </c>
      <c r="G348" s="295" t="s">
        <v>214</v>
      </c>
      <c r="H348" s="295" t="s">
        <v>389</v>
      </c>
      <c r="I348" s="295" t="s">
        <v>294</v>
      </c>
      <c r="J348" s="304">
        <v>20200011019</v>
      </c>
      <c r="K348" s="309" t="s">
        <v>35</v>
      </c>
      <c r="L348" s="306">
        <v>608512</v>
      </c>
      <c r="M348" s="295" t="s">
        <v>1187</v>
      </c>
      <c r="N348" s="306">
        <v>138.95</v>
      </c>
      <c r="O348" s="306" t="s">
        <v>156</v>
      </c>
      <c r="P348" s="307">
        <v>138.95</v>
      </c>
      <c r="Q348" s="307" t="s">
        <v>156</v>
      </c>
      <c r="R348" s="298" t="s">
        <v>156</v>
      </c>
      <c r="S348" s="563" t="s">
        <v>392</v>
      </c>
      <c r="T348" s="333" t="s">
        <v>1188</v>
      </c>
      <c r="U348" s="339">
        <v>558267.89</v>
      </c>
      <c r="V348" s="307">
        <f t="shared" si="29"/>
        <v>50244.11</v>
      </c>
      <c r="W348" s="307">
        <f t="shared" si="26"/>
        <v>608512</v>
      </c>
      <c r="X348" s="307">
        <f t="shared" si="28"/>
        <v>558267.89</v>
      </c>
      <c r="Y348" s="307">
        <f t="shared" si="27"/>
        <v>4017.76</v>
      </c>
      <c r="Z348" s="298"/>
    </row>
    <row r="349" s="278" customFormat="1" spans="1:26">
      <c r="A349" s="298" t="s">
        <v>382</v>
      </c>
      <c r="B349" s="296" t="s">
        <v>113</v>
      </c>
      <c r="C349" s="296" t="s">
        <v>42</v>
      </c>
      <c r="D349" s="295" t="s">
        <v>92</v>
      </c>
      <c r="E349" s="296" t="s">
        <v>420</v>
      </c>
      <c r="F349" s="296" t="s">
        <v>156</v>
      </c>
      <c r="G349" s="295" t="s">
        <v>214</v>
      </c>
      <c r="H349" s="295" t="s">
        <v>389</v>
      </c>
      <c r="I349" s="295" t="s">
        <v>294</v>
      </c>
      <c r="J349" s="304">
        <v>20200008033</v>
      </c>
      <c r="K349" s="309" t="s">
        <v>406</v>
      </c>
      <c r="L349" s="306">
        <v>617972</v>
      </c>
      <c r="M349" s="295" t="s">
        <v>1189</v>
      </c>
      <c r="N349" s="306">
        <v>139.37</v>
      </c>
      <c r="O349" s="306" t="s">
        <v>156</v>
      </c>
      <c r="P349" s="307">
        <v>139.37</v>
      </c>
      <c r="Q349" s="307" t="s">
        <v>156</v>
      </c>
      <c r="R349" s="298" t="s">
        <v>156</v>
      </c>
      <c r="S349" s="563" t="s">
        <v>392</v>
      </c>
      <c r="T349" s="333" t="s">
        <v>1190</v>
      </c>
      <c r="U349" s="339">
        <v>566946.79</v>
      </c>
      <c r="V349" s="307">
        <f t="shared" si="29"/>
        <v>51025.21</v>
      </c>
      <c r="W349" s="307">
        <f t="shared" si="26"/>
        <v>617972</v>
      </c>
      <c r="X349" s="307">
        <f t="shared" si="28"/>
        <v>566946.79</v>
      </c>
      <c r="Y349" s="307">
        <f t="shared" si="27"/>
        <v>4067.93</v>
      </c>
      <c r="Z349" s="298"/>
    </row>
    <row r="350" s="278" customFormat="1" spans="1:26">
      <c r="A350" s="298" t="s">
        <v>324</v>
      </c>
      <c r="B350" s="296" t="s">
        <v>113</v>
      </c>
      <c r="C350" s="296" t="s">
        <v>42</v>
      </c>
      <c r="D350" s="295" t="s">
        <v>92</v>
      </c>
      <c r="E350" s="296" t="s">
        <v>425</v>
      </c>
      <c r="F350" s="296" t="s">
        <v>156</v>
      </c>
      <c r="G350" s="295" t="s">
        <v>214</v>
      </c>
      <c r="H350" s="295" t="s">
        <v>389</v>
      </c>
      <c r="I350" s="295" t="s">
        <v>294</v>
      </c>
      <c r="J350" s="304">
        <v>20200009825</v>
      </c>
      <c r="K350" s="309" t="s">
        <v>587</v>
      </c>
      <c r="L350" s="306">
        <v>615276</v>
      </c>
      <c r="M350" s="295" t="s">
        <v>1191</v>
      </c>
      <c r="N350" s="306">
        <v>138.95</v>
      </c>
      <c r="O350" s="306" t="s">
        <v>156</v>
      </c>
      <c r="P350" s="307">
        <v>138.95</v>
      </c>
      <c r="Q350" s="307" t="s">
        <v>156</v>
      </c>
      <c r="R350" s="298" t="s">
        <v>156</v>
      </c>
      <c r="S350" s="563" t="s">
        <v>392</v>
      </c>
      <c r="T350" s="333" t="s">
        <v>1192</v>
      </c>
      <c r="U350" s="339">
        <v>564473.39</v>
      </c>
      <c r="V350" s="307">
        <f t="shared" si="29"/>
        <v>50802.61</v>
      </c>
      <c r="W350" s="307">
        <f t="shared" si="26"/>
        <v>615276</v>
      </c>
      <c r="X350" s="307">
        <f t="shared" si="28"/>
        <v>564473.39</v>
      </c>
      <c r="Y350" s="307">
        <f t="shared" si="27"/>
        <v>4062.42</v>
      </c>
      <c r="Z350" s="298"/>
    </row>
    <row r="351" s="278" customFormat="1" spans="1:26">
      <c r="A351" s="298" t="s">
        <v>384</v>
      </c>
      <c r="B351" s="296" t="s">
        <v>113</v>
      </c>
      <c r="C351" s="296" t="s">
        <v>42</v>
      </c>
      <c r="D351" s="295" t="s">
        <v>95</v>
      </c>
      <c r="E351" s="296" t="s">
        <v>430</v>
      </c>
      <c r="F351" s="296" t="s">
        <v>156</v>
      </c>
      <c r="G351" s="295" t="s">
        <v>214</v>
      </c>
      <c r="H351" s="295" t="s">
        <v>389</v>
      </c>
      <c r="I351" s="295" t="s">
        <v>294</v>
      </c>
      <c r="J351" s="304">
        <v>20200010217</v>
      </c>
      <c r="K351" s="309" t="s">
        <v>996</v>
      </c>
      <c r="L351" s="306">
        <v>624757</v>
      </c>
      <c r="M351" s="295" t="s">
        <v>1193</v>
      </c>
      <c r="N351" s="306">
        <v>139.37</v>
      </c>
      <c r="O351" s="306" t="s">
        <v>156</v>
      </c>
      <c r="P351" s="307">
        <v>139.37</v>
      </c>
      <c r="Q351" s="307" t="s">
        <v>156</v>
      </c>
      <c r="R351" s="298" t="s">
        <v>156</v>
      </c>
      <c r="S351" s="563" t="s">
        <v>392</v>
      </c>
      <c r="T351" s="333" t="s">
        <v>1194</v>
      </c>
      <c r="U351" s="339">
        <v>573171.56</v>
      </c>
      <c r="V351" s="307">
        <f t="shared" si="29"/>
        <v>51585.44</v>
      </c>
      <c r="W351" s="307">
        <f t="shared" si="26"/>
        <v>624757</v>
      </c>
      <c r="X351" s="307">
        <f t="shared" si="28"/>
        <v>573171.56</v>
      </c>
      <c r="Y351" s="307">
        <f t="shared" si="27"/>
        <v>4112.59</v>
      </c>
      <c r="Z351" s="298"/>
    </row>
    <row r="352" s="278" customFormat="1" spans="1:26">
      <c r="A352" s="298" t="s">
        <v>1195</v>
      </c>
      <c r="B352" s="297" t="s">
        <v>113</v>
      </c>
      <c r="C352" s="297" t="s">
        <v>42</v>
      </c>
      <c r="D352" s="298" t="s">
        <v>95</v>
      </c>
      <c r="E352" s="297" t="s">
        <v>435</v>
      </c>
      <c r="F352" s="297" t="s">
        <v>156</v>
      </c>
      <c r="G352" s="295" t="s">
        <v>214</v>
      </c>
      <c r="H352" s="298" t="s">
        <v>389</v>
      </c>
      <c r="I352" s="295" t="s">
        <v>294</v>
      </c>
      <c r="J352" s="308">
        <v>20200007915</v>
      </c>
      <c r="K352" s="305" t="s">
        <v>1179</v>
      </c>
      <c r="L352" s="307">
        <v>622040</v>
      </c>
      <c r="M352" s="298" t="s">
        <v>1196</v>
      </c>
      <c r="N352" s="307">
        <v>138.95</v>
      </c>
      <c r="O352" s="307" t="s">
        <v>156</v>
      </c>
      <c r="P352" s="307">
        <v>138.95</v>
      </c>
      <c r="Q352" s="307" t="s">
        <v>156</v>
      </c>
      <c r="R352" s="298" t="s">
        <v>156</v>
      </c>
      <c r="S352" s="563" t="s">
        <v>392</v>
      </c>
      <c r="T352" s="333" t="s">
        <v>1197</v>
      </c>
      <c r="U352" s="339">
        <v>570678.9</v>
      </c>
      <c r="V352" s="307">
        <f t="shared" si="29"/>
        <v>51361.1</v>
      </c>
      <c r="W352" s="307">
        <f t="shared" si="26"/>
        <v>622040</v>
      </c>
      <c r="X352" s="307">
        <f t="shared" si="28"/>
        <v>570678.9</v>
      </c>
      <c r="Y352" s="307">
        <f t="shared" si="27"/>
        <v>4107.08</v>
      </c>
      <c r="Z352" s="298"/>
    </row>
    <row r="353" s="278" customFormat="1" spans="1:26">
      <c r="A353" s="298" t="s">
        <v>386</v>
      </c>
      <c r="B353" s="296" t="s">
        <v>113</v>
      </c>
      <c r="C353" s="296" t="s">
        <v>42</v>
      </c>
      <c r="D353" s="295" t="s">
        <v>99</v>
      </c>
      <c r="E353" s="296" t="s">
        <v>440</v>
      </c>
      <c r="F353" s="296" t="s">
        <v>156</v>
      </c>
      <c r="G353" s="295" t="s">
        <v>214</v>
      </c>
      <c r="H353" s="295" t="s">
        <v>389</v>
      </c>
      <c r="I353" s="295" t="s">
        <v>294</v>
      </c>
      <c r="J353" s="304">
        <v>20200011783</v>
      </c>
      <c r="K353" s="309" t="s">
        <v>1198</v>
      </c>
      <c r="L353" s="306">
        <v>631123</v>
      </c>
      <c r="M353" s="295" t="s">
        <v>1199</v>
      </c>
      <c r="N353" s="306">
        <v>139.37</v>
      </c>
      <c r="O353" s="306" t="s">
        <v>156</v>
      </c>
      <c r="P353" s="307">
        <v>139.37</v>
      </c>
      <c r="Q353" s="307" t="s">
        <v>156</v>
      </c>
      <c r="R353" s="298" t="s">
        <v>156</v>
      </c>
      <c r="S353" s="563" t="s">
        <v>392</v>
      </c>
      <c r="T353" s="333" t="s">
        <v>1200</v>
      </c>
      <c r="U353" s="339">
        <v>579011.93</v>
      </c>
      <c r="V353" s="307">
        <f t="shared" si="29"/>
        <v>52111.07</v>
      </c>
      <c r="W353" s="307">
        <f t="shared" si="26"/>
        <v>631123</v>
      </c>
      <c r="X353" s="307">
        <f t="shared" si="28"/>
        <v>579011.93</v>
      </c>
      <c r="Y353" s="307">
        <f t="shared" si="27"/>
        <v>4154.49</v>
      </c>
      <c r="Z353" s="298"/>
    </row>
    <row r="354" s="278" customFormat="1" spans="1:26">
      <c r="A354" s="298" t="s">
        <v>1201</v>
      </c>
      <c r="B354" s="296" t="s">
        <v>113</v>
      </c>
      <c r="C354" s="296" t="s">
        <v>42</v>
      </c>
      <c r="D354" s="295" t="s">
        <v>99</v>
      </c>
      <c r="E354" s="296" t="s">
        <v>444</v>
      </c>
      <c r="F354" s="296" t="s">
        <v>156</v>
      </c>
      <c r="G354" s="295" t="s">
        <v>214</v>
      </c>
      <c r="H354" s="295" t="s">
        <v>389</v>
      </c>
      <c r="I354" s="295" t="s">
        <v>294</v>
      </c>
      <c r="J354" s="304">
        <v>20210008984</v>
      </c>
      <c r="K354" s="309" t="s">
        <v>1202</v>
      </c>
      <c r="L354" s="306">
        <v>708645</v>
      </c>
      <c r="M354" s="295" t="s">
        <v>1203</v>
      </c>
      <c r="N354" s="306">
        <v>138.95</v>
      </c>
      <c r="O354" s="306" t="s">
        <v>156</v>
      </c>
      <c r="P354" s="307">
        <v>138.95</v>
      </c>
      <c r="Q354" s="307" t="s">
        <v>156</v>
      </c>
      <c r="R354" s="298" t="s">
        <v>156</v>
      </c>
      <c r="S354" s="563" t="s">
        <v>392</v>
      </c>
      <c r="T354" s="333" t="s">
        <v>1204</v>
      </c>
      <c r="U354" s="339">
        <v>650133.03</v>
      </c>
      <c r="V354" s="307">
        <f t="shared" si="29"/>
        <v>58511.97</v>
      </c>
      <c r="W354" s="307">
        <f t="shared" si="26"/>
        <v>708645</v>
      </c>
      <c r="X354" s="307">
        <f t="shared" si="28"/>
        <v>650133.03</v>
      </c>
      <c r="Y354" s="307">
        <f t="shared" si="27"/>
        <v>4678.9</v>
      </c>
      <c r="Z354" s="298"/>
    </row>
    <row r="355" s="278" customFormat="1" spans="1:26">
      <c r="A355" s="298" t="s">
        <v>1205</v>
      </c>
      <c r="B355" s="296" t="s">
        <v>113</v>
      </c>
      <c r="C355" s="296" t="s">
        <v>42</v>
      </c>
      <c r="D355" s="295" t="s">
        <v>102</v>
      </c>
      <c r="E355" s="296" t="s">
        <v>448</v>
      </c>
      <c r="F355" s="296" t="s">
        <v>156</v>
      </c>
      <c r="G355" s="295" t="s">
        <v>215</v>
      </c>
      <c r="H355" s="295" t="s">
        <v>389</v>
      </c>
      <c r="I355" s="295" t="s">
        <v>294</v>
      </c>
      <c r="J355" s="304">
        <v>20200010361</v>
      </c>
      <c r="K355" s="309" t="s">
        <v>756</v>
      </c>
      <c r="L355" s="306">
        <v>937247</v>
      </c>
      <c r="M355" s="295" t="s">
        <v>1206</v>
      </c>
      <c r="N355" s="306">
        <v>209.22</v>
      </c>
      <c r="O355" s="306" t="s">
        <v>156</v>
      </c>
      <c r="P355" s="307">
        <v>209.22</v>
      </c>
      <c r="Q355" s="307" t="s">
        <v>156</v>
      </c>
      <c r="R355" s="298" t="s">
        <v>156</v>
      </c>
      <c r="S355" s="563" t="s">
        <v>392</v>
      </c>
      <c r="T355" s="333" t="s">
        <v>1207</v>
      </c>
      <c r="U355" s="339">
        <v>859859.63</v>
      </c>
      <c r="V355" s="307">
        <f t="shared" si="29"/>
        <v>77387.37</v>
      </c>
      <c r="W355" s="307">
        <f t="shared" si="26"/>
        <v>937247</v>
      </c>
      <c r="X355" s="307">
        <f t="shared" si="28"/>
        <v>859859.63</v>
      </c>
      <c r="Y355" s="307">
        <f t="shared" si="27"/>
        <v>4109.83</v>
      </c>
      <c r="Z355" s="298"/>
    </row>
    <row r="356" s="278" customFormat="1" spans="1:26">
      <c r="A356" s="298" t="s">
        <v>1208</v>
      </c>
      <c r="B356" s="296" t="s">
        <v>113</v>
      </c>
      <c r="C356" s="296" t="s">
        <v>42</v>
      </c>
      <c r="D356" s="295" t="s">
        <v>102</v>
      </c>
      <c r="E356" s="296" t="s">
        <v>452</v>
      </c>
      <c r="F356" s="296" t="s">
        <v>156</v>
      </c>
      <c r="G356" s="295" t="s">
        <v>215</v>
      </c>
      <c r="H356" s="295" t="s">
        <v>389</v>
      </c>
      <c r="I356" s="295" t="s">
        <v>294</v>
      </c>
      <c r="J356" s="304">
        <v>20200009362</v>
      </c>
      <c r="K356" s="309" t="s">
        <v>836</v>
      </c>
      <c r="L356" s="306">
        <v>925000</v>
      </c>
      <c r="M356" s="295" t="s">
        <v>1209</v>
      </c>
      <c r="N356" s="306">
        <v>208.8</v>
      </c>
      <c r="O356" s="306" t="s">
        <v>156</v>
      </c>
      <c r="P356" s="307">
        <v>208.8</v>
      </c>
      <c r="Q356" s="307" t="s">
        <v>156</v>
      </c>
      <c r="R356" s="298" t="s">
        <v>156</v>
      </c>
      <c r="S356" s="563" t="s">
        <v>392</v>
      </c>
      <c r="T356" s="333" t="s">
        <v>1210</v>
      </c>
      <c r="U356" s="339">
        <v>848623.85</v>
      </c>
      <c r="V356" s="307">
        <f t="shared" si="29"/>
        <v>76376.15</v>
      </c>
      <c r="W356" s="307">
        <f t="shared" si="26"/>
        <v>925000</v>
      </c>
      <c r="X356" s="307">
        <f t="shared" si="28"/>
        <v>848623.85</v>
      </c>
      <c r="Y356" s="307">
        <f t="shared" si="27"/>
        <v>4064.29</v>
      </c>
      <c r="Z356" s="298"/>
    </row>
    <row r="357" s="278" customFormat="1" spans="1:26">
      <c r="A357" s="298" t="s">
        <v>1037</v>
      </c>
      <c r="B357" s="296" t="s">
        <v>113</v>
      </c>
      <c r="C357" s="296" t="s">
        <v>45</v>
      </c>
      <c r="D357" s="295" t="s">
        <v>42</v>
      </c>
      <c r="E357" s="296" t="s">
        <v>388</v>
      </c>
      <c r="F357" s="296" t="s">
        <v>156</v>
      </c>
      <c r="G357" s="295" t="s">
        <v>214</v>
      </c>
      <c r="H357" s="295" t="s">
        <v>389</v>
      </c>
      <c r="I357" s="295" t="s">
        <v>294</v>
      </c>
      <c r="J357" s="304">
        <v>20210012523</v>
      </c>
      <c r="K357" s="309" t="s">
        <v>1211</v>
      </c>
      <c r="L357" s="306">
        <v>1050000</v>
      </c>
      <c r="M357" s="295" t="s">
        <v>1212</v>
      </c>
      <c r="N357" s="306">
        <v>138.95</v>
      </c>
      <c r="O357" s="306" t="s">
        <v>156</v>
      </c>
      <c r="P357" s="307">
        <v>138.95</v>
      </c>
      <c r="Q357" s="307" t="s">
        <v>156</v>
      </c>
      <c r="R357" s="298" t="s">
        <v>156</v>
      </c>
      <c r="S357" s="563" t="s">
        <v>392</v>
      </c>
      <c r="T357" s="333" t="s">
        <v>1213</v>
      </c>
      <c r="U357" s="339">
        <v>963302.75</v>
      </c>
      <c r="V357" s="307">
        <f t="shared" si="29"/>
        <v>86697.25</v>
      </c>
      <c r="W357" s="307">
        <f t="shared" si="26"/>
        <v>1050000</v>
      </c>
      <c r="X357" s="307">
        <f t="shared" si="28"/>
        <v>963302.75</v>
      </c>
      <c r="Y357" s="307">
        <f t="shared" si="27"/>
        <v>6932.73</v>
      </c>
      <c r="Z357" s="298"/>
    </row>
    <row r="358" s="278" customFormat="1" spans="1:26">
      <c r="A358" s="298" t="s">
        <v>1214</v>
      </c>
      <c r="B358" s="296" t="s">
        <v>113</v>
      </c>
      <c r="C358" s="296" t="s">
        <v>45</v>
      </c>
      <c r="D358" s="295" t="s">
        <v>42</v>
      </c>
      <c r="E358" s="296" t="s">
        <v>395</v>
      </c>
      <c r="F358" s="296" t="s">
        <v>156</v>
      </c>
      <c r="G358" s="295" t="s">
        <v>214</v>
      </c>
      <c r="H358" s="295" t="s">
        <v>389</v>
      </c>
      <c r="I358" s="295" t="s">
        <v>294</v>
      </c>
      <c r="J358" s="304">
        <v>20230000135</v>
      </c>
      <c r="K358" s="309" t="s">
        <v>1215</v>
      </c>
      <c r="L358" s="306">
        <v>1016007.3</v>
      </c>
      <c r="M358" s="295" t="s">
        <v>1216</v>
      </c>
      <c r="N358" s="306">
        <v>139.37</v>
      </c>
      <c r="O358" s="306" t="s">
        <v>156</v>
      </c>
      <c r="P358" s="307">
        <v>139.37</v>
      </c>
      <c r="Q358" s="307" t="s">
        <v>156</v>
      </c>
      <c r="R358" s="298" t="s">
        <v>156</v>
      </c>
      <c r="S358" s="563" t="s">
        <v>392</v>
      </c>
      <c r="T358" s="333" t="s">
        <v>1217</v>
      </c>
      <c r="U358" s="340">
        <v>932116.79</v>
      </c>
      <c r="V358" s="307">
        <f t="shared" si="29"/>
        <v>83890.51</v>
      </c>
      <c r="W358" s="307">
        <f t="shared" si="26"/>
        <v>1016007.3</v>
      </c>
      <c r="X358" s="307">
        <f t="shared" si="28"/>
        <v>932116.79</v>
      </c>
      <c r="Y358" s="307">
        <f t="shared" si="27"/>
        <v>6688.07</v>
      </c>
      <c r="Z358" s="298"/>
    </row>
    <row r="359" s="282" customFormat="1" spans="1:26">
      <c r="A359" s="295" t="s">
        <v>925</v>
      </c>
      <c r="B359" s="296" t="s">
        <v>113</v>
      </c>
      <c r="C359" s="296" t="s">
        <v>45</v>
      </c>
      <c r="D359" s="295" t="s">
        <v>45</v>
      </c>
      <c r="E359" s="296" t="s">
        <v>400</v>
      </c>
      <c r="F359" s="296" t="s">
        <v>156</v>
      </c>
      <c r="G359" s="295" t="s">
        <v>214</v>
      </c>
      <c r="H359" s="295" t="s">
        <v>389</v>
      </c>
      <c r="I359" s="295" t="s">
        <v>294</v>
      </c>
      <c r="J359" s="304">
        <v>20200009700</v>
      </c>
      <c r="K359" s="309" t="s">
        <v>906</v>
      </c>
      <c r="L359" s="306">
        <v>601470</v>
      </c>
      <c r="M359" s="295" t="s">
        <v>1218</v>
      </c>
      <c r="N359" s="306">
        <v>138.95</v>
      </c>
      <c r="O359" s="306" t="s">
        <v>156</v>
      </c>
      <c r="P359" s="307">
        <v>138.95</v>
      </c>
      <c r="Q359" s="307" t="s">
        <v>156</v>
      </c>
      <c r="R359" s="298" t="s">
        <v>156</v>
      </c>
      <c r="S359" s="563" t="s">
        <v>392</v>
      </c>
      <c r="T359" s="333" t="s">
        <v>1219</v>
      </c>
      <c r="U359" s="339">
        <v>551807.34</v>
      </c>
      <c r="V359" s="307">
        <f t="shared" si="29"/>
        <v>49662.66</v>
      </c>
      <c r="W359" s="307">
        <f t="shared" si="26"/>
        <v>601470</v>
      </c>
      <c r="X359" s="307">
        <f t="shared" si="28"/>
        <v>551807.34</v>
      </c>
      <c r="Y359" s="307">
        <f t="shared" si="27"/>
        <v>3971.27</v>
      </c>
      <c r="Z359" s="298"/>
    </row>
    <row r="360" s="282" customFormat="1" spans="1:26">
      <c r="A360" s="295" t="s">
        <v>1220</v>
      </c>
      <c r="B360" s="296" t="s">
        <v>113</v>
      </c>
      <c r="C360" s="296" t="s">
        <v>45</v>
      </c>
      <c r="D360" s="295" t="s">
        <v>45</v>
      </c>
      <c r="E360" s="296" t="s">
        <v>405</v>
      </c>
      <c r="F360" s="296" t="s">
        <v>156</v>
      </c>
      <c r="G360" s="295" t="s">
        <v>214</v>
      </c>
      <c r="H360" s="295" t="s">
        <v>389</v>
      </c>
      <c r="I360" s="295" t="s">
        <v>294</v>
      </c>
      <c r="J360" s="304">
        <v>20200008600</v>
      </c>
      <c r="K360" s="309" t="s">
        <v>1221</v>
      </c>
      <c r="L360" s="306">
        <v>601894</v>
      </c>
      <c r="M360" s="295" t="s">
        <v>1222</v>
      </c>
      <c r="N360" s="306">
        <v>139.37</v>
      </c>
      <c r="O360" s="306" t="s">
        <v>156</v>
      </c>
      <c r="P360" s="307">
        <v>139.37</v>
      </c>
      <c r="Q360" s="307" t="s">
        <v>156</v>
      </c>
      <c r="R360" s="298" t="s">
        <v>156</v>
      </c>
      <c r="S360" s="563" t="s">
        <v>392</v>
      </c>
      <c r="T360" s="333" t="s">
        <v>1223</v>
      </c>
      <c r="U360" s="339">
        <v>552196.33</v>
      </c>
      <c r="V360" s="307">
        <f t="shared" si="29"/>
        <v>49697.67</v>
      </c>
      <c r="W360" s="307">
        <f t="shared" si="26"/>
        <v>601894</v>
      </c>
      <c r="X360" s="307">
        <f t="shared" si="28"/>
        <v>552196.33</v>
      </c>
      <c r="Y360" s="307">
        <f t="shared" si="27"/>
        <v>3962.09</v>
      </c>
      <c r="Z360" s="298"/>
    </row>
    <row r="361" s="282" customFormat="1" spans="1:26">
      <c r="A361" s="295" t="s">
        <v>1224</v>
      </c>
      <c r="B361" s="296" t="s">
        <v>113</v>
      </c>
      <c r="C361" s="296" t="s">
        <v>45</v>
      </c>
      <c r="D361" s="295" t="s">
        <v>48</v>
      </c>
      <c r="E361" s="296" t="s">
        <v>410</v>
      </c>
      <c r="F361" s="296" t="s">
        <v>156</v>
      </c>
      <c r="G361" s="295" t="s">
        <v>214</v>
      </c>
      <c r="H361" s="295" t="s">
        <v>389</v>
      </c>
      <c r="I361" s="295" t="s">
        <v>294</v>
      </c>
      <c r="J361" s="304">
        <v>20200009510</v>
      </c>
      <c r="K361" s="309" t="s">
        <v>1146</v>
      </c>
      <c r="L361" s="306">
        <v>608512</v>
      </c>
      <c r="M361" s="295" t="s">
        <v>1225</v>
      </c>
      <c r="N361" s="306">
        <v>138.95</v>
      </c>
      <c r="O361" s="306" t="s">
        <v>156</v>
      </c>
      <c r="P361" s="307">
        <v>138.95</v>
      </c>
      <c r="Q361" s="307" t="s">
        <v>156</v>
      </c>
      <c r="R361" s="298" t="s">
        <v>156</v>
      </c>
      <c r="S361" s="563" t="s">
        <v>392</v>
      </c>
      <c r="T361" s="333" t="s">
        <v>1226</v>
      </c>
      <c r="U361" s="339">
        <v>558267.89</v>
      </c>
      <c r="V361" s="307">
        <f t="shared" si="29"/>
        <v>50244.11</v>
      </c>
      <c r="W361" s="307">
        <f t="shared" si="26"/>
        <v>608512</v>
      </c>
      <c r="X361" s="307">
        <f t="shared" si="28"/>
        <v>558267.89</v>
      </c>
      <c r="Y361" s="307">
        <f t="shared" si="27"/>
        <v>4017.76</v>
      </c>
      <c r="Z361" s="298"/>
    </row>
    <row r="362" s="282" customFormat="1" ht="23.8" spans="1:26">
      <c r="A362" s="295" t="s">
        <v>1227</v>
      </c>
      <c r="B362" s="296" t="s">
        <v>113</v>
      </c>
      <c r="C362" s="296" t="s">
        <v>45</v>
      </c>
      <c r="D362" s="295" t="s">
        <v>48</v>
      </c>
      <c r="E362" s="296" t="s">
        <v>415</v>
      </c>
      <c r="F362" s="296" t="s">
        <v>156</v>
      </c>
      <c r="G362" s="295" t="s">
        <v>214</v>
      </c>
      <c r="H362" s="295" t="s">
        <v>389</v>
      </c>
      <c r="I362" s="295" t="s">
        <v>294</v>
      </c>
      <c r="J362" s="304">
        <v>20200008000</v>
      </c>
      <c r="K362" s="309" t="s">
        <v>492</v>
      </c>
      <c r="L362" s="306">
        <v>606866</v>
      </c>
      <c r="M362" s="295" t="s">
        <v>1228</v>
      </c>
      <c r="N362" s="306">
        <v>139.37</v>
      </c>
      <c r="O362" s="306" t="s">
        <v>156</v>
      </c>
      <c r="P362" s="307">
        <v>139.37</v>
      </c>
      <c r="Q362" s="307" t="s">
        <v>156</v>
      </c>
      <c r="R362" s="298" t="s">
        <v>156</v>
      </c>
      <c r="S362" s="563" t="s">
        <v>392</v>
      </c>
      <c r="T362" s="333" t="s">
        <v>1229</v>
      </c>
      <c r="U362" s="339">
        <v>556757.8</v>
      </c>
      <c r="V362" s="307">
        <f t="shared" si="29"/>
        <v>50108.2</v>
      </c>
      <c r="W362" s="307">
        <f t="shared" si="26"/>
        <v>606866</v>
      </c>
      <c r="X362" s="307">
        <f t="shared" si="28"/>
        <v>556757.8</v>
      </c>
      <c r="Y362" s="307">
        <f t="shared" si="27"/>
        <v>3994.82</v>
      </c>
      <c r="Z362" s="298"/>
    </row>
    <row r="363" s="282" customFormat="1" spans="1:26">
      <c r="A363" s="295" t="s">
        <v>1230</v>
      </c>
      <c r="B363" s="296" t="s">
        <v>113</v>
      </c>
      <c r="C363" s="296" t="s">
        <v>45</v>
      </c>
      <c r="D363" s="295" t="s">
        <v>92</v>
      </c>
      <c r="E363" s="296" t="s">
        <v>420</v>
      </c>
      <c r="F363" s="296" t="s">
        <v>156</v>
      </c>
      <c r="G363" s="295" t="s">
        <v>214</v>
      </c>
      <c r="H363" s="295" t="s">
        <v>389</v>
      </c>
      <c r="I363" s="295" t="s">
        <v>294</v>
      </c>
      <c r="J363" s="304">
        <v>20210007145</v>
      </c>
      <c r="K363" s="309" t="s">
        <v>1231</v>
      </c>
      <c r="L363" s="306">
        <v>620276</v>
      </c>
      <c r="M363" s="295" t="s">
        <v>1232</v>
      </c>
      <c r="N363" s="306">
        <v>138.95</v>
      </c>
      <c r="O363" s="306" t="s">
        <v>156</v>
      </c>
      <c r="P363" s="307">
        <v>138.95</v>
      </c>
      <c r="Q363" s="307" t="s">
        <v>156</v>
      </c>
      <c r="R363" s="298" t="s">
        <v>156</v>
      </c>
      <c r="S363" s="563" t="s">
        <v>392</v>
      </c>
      <c r="T363" s="333" t="s">
        <v>1233</v>
      </c>
      <c r="U363" s="339">
        <v>569060.55</v>
      </c>
      <c r="V363" s="307">
        <f t="shared" si="29"/>
        <v>51215.45</v>
      </c>
      <c r="W363" s="307">
        <f t="shared" si="26"/>
        <v>620276</v>
      </c>
      <c r="X363" s="307">
        <f t="shared" si="28"/>
        <v>569060.55</v>
      </c>
      <c r="Y363" s="307">
        <f t="shared" si="27"/>
        <v>4095.43</v>
      </c>
      <c r="Z363" s="298"/>
    </row>
    <row r="364" s="282" customFormat="1" ht="23.8" spans="1:26">
      <c r="A364" s="295" t="s">
        <v>1234</v>
      </c>
      <c r="B364" s="296" t="s">
        <v>113</v>
      </c>
      <c r="C364" s="296" t="s">
        <v>45</v>
      </c>
      <c r="D364" s="295" t="s">
        <v>92</v>
      </c>
      <c r="E364" s="296" t="s">
        <v>425</v>
      </c>
      <c r="F364" s="296" t="s">
        <v>156</v>
      </c>
      <c r="G364" s="295" t="s">
        <v>214</v>
      </c>
      <c r="H364" s="295" t="s">
        <v>389</v>
      </c>
      <c r="I364" s="295" t="s">
        <v>294</v>
      </c>
      <c r="J364" s="304">
        <v>20200011199</v>
      </c>
      <c r="K364" s="309" t="s">
        <v>786</v>
      </c>
      <c r="L364" s="306">
        <v>617833</v>
      </c>
      <c r="M364" s="295" t="s">
        <v>1235</v>
      </c>
      <c r="N364" s="306">
        <v>139.37</v>
      </c>
      <c r="O364" s="306" t="s">
        <v>156</v>
      </c>
      <c r="P364" s="307">
        <v>139.37</v>
      </c>
      <c r="Q364" s="307" t="s">
        <v>156</v>
      </c>
      <c r="R364" s="298" t="s">
        <v>156</v>
      </c>
      <c r="S364" s="563" t="s">
        <v>392</v>
      </c>
      <c r="T364" s="333" t="s">
        <v>1236</v>
      </c>
      <c r="U364" s="339">
        <v>566819.27</v>
      </c>
      <c r="V364" s="307">
        <f t="shared" si="29"/>
        <v>51013.73</v>
      </c>
      <c r="W364" s="307">
        <f t="shared" si="26"/>
        <v>617833</v>
      </c>
      <c r="X364" s="307">
        <f t="shared" si="28"/>
        <v>566819.27</v>
      </c>
      <c r="Y364" s="307">
        <f t="shared" si="27"/>
        <v>4067.01</v>
      </c>
      <c r="Z364" s="298"/>
    </row>
    <row r="365" s="282" customFormat="1" spans="1:26">
      <c r="A365" s="295" t="s">
        <v>791</v>
      </c>
      <c r="B365" s="296" t="s">
        <v>113</v>
      </c>
      <c r="C365" s="296" t="s">
        <v>45</v>
      </c>
      <c r="D365" s="295" t="s">
        <v>95</v>
      </c>
      <c r="E365" s="296" t="s">
        <v>430</v>
      </c>
      <c r="F365" s="296" t="s">
        <v>156</v>
      </c>
      <c r="G365" s="295" t="s">
        <v>214</v>
      </c>
      <c r="H365" s="295" t="s">
        <v>389</v>
      </c>
      <c r="I365" s="295" t="s">
        <v>294</v>
      </c>
      <c r="J365" s="304">
        <v>20200007679</v>
      </c>
      <c r="K365" s="309" t="s">
        <v>499</v>
      </c>
      <c r="L365" s="306">
        <v>622040</v>
      </c>
      <c r="M365" s="295" t="s">
        <v>1237</v>
      </c>
      <c r="N365" s="306">
        <v>138.95</v>
      </c>
      <c r="O365" s="306" t="s">
        <v>156</v>
      </c>
      <c r="P365" s="307">
        <v>138.95</v>
      </c>
      <c r="Q365" s="307" t="s">
        <v>156</v>
      </c>
      <c r="R365" s="298" t="s">
        <v>156</v>
      </c>
      <c r="S365" s="563" t="s">
        <v>392</v>
      </c>
      <c r="T365" s="333" t="s">
        <v>1238</v>
      </c>
      <c r="U365" s="339">
        <v>570678.9</v>
      </c>
      <c r="V365" s="307">
        <f t="shared" si="29"/>
        <v>51361.1</v>
      </c>
      <c r="W365" s="307">
        <f t="shared" si="26"/>
        <v>622040</v>
      </c>
      <c r="X365" s="307">
        <f t="shared" si="28"/>
        <v>570678.9</v>
      </c>
      <c r="Y365" s="307">
        <f t="shared" si="27"/>
        <v>4107.08</v>
      </c>
      <c r="Z365" s="298"/>
    </row>
    <row r="366" s="282" customFormat="1" spans="1:26">
      <c r="A366" s="295" t="s">
        <v>1157</v>
      </c>
      <c r="B366" s="296" t="s">
        <v>113</v>
      </c>
      <c r="C366" s="296" t="s">
        <v>45</v>
      </c>
      <c r="D366" s="295" t="s">
        <v>95</v>
      </c>
      <c r="E366" s="296" t="s">
        <v>435</v>
      </c>
      <c r="F366" s="296" t="s">
        <v>156</v>
      </c>
      <c r="G366" s="295" t="s">
        <v>214</v>
      </c>
      <c r="H366" s="295" t="s">
        <v>389</v>
      </c>
      <c r="I366" s="295" t="s">
        <v>294</v>
      </c>
      <c r="J366" s="304">
        <v>20200011199</v>
      </c>
      <c r="K366" s="309" t="s">
        <v>657</v>
      </c>
      <c r="L366" s="306">
        <v>624617</v>
      </c>
      <c r="M366" s="295" t="s">
        <v>1239</v>
      </c>
      <c r="N366" s="306">
        <v>139.37</v>
      </c>
      <c r="O366" s="306" t="s">
        <v>156</v>
      </c>
      <c r="P366" s="307">
        <v>139.37</v>
      </c>
      <c r="Q366" s="307" t="s">
        <v>156</v>
      </c>
      <c r="R366" s="298" t="s">
        <v>156</v>
      </c>
      <c r="S366" s="563" t="s">
        <v>392</v>
      </c>
      <c r="T366" s="333" t="s">
        <v>1240</v>
      </c>
      <c r="U366" s="339">
        <v>573043.12</v>
      </c>
      <c r="V366" s="307">
        <f t="shared" si="29"/>
        <v>51573.88</v>
      </c>
      <c r="W366" s="307">
        <f t="shared" si="26"/>
        <v>624617</v>
      </c>
      <c r="X366" s="307">
        <f t="shared" si="28"/>
        <v>573043.12</v>
      </c>
      <c r="Y366" s="307">
        <f t="shared" si="27"/>
        <v>4111.67</v>
      </c>
      <c r="Z366" s="298"/>
    </row>
    <row r="367" s="282" customFormat="1" spans="1:26">
      <c r="A367" s="295" t="s">
        <v>1241</v>
      </c>
      <c r="B367" s="296" t="s">
        <v>113</v>
      </c>
      <c r="C367" s="296" t="s">
        <v>45</v>
      </c>
      <c r="D367" s="295" t="s">
        <v>99</v>
      </c>
      <c r="E367" s="296" t="s">
        <v>440</v>
      </c>
      <c r="F367" s="296" t="s">
        <v>156</v>
      </c>
      <c r="G367" s="295" t="s">
        <v>214</v>
      </c>
      <c r="H367" s="295" t="s">
        <v>389</v>
      </c>
      <c r="I367" s="295" t="s">
        <v>294</v>
      </c>
      <c r="J367" s="304">
        <v>20200011017</v>
      </c>
      <c r="K367" s="309" t="s">
        <v>35</v>
      </c>
      <c r="L367" s="306">
        <v>626000</v>
      </c>
      <c r="M367" s="295" t="s">
        <v>1242</v>
      </c>
      <c r="N367" s="306">
        <v>138.95</v>
      </c>
      <c r="O367" s="306" t="s">
        <v>156</v>
      </c>
      <c r="P367" s="307">
        <v>138.95</v>
      </c>
      <c r="Q367" s="307" t="s">
        <v>156</v>
      </c>
      <c r="R367" s="298" t="s">
        <v>156</v>
      </c>
      <c r="S367" s="563" t="s">
        <v>392</v>
      </c>
      <c r="T367" s="333" t="s">
        <v>1243</v>
      </c>
      <c r="U367" s="339">
        <v>574311.93</v>
      </c>
      <c r="V367" s="307">
        <f t="shared" si="29"/>
        <v>51688.07</v>
      </c>
      <c r="W367" s="307">
        <f t="shared" si="26"/>
        <v>626000</v>
      </c>
      <c r="X367" s="307">
        <f t="shared" si="28"/>
        <v>574311.93</v>
      </c>
      <c r="Y367" s="307">
        <f t="shared" si="27"/>
        <v>4133.23</v>
      </c>
      <c r="Z367" s="298"/>
    </row>
    <row r="368" s="282" customFormat="1" spans="1:26">
      <c r="A368" s="295" t="s">
        <v>1244</v>
      </c>
      <c r="B368" s="296" t="s">
        <v>113</v>
      </c>
      <c r="C368" s="296" t="s">
        <v>45</v>
      </c>
      <c r="D368" s="295" t="s">
        <v>99</v>
      </c>
      <c r="E368" s="296" t="s">
        <v>444</v>
      </c>
      <c r="F368" s="296" t="s">
        <v>156</v>
      </c>
      <c r="G368" s="295" t="s">
        <v>214</v>
      </c>
      <c r="H368" s="295" t="s">
        <v>389</v>
      </c>
      <c r="I368" s="295" t="s">
        <v>294</v>
      </c>
      <c r="J368" s="304">
        <v>20200010552</v>
      </c>
      <c r="K368" s="309" t="s">
        <v>1071</v>
      </c>
      <c r="L368" s="306">
        <v>630984</v>
      </c>
      <c r="M368" s="295" t="s">
        <v>1245</v>
      </c>
      <c r="N368" s="306">
        <v>139.37</v>
      </c>
      <c r="O368" s="306" t="s">
        <v>156</v>
      </c>
      <c r="P368" s="307">
        <v>139.37</v>
      </c>
      <c r="Q368" s="307" t="s">
        <v>156</v>
      </c>
      <c r="R368" s="298" t="s">
        <v>156</v>
      </c>
      <c r="S368" s="563" t="s">
        <v>392</v>
      </c>
      <c r="T368" s="333" t="s">
        <v>1246</v>
      </c>
      <c r="U368" s="339">
        <v>578884.4</v>
      </c>
      <c r="V368" s="307">
        <f t="shared" si="29"/>
        <v>52099.6</v>
      </c>
      <c r="W368" s="307">
        <f t="shared" si="26"/>
        <v>630984</v>
      </c>
      <c r="X368" s="307">
        <f t="shared" si="28"/>
        <v>578884.4</v>
      </c>
      <c r="Y368" s="307">
        <f t="shared" si="27"/>
        <v>4153.58</v>
      </c>
      <c r="Z368" s="298"/>
    </row>
    <row r="369" s="282" customFormat="1" ht="23.8" spans="1:26">
      <c r="A369" s="295" t="s">
        <v>1247</v>
      </c>
      <c r="B369" s="296" t="s">
        <v>113</v>
      </c>
      <c r="C369" s="296" t="s">
        <v>45</v>
      </c>
      <c r="D369" s="295" t="s">
        <v>102</v>
      </c>
      <c r="E369" s="296" t="s">
        <v>448</v>
      </c>
      <c r="F369" s="296" t="s">
        <v>156</v>
      </c>
      <c r="G369" s="295" t="s">
        <v>215</v>
      </c>
      <c r="H369" s="295" t="s">
        <v>389</v>
      </c>
      <c r="I369" s="295" t="s">
        <v>294</v>
      </c>
      <c r="J369" s="304">
        <v>20200008795</v>
      </c>
      <c r="K369" s="309" t="s">
        <v>732</v>
      </c>
      <c r="L369" s="306">
        <v>930000</v>
      </c>
      <c r="M369" s="295" t="s">
        <v>1248</v>
      </c>
      <c r="N369" s="306">
        <v>208.8</v>
      </c>
      <c r="O369" s="306" t="s">
        <v>156</v>
      </c>
      <c r="P369" s="307">
        <v>208.8</v>
      </c>
      <c r="Q369" s="307" t="s">
        <v>156</v>
      </c>
      <c r="R369" s="298" t="s">
        <v>156</v>
      </c>
      <c r="S369" s="563" t="s">
        <v>392</v>
      </c>
      <c r="T369" s="333" t="s">
        <v>1249</v>
      </c>
      <c r="U369" s="339">
        <v>853211.01</v>
      </c>
      <c r="V369" s="307">
        <f t="shared" si="29"/>
        <v>76788.99</v>
      </c>
      <c r="W369" s="307">
        <f t="shared" si="26"/>
        <v>930000</v>
      </c>
      <c r="X369" s="307">
        <f t="shared" si="28"/>
        <v>853211.01</v>
      </c>
      <c r="Y369" s="307">
        <f t="shared" si="27"/>
        <v>4086.26</v>
      </c>
      <c r="Z369" s="298"/>
    </row>
    <row r="370" s="282" customFormat="1" spans="1:26">
      <c r="A370" s="295" t="s">
        <v>1250</v>
      </c>
      <c r="B370" s="296" t="s">
        <v>113</v>
      </c>
      <c r="C370" s="296" t="s">
        <v>45</v>
      </c>
      <c r="D370" s="295" t="s">
        <v>102</v>
      </c>
      <c r="E370" s="296" t="s">
        <v>452</v>
      </c>
      <c r="F370" s="296" t="s">
        <v>156</v>
      </c>
      <c r="G370" s="295" t="s">
        <v>215</v>
      </c>
      <c r="H370" s="295" t="s">
        <v>389</v>
      </c>
      <c r="I370" s="295" t="s">
        <v>294</v>
      </c>
      <c r="J370" s="304">
        <v>20200009023</v>
      </c>
      <c r="K370" s="309" t="s">
        <v>772</v>
      </c>
      <c r="L370" s="306">
        <v>927038</v>
      </c>
      <c r="M370" s="295" t="s">
        <v>1251</v>
      </c>
      <c r="N370" s="306">
        <v>209.22</v>
      </c>
      <c r="O370" s="306" t="s">
        <v>156</v>
      </c>
      <c r="P370" s="307">
        <v>209.22</v>
      </c>
      <c r="Q370" s="307" t="s">
        <v>156</v>
      </c>
      <c r="R370" s="298" t="s">
        <v>156</v>
      </c>
      <c r="S370" s="563" t="s">
        <v>392</v>
      </c>
      <c r="T370" s="333" t="s">
        <v>1252</v>
      </c>
      <c r="U370" s="339">
        <v>850493.58</v>
      </c>
      <c r="V370" s="307">
        <f t="shared" si="29"/>
        <v>76544.42</v>
      </c>
      <c r="W370" s="307">
        <f t="shared" si="26"/>
        <v>927038</v>
      </c>
      <c r="X370" s="307">
        <f t="shared" si="28"/>
        <v>850493.58</v>
      </c>
      <c r="Y370" s="307">
        <f t="shared" si="27"/>
        <v>4065.07</v>
      </c>
      <c r="Z370" s="298"/>
    </row>
    <row r="371" s="278" customFormat="1" ht="11.9" spans="1:26">
      <c r="A371" s="295" t="s">
        <v>48</v>
      </c>
      <c r="B371" s="296" t="s">
        <v>113</v>
      </c>
      <c r="C371" s="296" t="s">
        <v>42</v>
      </c>
      <c r="D371" s="295" t="s">
        <v>511</v>
      </c>
      <c r="E371" s="296" t="s">
        <v>512</v>
      </c>
      <c r="F371" s="296" t="s">
        <v>156</v>
      </c>
      <c r="G371" s="295" t="s">
        <v>513</v>
      </c>
      <c r="H371" s="295" t="s">
        <v>514</v>
      </c>
      <c r="I371" s="295"/>
      <c r="J371" s="304" t="s">
        <v>156</v>
      </c>
      <c r="K371" s="309" t="s">
        <v>156</v>
      </c>
      <c r="L371" s="306" t="s">
        <v>156</v>
      </c>
      <c r="M371" s="295" t="s">
        <v>156</v>
      </c>
      <c r="N371" s="306">
        <v>10.3</v>
      </c>
      <c r="O371" s="306" t="s">
        <v>156</v>
      </c>
      <c r="P371" s="307">
        <v>10.3</v>
      </c>
      <c r="Q371" s="307" t="s">
        <v>156</v>
      </c>
      <c r="R371" s="298" t="s">
        <v>156</v>
      </c>
      <c r="S371" s="297" t="s">
        <v>156</v>
      </c>
      <c r="T371" s="333" t="s">
        <v>156</v>
      </c>
      <c r="U371" s="307" t="s">
        <v>156</v>
      </c>
      <c r="V371" s="307"/>
      <c r="W371" s="307">
        <f t="shared" si="26"/>
        <v>0</v>
      </c>
      <c r="X371" s="307" t="str">
        <f t="shared" si="28"/>
        <v/>
      </c>
      <c r="Y371" s="307">
        <f t="shared" si="27"/>
        <v>0</v>
      </c>
      <c r="Z371" s="298"/>
    </row>
    <row r="372" s="278" customFormat="1" ht="11.9" spans="1:26">
      <c r="A372" s="295" t="s">
        <v>92</v>
      </c>
      <c r="B372" s="296" t="s">
        <v>113</v>
      </c>
      <c r="C372" s="296" t="s">
        <v>42</v>
      </c>
      <c r="D372" s="295" t="s">
        <v>511</v>
      </c>
      <c r="E372" s="296" t="s">
        <v>516</v>
      </c>
      <c r="F372" s="296" t="s">
        <v>156</v>
      </c>
      <c r="G372" s="295" t="s">
        <v>513</v>
      </c>
      <c r="H372" s="295" t="s">
        <v>514</v>
      </c>
      <c r="I372" s="295"/>
      <c r="J372" s="304" t="s">
        <v>156</v>
      </c>
      <c r="K372" s="309" t="s">
        <v>156</v>
      </c>
      <c r="L372" s="306" t="s">
        <v>156</v>
      </c>
      <c r="M372" s="295" t="s">
        <v>156</v>
      </c>
      <c r="N372" s="306">
        <v>8.95</v>
      </c>
      <c r="O372" s="306" t="s">
        <v>156</v>
      </c>
      <c r="P372" s="307">
        <v>8.95</v>
      </c>
      <c r="Q372" s="307" t="s">
        <v>156</v>
      </c>
      <c r="R372" s="298" t="s">
        <v>156</v>
      </c>
      <c r="S372" s="297" t="s">
        <v>156</v>
      </c>
      <c r="T372" s="333" t="s">
        <v>156</v>
      </c>
      <c r="U372" s="307" t="s">
        <v>156</v>
      </c>
      <c r="V372" s="307"/>
      <c r="W372" s="307">
        <f t="shared" si="26"/>
        <v>0</v>
      </c>
      <c r="X372" s="307" t="str">
        <f t="shared" si="28"/>
        <v/>
      </c>
      <c r="Y372" s="307">
        <f t="shared" si="27"/>
        <v>0</v>
      </c>
      <c r="Z372" s="298"/>
    </row>
    <row r="373" s="278" customFormat="1" ht="11.9" spans="1:26">
      <c r="A373" s="295" t="s">
        <v>95</v>
      </c>
      <c r="B373" s="296" t="s">
        <v>113</v>
      </c>
      <c r="C373" s="296" t="s">
        <v>42</v>
      </c>
      <c r="D373" s="295" t="s">
        <v>511</v>
      </c>
      <c r="E373" s="296" t="s">
        <v>518</v>
      </c>
      <c r="F373" s="296" t="s">
        <v>156</v>
      </c>
      <c r="G373" s="295" t="s">
        <v>513</v>
      </c>
      <c r="H373" s="295" t="s">
        <v>514</v>
      </c>
      <c r="I373" s="295"/>
      <c r="J373" s="304" t="s">
        <v>156</v>
      </c>
      <c r="K373" s="309" t="s">
        <v>156</v>
      </c>
      <c r="L373" s="306" t="s">
        <v>156</v>
      </c>
      <c r="M373" s="295" t="s">
        <v>156</v>
      </c>
      <c r="N373" s="306">
        <v>9.4</v>
      </c>
      <c r="O373" s="306" t="s">
        <v>156</v>
      </c>
      <c r="P373" s="307">
        <v>9.4</v>
      </c>
      <c r="Q373" s="307" t="s">
        <v>156</v>
      </c>
      <c r="R373" s="298" t="s">
        <v>156</v>
      </c>
      <c r="S373" s="297" t="s">
        <v>156</v>
      </c>
      <c r="T373" s="333" t="s">
        <v>156</v>
      </c>
      <c r="U373" s="307" t="s">
        <v>156</v>
      </c>
      <c r="V373" s="307"/>
      <c r="W373" s="307">
        <f t="shared" si="26"/>
        <v>0</v>
      </c>
      <c r="X373" s="307" t="str">
        <f t="shared" si="28"/>
        <v/>
      </c>
      <c r="Y373" s="307">
        <f t="shared" si="27"/>
        <v>0</v>
      </c>
      <c r="Z373" s="298"/>
    </row>
    <row r="374" s="278" customFormat="1" ht="11.9" spans="1:26">
      <c r="A374" s="295" t="s">
        <v>99</v>
      </c>
      <c r="B374" s="296" t="s">
        <v>113</v>
      </c>
      <c r="C374" s="296" t="s">
        <v>42</v>
      </c>
      <c r="D374" s="295" t="s">
        <v>511</v>
      </c>
      <c r="E374" s="296" t="s">
        <v>520</v>
      </c>
      <c r="F374" s="296" t="s">
        <v>156</v>
      </c>
      <c r="G374" s="295" t="s">
        <v>513</v>
      </c>
      <c r="H374" s="295" t="s">
        <v>514</v>
      </c>
      <c r="I374" s="295"/>
      <c r="J374" s="304" t="s">
        <v>156</v>
      </c>
      <c r="K374" s="309" t="s">
        <v>156</v>
      </c>
      <c r="L374" s="306" t="s">
        <v>156</v>
      </c>
      <c r="M374" s="295" t="s">
        <v>156</v>
      </c>
      <c r="N374" s="306">
        <v>8.95</v>
      </c>
      <c r="O374" s="306" t="s">
        <v>156</v>
      </c>
      <c r="P374" s="307">
        <v>8.95</v>
      </c>
      <c r="Q374" s="307" t="s">
        <v>156</v>
      </c>
      <c r="R374" s="298" t="s">
        <v>156</v>
      </c>
      <c r="S374" s="297" t="s">
        <v>156</v>
      </c>
      <c r="T374" s="333" t="s">
        <v>156</v>
      </c>
      <c r="U374" s="307" t="s">
        <v>156</v>
      </c>
      <c r="V374" s="307"/>
      <c r="W374" s="307">
        <f t="shared" si="26"/>
        <v>0</v>
      </c>
      <c r="X374" s="307" t="str">
        <f t="shared" si="28"/>
        <v/>
      </c>
      <c r="Y374" s="307">
        <f t="shared" si="27"/>
        <v>0</v>
      </c>
      <c r="Z374" s="298"/>
    </row>
    <row r="375" s="278" customFormat="1" ht="11.9" spans="1:26">
      <c r="A375" s="295" t="s">
        <v>102</v>
      </c>
      <c r="B375" s="296" t="s">
        <v>113</v>
      </c>
      <c r="C375" s="296" t="s">
        <v>42</v>
      </c>
      <c r="D375" s="295" t="s">
        <v>511</v>
      </c>
      <c r="E375" s="296" t="s">
        <v>522</v>
      </c>
      <c r="F375" s="296" t="s">
        <v>156</v>
      </c>
      <c r="G375" s="295" t="s">
        <v>513</v>
      </c>
      <c r="H375" s="295" t="s">
        <v>514</v>
      </c>
      <c r="I375" s="295"/>
      <c r="J375" s="304" t="s">
        <v>156</v>
      </c>
      <c r="K375" s="309" t="s">
        <v>156</v>
      </c>
      <c r="L375" s="306" t="s">
        <v>156</v>
      </c>
      <c r="M375" s="295" t="s">
        <v>156</v>
      </c>
      <c r="N375" s="306">
        <v>8.22</v>
      </c>
      <c r="O375" s="306" t="s">
        <v>156</v>
      </c>
      <c r="P375" s="307">
        <v>8.22</v>
      </c>
      <c r="Q375" s="307" t="s">
        <v>156</v>
      </c>
      <c r="R375" s="298" t="s">
        <v>156</v>
      </c>
      <c r="S375" s="297" t="s">
        <v>156</v>
      </c>
      <c r="T375" s="333" t="s">
        <v>156</v>
      </c>
      <c r="U375" s="307" t="s">
        <v>156</v>
      </c>
      <c r="V375" s="307"/>
      <c r="W375" s="307">
        <f t="shared" si="26"/>
        <v>0</v>
      </c>
      <c r="X375" s="307" t="str">
        <f t="shared" si="28"/>
        <v/>
      </c>
      <c r="Y375" s="307">
        <f t="shared" si="27"/>
        <v>0</v>
      </c>
      <c r="Z375" s="298"/>
    </row>
    <row r="376" s="278" customFormat="1" ht="11.9" spans="1:26">
      <c r="A376" s="295" t="s">
        <v>105</v>
      </c>
      <c r="B376" s="296" t="s">
        <v>113</v>
      </c>
      <c r="C376" s="296" t="s">
        <v>42</v>
      </c>
      <c r="D376" s="295" t="s">
        <v>511</v>
      </c>
      <c r="E376" s="296" t="s">
        <v>524</v>
      </c>
      <c r="F376" s="296" t="s">
        <v>156</v>
      </c>
      <c r="G376" s="295" t="s">
        <v>513</v>
      </c>
      <c r="H376" s="295" t="s">
        <v>514</v>
      </c>
      <c r="I376" s="295"/>
      <c r="J376" s="304" t="s">
        <v>156</v>
      </c>
      <c r="K376" s="309" t="s">
        <v>156</v>
      </c>
      <c r="L376" s="306" t="s">
        <v>156</v>
      </c>
      <c r="M376" s="295" t="s">
        <v>156</v>
      </c>
      <c r="N376" s="306">
        <v>76.79</v>
      </c>
      <c r="O376" s="306" t="s">
        <v>156</v>
      </c>
      <c r="P376" s="307">
        <v>76.79</v>
      </c>
      <c r="Q376" s="307" t="s">
        <v>156</v>
      </c>
      <c r="R376" s="298" t="s">
        <v>156</v>
      </c>
      <c r="S376" s="297" t="s">
        <v>156</v>
      </c>
      <c r="T376" s="333" t="s">
        <v>156</v>
      </c>
      <c r="U376" s="307" t="s">
        <v>156</v>
      </c>
      <c r="V376" s="307"/>
      <c r="W376" s="307">
        <f t="shared" si="26"/>
        <v>0</v>
      </c>
      <c r="X376" s="307" t="str">
        <f t="shared" si="28"/>
        <v/>
      </c>
      <c r="Y376" s="307">
        <f t="shared" si="27"/>
        <v>0</v>
      </c>
      <c r="Z376" s="298"/>
    </row>
    <row r="377" s="278" customFormat="1" ht="11.9" spans="1:26">
      <c r="A377" s="295" t="s">
        <v>110</v>
      </c>
      <c r="B377" s="296" t="s">
        <v>113</v>
      </c>
      <c r="C377" s="296" t="s">
        <v>42</v>
      </c>
      <c r="D377" s="295" t="s">
        <v>511</v>
      </c>
      <c r="E377" s="296" t="s">
        <v>526</v>
      </c>
      <c r="F377" s="296" t="s">
        <v>156</v>
      </c>
      <c r="G377" s="295" t="s">
        <v>513</v>
      </c>
      <c r="H377" s="295" t="s">
        <v>514</v>
      </c>
      <c r="I377" s="295"/>
      <c r="J377" s="304" t="s">
        <v>156</v>
      </c>
      <c r="K377" s="309" t="s">
        <v>156</v>
      </c>
      <c r="L377" s="306" t="s">
        <v>156</v>
      </c>
      <c r="M377" s="295" t="s">
        <v>156</v>
      </c>
      <c r="N377" s="306">
        <v>14.58</v>
      </c>
      <c r="O377" s="306" t="s">
        <v>156</v>
      </c>
      <c r="P377" s="307">
        <v>14.58</v>
      </c>
      <c r="Q377" s="307" t="s">
        <v>156</v>
      </c>
      <c r="R377" s="298" t="s">
        <v>156</v>
      </c>
      <c r="S377" s="297" t="s">
        <v>156</v>
      </c>
      <c r="T377" s="333" t="s">
        <v>156</v>
      </c>
      <c r="U377" s="307" t="s">
        <v>156</v>
      </c>
      <c r="V377" s="307"/>
      <c r="W377" s="307">
        <f t="shared" si="26"/>
        <v>0</v>
      </c>
      <c r="X377" s="307" t="str">
        <f t="shared" si="28"/>
        <v/>
      </c>
      <c r="Y377" s="307">
        <f t="shared" si="27"/>
        <v>0</v>
      </c>
      <c r="Z377" s="298"/>
    </row>
    <row r="378" s="278" customFormat="1" ht="11.9" spans="1:26">
      <c r="A378" s="295" t="s">
        <v>113</v>
      </c>
      <c r="B378" s="296" t="s">
        <v>113</v>
      </c>
      <c r="C378" s="296" t="s">
        <v>42</v>
      </c>
      <c r="D378" s="295" t="s">
        <v>511</v>
      </c>
      <c r="E378" s="296" t="s">
        <v>528</v>
      </c>
      <c r="F378" s="296" t="s">
        <v>156</v>
      </c>
      <c r="G378" s="295" t="s">
        <v>513</v>
      </c>
      <c r="H378" s="295" t="s">
        <v>514</v>
      </c>
      <c r="I378" s="295"/>
      <c r="J378" s="304" t="s">
        <v>156</v>
      </c>
      <c r="K378" s="309" t="s">
        <v>156</v>
      </c>
      <c r="L378" s="306" t="s">
        <v>156</v>
      </c>
      <c r="M378" s="295" t="s">
        <v>156</v>
      </c>
      <c r="N378" s="306">
        <v>14.58</v>
      </c>
      <c r="O378" s="306" t="s">
        <v>156</v>
      </c>
      <c r="P378" s="307">
        <v>14.58</v>
      </c>
      <c r="Q378" s="307" t="s">
        <v>156</v>
      </c>
      <c r="R378" s="298" t="s">
        <v>156</v>
      </c>
      <c r="S378" s="297" t="s">
        <v>156</v>
      </c>
      <c r="T378" s="333" t="s">
        <v>156</v>
      </c>
      <c r="U378" s="307" t="s">
        <v>156</v>
      </c>
      <c r="V378" s="307"/>
      <c r="W378" s="307">
        <f t="shared" si="26"/>
        <v>0</v>
      </c>
      <c r="X378" s="307" t="str">
        <f t="shared" si="28"/>
        <v/>
      </c>
      <c r="Y378" s="307">
        <f t="shared" si="27"/>
        <v>0</v>
      </c>
      <c r="Z378" s="298"/>
    </row>
    <row r="379" s="278" customFormat="1" ht="11.9" spans="1:26">
      <c r="A379" s="295" t="s">
        <v>117</v>
      </c>
      <c r="B379" s="296" t="s">
        <v>113</v>
      </c>
      <c r="C379" s="296" t="s">
        <v>42</v>
      </c>
      <c r="D379" s="295" t="s">
        <v>511</v>
      </c>
      <c r="E379" s="296" t="s">
        <v>529</v>
      </c>
      <c r="F379" s="296" t="s">
        <v>156</v>
      </c>
      <c r="G379" s="295" t="s">
        <v>513</v>
      </c>
      <c r="H379" s="295" t="s">
        <v>514</v>
      </c>
      <c r="I379" s="295"/>
      <c r="J379" s="304" t="s">
        <v>156</v>
      </c>
      <c r="K379" s="309" t="s">
        <v>156</v>
      </c>
      <c r="L379" s="306" t="s">
        <v>156</v>
      </c>
      <c r="M379" s="295" t="s">
        <v>156</v>
      </c>
      <c r="N379" s="306">
        <v>76.79</v>
      </c>
      <c r="O379" s="306" t="s">
        <v>156</v>
      </c>
      <c r="P379" s="307">
        <v>76.79</v>
      </c>
      <c r="Q379" s="307" t="s">
        <v>156</v>
      </c>
      <c r="R379" s="298" t="s">
        <v>156</v>
      </c>
      <c r="S379" s="297" t="s">
        <v>156</v>
      </c>
      <c r="T379" s="333" t="s">
        <v>156</v>
      </c>
      <c r="U379" s="307" t="s">
        <v>156</v>
      </c>
      <c r="V379" s="307"/>
      <c r="W379" s="307">
        <f t="shared" si="26"/>
        <v>0</v>
      </c>
      <c r="X379" s="307" t="str">
        <f t="shared" si="28"/>
        <v/>
      </c>
      <c r="Y379" s="307">
        <f t="shared" si="27"/>
        <v>0</v>
      </c>
      <c r="Z379" s="298"/>
    </row>
    <row r="380" s="278" customFormat="1" ht="11.9" spans="1:26">
      <c r="A380" s="298" t="s">
        <v>120</v>
      </c>
      <c r="B380" s="296" t="s">
        <v>113</v>
      </c>
      <c r="C380" s="296" t="s">
        <v>42</v>
      </c>
      <c r="D380" s="295" t="s">
        <v>511</v>
      </c>
      <c r="E380" s="296" t="s">
        <v>531</v>
      </c>
      <c r="F380" s="296" t="s">
        <v>156</v>
      </c>
      <c r="G380" s="295" t="s">
        <v>513</v>
      </c>
      <c r="H380" s="295" t="s">
        <v>514</v>
      </c>
      <c r="I380" s="295"/>
      <c r="J380" s="304" t="s">
        <v>156</v>
      </c>
      <c r="K380" s="309" t="s">
        <v>156</v>
      </c>
      <c r="L380" s="306" t="s">
        <v>156</v>
      </c>
      <c r="M380" s="295" t="s">
        <v>156</v>
      </c>
      <c r="N380" s="306">
        <v>8.22</v>
      </c>
      <c r="O380" s="306" t="s">
        <v>156</v>
      </c>
      <c r="P380" s="307">
        <v>8.22</v>
      </c>
      <c r="Q380" s="307" t="s">
        <v>156</v>
      </c>
      <c r="R380" s="298" t="s">
        <v>156</v>
      </c>
      <c r="S380" s="297" t="s">
        <v>156</v>
      </c>
      <c r="T380" s="333" t="s">
        <v>156</v>
      </c>
      <c r="U380" s="307" t="s">
        <v>156</v>
      </c>
      <c r="V380" s="307"/>
      <c r="W380" s="307">
        <f t="shared" si="26"/>
        <v>0</v>
      </c>
      <c r="X380" s="307" t="str">
        <f t="shared" si="28"/>
        <v/>
      </c>
      <c r="Y380" s="307">
        <f t="shared" si="27"/>
        <v>0</v>
      </c>
      <c r="Z380" s="298"/>
    </row>
    <row r="381" s="278" customFormat="1" ht="11.9" spans="1:26">
      <c r="A381" s="298" t="s">
        <v>123</v>
      </c>
      <c r="B381" s="296" t="s">
        <v>113</v>
      </c>
      <c r="C381" s="296" t="s">
        <v>42</v>
      </c>
      <c r="D381" s="295" t="s">
        <v>511</v>
      </c>
      <c r="E381" s="296" t="s">
        <v>533</v>
      </c>
      <c r="F381" s="296" t="s">
        <v>156</v>
      </c>
      <c r="G381" s="295" t="s">
        <v>513</v>
      </c>
      <c r="H381" s="295" t="s">
        <v>514</v>
      </c>
      <c r="I381" s="295"/>
      <c r="J381" s="304" t="s">
        <v>156</v>
      </c>
      <c r="K381" s="309" t="s">
        <v>156</v>
      </c>
      <c r="L381" s="306" t="s">
        <v>156</v>
      </c>
      <c r="M381" s="295" t="s">
        <v>156</v>
      </c>
      <c r="N381" s="306">
        <v>8.95</v>
      </c>
      <c r="O381" s="306" t="s">
        <v>156</v>
      </c>
      <c r="P381" s="307">
        <v>8.95</v>
      </c>
      <c r="Q381" s="307" t="s">
        <v>156</v>
      </c>
      <c r="R381" s="298" t="s">
        <v>156</v>
      </c>
      <c r="S381" s="297" t="s">
        <v>156</v>
      </c>
      <c r="T381" s="333" t="s">
        <v>156</v>
      </c>
      <c r="U381" s="307" t="s">
        <v>156</v>
      </c>
      <c r="V381" s="307"/>
      <c r="W381" s="307">
        <f t="shared" si="26"/>
        <v>0</v>
      </c>
      <c r="X381" s="307" t="str">
        <f t="shared" si="28"/>
        <v/>
      </c>
      <c r="Y381" s="307">
        <f t="shared" si="27"/>
        <v>0</v>
      </c>
      <c r="Z381" s="298"/>
    </row>
    <row r="382" s="278" customFormat="1" ht="11.9" spans="1:26">
      <c r="A382" s="298" t="s">
        <v>290</v>
      </c>
      <c r="B382" s="296" t="s">
        <v>113</v>
      </c>
      <c r="C382" s="296" t="s">
        <v>42</v>
      </c>
      <c r="D382" s="295" t="s">
        <v>511</v>
      </c>
      <c r="E382" s="296" t="s">
        <v>535</v>
      </c>
      <c r="F382" s="296" t="s">
        <v>156</v>
      </c>
      <c r="G382" s="295" t="s">
        <v>513</v>
      </c>
      <c r="H382" s="295" t="s">
        <v>514</v>
      </c>
      <c r="I382" s="295"/>
      <c r="J382" s="304" t="s">
        <v>156</v>
      </c>
      <c r="K382" s="309" t="s">
        <v>156</v>
      </c>
      <c r="L382" s="306" t="s">
        <v>156</v>
      </c>
      <c r="M382" s="295" t="s">
        <v>156</v>
      </c>
      <c r="N382" s="306">
        <v>9.4</v>
      </c>
      <c r="O382" s="306" t="s">
        <v>156</v>
      </c>
      <c r="P382" s="307">
        <v>9.4</v>
      </c>
      <c r="Q382" s="307" t="s">
        <v>156</v>
      </c>
      <c r="R382" s="298" t="s">
        <v>156</v>
      </c>
      <c r="S382" s="297" t="s">
        <v>156</v>
      </c>
      <c r="T382" s="333" t="s">
        <v>156</v>
      </c>
      <c r="U382" s="307" t="s">
        <v>156</v>
      </c>
      <c r="V382" s="307"/>
      <c r="W382" s="307">
        <f t="shared" si="26"/>
        <v>0</v>
      </c>
      <c r="X382" s="307" t="str">
        <f t="shared" si="28"/>
        <v/>
      </c>
      <c r="Y382" s="307">
        <f t="shared" si="27"/>
        <v>0</v>
      </c>
      <c r="Z382" s="298"/>
    </row>
    <row r="383" s="278" customFormat="1" ht="11.9" spans="1:26">
      <c r="A383" s="298" t="s">
        <v>291</v>
      </c>
      <c r="B383" s="296" t="s">
        <v>113</v>
      </c>
      <c r="C383" s="296" t="s">
        <v>42</v>
      </c>
      <c r="D383" s="295" t="s">
        <v>511</v>
      </c>
      <c r="E383" s="296" t="s">
        <v>537</v>
      </c>
      <c r="F383" s="296" t="s">
        <v>156</v>
      </c>
      <c r="G383" s="295" t="s">
        <v>513</v>
      </c>
      <c r="H383" s="295" t="s">
        <v>514</v>
      </c>
      <c r="I383" s="295"/>
      <c r="J383" s="304" t="s">
        <v>156</v>
      </c>
      <c r="K383" s="309" t="s">
        <v>156</v>
      </c>
      <c r="L383" s="306" t="s">
        <v>156</v>
      </c>
      <c r="M383" s="295" t="s">
        <v>156</v>
      </c>
      <c r="N383" s="306">
        <v>8.95</v>
      </c>
      <c r="O383" s="306" t="s">
        <v>156</v>
      </c>
      <c r="P383" s="307">
        <v>8.95</v>
      </c>
      <c r="Q383" s="307" t="s">
        <v>156</v>
      </c>
      <c r="R383" s="298" t="s">
        <v>156</v>
      </c>
      <c r="S383" s="297" t="s">
        <v>156</v>
      </c>
      <c r="T383" s="333" t="s">
        <v>156</v>
      </c>
      <c r="U383" s="307" t="s">
        <v>156</v>
      </c>
      <c r="V383" s="307"/>
      <c r="W383" s="307">
        <f t="shared" si="26"/>
        <v>0</v>
      </c>
      <c r="X383" s="307" t="str">
        <f t="shared" si="28"/>
        <v/>
      </c>
      <c r="Y383" s="307">
        <f t="shared" si="27"/>
        <v>0</v>
      </c>
      <c r="Z383" s="298"/>
    </row>
    <row r="384" s="278" customFormat="1" ht="11.9" spans="1:26">
      <c r="A384" s="298" t="s">
        <v>316</v>
      </c>
      <c r="B384" s="296" t="s">
        <v>113</v>
      </c>
      <c r="C384" s="296" t="s">
        <v>42</v>
      </c>
      <c r="D384" s="295" t="s">
        <v>511</v>
      </c>
      <c r="E384" s="296" t="s">
        <v>539</v>
      </c>
      <c r="F384" s="296" t="s">
        <v>156</v>
      </c>
      <c r="G384" s="295" t="s">
        <v>513</v>
      </c>
      <c r="H384" s="295" t="s">
        <v>514</v>
      </c>
      <c r="I384" s="295"/>
      <c r="J384" s="304" t="s">
        <v>156</v>
      </c>
      <c r="K384" s="309" t="s">
        <v>156</v>
      </c>
      <c r="L384" s="306" t="s">
        <v>156</v>
      </c>
      <c r="M384" s="295" t="s">
        <v>156</v>
      </c>
      <c r="N384" s="306">
        <v>8.95</v>
      </c>
      <c r="O384" s="306" t="s">
        <v>156</v>
      </c>
      <c r="P384" s="307">
        <v>8.95</v>
      </c>
      <c r="Q384" s="307" t="s">
        <v>156</v>
      </c>
      <c r="R384" s="298" t="s">
        <v>156</v>
      </c>
      <c r="S384" s="297" t="s">
        <v>156</v>
      </c>
      <c r="T384" s="333" t="s">
        <v>156</v>
      </c>
      <c r="U384" s="307" t="s">
        <v>156</v>
      </c>
      <c r="V384" s="307"/>
      <c r="W384" s="307">
        <f t="shared" si="26"/>
        <v>0</v>
      </c>
      <c r="X384" s="307" t="str">
        <f t="shared" si="28"/>
        <v/>
      </c>
      <c r="Y384" s="307">
        <f t="shared" si="27"/>
        <v>0</v>
      </c>
      <c r="Z384" s="298"/>
    </row>
    <row r="385" s="278" customFormat="1" ht="11.9" spans="1:26">
      <c r="A385" s="298" t="s">
        <v>1253</v>
      </c>
      <c r="B385" s="296" t="s">
        <v>113</v>
      </c>
      <c r="C385" s="296" t="s">
        <v>45</v>
      </c>
      <c r="D385" s="295" t="s">
        <v>511</v>
      </c>
      <c r="E385" s="296" t="s">
        <v>541</v>
      </c>
      <c r="F385" s="296" t="s">
        <v>156</v>
      </c>
      <c r="G385" s="295" t="s">
        <v>513</v>
      </c>
      <c r="H385" s="295" t="s">
        <v>514</v>
      </c>
      <c r="I385" s="295"/>
      <c r="J385" s="304" t="s">
        <v>156</v>
      </c>
      <c r="K385" s="309" t="s">
        <v>156</v>
      </c>
      <c r="L385" s="306" t="s">
        <v>156</v>
      </c>
      <c r="M385" s="295" t="s">
        <v>156</v>
      </c>
      <c r="N385" s="306">
        <v>10.3</v>
      </c>
      <c r="O385" s="306" t="s">
        <v>156</v>
      </c>
      <c r="P385" s="307">
        <v>10.3</v>
      </c>
      <c r="Q385" s="307" t="s">
        <v>156</v>
      </c>
      <c r="R385" s="298" t="s">
        <v>156</v>
      </c>
      <c r="S385" s="297" t="s">
        <v>156</v>
      </c>
      <c r="T385" s="333" t="s">
        <v>156</v>
      </c>
      <c r="U385" s="307" t="s">
        <v>156</v>
      </c>
      <c r="V385" s="307"/>
      <c r="W385" s="307">
        <f t="shared" si="26"/>
        <v>0</v>
      </c>
      <c r="X385" s="307" t="str">
        <f t="shared" si="28"/>
        <v/>
      </c>
      <c r="Y385" s="307">
        <f t="shared" si="27"/>
        <v>0</v>
      </c>
      <c r="Z385" s="298"/>
    </row>
    <row r="386" s="278" customFormat="1" ht="11.9" spans="1:26">
      <c r="A386" s="298" t="s">
        <v>1254</v>
      </c>
      <c r="B386" s="296" t="s">
        <v>113</v>
      </c>
      <c r="C386" s="296" t="s">
        <v>45</v>
      </c>
      <c r="D386" s="295" t="s">
        <v>511</v>
      </c>
      <c r="E386" s="296" t="s">
        <v>542</v>
      </c>
      <c r="F386" s="296" t="s">
        <v>156</v>
      </c>
      <c r="G386" s="295" t="s">
        <v>513</v>
      </c>
      <c r="H386" s="295" t="s">
        <v>514</v>
      </c>
      <c r="I386" s="295"/>
      <c r="J386" s="304" t="s">
        <v>156</v>
      </c>
      <c r="K386" s="309" t="s">
        <v>156</v>
      </c>
      <c r="L386" s="306" t="s">
        <v>156</v>
      </c>
      <c r="M386" s="295" t="s">
        <v>156</v>
      </c>
      <c r="N386" s="306">
        <v>8.95</v>
      </c>
      <c r="O386" s="306" t="s">
        <v>156</v>
      </c>
      <c r="P386" s="307">
        <v>8.95</v>
      </c>
      <c r="Q386" s="307" t="s">
        <v>156</v>
      </c>
      <c r="R386" s="298" t="s">
        <v>156</v>
      </c>
      <c r="S386" s="297" t="s">
        <v>156</v>
      </c>
      <c r="T386" s="333" t="s">
        <v>156</v>
      </c>
      <c r="U386" s="307" t="s">
        <v>156</v>
      </c>
      <c r="V386" s="307"/>
      <c r="W386" s="307">
        <f t="shared" si="26"/>
        <v>0</v>
      </c>
      <c r="X386" s="307" t="str">
        <f t="shared" si="28"/>
        <v/>
      </c>
      <c r="Y386" s="307">
        <f t="shared" si="27"/>
        <v>0</v>
      </c>
      <c r="Z386" s="298"/>
    </row>
    <row r="387" s="278" customFormat="1" ht="11.9" spans="1:26">
      <c r="A387" s="298" t="s">
        <v>929</v>
      </c>
      <c r="B387" s="296" t="s">
        <v>113</v>
      </c>
      <c r="C387" s="296" t="s">
        <v>45</v>
      </c>
      <c r="D387" s="295" t="s">
        <v>511</v>
      </c>
      <c r="E387" s="296" t="s">
        <v>544</v>
      </c>
      <c r="F387" s="296" t="s">
        <v>156</v>
      </c>
      <c r="G387" s="295" t="s">
        <v>513</v>
      </c>
      <c r="H387" s="295" t="s">
        <v>514</v>
      </c>
      <c r="I387" s="295"/>
      <c r="J387" s="304" t="s">
        <v>156</v>
      </c>
      <c r="K387" s="309" t="s">
        <v>156</v>
      </c>
      <c r="L387" s="306" t="s">
        <v>156</v>
      </c>
      <c r="M387" s="295" t="s">
        <v>156</v>
      </c>
      <c r="N387" s="306">
        <v>9.4</v>
      </c>
      <c r="O387" s="306" t="s">
        <v>156</v>
      </c>
      <c r="P387" s="307">
        <v>9.4</v>
      </c>
      <c r="Q387" s="307" t="s">
        <v>156</v>
      </c>
      <c r="R387" s="298" t="s">
        <v>156</v>
      </c>
      <c r="S387" s="297" t="s">
        <v>156</v>
      </c>
      <c r="T387" s="333" t="s">
        <v>156</v>
      </c>
      <c r="U387" s="307" t="s">
        <v>156</v>
      </c>
      <c r="V387" s="307"/>
      <c r="W387" s="307">
        <f t="shared" si="26"/>
        <v>0</v>
      </c>
      <c r="X387" s="307" t="str">
        <f t="shared" si="28"/>
        <v/>
      </c>
      <c r="Y387" s="307">
        <f t="shared" si="27"/>
        <v>0</v>
      </c>
      <c r="Z387" s="298"/>
    </row>
    <row r="388" s="278" customFormat="1" ht="11.9" spans="1:26">
      <c r="A388" s="298" t="s">
        <v>671</v>
      </c>
      <c r="B388" s="296" t="s">
        <v>113</v>
      </c>
      <c r="C388" s="296" t="s">
        <v>45</v>
      </c>
      <c r="D388" s="295" t="s">
        <v>511</v>
      </c>
      <c r="E388" s="296" t="s">
        <v>546</v>
      </c>
      <c r="F388" s="296" t="s">
        <v>156</v>
      </c>
      <c r="G388" s="295" t="s">
        <v>513</v>
      </c>
      <c r="H388" s="295" t="s">
        <v>514</v>
      </c>
      <c r="I388" s="295"/>
      <c r="J388" s="304" t="s">
        <v>156</v>
      </c>
      <c r="K388" s="309" t="s">
        <v>156</v>
      </c>
      <c r="L388" s="306" t="s">
        <v>156</v>
      </c>
      <c r="M388" s="295" t="s">
        <v>156</v>
      </c>
      <c r="N388" s="306">
        <v>8.95</v>
      </c>
      <c r="O388" s="306" t="s">
        <v>156</v>
      </c>
      <c r="P388" s="307">
        <v>8.95</v>
      </c>
      <c r="Q388" s="307" t="s">
        <v>156</v>
      </c>
      <c r="R388" s="298" t="s">
        <v>156</v>
      </c>
      <c r="S388" s="297" t="s">
        <v>156</v>
      </c>
      <c r="T388" s="333" t="s">
        <v>156</v>
      </c>
      <c r="U388" s="307" t="s">
        <v>156</v>
      </c>
      <c r="V388" s="307"/>
      <c r="W388" s="307">
        <f t="shared" si="26"/>
        <v>0</v>
      </c>
      <c r="X388" s="307" t="str">
        <f t="shared" si="28"/>
        <v/>
      </c>
      <c r="Y388" s="307">
        <f t="shared" si="27"/>
        <v>0</v>
      </c>
      <c r="Z388" s="298"/>
    </row>
    <row r="389" s="278" customFormat="1" ht="11.9" spans="1:26">
      <c r="A389" s="298" t="s">
        <v>1255</v>
      </c>
      <c r="B389" s="296" t="s">
        <v>113</v>
      </c>
      <c r="C389" s="296" t="s">
        <v>45</v>
      </c>
      <c r="D389" s="295" t="s">
        <v>511</v>
      </c>
      <c r="E389" s="296" t="s">
        <v>548</v>
      </c>
      <c r="F389" s="296" t="s">
        <v>156</v>
      </c>
      <c r="G389" s="295" t="s">
        <v>513</v>
      </c>
      <c r="H389" s="295" t="s">
        <v>514</v>
      </c>
      <c r="I389" s="295"/>
      <c r="J389" s="304" t="s">
        <v>156</v>
      </c>
      <c r="K389" s="309" t="s">
        <v>156</v>
      </c>
      <c r="L389" s="306" t="s">
        <v>156</v>
      </c>
      <c r="M389" s="295" t="s">
        <v>156</v>
      </c>
      <c r="N389" s="306">
        <v>8.22</v>
      </c>
      <c r="O389" s="306" t="s">
        <v>156</v>
      </c>
      <c r="P389" s="307">
        <v>8.22</v>
      </c>
      <c r="Q389" s="307" t="s">
        <v>156</v>
      </c>
      <c r="R389" s="298" t="s">
        <v>156</v>
      </c>
      <c r="S389" s="297" t="s">
        <v>156</v>
      </c>
      <c r="T389" s="333" t="s">
        <v>156</v>
      </c>
      <c r="U389" s="307" t="s">
        <v>156</v>
      </c>
      <c r="V389" s="307"/>
      <c r="W389" s="307">
        <f t="shared" si="26"/>
        <v>0</v>
      </c>
      <c r="X389" s="307" t="str">
        <f t="shared" si="28"/>
        <v/>
      </c>
      <c r="Y389" s="307">
        <f t="shared" si="27"/>
        <v>0</v>
      </c>
      <c r="Z389" s="298"/>
    </row>
    <row r="390" s="282" customFormat="1" spans="1:26">
      <c r="A390" s="295" t="s">
        <v>1256</v>
      </c>
      <c r="B390" s="296" t="s">
        <v>113</v>
      </c>
      <c r="C390" s="296" t="s">
        <v>45</v>
      </c>
      <c r="D390" s="295" t="s">
        <v>511</v>
      </c>
      <c r="E390" s="296" t="s">
        <v>549</v>
      </c>
      <c r="F390" s="296" t="s">
        <v>156</v>
      </c>
      <c r="G390" s="295" t="s">
        <v>513</v>
      </c>
      <c r="H390" s="295" t="s">
        <v>514</v>
      </c>
      <c r="I390" s="295"/>
      <c r="J390" s="304" t="s">
        <v>156</v>
      </c>
      <c r="K390" s="309" t="s">
        <v>156</v>
      </c>
      <c r="L390" s="306" t="s">
        <v>156</v>
      </c>
      <c r="M390" s="295" t="s">
        <v>156</v>
      </c>
      <c r="N390" s="306">
        <v>76.79</v>
      </c>
      <c r="O390" s="306" t="s">
        <v>156</v>
      </c>
      <c r="P390" s="307">
        <v>76.79</v>
      </c>
      <c r="Q390" s="307" t="s">
        <v>156</v>
      </c>
      <c r="R390" s="298" t="s">
        <v>156</v>
      </c>
      <c r="S390" s="297" t="s">
        <v>156</v>
      </c>
      <c r="T390" s="333" t="s">
        <v>156</v>
      </c>
      <c r="U390" s="307" t="s">
        <v>156</v>
      </c>
      <c r="V390" s="307"/>
      <c r="W390" s="307">
        <f t="shared" si="26"/>
        <v>0</v>
      </c>
      <c r="X390" s="307" t="str">
        <f t="shared" si="28"/>
        <v/>
      </c>
      <c r="Y390" s="307">
        <f t="shared" si="27"/>
        <v>0</v>
      </c>
      <c r="Z390" s="298"/>
    </row>
    <row r="391" s="282" customFormat="1" spans="1:26">
      <c r="A391" s="295" t="s">
        <v>679</v>
      </c>
      <c r="B391" s="296" t="s">
        <v>113</v>
      </c>
      <c r="C391" s="296" t="s">
        <v>45</v>
      </c>
      <c r="D391" s="295" t="s">
        <v>511</v>
      </c>
      <c r="E391" s="296" t="s">
        <v>550</v>
      </c>
      <c r="F391" s="296" t="s">
        <v>156</v>
      </c>
      <c r="G391" s="295" t="s">
        <v>513</v>
      </c>
      <c r="H391" s="295" t="s">
        <v>514</v>
      </c>
      <c r="I391" s="295"/>
      <c r="J391" s="304" t="s">
        <v>156</v>
      </c>
      <c r="K391" s="309" t="s">
        <v>156</v>
      </c>
      <c r="L391" s="306" t="s">
        <v>156</v>
      </c>
      <c r="M391" s="295" t="s">
        <v>156</v>
      </c>
      <c r="N391" s="306">
        <v>14.58</v>
      </c>
      <c r="O391" s="306" t="s">
        <v>156</v>
      </c>
      <c r="P391" s="307">
        <v>14.58</v>
      </c>
      <c r="Q391" s="307" t="s">
        <v>156</v>
      </c>
      <c r="R391" s="298" t="s">
        <v>156</v>
      </c>
      <c r="S391" s="297" t="s">
        <v>156</v>
      </c>
      <c r="T391" s="333" t="s">
        <v>156</v>
      </c>
      <c r="U391" s="307" t="s">
        <v>156</v>
      </c>
      <c r="V391" s="307"/>
      <c r="W391" s="307">
        <f t="shared" ref="W391:W454" si="30">SUM(U391)+SUM(V391)</f>
        <v>0</v>
      </c>
      <c r="X391" s="307" t="str">
        <f t="shared" si="28"/>
        <v/>
      </c>
      <c r="Y391" s="307">
        <f t="shared" ref="Y391:Y454" si="31">IF(SUM(P391)=0,"",ROUND(SUM(X391)/SUM(P391),2))</f>
        <v>0</v>
      </c>
      <c r="Z391" s="298"/>
    </row>
    <row r="392" s="282" customFormat="1" spans="1:26">
      <c r="A392" s="295" t="s">
        <v>1257</v>
      </c>
      <c r="B392" s="296" t="s">
        <v>113</v>
      </c>
      <c r="C392" s="296" t="s">
        <v>45</v>
      </c>
      <c r="D392" s="295" t="s">
        <v>511</v>
      </c>
      <c r="E392" s="296" t="s">
        <v>552</v>
      </c>
      <c r="F392" s="296" t="s">
        <v>156</v>
      </c>
      <c r="G392" s="295" t="s">
        <v>513</v>
      </c>
      <c r="H392" s="295" t="s">
        <v>514</v>
      </c>
      <c r="I392" s="295"/>
      <c r="J392" s="304" t="s">
        <v>156</v>
      </c>
      <c r="K392" s="309" t="s">
        <v>156</v>
      </c>
      <c r="L392" s="306" t="s">
        <v>156</v>
      </c>
      <c r="M392" s="295" t="s">
        <v>156</v>
      </c>
      <c r="N392" s="306">
        <v>14.58</v>
      </c>
      <c r="O392" s="306" t="s">
        <v>156</v>
      </c>
      <c r="P392" s="307">
        <v>14.58</v>
      </c>
      <c r="Q392" s="307" t="s">
        <v>156</v>
      </c>
      <c r="R392" s="298" t="s">
        <v>156</v>
      </c>
      <c r="S392" s="297" t="s">
        <v>156</v>
      </c>
      <c r="T392" s="333" t="s">
        <v>156</v>
      </c>
      <c r="U392" s="307" t="s">
        <v>156</v>
      </c>
      <c r="V392" s="307"/>
      <c r="W392" s="307">
        <f t="shared" si="30"/>
        <v>0</v>
      </c>
      <c r="X392" s="307" t="str">
        <f t="shared" si="28"/>
        <v/>
      </c>
      <c r="Y392" s="307">
        <f t="shared" si="31"/>
        <v>0</v>
      </c>
      <c r="Z392" s="298"/>
    </row>
    <row r="393" s="282" customFormat="1" spans="1:26">
      <c r="A393" s="295" t="s">
        <v>1258</v>
      </c>
      <c r="B393" s="296" t="s">
        <v>113</v>
      </c>
      <c r="C393" s="296" t="s">
        <v>45</v>
      </c>
      <c r="D393" s="295" t="s">
        <v>511</v>
      </c>
      <c r="E393" s="296" t="s">
        <v>554</v>
      </c>
      <c r="F393" s="296" t="s">
        <v>156</v>
      </c>
      <c r="G393" s="295" t="s">
        <v>513</v>
      </c>
      <c r="H393" s="295" t="s">
        <v>514</v>
      </c>
      <c r="I393" s="295"/>
      <c r="J393" s="304" t="s">
        <v>156</v>
      </c>
      <c r="K393" s="309" t="s">
        <v>156</v>
      </c>
      <c r="L393" s="306" t="s">
        <v>156</v>
      </c>
      <c r="M393" s="295" t="s">
        <v>156</v>
      </c>
      <c r="N393" s="306">
        <v>76.79</v>
      </c>
      <c r="O393" s="306" t="s">
        <v>156</v>
      </c>
      <c r="P393" s="307">
        <v>76.79</v>
      </c>
      <c r="Q393" s="307" t="s">
        <v>156</v>
      </c>
      <c r="R393" s="298" t="s">
        <v>156</v>
      </c>
      <c r="S393" s="297" t="s">
        <v>156</v>
      </c>
      <c r="T393" s="333" t="s">
        <v>156</v>
      </c>
      <c r="U393" s="307" t="s">
        <v>156</v>
      </c>
      <c r="V393" s="307"/>
      <c r="W393" s="307">
        <f t="shared" si="30"/>
        <v>0</v>
      </c>
      <c r="X393" s="307" t="str">
        <f t="shared" ref="X393:X426" si="32">U393</f>
        <v/>
      </c>
      <c r="Y393" s="307">
        <f t="shared" si="31"/>
        <v>0</v>
      </c>
      <c r="Z393" s="298"/>
    </row>
    <row r="394" s="282" customFormat="1" spans="1:26">
      <c r="A394" s="295" t="s">
        <v>1154</v>
      </c>
      <c r="B394" s="296" t="s">
        <v>113</v>
      </c>
      <c r="C394" s="296" t="s">
        <v>45</v>
      </c>
      <c r="D394" s="295" t="s">
        <v>511</v>
      </c>
      <c r="E394" s="296" t="s">
        <v>556</v>
      </c>
      <c r="F394" s="296" t="s">
        <v>156</v>
      </c>
      <c r="G394" s="295" t="s">
        <v>513</v>
      </c>
      <c r="H394" s="295" t="s">
        <v>514</v>
      </c>
      <c r="I394" s="295"/>
      <c r="J394" s="304" t="s">
        <v>156</v>
      </c>
      <c r="K394" s="309" t="s">
        <v>156</v>
      </c>
      <c r="L394" s="306" t="s">
        <v>156</v>
      </c>
      <c r="M394" s="295" t="s">
        <v>156</v>
      </c>
      <c r="N394" s="306">
        <v>8.22</v>
      </c>
      <c r="O394" s="306" t="s">
        <v>156</v>
      </c>
      <c r="P394" s="307">
        <v>8.22</v>
      </c>
      <c r="Q394" s="307" t="s">
        <v>156</v>
      </c>
      <c r="R394" s="298" t="s">
        <v>156</v>
      </c>
      <c r="S394" s="297" t="s">
        <v>156</v>
      </c>
      <c r="T394" s="333" t="s">
        <v>156</v>
      </c>
      <c r="U394" s="307" t="s">
        <v>156</v>
      </c>
      <c r="V394" s="307"/>
      <c r="W394" s="307">
        <f t="shared" si="30"/>
        <v>0</v>
      </c>
      <c r="X394" s="307" t="str">
        <f t="shared" si="32"/>
        <v/>
      </c>
      <c r="Y394" s="307">
        <f t="shared" si="31"/>
        <v>0</v>
      </c>
      <c r="Z394" s="298"/>
    </row>
    <row r="395" s="282" customFormat="1" spans="1:26">
      <c r="A395" s="295" t="s">
        <v>1259</v>
      </c>
      <c r="B395" s="296" t="s">
        <v>113</v>
      </c>
      <c r="C395" s="296" t="s">
        <v>45</v>
      </c>
      <c r="D395" s="295" t="s">
        <v>511</v>
      </c>
      <c r="E395" s="296" t="s">
        <v>558</v>
      </c>
      <c r="F395" s="296" t="s">
        <v>156</v>
      </c>
      <c r="G395" s="295" t="s">
        <v>513</v>
      </c>
      <c r="H395" s="295" t="s">
        <v>514</v>
      </c>
      <c r="I395" s="295"/>
      <c r="J395" s="304" t="s">
        <v>156</v>
      </c>
      <c r="K395" s="309" t="s">
        <v>156</v>
      </c>
      <c r="L395" s="306" t="s">
        <v>156</v>
      </c>
      <c r="M395" s="295" t="s">
        <v>156</v>
      </c>
      <c r="N395" s="306">
        <v>8.95</v>
      </c>
      <c r="O395" s="306" t="s">
        <v>156</v>
      </c>
      <c r="P395" s="307">
        <v>8.95</v>
      </c>
      <c r="Q395" s="307" t="s">
        <v>156</v>
      </c>
      <c r="R395" s="298" t="s">
        <v>156</v>
      </c>
      <c r="S395" s="297" t="s">
        <v>156</v>
      </c>
      <c r="T395" s="333" t="s">
        <v>156</v>
      </c>
      <c r="U395" s="307" t="s">
        <v>156</v>
      </c>
      <c r="V395" s="307"/>
      <c r="W395" s="307">
        <f t="shared" si="30"/>
        <v>0</v>
      </c>
      <c r="X395" s="307" t="str">
        <f t="shared" si="32"/>
        <v/>
      </c>
      <c r="Y395" s="307">
        <f t="shared" si="31"/>
        <v>0</v>
      </c>
      <c r="Z395" s="298"/>
    </row>
    <row r="396" s="282" customFormat="1" spans="1:26">
      <c r="A396" s="295" t="s">
        <v>1260</v>
      </c>
      <c r="B396" s="296" t="s">
        <v>113</v>
      </c>
      <c r="C396" s="296" t="s">
        <v>45</v>
      </c>
      <c r="D396" s="295" t="s">
        <v>511</v>
      </c>
      <c r="E396" s="296" t="s">
        <v>560</v>
      </c>
      <c r="F396" s="296" t="s">
        <v>156</v>
      </c>
      <c r="G396" s="295" t="s">
        <v>513</v>
      </c>
      <c r="H396" s="295" t="s">
        <v>514</v>
      </c>
      <c r="I396" s="295"/>
      <c r="J396" s="304" t="s">
        <v>156</v>
      </c>
      <c r="K396" s="309" t="s">
        <v>156</v>
      </c>
      <c r="L396" s="306" t="s">
        <v>156</v>
      </c>
      <c r="M396" s="295" t="s">
        <v>156</v>
      </c>
      <c r="N396" s="306">
        <v>9.4</v>
      </c>
      <c r="O396" s="306" t="s">
        <v>156</v>
      </c>
      <c r="P396" s="307">
        <v>9.4</v>
      </c>
      <c r="Q396" s="307" t="s">
        <v>156</v>
      </c>
      <c r="R396" s="298" t="s">
        <v>156</v>
      </c>
      <c r="S396" s="297" t="s">
        <v>156</v>
      </c>
      <c r="T396" s="333" t="s">
        <v>156</v>
      </c>
      <c r="U396" s="307" t="s">
        <v>156</v>
      </c>
      <c r="V396" s="307"/>
      <c r="W396" s="307">
        <f t="shared" si="30"/>
        <v>0</v>
      </c>
      <c r="X396" s="307" t="str">
        <f t="shared" si="32"/>
        <v/>
      </c>
      <c r="Y396" s="307">
        <f t="shared" si="31"/>
        <v>0</v>
      </c>
      <c r="Z396" s="298"/>
    </row>
    <row r="397" s="282" customFormat="1" spans="1:26">
      <c r="A397" s="295" t="s">
        <v>532</v>
      </c>
      <c r="B397" s="296" t="s">
        <v>113</v>
      </c>
      <c r="C397" s="296" t="s">
        <v>45</v>
      </c>
      <c r="D397" s="295" t="s">
        <v>511</v>
      </c>
      <c r="E397" s="296" t="s">
        <v>562</v>
      </c>
      <c r="F397" s="296"/>
      <c r="G397" s="295" t="s">
        <v>513</v>
      </c>
      <c r="H397" s="295" t="s">
        <v>514</v>
      </c>
      <c r="I397" s="295"/>
      <c r="J397" s="304" t="s">
        <v>156</v>
      </c>
      <c r="K397" s="309" t="s">
        <v>156</v>
      </c>
      <c r="L397" s="306" t="s">
        <v>156</v>
      </c>
      <c r="M397" s="295" t="s">
        <v>156</v>
      </c>
      <c r="N397" s="306">
        <v>8.95</v>
      </c>
      <c r="O397" s="306" t="s">
        <v>156</v>
      </c>
      <c r="P397" s="307">
        <v>8.95</v>
      </c>
      <c r="Q397" s="307" t="s">
        <v>156</v>
      </c>
      <c r="R397" s="298" t="s">
        <v>156</v>
      </c>
      <c r="S397" s="297" t="s">
        <v>156</v>
      </c>
      <c r="T397" s="333" t="s">
        <v>156</v>
      </c>
      <c r="U397" s="307" t="s">
        <v>156</v>
      </c>
      <c r="V397" s="307"/>
      <c r="W397" s="307">
        <f t="shared" si="30"/>
        <v>0</v>
      </c>
      <c r="X397" s="307" t="str">
        <f t="shared" si="32"/>
        <v/>
      </c>
      <c r="Y397" s="307">
        <f t="shared" si="31"/>
        <v>0</v>
      </c>
      <c r="Z397" s="298"/>
    </row>
    <row r="398" s="282" customFormat="1" spans="1:26">
      <c r="A398" s="295" t="s">
        <v>1261</v>
      </c>
      <c r="B398" s="296" t="s">
        <v>113</v>
      </c>
      <c r="C398" s="296" t="s">
        <v>45</v>
      </c>
      <c r="D398" s="295" t="s">
        <v>511</v>
      </c>
      <c r="E398" s="296" t="s">
        <v>564</v>
      </c>
      <c r="F398" s="296" t="s">
        <v>156</v>
      </c>
      <c r="G398" s="295" t="s">
        <v>513</v>
      </c>
      <c r="H398" s="295" t="s">
        <v>514</v>
      </c>
      <c r="I398" s="295"/>
      <c r="J398" s="304" t="s">
        <v>156</v>
      </c>
      <c r="K398" s="309" t="s">
        <v>156</v>
      </c>
      <c r="L398" s="306" t="s">
        <v>156</v>
      </c>
      <c r="M398" s="295" t="s">
        <v>156</v>
      </c>
      <c r="N398" s="306">
        <v>8.95</v>
      </c>
      <c r="O398" s="306" t="s">
        <v>156</v>
      </c>
      <c r="P398" s="307">
        <v>8.95</v>
      </c>
      <c r="Q398" s="307" t="s">
        <v>156</v>
      </c>
      <c r="R398" s="298" t="s">
        <v>156</v>
      </c>
      <c r="S398" s="297" t="s">
        <v>156</v>
      </c>
      <c r="T398" s="333" t="s">
        <v>156</v>
      </c>
      <c r="U398" s="307" t="s">
        <v>156</v>
      </c>
      <c r="V398" s="307"/>
      <c r="W398" s="307">
        <f t="shared" si="30"/>
        <v>0</v>
      </c>
      <c r="X398" s="307" t="str">
        <f t="shared" si="32"/>
        <v/>
      </c>
      <c r="Y398" s="307">
        <f t="shared" si="31"/>
        <v>0</v>
      </c>
      <c r="Z398" s="298"/>
    </row>
    <row r="399" s="282" customFormat="1" spans="1:26">
      <c r="A399" s="295" t="s">
        <v>1262</v>
      </c>
      <c r="B399" s="296" t="s">
        <v>117</v>
      </c>
      <c r="C399" s="296" t="s">
        <v>42</v>
      </c>
      <c r="D399" s="295" t="s">
        <v>42</v>
      </c>
      <c r="E399" s="296" t="s">
        <v>388</v>
      </c>
      <c r="F399" s="296" t="s">
        <v>156</v>
      </c>
      <c r="G399" s="295" t="s">
        <v>215</v>
      </c>
      <c r="H399" s="295" t="s">
        <v>389</v>
      </c>
      <c r="I399" s="295" t="s">
        <v>294</v>
      </c>
      <c r="J399" s="304">
        <v>20200012286</v>
      </c>
      <c r="K399" s="309" t="s">
        <v>1263</v>
      </c>
      <c r="L399" s="306">
        <v>1308548</v>
      </c>
      <c r="M399" s="295" t="s">
        <v>1264</v>
      </c>
      <c r="N399" s="306">
        <v>177.19</v>
      </c>
      <c r="O399" s="306" t="s">
        <v>156</v>
      </c>
      <c r="P399" s="307">
        <v>177.19</v>
      </c>
      <c r="Q399" s="307" t="s">
        <v>156</v>
      </c>
      <c r="R399" s="298" t="s">
        <v>156</v>
      </c>
      <c r="S399" s="563" t="s">
        <v>392</v>
      </c>
      <c r="T399" s="333" t="s">
        <v>1265</v>
      </c>
      <c r="U399" s="339">
        <f>600251.38*2</f>
        <v>1200502.76</v>
      </c>
      <c r="V399" s="307">
        <f t="shared" ref="V399:V426" si="33">ROUND(U399*0.09,2)</f>
        <v>108045.25</v>
      </c>
      <c r="W399" s="307">
        <f t="shared" si="30"/>
        <v>1308548.01</v>
      </c>
      <c r="X399" s="307">
        <f t="shared" si="32"/>
        <v>1200502.76</v>
      </c>
      <c r="Y399" s="307">
        <f t="shared" si="31"/>
        <v>6775.23</v>
      </c>
      <c r="Z399" s="298"/>
    </row>
    <row r="400" s="282" customFormat="1" spans="1:26">
      <c r="A400" s="295" t="s">
        <v>1266</v>
      </c>
      <c r="B400" s="296" t="s">
        <v>117</v>
      </c>
      <c r="C400" s="296" t="s">
        <v>42</v>
      </c>
      <c r="D400" s="295" t="s">
        <v>42</v>
      </c>
      <c r="E400" s="296" t="s">
        <v>395</v>
      </c>
      <c r="F400" s="296" t="s">
        <v>156</v>
      </c>
      <c r="G400" s="295" t="s">
        <v>215</v>
      </c>
      <c r="H400" s="295" t="s">
        <v>389</v>
      </c>
      <c r="I400" s="295" t="s">
        <v>294</v>
      </c>
      <c r="J400" s="304">
        <v>20230003214</v>
      </c>
      <c r="K400" s="309" t="s">
        <v>1267</v>
      </c>
      <c r="L400" s="306">
        <v>1078000</v>
      </c>
      <c r="M400" s="295" t="s">
        <v>1268</v>
      </c>
      <c r="N400" s="306">
        <v>149.04</v>
      </c>
      <c r="O400" s="306" t="s">
        <v>156</v>
      </c>
      <c r="P400" s="307">
        <v>149.04</v>
      </c>
      <c r="Q400" s="307" t="s">
        <v>156</v>
      </c>
      <c r="R400" s="298" t="s">
        <v>156</v>
      </c>
      <c r="S400" s="563" t="s">
        <v>392</v>
      </c>
      <c r="T400" s="333" t="s">
        <v>1269</v>
      </c>
      <c r="U400" s="340">
        <v>988990.83</v>
      </c>
      <c r="V400" s="307">
        <f t="shared" si="33"/>
        <v>89009.17</v>
      </c>
      <c r="W400" s="307">
        <f t="shared" si="30"/>
        <v>1078000</v>
      </c>
      <c r="X400" s="307">
        <f t="shared" si="32"/>
        <v>988990.83</v>
      </c>
      <c r="Y400" s="307">
        <f t="shared" si="31"/>
        <v>6635.74</v>
      </c>
      <c r="Z400" s="298"/>
    </row>
    <row r="401" s="282" customFormat="1" spans="1:26">
      <c r="A401" s="295" t="s">
        <v>1270</v>
      </c>
      <c r="B401" s="296" t="s">
        <v>117</v>
      </c>
      <c r="C401" s="296" t="s">
        <v>42</v>
      </c>
      <c r="D401" s="295" t="s">
        <v>45</v>
      </c>
      <c r="E401" s="296" t="s">
        <v>400</v>
      </c>
      <c r="F401" s="296" t="s">
        <v>156</v>
      </c>
      <c r="G401" s="295" t="s">
        <v>215</v>
      </c>
      <c r="H401" s="295" t="s">
        <v>389</v>
      </c>
      <c r="I401" s="295" t="s">
        <v>294</v>
      </c>
      <c r="J401" s="304">
        <v>20210002177</v>
      </c>
      <c r="K401" s="309" t="s">
        <v>1271</v>
      </c>
      <c r="L401" s="306">
        <v>754280</v>
      </c>
      <c r="M401" s="295" t="s">
        <v>1272</v>
      </c>
      <c r="N401" s="306">
        <v>177.19</v>
      </c>
      <c r="O401" s="306" t="s">
        <v>156</v>
      </c>
      <c r="P401" s="307">
        <v>177.19</v>
      </c>
      <c r="Q401" s="307" t="s">
        <v>156</v>
      </c>
      <c r="R401" s="298" t="s">
        <v>156</v>
      </c>
      <c r="S401" s="563" t="s">
        <v>392</v>
      </c>
      <c r="T401" s="333" t="s">
        <v>1273</v>
      </c>
      <c r="U401" s="339">
        <v>692000</v>
      </c>
      <c r="V401" s="307">
        <f t="shared" si="33"/>
        <v>62280</v>
      </c>
      <c r="W401" s="307">
        <f t="shared" si="30"/>
        <v>754280</v>
      </c>
      <c r="X401" s="307">
        <f t="shared" si="32"/>
        <v>692000</v>
      </c>
      <c r="Y401" s="307">
        <f t="shared" si="31"/>
        <v>3905.41</v>
      </c>
      <c r="Z401" s="298"/>
    </row>
    <row r="402" s="282" customFormat="1" ht="23.8" spans="1:26">
      <c r="A402" s="295" t="s">
        <v>1274</v>
      </c>
      <c r="B402" s="296" t="s">
        <v>117</v>
      </c>
      <c r="C402" s="296" t="s">
        <v>42</v>
      </c>
      <c r="D402" s="295" t="s">
        <v>45</v>
      </c>
      <c r="E402" s="296" t="s">
        <v>405</v>
      </c>
      <c r="F402" s="296" t="s">
        <v>156</v>
      </c>
      <c r="G402" s="295" t="s">
        <v>215</v>
      </c>
      <c r="H402" s="295" t="s">
        <v>389</v>
      </c>
      <c r="I402" s="295" t="s">
        <v>294</v>
      </c>
      <c r="J402" s="304">
        <v>20200011405</v>
      </c>
      <c r="K402" s="309" t="s">
        <v>1275</v>
      </c>
      <c r="L402" s="306">
        <v>638122</v>
      </c>
      <c r="M402" s="295" t="s">
        <v>1276</v>
      </c>
      <c r="N402" s="306">
        <v>149.14</v>
      </c>
      <c r="O402" s="306" t="s">
        <v>156</v>
      </c>
      <c r="P402" s="307">
        <v>149.14</v>
      </c>
      <c r="Q402" s="307" t="s">
        <v>156</v>
      </c>
      <c r="R402" s="298" t="s">
        <v>156</v>
      </c>
      <c r="S402" s="563" t="s">
        <v>392</v>
      </c>
      <c r="T402" s="333" t="s">
        <v>1277</v>
      </c>
      <c r="U402" s="339">
        <v>585433.03</v>
      </c>
      <c r="V402" s="307">
        <f t="shared" si="33"/>
        <v>52688.97</v>
      </c>
      <c r="W402" s="307">
        <f t="shared" si="30"/>
        <v>638122</v>
      </c>
      <c r="X402" s="307">
        <f t="shared" si="32"/>
        <v>585433.03</v>
      </c>
      <c r="Y402" s="307">
        <f t="shared" si="31"/>
        <v>3925.39</v>
      </c>
      <c r="Z402" s="298"/>
    </row>
    <row r="403" s="282" customFormat="1" spans="1:26">
      <c r="A403" s="295" t="s">
        <v>1278</v>
      </c>
      <c r="B403" s="296" t="s">
        <v>117</v>
      </c>
      <c r="C403" s="296" t="s">
        <v>42</v>
      </c>
      <c r="D403" s="295" t="s">
        <v>48</v>
      </c>
      <c r="E403" s="296" t="s">
        <v>410</v>
      </c>
      <c r="F403" s="296" t="s">
        <v>156</v>
      </c>
      <c r="G403" s="295" t="s">
        <v>215</v>
      </c>
      <c r="H403" s="295" t="s">
        <v>389</v>
      </c>
      <c r="I403" s="295" t="s">
        <v>294</v>
      </c>
      <c r="J403" s="304">
        <v>20210000874</v>
      </c>
      <c r="K403" s="309" t="s">
        <v>411</v>
      </c>
      <c r="L403" s="306">
        <v>766666</v>
      </c>
      <c r="M403" s="295" t="s">
        <v>1279</v>
      </c>
      <c r="N403" s="306">
        <v>177.19</v>
      </c>
      <c r="O403" s="306" t="s">
        <v>156</v>
      </c>
      <c r="P403" s="307">
        <v>177.19</v>
      </c>
      <c r="Q403" s="307" t="s">
        <v>156</v>
      </c>
      <c r="R403" s="298" t="s">
        <v>156</v>
      </c>
      <c r="S403" s="563" t="s">
        <v>392</v>
      </c>
      <c r="T403" s="333" t="s">
        <v>1280</v>
      </c>
      <c r="U403" s="339">
        <v>703363.3</v>
      </c>
      <c r="V403" s="307">
        <f t="shared" si="33"/>
        <v>63302.7</v>
      </c>
      <c r="W403" s="307">
        <f t="shared" si="30"/>
        <v>766666</v>
      </c>
      <c r="X403" s="307">
        <f t="shared" si="32"/>
        <v>703363.3</v>
      </c>
      <c r="Y403" s="307">
        <f t="shared" si="31"/>
        <v>3969.54</v>
      </c>
      <c r="Z403" s="298"/>
    </row>
    <row r="404" s="282" customFormat="1" ht="23.8" spans="1:26">
      <c r="A404" s="295" t="s">
        <v>1281</v>
      </c>
      <c r="B404" s="296" t="s">
        <v>117</v>
      </c>
      <c r="C404" s="296" t="s">
        <v>42</v>
      </c>
      <c r="D404" s="295" t="s">
        <v>48</v>
      </c>
      <c r="E404" s="296" t="s">
        <v>415</v>
      </c>
      <c r="F404" s="296" t="s">
        <v>156</v>
      </c>
      <c r="G404" s="295" t="s">
        <v>215</v>
      </c>
      <c r="H404" s="295" t="s">
        <v>389</v>
      </c>
      <c r="I404" s="295" t="s">
        <v>294</v>
      </c>
      <c r="J404" s="304">
        <v>20200008436</v>
      </c>
      <c r="K404" s="309" t="s">
        <v>713</v>
      </c>
      <c r="L404" s="306">
        <v>645681</v>
      </c>
      <c r="M404" s="295" t="s">
        <v>1282</v>
      </c>
      <c r="N404" s="306">
        <v>149.14</v>
      </c>
      <c r="O404" s="306" t="s">
        <v>156</v>
      </c>
      <c r="P404" s="307">
        <v>149.14</v>
      </c>
      <c r="Q404" s="307" t="s">
        <v>156</v>
      </c>
      <c r="R404" s="298" t="s">
        <v>156</v>
      </c>
      <c r="S404" s="563" t="s">
        <v>392</v>
      </c>
      <c r="T404" s="333" t="s">
        <v>1283</v>
      </c>
      <c r="U404" s="339">
        <v>592367.89</v>
      </c>
      <c r="V404" s="307">
        <f t="shared" si="33"/>
        <v>53313.11</v>
      </c>
      <c r="W404" s="307">
        <f t="shared" si="30"/>
        <v>645681</v>
      </c>
      <c r="X404" s="307">
        <f t="shared" si="32"/>
        <v>592367.89</v>
      </c>
      <c r="Y404" s="307">
        <f t="shared" si="31"/>
        <v>3971.89</v>
      </c>
      <c r="Z404" s="298"/>
    </row>
    <row r="405" s="282" customFormat="1" ht="23.8" spans="1:26">
      <c r="A405" s="295" t="s">
        <v>1284</v>
      </c>
      <c r="B405" s="296" t="s">
        <v>117</v>
      </c>
      <c r="C405" s="296" t="s">
        <v>42</v>
      </c>
      <c r="D405" s="295" t="s">
        <v>92</v>
      </c>
      <c r="E405" s="296" t="s">
        <v>420</v>
      </c>
      <c r="F405" s="296" t="s">
        <v>156</v>
      </c>
      <c r="G405" s="295" t="s">
        <v>215</v>
      </c>
      <c r="H405" s="295" t="s">
        <v>389</v>
      </c>
      <c r="I405" s="295" t="s">
        <v>294</v>
      </c>
      <c r="J405" s="304">
        <v>20210001645</v>
      </c>
      <c r="K405" s="309" t="s">
        <v>469</v>
      </c>
      <c r="L405" s="306">
        <v>773000</v>
      </c>
      <c r="M405" s="295" t="s">
        <v>1285</v>
      </c>
      <c r="N405" s="306">
        <v>177.19</v>
      </c>
      <c r="O405" s="306" t="s">
        <v>156</v>
      </c>
      <c r="P405" s="307">
        <v>177.19</v>
      </c>
      <c r="Q405" s="307" t="s">
        <v>156</v>
      </c>
      <c r="R405" s="298" t="s">
        <v>156</v>
      </c>
      <c r="S405" s="563" t="s">
        <v>392</v>
      </c>
      <c r="T405" s="333" t="s">
        <v>1286</v>
      </c>
      <c r="U405" s="339">
        <v>709174.31</v>
      </c>
      <c r="V405" s="307">
        <f t="shared" si="33"/>
        <v>63825.69</v>
      </c>
      <c r="W405" s="307">
        <f t="shared" si="30"/>
        <v>773000</v>
      </c>
      <c r="X405" s="307">
        <f t="shared" si="32"/>
        <v>709174.31</v>
      </c>
      <c r="Y405" s="307">
        <f t="shared" si="31"/>
        <v>4002.34</v>
      </c>
      <c r="Z405" s="298"/>
    </row>
    <row r="406" s="282" customFormat="1" spans="1:26">
      <c r="A406" s="295" t="s">
        <v>1287</v>
      </c>
      <c r="B406" s="296" t="s">
        <v>117</v>
      </c>
      <c r="C406" s="296" t="s">
        <v>42</v>
      </c>
      <c r="D406" s="295" t="s">
        <v>92</v>
      </c>
      <c r="E406" s="296" t="s">
        <v>425</v>
      </c>
      <c r="F406" s="296" t="s">
        <v>156</v>
      </c>
      <c r="G406" s="295" t="s">
        <v>215</v>
      </c>
      <c r="H406" s="295" t="s">
        <v>389</v>
      </c>
      <c r="I406" s="295" t="s">
        <v>294</v>
      </c>
      <c r="J406" s="304">
        <v>20200009411</v>
      </c>
      <c r="K406" s="309" t="s">
        <v>824</v>
      </c>
      <c r="L406" s="306">
        <v>652941</v>
      </c>
      <c r="M406" s="295" t="s">
        <v>1288</v>
      </c>
      <c r="N406" s="306">
        <v>149.14</v>
      </c>
      <c r="O406" s="306" t="s">
        <v>156</v>
      </c>
      <c r="P406" s="307">
        <v>149.14</v>
      </c>
      <c r="Q406" s="307" t="s">
        <v>156</v>
      </c>
      <c r="R406" s="298" t="s">
        <v>156</v>
      </c>
      <c r="S406" s="563" t="s">
        <v>392</v>
      </c>
      <c r="T406" s="333" t="s">
        <v>1289</v>
      </c>
      <c r="U406" s="339">
        <v>599028.44</v>
      </c>
      <c r="V406" s="307">
        <f t="shared" si="33"/>
        <v>53912.56</v>
      </c>
      <c r="W406" s="307">
        <f t="shared" si="30"/>
        <v>652941</v>
      </c>
      <c r="X406" s="307">
        <f t="shared" si="32"/>
        <v>599028.44</v>
      </c>
      <c r="Y406" s="307">
        <f t="shared" si="31"/>
        <v>4016.55</v>
      </c>
      <c r="Z406" s="298"/>
    </row>
    <row r="407" s="282" customFormat="1" spans="1:26">
      <c r="A407" s="295" t="s">
        <v>1290</v>
      </c>
      <c r="B407" s="296" t="s">
        <v>117</v>
      </c>
      <c r="C407" s="296" t="s">
        <v>42</v>
      </c>
      <c r="D407" s="295" t="s">
        <v>95</v>
      </c>
      <c r="E407" s="296" t="s">
        <v>430</v>
      </c>
      <c r="F407" s="296" t="s">
        <v>156</v>
      </c>
      <c r="G407" s="295" t="s">
        <v>215</v>
      </c>
      <c r="H407" s="295" t="s">
        <v>389</v>
      </c>
      <c r="I407" s="295" t="s">
        <v>294</v>
      </c>
      <c r="J407" s="304">
        <v>20200009483</v>
      </c>
      <c r="K407" s="309" t="s">
        <v>1291</v>
      </c>
      <c r="L407" s="306">
        <v>773397</v>
      </c>
      <c r="M407" s="295" t="s">
        <v>1292</v>
      </c>
      <c r="N407" s="306">
        <v>177.19</v>
      </c>
      <c r="O407" s="306" t="s">
        <v>156</v>
      </c>
      <c r="P407" s="307">
        <v>177.19</v>
      </c>
      <c r="Q407" s="307" t="s">
        <v>156</v>
      </c>
      <c r="R407" s="298" t="s">
        <v>156</v>
      </c>
      <c r="S407" s="563" t="s">
        <v>392</v>
      </c>
      <c r="T407" s="333" t="s">
        <v>1293</v>
      </c>
      <c r="U407" s="339">
        <v>709538.53</v>
      </c>
      <c r="V407" s="307">
        <f t="shared" si="33"/>
        <v>63858.47</v>
      </c>
      <c r="W407" s="307">
        <f t="shared" si="30"/>
        <v>773397</v>
      </c>
      <c r="X407" s="307">
        <f t="shared" si="32"/>
        <v>709538.53</v>
      </c>
      <c r="Y407" s="307">
        <f t="shared" si="31"/>
        <v>4004.39</v>
      </c>
      <c r="Z407" s="298"/>
    </row>
    <row r="408" s="282" customFormat="1" spans="1:26">
      <c r="A408" s="295" t="s">
        <v>1294</v>
      </c>
      <c r="B408" s="296" t="s">
        <v>117</v>
      </c>
      <c r="C408" s="296" t="s">
        <v>42</v>
      </c>
      <c r="D408" s="295" t="s">
        <v>95</v>
      </c>
      <c r="E408" s="296" t="s">
        <v>435</v>
      </c>
      <c r="F408" s="296" t="s">
        <v>156</v>
      </c>
      <c r="G408" s="295" t="s">
        <v>215</v>
      </c>
      <c r="H408" s="295" t="s">
        <v>389</v>
      </c>
      <c r="I408" s="295" t="s">
        <v>294</v>
      </c>
      <c r="J408" s="304">
        <v>20210000487</v>
      </c>
      <c r="K408" s="309" t="s">
        <v>1295</v>
      </c>
      <c r="L408" s="306">
        <v>686044</v>
      </c>
      <c r="M408" s="295" t="s">
        <v>1296</v>
      </c>
      <c r="N408" s="306">
        <v>149.14</v>
      </c>
      <c r="O408" s="306" t="s">
        <v>156</v>
      </c>
      <c r="P408" s="307">
        <v>149.14</v>
      </c>
      <c r="Q408" s="307" t="s">
        <v>156</v>
      </c>
      <c r="R408" s="298" t="s">
        <v>156</v>
      </c>
      <c r="S408" s="563" t="s">
        <v>392</v>
      </c>
      <c r="T408" s="333" t="s">
        <v>1297</v>
      </c>
      <c r="U408" s="339">
        <v>629398.17</v>
      </c>
      <c r="V408" s="307">
        <f t="shared" si="33"/>
        <v>56645.84</v>
      </c>
      <c r="W408" s="307">
        <f t="shared" si="30"/>
        <v>686044.01</v>
      </c>
      <c r="X408" s="307">
        <f t="shared" si="32"/>
        <v>629398.17</v>
      </c>
      <c r="Y408" s="307">
        <f t="shared" si="31"/>
        <v>4220.18</v>
      </c>
      <c r="Z408" s="298"/>
    </row>
    <row r="409" s="282" customFormat="1" spans="1:26">
      <c r="A409" s="295" t="s">
        <v>1298</v>
      </c>
      <c r="B409" s="296" t="s">
        <v>117</v>
      </c>
      <c r="C409" s="296" t="s">
        <v>42</v>
      </c>
      <c r="D409" s="295" t="s">
        <v>99</v>
      </c>
      <c r="E409" s="296" t="s">
        <v>440</v>
      </c>
      <c r="F409" s="296" t="s">
        <v>156</v>
      </c>
      <c r="G409" s="295" t="s">
        <v>215</v>
      </c>
      <c r="H409" s="295" t="s">
        <v>389</v>
      </c>
      <c r="I409" s="295" t="s">
        <v>294</v>
      </c>
      <c r="J409" s="304">
        <v>20200008216</v>
      </c>
      <c r="K409" s="309" t="s">
        <v>480</v>
      </c>
      <c r="L409" s="306">
        <v>784491</v>
      </c>
      <c r="M409" s="295" t="s">
        <v>1299</v>
      </c>
      <c r="N409" s="306">
        <v>177.19</v>
      </c>
      <c r="O409" s="306" t="s">
        <v>156</v>
      </c>
      <c r="P409" s="307">
        <v>177.19</v>
      </c>
      <c r="Q409" s="307" t="s">
        <v>156</v>
      </c>
      <c r="R409" s="298" t="s">
        <v>156</v>
      </c>
      <c r="S409" s="563" t="s">
        <v>392</v>
      </c>
      <c r="T409" s="333" t="s">
        <v>1300</v>
      </c>
      <c r="U409" s="339">
        <v>719716.51</v>
      </c>
      <c r="V409" s="307">
        <f t="shared" si="33"/>
        <v>64774.49</v>
      </c>
      <c r="W409" s="307">
        <f t="shared" si="30"/>
        <v>784491</v>
      </c>
      <c r="X409" s="307">
        <f t="shared" si="32"/>
        <v>719716.51</v>
      </c>
      <c r="Y409" s="307">
        <f t="shared" si="31"/>
        <v>4061.83</v>
      </c>
      <c r="Z409" s="298"/>
    </row>
    <row r="410" s="282" customFormat="1" spans="1:26">
      <c r="A410" s="295" t="s">
        <v>1301</v>
      </c>
      <c r="B410" s="296" t="s">
        <v>117</v>
      </c>
      <c r="C410" s="296" t="s">
        <v>42</v>
      </c>
      <c r="D410" s="295" t="s">
        <v>99</v>
      </c>
      <c r="E410" s="296" t="s">
        <v>444</v>
      </c>
      <c r="F410" s="296" t="s">
        <v>156</v>
      </c>
      <c r="G410" s="295" t="s">
        <v>215</v>
      </c>
      <c r="H410" s="295" t="s">
        <v>389</v>
      </c>
      <c r="I410" s="295" t="s">
        <v>294</v>
      </c>
      <c r="J410" s="304">
        <v>20200009430</v>
      </c>
      <c r="K410" s="309" t="s">
        <v>824</v>
      </c>
      <c r="L410" s="306">
        <v>667014</v>
      </c>
      <c r="M410" s="295" t="s">
        <v>1302</v>
      </c>
      <c r="N410" s="306">
        <v>149.14</v>
      </c>
      <c r="O410" s="306" t="s">
        <v>156</v>
      </c>
      <c r="P410" s="307">
        <v>149.14</v>
      </c>
      <c r="Q410" s="307" t="s">
        <v>156</v>
      </c>
      <c r="R410" s="298" t="s">
        <v>156</v>
      </c>
      <c r="S410" s="563" t="s">
        <v>392</v>
      </c>
      <c r="T410" s="333" t="s">
        <v>1303</v>
      </c>
      <c r="U410" s="339">
        <v>611939.45</v>
      </c>
      <c r="V410" s="307">
        <f t="shared" si="33"/>
        <v>55074.55</v>
      </c>
      <c r="W410" s="307">
        <f t="shared" si="30"/>
        <v>667014</v>
      </c>
      <c r="X410" s="307">
        <f t="shared" si="32"/>
        <v>611939.45</v>
      </c>
      <c r="Y410" s="307">
        <f t="shared" si="31"/>
        <v>4103.12</v>
      </c>
      <c r="Z410" s="298"/>
    </row>
    <row r="411" s="282" customFormat="1" spans="1:26">
      <c r="A411" s="295" t="s">
        <v>1304</v>
      </c>
      <c r="B411" s="296" t="s">
        <v>117</v>
      </c>
      <c r="C411" s="296" t="s">
        <v>42</v>
      </c>
      <c r="D411" s="295" t="s">
        <v>102</v>
      </c>
      <c r="E411" s="296" t="s">
        <v>448</v>
      </c>
      <c r="F411" s="296" t="s">
        <v>156</v>
      </c>
      <c r="G411" s="295" t="s">
        <v>215</v>
      </c>
      <c r="H411" s="295" t="s">
        <v>389</v>
      </c>
      <c r="I411" s="295" t="s">
        <v>294</v>
      </c>
      <c r="J411" s="304">
        <v>20210004893</v>
      </c>
      <c r="K411" s="309" t="s">
        <v>844</v>
      </c>
      <c r="L411" s="306">
        <v>1233990</v>
      </c>
      <c r="M411" s="295" t="s">
        <v>1305</v>
      </c>
      <c r="N411" s="306">
        <v>274.22</v>
      </c>
      <c r="O411" s="306" t="s">
        <v>156</v>
      </c>
      <c r="P411" s="307">
        <v>274.22</v>
      </c>
      <c r="Q411" s="307" t="s">
        <v>156</v>
      </c>
      <c r="R411" s="298" t="s">
        <v>156</v>
      </c>
      <c r="S411" s="563" t="s">
        <v>392</v>
      </c>
      <c r="T411" s="333" t="s">
        <v>1306</v>
      </c>
      <c r="U411" s="339">
        <f>566050.46*2</f>
        <v>1132100.92</v>
      </c>
      <c r="V411" s="307">
        <f t="shared" si="33"/>
        <v>101889.08</v>
      </c>
      <c r="W411" s="307">
        <f t="shared" si="30"/>
        <v>1233990</v>
      </c>
      <c r="X411" s="307">
        <f t="shared" si="32"/>
        <v>1132100.92</v>
      </c>
      <c r="Y411" s="307">
        <f t="shared" si="31"/>
        <v>4128.44</v>
      </c>
      <c r="Z411" s="298"/>
    </row>
    <row r="412" s="282" customFormat="1" spans="1:26">
      <c r="A412" s="295" t="s">
        <v>1307</v>
      </c>
      <c r="B412" s="296" t="s">
        <v>117</v>
      </c>
      <c r="C412" s="296" t="s">
        <v>42</v>
      </c>
      <c r="D412" s="295" t="s">
        <v>102</v>
      </c>
      <c r="E412" s="296" t="s">
        <v>452</v>
      </c>
      <c r="F412" s="296" t="s">
        <v>156</v>
      </c>
      <c r="G412" s="295" t="s">
        <v>215</v>
      </c>
      <c r="H412" s="295" t="s">
        <v>389</v>
      </c>
      <c r="I412" s="295" t="s">
        <v>294</v>
      </c>
      <c r="J412" s="304">
        <v>20210007914</v>
      </c>
      <c r="K412" s="309" t="s">
        <v>1308</v>
      </c>
      <c r="L412" s="306">
        <v>1105000</v>
      </c>
      <c r="M412" s="295" t="s">
        <v>1309</v>
      </c>
      <c r="N412" s="306">
        <v>239.39</v>
      </c>
      <c r="O412" s="306" t="s">
        <v>156</v>
      </c>
      <c r="P412" s="307">
        <v>239.39</v>
      </c>
      <c r="Q412" s="307" t="s">
        <v>156</v>
      </c>
      <c r="R412" s="298" t="s">
        <v>156</v>
      </c>
      <c r="S412" s="563" t="s">
        <v>392</v>
      </c>
      <c r="T412" s="333" t="s">
        <v>1310</v>
      </c>
      <c r="U412" s="339">
        <f>506880.73*2</f>
        <v>1013761.46</v>
      </c>
      <c r="V412" s="307">
        <f t="shared" si="33"/>
        <v>91238.53</v>
      </c>
      <c r="W412" s="307">
        <f t="shared" si="30"/>
        <v>1104999.99</v>
      </c>
      <c r="X412" s="307">
        <f t="shared" si="32"/>
        <v>1013761.46</v>
      </c>
      <c r="Y412" s="307">
        <f t="shared" si="31"/>
        <v>4234.77</v>
      </c>
      <c r="Z412" s="298"/>
    </row>
    <row r="413" s="282" customFormat="1" ht="23.8" spans="1:26">
      <c r="A413" s="295" t="s">
        <v>1311</v>
      </c>
      <c r="B413" s="296" t="s">
        <v>117</v>
      </c>
      <c r="C413" s="296" t="s">
        <v>45</v>
      </c>
      <c r="D413" s="295" t="s">
        <v>42</v>
      </c>
      <c r="E413" s="296" t="s">
        <v>388</v>
      </c>
      <c r="F413" s="296" t="s">
        <v>156</v>
      </c>
      <c r="G413" s="295" t="s">
        <v>215</v>
      </c>
      <c r="H413" s="295" t="s">
        <v>389</v>
      </c>
      <c r="I413" s="295" t="s">
        <v>294</v>
      </c>
      <c r="J413" s="304">
        <v>20230001372</v>
      </c>
      <c r="K413" s="309" t="s">
        <v>1312</v>
      </c>
      <c r="L413" s="306">
        <v>1080000</v>
      </c>
      <c r="M413" s="295" t="s">
        <v>1313</v>
      </c>
      <c r="N413" s="306">
        <v>149.04</v>
      </c>
      <c r="O413" s="306" t="s">
        <v>156</v>
      </c>
      <c r="P413" s="307">
        <v>149.04</v>
      </c>
      <c r="Q413" s="307" t="s">
        <v>156</v>
      </c>
      <c r="R413" s="298" t="s">
        <v>156</v>
      </c>
      <c r="S413" s="563" t="s">
        <v>392</v>
      </c>
      <c r="T413" s="333" t="s">
        <v>1314</v>
      </c>
      <c r="U413" s="340">
        <v>990825.69</v>
      </c>
      <c r="V413" s="307">
        <f t="shared" si="33"/>
        <v>89174.31</v>
      </c>
      <c r="W413" s="307">
        <f t="shared" si="30"/>
        <v>1080000</v>
      </c>
      <c r="X413" s="307">
        <f t="shared" si="32"/>
        <v>990825.69</v>
      </c>
      <c r="Y413" s="307">
        <f t="shared" si="31"/>
        <v>6648.05</v>
      </c>
      <c r="Z413" s="298"/>
    </row>
    <row r="414" s="282" customFormat="1" spans="1:26">
      <c r="A414" s="295" t="s">
        <v>1315</v>
      </c>
      <c r="B414" s="296" t="s">
        <v>117</v>
      </c>
      <c r="C414" s="296" t="s">
        <v>45</v>
      </c>
      <c r="D414" s="295" t="s">
        <v>42</v>
      </c>
      <c r="E414" s="296" t="s">
        <v>395</v>
      </c>
      <c r="F414" s="296" t="s">
        <v>156</v>
      </c>
      <c r="G414" s="295" t="s">
        <v>215</v>
      </c>
      <c r="H414" s="295" t="s">
        <v>389</v>
      </c>
      <c r="I414" s="295" t="s">
        <v>294</v>
      </c>
      <c r="J414" s="304">
        <v>20210009231</v>
      </c>
      <c r="K414" s="309" t="s">
        <v>1316</v>
      </c>
      <c r="L414" s="306">
        <v>1308725</v>
      </c>
      <c r="M414" s="295" t="s">
        <v>1317</v>
      </c>
      <c r="N414" s="306">
        <v>177.19</v>
      </c>
      <c r="O414" s="306" t="s">
        <v>156</v>
      </c>
      <c r="P414" s="307">
        <v>177.19</v>
      </c>
      <c r="Q414" s="307" t="s">
        <v>156</v>
      </c>
      <c r="R414" s="298" t="s">
        <v>156</v>
      </c>
      <c r="S414" s="563" t="s">
        <v>392</v>
      </c>
      <c r="T414" s="333" t="s">
        <v>1318</v>
      </c>
      <c r="U414" s="339">
        <f>600332.57*2</f>
        <v>1200665.14</v>
      </c>
      <c r="V414" s="307">
        <f t="shared" si="33"/>
        <v>108059.86</v>
      </c>
      <c r="W414" s="307">
        <f t="shared" si="30"/>
        <v>1308725</v>
      </c>
      <c r="X414" s="307">
        <f t="shared" si="32"/>
        <v>1200665.14</v>
      </c>
      <c r="Y414" s="307">
        <f t="shared" si="31"/>
        <v>6776.15</v>
      </c>
      <c r="Z414" s="298"/>
    </row>
    <row r="415" s="282" customFormat="1" spans="1:26">
      <c r="A415" s="295" t="s">
        <v>388</v>
      </c>
      <c r="B415" s="296" t="s">
        <v>117</v>
      </c>
      <c r="C415" s="296" t="s">
        <v>45</v>
      </c>
      <c r="D415" s="295" t="s">
        <v>45</v>
      </c>
      <c r="E415" s="296" t="s">
        <v>400</v>
      </c>
      <c r="F415" s="296" t="s">
        <v>156</v>
      </c>
      <c r="G415" s="295" t="s">
        <v>215</v>
      </c>
      <c r="H415" s="295" t="s">
        <v>389</v>
      </c>
      <c r="I415" s="295" t="s">
        <v>294</v>
      </c>
      <c r="J415" s="304">
        <v>20210001475</v>
      </c>
      <c r="K415" s="309" t="s">
        <v>1319</v>
      </c>
      <c r="L415" s="306">
        <v>636000</v>
      </c>
      <c r="M415" s="295" t="s">
        <v>1320</v>
      </c>
      <c r="N415" s="306">
        <v>149.14</v>
      </c>
      <c r="O415" s="306" t="s">
        <v>156</v>
      </c>
      <c r="P415" s="307">
        <v>149.14</v>
      </c>
      <c r="Q415" s="307" t="s">
        <v>156</v>
      </c>
      <c r="R415" s="298" t="s">
        <v>156</v>
      </c>
      <c r="S415" s="563" t="s">
        <v>392</v>
      </c>
      <c r="T415" s="333" t="s">
        <v>1321</v>
      </c>
      <c r="U415" s="339">
        <v>583486.24</v>
      </c>
      <c r="V415" s="307">
        <f t="shared" si="33"/>
        <v>52513.76</v>
      </c>
      <c r="W415" s="307">
        <f t="shared" si="30"/>
        <v>636000</v>
      </c>
      <c r="X415" s="307">
        <f t="shared" si="32"/>
        <v>583486.24</v>
      </c>
      <c r="Y415" s="307">
        <f t="shared" si="31"/>
        <v>3912.34</v>
      </c>
      <c r="Z415" s="298"/>
    </row>
    <row r="416" s="282" customFormat="1" spans="1:26">
      <c r="A416" s="295" t="s">
        <v>395</v>
      </c>
      <c r="B416" s="296" t="s">
        <v>117</v>
      </c>
      <c r="C416" s="296" t="s">
        <v>45</v>
      </c>
      <c r="D416" s="295" t="s">
        <v>45</v>
      </c>
      <c r="E416" s="296" t="s">
        <v>405</v>
      </c>
      <c r="F416" s="296" t="s">
        <v>156</v>
      </c>
      <c r="G416" s="295" t="s">
        <v>215</v>
      </c>
      <c r="H416" s="295" t="s">
        <v>389</v>
      </c>
      <c r="I416" s="295" t="s">
        <v>294</v>
      </c>
      <c r="J416" s="304">
        <v>20230003317</v>
      </c>
      <c r="K416" s="309" t="s">
        <v>1322</v>
      </c>
      <c r="L416" s="306">
        <v>890000</v>
      </c>
      <c r="M416" s="295" t="s">
        <v>1323</v>
      </c>
      <c r="N416" s="306">
        <v>177.19</v>
      </c>
      <c r="O416" s="306" t="s">
        <v>156</v>
      </c>
      <c r="P416" s="307">
        <v>177.19</v>
      </c>
      <c r="Q416" s="307" t="s">
        <v>156</v>
      </c>
      <c r="R416" s="298" t="s">
        <v>156</v>
      </c>
      <c r="S416" s="563" t="s">
        <v>392</v>
      </c>
      <c r="T416" s="333" t="s">
        <v>1324</v>
      </c>
      <c r="U416" s="340">
        <v>816513.76</v>
      </c>
      <c r="V416" s="307">
        <f t="shared" si="33"/>
        <v>73486.24</v>
      </c>
      <c r="W416" s="307">
        <f t="shared" si="30"/>
        <v>890000</v>
      </c>
      <c r="X416" s="307">
        <f t="shared" si="32"/>
        <v>816513.76</v>
      </c>
      <c r="Y416" s="307">
        <f t="shared" si="31"/>
        <v>4608.13</v>
      </c>
      <c r="Z416" s="298"/>
    </row>
    <row r="417" s="282" customFormat="1" spans="1:26">
      <c r="A417" s="295" t="s">
        <v>1325</v>
      </c>
      <c r="B417" s="296" t="s">
        <v>117</v>
      </c>
      <c r="C417" s="296" t="s">
        <v>45</v>
      </c>
      <c r="D417" s="295" t="s">
        <v>48</v>
      </c>
      <c r="E417" s="296" t="s">
        <v>410</v>
      </c>
      <c r="F417" s="296" t="s">
        <v>156</v>
      </c>
      <c r="G417" s="295" t="s">
        <v>215</v>
      </c>
      <c r="H417" s="295" t="s">
        <v>389</v>
      </c>
      <c r="I417" s="295" t="s">
        <v>294</v>
      </c>
      <c r="J417" s="304">
        <v>20200009729</v>
      </c>
      <c r="K417" s="309" t="s">
        <v>1326</v>
      </c>
      <c r="L417" s="306">
        <v>645681</v>
      </c>
      <c r="M417" s="295" t="s">
        <v>1327</v>
      </c>
      <c r="N417" s="306">
        <v>149.14</v>
      </c>
      <c r="O417" s="306" t="s">
        <v>156</v>
      </c>
      <c r="P417" s="307">
        <v>149.14</v>
      </c>
      <c r="Q417" s="307" t="s">
        <v>156</v>
      </c>
      <c r="R417" s="298" t="s">
        <v>156</v>
      </c>
      <c r="S417" s="563" t="s">
        <v>392</v>
      </c>
      <c r="T417" s="333" t="s">
        <v>1328</v>
      </c>
      <c r="U417" s="339">
        <v>592367.89</v>
      </c>
      <c r="V417" s="307">
        <f t="shared" si="33"/>
        <v>53313.11</v>
      </c>
      <c r="W417" s="307">
        <f t="shared" si="30"/>
        <v>645681</v>
      </c>
      <c r="X417" s="307">
        <f t="shared" si="32"/>
        <v>592367.89</v>
      </c>
      <c r="Y417" s="307">
        <f t="shared" si="31"/>
        <v>3971.89</v>
      </c>
      <c r="Z417" s="298"/>
    </row>
    <row r="418" s="282" customFormat="1" ht="23.8" spans="1:26">
      <c r="A418" s="295" t="s">
        <v>1329</v>
      </c>
      <c r="B418" s="296" t="s">
        <v>117</v>
      </c>
      <c r="C418" s="296" t="s">
        <v>45</v>
      </c>
      <c r="D418" s="295" t="s">
        <v>48</v>
      </c>
      <c r="E418" s="296" t="s">
        <v>415</v>
      </c>
      <c r="F418" s="296" t="s">
        <v>156</v>
      </c>
      <c r="G418" s="295" t="s">
        <v>215</v>
      </c>
      <c r="H418" s="295" t="s">
        <v>389</v>
      </c>
      <c r="I418" s="295" t="s">
        <v>294</v>
      </c>
      <c r="J418" s="304">
        <v>20200012245</v>
      </c>
      <c r="K418" s="309" t="s">
        <v>1330</v>
      </c>
      <c r="L418" s="306">
        <v>758260</v>
      </c>
      <c r="M418" s="295" t="s">
        <v>1331</v>
      </c>
      <c r="N418" s="306">
        <v>177.19</v>
      </c>
      <c r="O418" s="306" t="s">
        <v>156</v>
      </c>
      <c r="P418" s="307">
        <v>177.19</v>
      </c>
      <c r="Q418" s="307" t="s">
        <v>156</v>
      </c>
      <c r="R418" s="298" t="s">
        <v>156</v>
      </c>
      <c r="S418" s="563" t="s">
        <v>392</v>
      </c>
      <c r="T418" s="333" t="s">
        <v>1332</v>
      </c>
      <c r="U418" s="339">
        <v>695651.38</v>
      </c>
      <c r="V418" s="307">
        <f t="shared" si="33"/>
        <v>62608.62</v>
      </c>
      <c r="W418" s="307">
        <f t="shared" si="30"/>
        <v>758260</v>
      </c>
      <c r="X418" s="307">
        <f t="shared" si="32"/>
        <v>695651.38</v>
      </c>
      <c r="Y418" s="307">
        <f t="shared" si="31"/>
        <v>3926.02</v>
      </c>
      <c r="Z418" s="298"/>
    </row>
    <row r="419" s="282" customFormat="1" ht="23.8" spans="1:26">
      <c r="A419" s="295" t="s">
        <v>1333</v>
      </c>
      <c r="B419" s="296" t="s">
        <v>117</v>
      </c>
      <c r="C419" s="296" t="s">
        <v>45</v>
      </c>
      <c r="D419" s="295" t="s">
        <v>92</v>
      </c>
      <c r="E419" s="296" t="s">
        <v>420</v>
      </c>
      <c r="F419" s="296" t="s">
        <v>156</v>
      </c>
      <c r="G419" s="295" t="s">
        <v>215</v>
      </c>
      <c r="H419" s="295" t="s">
        <v>389</v>
      </c>
      <c r="I419" s="295" t="s">
        <v>294</v>
      </c>
      <c r="J419" s="304">
        <v>20210002768</v>
      </c>
      <c r="K419" s="309" t="s">
        <v>1334</v>
      </c>
      <c r="L419" s="306">
        <v>652941</v>
      </c>
      <c r="M419" s="295" t="s">
        <v>1335</v>
      </c>
      <c r="N419" s="306">
        <v>149.14</v>
      </c>
      <c r="O419" s="306" t="s">
        <v>156</v>
      </c>
      <c r="P419" s="307">
        <v>149.14</v>
      </c>
      <c r="Q419" s="307" t="s">
        <v>156</v>
      </c>
      <c r="R419" s="298" t="s">
        <v>156</v>
      </c>
      <c r="S419" s="563" t="s">
        <v>392</v>
      </c>
      <c r="T419" s="333" t="s">
        <v>1336</v>
      </c>
      <c r="U419" s="339">
        <v>599028.44</v>
      </c>
      <c r="V419" s="307">
        <f t="shared" si="33"/>
        <v>53912.56</v>
      </c>
      <c r="W419" s="307">
        <f t="shared" si="30"/>
        <v>652941</v>
      </c>
      <c r="X419" s="307">
        <f t="shared" si="32"/>
        <v>599028.44</v>
      </c>
      <c r="Y419" s="307">
        <f t="shared" si="31"/>
        <v>4016.55</v>
      </c>
      <c r="Z419" s="298"/>
    </row>
    <row r="420" s="282" customFormat="1" spans="1:26">
      <c r="A420" s="295" t="s">
        <v>1337</v>
      </c>
      <c r="B420" s="296" t="s">
        <v>117</v>
      </c>
      <c r="C420" s="296" t="s">
        <v>45</v>
      </c>
      <c r="D420" s="295" t="s">
        <v>92</v>
      </c>
      <c r="E420" s="296" t="s">
        <v>425</v>
      </c>
      <c r="F420" s="296" t="s">
        <v>156</v>
      </c>
      <c r="G420" s="295" t="s">
        <v>215</v>
      </c>
      <c r="H420" s="295" t="s">
        <v>389</v>
      </c>
      <c r="I420" s="295" t="s">
        <v>294</v>
      </c>
      <c r="J420" s="304">
        <v>20210002417</v>
      </c>
      <c r="K420" s="309" t="s">
        <v>1338</v>
      </c>
      <c r="L420" s="306">
        <v>772949</v>
      </c>
      <c r="M420" s="295" t="s">
        <v>1339</v>
      </c>
      <c r="N420" s="306">
        <v>177.19</v>
      </c>
      <c r="O420" s="306" t="s">
        <v>156</v>
      </c>
      <c r="P420" s="307">
        <v>177.19</v>
      </c>
      <c r="Q420" s="307" t="s">
        <v>156</v>
      </c>
      <c r="R420" s="298" t="s">
        <v>156</v>
      </c>
      <c r="S420" s="563" t="s">
        <v>392</v>
      </c>
      <c r="T420" s="333" t="s">
        <v>1340</v>
      </c>
      <c r="U420" s="339">
        <v>709127.52</v>
      </c>
      <c r="V420" s="307">
        <f t="shared" si="33"/>
        <v>63821.48</v>
      </c>
      <c r="W420" s="307">
        <f t="shared" si="30"/>
        <v>772949</v>
      </c>
      <c r="X420" s="307">
        <f t="shared" si="32"/>
        <v>709127.52</v>
      </c>
      <c r="Y420" s="307">
        <f t="shared" si="31"/>
        <v>4002.07</v>
      </c>
      <c r="Z420" s="298"/>
    </row>
    <row r="421" s="282" customFormat="1" ht="23.8" spans="1:26">
      <c r="A421" s="295" t="s">
        <v>1341</v>
      </c>
      <c r="B421" s="296" t="s">
        <v>117</v>
      </c>
      <c r="C421" s="296" t="s">
        <v>45</v>
      </c>
      <c r="D421" s="295" t="s">
        <v>95</v>
      </c>
      <c r="E421" s="296" t="s">
        <v>430</v>
      </c>
      <c r="F421" s="296" t="s">
        <v>156</v>
      </c>
      <c r="G421" s="295" t="s">
        <v>215</v>
      </c>
      <c r="H421" s="295" t="s">
        <v>389</v>
      </c>
      <c r="I421" s="295" t="s">
        <v>294</v>
      </c>
      <c r="J421" s="304">
        <v>20200009788</v>
      </c>
      <c r="K421" s="309" t="s">
        <v>1135</v>
      </c>
      <c r="L421" s="306">
        <v>688994</v>
      </c>
      <c r="M421" s="295" t="s">
        <v>1342</v>
      </c>
      <c r="N421" s="306">
        <v>149.14</v>
      </c>
      <c r="O421" s="306" t="s">
        <v>156</v>
      </c>
      <c r="P421" s="307">
        <v>149.14</v>
      </c>
      <c r="Q421" s="307" t="s">
        <v>156</v>
      </c>
      <c r="R421" s="298" t="s">
        <v>156</v>
      </c>
      <c r="S421" s="563" t="s">
        <v>392</v>
      </c>
      <c r="T421" s="333" t="s">
        <v>1343</v>
      </c>
      <c r="U421" s="339">
        <v>632104.59</v>
      </c>
      <c r="V421" s="307">
        <f t="shared" si="33"/>
        <v>56889.41</v>
      </c>
      <c r="W421" s="307">
        <f t="shared" si="30"/>
        <v>688994</v>
      </c>
      <c r="X421" s="307">
        <f t="shared" si="32"/>
        <v>632104.59</v>
      </c>
      <c r="Y421" s="307">
        <f t="shared" si="31"/>
        <v>4238.33</v>
      </c>
      <c r="Z421" s="298"/>
    </row>
    <row r="422" s="282" customFormat="1" spans="1:26">
      <c r="A422" s="295" t="s">
        <v>1344</v>
      </c>
      <c r="B422" s="296" t="s">
        <v>117</v>
      </c>
      <c r="C422" s="296" t="s">
        <v>45</v>
      </c>
      <c r="D422" s="295" t="s">
        <v>95</v>
      </c>
      <c r="E422" s="296" t="s">
        <v>435</v>
      </c>
      <c r="F422" s="296" t="s">
        <v>156</v>
      </c>
      <c r="G422" s="295" t="s">
        <v>215</v>
      </c>
      <c r="H422" s="295" t="s">
        <v>389</v>
      </c>
      <c r="I422" s="295" t="s">
        <v>294</v>
      </c>
      <c r="J422" s="304">
        <v>20220000585</v>
      </c>
      <c r="K422" s="309" t="s">
        <v>1345</v>
      </c>
      <c r="L422" s="306">
        <v>776574</v>
      </c>
      <c r="M422" s="295" t="s">
        <v>1346</v>
      </c>
      <c r="N422" s="306">
        <v>177.19</v>
      </c>
      <c r="O422" s="306" t="s">
        <v>156</v>
      </c>
      <c r="P422" s="307">
        <v>177.19</v>
      </c>
      <c r="Q422" s="307" t="s">
        <v>156</v>
      </c>
      <c r="R422" s="298" t="s">
        <v>156</v>
      </c>
      <c r="S422" s="563" t="s">
        <v>392</v>
      </c>
      <c r="T422" s="333" t="s">
        <v>1347</v>
      </c>
      <c r="U422" s="339">
        <v>712453.21</v>
      </c>
      <c r="V422" s="307">
        <f t="shared" si="33"/>
        <v>64120.79</v>
      </c>
      <c r="W422" s="307">
        <f t="shared" si="30"/>
        <v>776574</v>
      </c>
      <c r="X422" s="307">
        <f t="shared" si="32"/>
        <v>712453.21</v>
      </c>
      <c r="Y422" s="307">
        <f t="shared" si="31"/>
        <v>4020.84</v>
      </c>
      <c r="Z422" s="298"/>
    </row>
    <row r="423" s="282" customFormat="1" spans="1:26">
      <c r="A423" s="295" t="s">
        <v>1348</v>
      </c>
      <c r="B423" s="296" t="s">
        <v>117</v>
      </c>
      <c r="C423" s="296" t="s">
        <v>45</v>
      </c>
      <c r="D423" s="295" t="s">
        <v>99</v>
      </c>
      <c r="E423" s="296" t="s">
        <v>440</v>
      </c>
      <c r="F423" s="296" t="s">
        <v>156</v>
      </c>
      <c r="G423" s="295" t="s">
        <v>215</v>
      </c>
      <c r="H423" s="295" t="s">
        <v>389</v>
      </c>
      <c r="I423" s="295" t="s">
        <v>294</v>
      </c>
      <c r="J423" s="304">
        <v>20200011870</v>
      </c>
      <c r="K423" s="309" t="s">
        <v>1349</v>
      </c>
      <c r="L423" s="306">
        <v>663514</v>
      </c>
      <c r="M423" s="295" t="s">
        <v>1350</v>
      </c>
      <c r="N423" s="306">
        <v>149.14</v>
      </c>
      <c r="O423" s="306" t="s">
        <v>156</v>
      </c>
      <c r="P423" s="307">
        <v>149.14</v>
      </c>
      <c r="Q423" s="307" t="s">
        <v>156</v>
      </c>
      <c r="R423" s="298" t="s">
        <v>156</v>
      </c>
      <c r="S423" s="563" t="s">
        <v>392</v>
      </c>
      <c r="T423" s="333" t="s">
        <v>1351</v>
      </c>
      <c r="U423" s="339">
        <v>608728.44</v>
      </c>
      <c r="V423" s="307">
        <f t="shared" si="33"/>
        <v>54785.56</v>
      </c>
      <c r="W423" s="307">
        <f t="shared" si="30"/>
        <v>663514</v>
      </c>
      <c r="X423" s="307">
        <f t="shared" si="32"/>
        <v>608728.44</v>
      </c>
      <c r="Y423" s="307">
        <f t="shared" si="31"/>
        <v>4081.59</v>
      </c>
      <c r="Z423" s="298"/>
    </row>
    <row r="424" s="282" customFormat="1" ht="23.8" spans="1:26">
      <c r="A424" s="295" t="s">
        <v>800</v>
      </c>
      <c r="B424" s="296" t="s">
        <v>117</v>
      </c>
      <c r="C424" s="296" t="s">
        <v>45</v>
      </c>
      <c r="D424" s="295" t="s">
        <v>99</v>
      </c>
      <c r="E424" s="296" t="s">
        <v>444</v>
      </c>
      <c r="F424" s="296" t="s">
        <v>156</v>
      </c>
      <c r="G424" s="295" t="s">
        <v>215</v>
      </c>
      <c r="H424" s="295" t="s">
        <v>389</v>
      </c>
      <c r="I424" s="295" t="s">
        <v>294</v>
      </c>
      <c r="J424" s="304">
        <v>20210000187</v>
      </c>
      <c r="K424" s="309" t="s">
        <v>854</v>
      </c>
      <c r="L424" s="306">
        <v>784668</v>
      </c>
      <c r="M424" s="295" t="s">
        <v>1352</v>
      </c>
      <c r="N424" s="306">
        <v>177.19</v>
      </c>
      <c r="O424" s="306" t="s">
        <v>156</v>
      </c>
      <c r="P424" s="307">
        <v>177.19</v>
      </c>
      <c r="Q424" s="307" t="s">
        <v>156</v>
      </c>
      <c r="R424" s="298" t="s">
        <v>156</v>
      </c>
      <c r="S424" s="563" t="s">
        <v>392</v>
      </c>
      <c r="T424" s="333" t="s">
        <v>1353</v>
      </c>
      <c r="U424" s="339">
        <v>719878.9</v>
      </c>
      <c r="V424" s="307">
        <f t="shared" si="33"/>
        <v>64789.1</v>
      </c>
      <c r="W424" s="307">
        <f t="shared" si="30"/>
        <v>784668</v>
      </c>
      <c r="X424" s="307">
        <f t="shared" si="32"/>
        <v>719878.9</v>
      </c>
      <c r="Y424" s="307">
        <f t="shared" si="31"/>
        <v>4062.75</v>
      </c>
      <c r="Z424" s="298"/>
    </row>
    <row r="425" s="282" customFormat="1" spans="1:26">
      <c r="A425" s="295" t="s">
        <v>1354</v>
      </c>
      <c r="B425" s="296" t="s">
        <v>117</v>
      </c>
      <c r="C425" s="296" t="s">
        <v>45</v>
      </c>
      <c r="D425" s="295" t="s">
        <v>102</v>
      </c>
      <c r="E425" s="296" t="s">
        <v>448</v>
      </c>
      <c r="F425" s="296" t="s">
        <v>156</v>
      </c>
      <c r="G425" s="295" t="s">
        <v>215</v>
      </c>
      <c r="H425" s="295" t="s">
        <v>389</v>
      </c>
      <c r="I425" s="295" t="s">
        <v>294</v>
      </c>
      <c r="J425" s="304">
        <v>2210004042</v>
      </c>
      <c r="K425" s="309" t="s">
        <v>1355</v>
      </c>
      <c r="L425" s="306">
        <v>1077255</v>
      </c>
      <c r="M425" s="295" t="s">
        <v>1356</v>
      </c>
      <c r="N425" s="306">
        <v>239.39</v>
      </c>
      <c r="O425" s="306" t="s">
        <v>156</v>
      </c>
      <c r="P425" s="307">
        <v>239.39</v>
      </c>
      <c r="Q425" s="307" t="s">
        <v>156</v>
      </c>
      <c r="R425" s="298" t="s">
        <v>156</v>
      </c>
      <c r="S425" s="563" t="s">
        <v>392</v>
      </c>
      <c r="T425" s="333" t="s">
        <v>1357</v>
      </c>
      <c r="U425" s="339">
        <v>988307.34</v>
      </c>
      <c r="V425" s="307">
        <f t="shared" si="33"/>
        <v>88947.66</v>
      </c>
      <c r="W425" s="307">
        <f t="shared" si="30"/>
        <v>1077255</v>
      </c>
      <c r="X425" s="307">
        <f t="shared" si="32"/>
        <v>988307.34</v>
      </c>
      <c r="Y425" s="307">
        <f t="shared" si="31"/>
        <v>4128.44</v>
      </c>
      <c r="Z425" s="298"/>
    </row>
    <row r="426" s="282" customFormat="1" spans="1:26">
      <c r="A426" s="295" t="s">
        <v>1358</v>
      </c>
      <c r="B426" s="296" t="s">
        <v>117</v>
      </c>
      <c r="C426" s="296" t="s">
        <v>45</v>
      </c>
      <c r="D426" s="295" t="s">
        <v>102</v>
      </c>
      <c r="E426" s="296" t="s">
        <v>452</v>
      </c>
      <c r="F426" s="296" t="s">
        <v>156</v>
      </c>
      <c r="G426" s="295" t="s">
        <v>215</v>
      </c>
      <c r="H426" s="295" t="s">
        <v>389</v>
      </c>
      <c r="I426" s="295" t="s">
        <v>294</v>
      </c>
      <c r="J426" s="304">
        <v>20210008238</v>
      </c>
      <c r="K426" s="309" t="s">
        <v>1359</v>
      </c>
      <c r="L426" s="306">
        <v>1233990</v>
      </c>
      <c r="M426" s="295" t="s">
        <v>1360</v>
      </c>
      <c r="N426" s="306">
        <v>274.22</v>
      </c>
      <c r="O426" s="306" t="s">
        <v>156</v>
      </c>
      <c r="P426" s="307">
        <v>274.22</v>
      </c>
      <c r="Q426" s="307" t="s">
        <v>156</v>
      </c>
      <c r="R426" s="298" t="s">
        <v>156</v>
      </c>
      <c r="S426" s="563" t="s">
        <v>392</v>
      </c>
      <c r="T426" s="333" t="s">
        <v>1361</v>
      </c>
      <c r="U426" s="339">
        <f>566050.46*2</f>
        <v>1132100.92</v>
      </c>
      <c r="V426" s="307">
        <f t="shared" si="33"/>
        <v>101889.08</v>
      </c>
      <c r="W426" s="307">
        <f t="shared" si="30"/>
        <v>1233990</v>
      </c>
      <c r="X426" s="307">
        <f t="shared" si="32"/>
        <v>1132100.92</v>
      </c>
      <c r="Y426" s="307">
        <f t="shared" si="31"/>
        <v>4128.44</v>
      </c>
      <c r="Z426" s="298"/>
    </row>
    <row r="427" s="282" customFormat="1" spans="1:26">
      <c r="A427" s="295" t="s">
        <v>1362</v>
      </c>
      <c r="B427" s="296" t="s">
        <v>117</v>
      </c>
      <c r="C427" s="296" t="s">
        <v>42</v>
      </c>
      <c r="D427" s="295" t="s">
        <v>511</v>
      </c>
      <c r="E427" s="296" t="s">
        <v>512</v>
      </c>
      <c r="F427" s="296" t="s">
        <v>156</v>
      </c>
      <c r="G427" s="295" t="s">
        <v>513</v>
      </c>
      <c r="H427" s="295" t="s">
        <v>514</v>
      </c>
      <c r="I427" s="295"/>
      <c r="J427" s="296" t="s">
        <v>156</v>
      </c>
      <c r="K427" s="309" t="s">
        <v>156</v>
      </c>
      <c r="L427" s="306" t="s">
        <v>156</v>
      </c>
      <c r="M427" s="295" t="s">
        <v>156</v>
      </c>
      <c r="N427" s="306">
        <v>11.62</v>
      </c>
      <c r="O427" s="306" t="s">
        <v>156</v>
      </c>
      <c r="P427" s="307">
        <v>11.62</v>
      </c>
      <c r="Q427" s="307" t="s">
        <v>156</v>
      </c>
      <c r="R427" s="298" t="s">
        <v>156</v>
      </c>
      <c r="S427" s="297" t="s">
        <v>156</v>
      </c>
      <c r="T427" s="333" t="s">
        <v>156</v>
      </c>
      <c r="U427" s="307" t="s">
        <v>156</v>
      </c>
      <c r="V427" s="307" t="s">
        <v>156</v>
      </c>
      <c r="W427" s="307">
        <f t="shared" si="30"/>
        <v>0</v>
      </c>
      <c r="X427" s="307"/>
      <c r="Y427" s="307">
        <f t="shared" si="31"/>
        <v>0</v>
      </c>
      <c r="Z427" s="298"/>
    </row>
    <row r="428" s="282" customFormat="1" spans="1:26">
      <c r="A428" s="295" t="s">
        <v>1363</v>
      </c>
      <c r="B428" s="296" t="s">
        <v>117</v>
      </c>
      <c r="C428" s="296" t="s">
        <v>42</v>
      </c>
      <c r="D428" s="295" t="s">
        <v>511</v>
      </c>
      <c r="E428" s="296" t="s">
        <v>1364</v>
      </c>
      <c r="F428" s="296" t="s">
        <v>156</v>
      </c>
      <c r="G428" s="295" t="s">
        <v>513</v>
      </c>
      <c r="H428" s="295" t="s">
        <v>514</v>
      </c>
      <c r="I428" s="295"/>
      <c r="J428" s="296" t="s">
        <v>156</v>
      </c>
      <c r="K428" s="309" t="s">
        <v>156</v>
      </c>
      <c r="L428" s="306" t="s">
        <v>156</v>
      </c>
      <c r="M428" s="295" t="s">
        <v>156</v>
      </c>
      <c r="N428" s="306">
        <v>68.32</v>
      </c>
      <c r="O428" s="306" t="s">
        <v>156</v>
      </c>
      <c r="P428" s="307">
        <v>68.32</v>
      </c>
      <c r="Q428" s="307" t="s">
        <v>156</v>
      </c>
      <c r="R428" s="298" t="s">
        <v>156</v>
      </c>
      <c r="S428" s="297" t="s">
        <v>156</v>
      </c>
      <c r="T428" s="333" t="s">
        <v>156</v>
      </c>
      <c r="U428" s="307" t="s">
        <v>156</v>
      </c>
      <c r="V428" s="307" t="s">
        <v>156</v>
      </c>
      <c r="W428" s="307">
        <f t="shared" si="30"/>
        <v>0</v>
      </c>
      <c r="X428" s="307"/>
      <c r="Y428" s="307">
        <f t="shared" si="31"/>
        <v>0</v>
      </c>
      <c r="Z428" s="298"/>
    </row>
    <row r="429" s="282" customFormat="1" spans="1:26">
      <c r="A429" s="295" t="s">
        <v>1365</v>
      </c>
      <c r="B429" s="296" t="s">
        <v>117</v>
      </c>
      <c r="C429" s="296" t="s">
        <v>42</v>
      </c>
      <c r="D429" s="295" t="s">
        <v>511</v>
      </c>
      <c r="E429" s="296" t="s">
        <v>516</v>
      </c>
      <c r="F429" s="296" t="s">
        <v>156</v>
      </c>
      <c r="G429" s="295" t="s">
        <v>513</v>
      </c>
      <c r="H429" s="295" t="s">
        <v>514</v>
      </c>
      <c r="I429" s="295"/>
      <c r="J429" s="296" t="s">
        <v>156</v>
      </c>
      <c r="K429" s="309" t="s">
        <v>156</v>
      </c>
      <c r="L429" s="306" t="s">
        <v>156</v>
      </c>
      <c r="M429" s="295" t="s">
        <v>156</v>
      </c>
      <c r="N429" s="306">
        <v>21.12</v>
      </c>
      <c r="O429" s="306" t="s">
        <v>156</v>
      </c>
      <c r="P429" s="307">
        <v>21.12</v>
      </c>
      <c r="Q429" s="307" t="s">
        <v>156</v>
      </c>
      <c r="R429" s="298" t="s">
        <v>156</v>
      </c>
      <c r="S429" s="297" t="s">
        <v>156</v>
      </c>
      <c r="T429" s="333" t="s">
        <v>156</v>
      </c>
      <c r="U429" s="307" t="s">
        <v>156</v>
      </c>
      <c r="V429" s="307" t="s">
        <v>156</v>
      </c>
      <c r="W429" s="307">
        <f t="shared" si="30"/>
        <v>0</v>
      </c>
      <c r="X429" s="307"/>
      <c r="Y429" s="307">
        <f t="shared" si="31"/>
        <v>0</v>
      </c>
      <c r="Z429" s="298"/>
    </row>
    <row r="430" s="282" customFormat="1" spans="1:26">
      <c r="A430" s="295" t="s">
        <v>1366</v>
      </c>
      <c r="B430" s="296" t="s">
        <v>117</v>
      </c>
      <c r="C430" s="296" t="s">
        <v>42</v>
      </c>
      <c r="D430" s="295" t="s">
        <v>511</v>
      </c>
      <c r="E430" s="296" t="s">
        <v>1367</v>
      </c>
      <c r="F430" s="296" t="s">
        <v>156</v>
      </c>
      <c r="G430" s="295" t="s">
        <v>513</v>
      </c>
      <c r="H430" s="295" t="s">
        <v>514</v>
      </c>
      <c r="I430" s="295"/>
      <c r="J430" s="296" t="s">
        <v>156</v>
      </c>
      <c r="K430" s="309" t="s">
        <v>156</v>
      </c>
      <c r="L430" s="306" t="s">
        <v>156</v>
      </c>
      <c r="M430" s="295" t="s">
        <v>156</v>
      </c>
      <c r="N430" s="306">
        <v>64</v>
      </c>
      <c r="O430" s="306" t="s">
        <v>156</v>
      </c>
      <c r="P430" s="307">
        <v>64</v>
      </c>
      <c r="Q430" s="307" t="s">
        <v>156</v>
      </c>
      <c r="R430" s="298" t="s">
        <v>156</v>
      </c>
      <c r="S430" s="297" t="s">
        <v>156</v>
      </c>
      <c r="T430" s="333" t="s">
        <v>156</v>
      </c>
      <c r="U430" s="307" t="s">
        <v>156</v>
      </c>
      <c r="V430" s="307" t="s">
        <v>156</v>
      </c>
      <c r="W430" s="307">
        <f t="shared" si="30"/>
        <v>0</v>
      </c>
      <c r="X430" s="307"/>
      <c r="Y430" s="307">
        <f t="shared" si="31"/>
        <v>0</v>
      </c>
      <c r="Z430" s="298"/>
    </row>
    <row r="431" s="282" customFormat="1" spans="1:26">
      <c r="A431" s="295" t="s">
        <v>1368</v>
      </c>
      <c r="B431" s="296" t="s">
        <v>117</v>
      </c>
      <c r="C431" s="296" t="s">
        <v>42</v>
      </c>
      <c r="D431" s="295" t="s">
        <v>511</v>
      </c>
      <c r="E431" s="296" t="s">
        <v>518</v>
      </c>
      <c r="F431" s="296" t="s">
        <v>156</v>
      </c>
      <c r="G431" s="295" t="s">
        <v>513</v>
      </c>
      <c r="H431" s="295" t="s">
        <v>514</v>
      </c>
      <c r="I431" s="295"/>
      <c r="J431" s="296" t="s">
        <v>156</v>
      </c>
      <c r="K431" s="309" t="s">
        <v>156</v>
      </c>
      <c r="L431" s="306" t="s">
        <v>156</v>
      </c>
      <c r="M431" s="295" t="s">
        <v>156</v>
      </c>
      <c r="N431" s="306">
        <v>23.17</v>
      </c>
      <c r="O431" s="306" t="s">
        <v>156</v>
      </c>
      <c r="P431" s="307">
        <v>23.17</v>
      </c>
      <c r="Q431" s="307" t="s">
        <v>156</v>
      </c>
      <c r="R431" s="298" t="s">
        <v>156</v>
      </c>
      <c r="S431" s="297" t="s">
        <v>156</v>
      </c>
      <c r="T431" s="333" t="s">
        <v>156</v>
      </c>
      <c r="U431" s="307" t="s">
        <v>156</v>
      </c>
      <c r="V431" s="307" t="s">
        <v>156</v>
      </c>
      <c r="W431" s="307">
        <f t="shared" si="30"/>
        <v>0</v>
      </c>
      <c r="X431" s="307"/>
      <c r="Y431" s="307">
        <f t="shared" si="31"/>
        <v>0</v>
      </c>
      <c r="Z431" s="298"/>
    </row>
    <row r="432" s="282" customFormat="1" spans="1:26">
      <c r="A432" s="295" t="s">
        <v>1369</v>
      </c>
      <c r="B432" s="296" t="s">
        <v>117</v>
      </c>
      <c r="C432" s="296" t="s">
        <v>42</v>
      </c>
      <c r="D432" s="295" t="s">
        <v>511</v>
      </c>
      <c r="E432" s="296" t="s">
        <v>520</v>
      </c>
      <c r="F432" s="296" t="s">
        <v>156</v>
      </c>
      <c r="G432" s="295" t="s">
        <v>513</v>
      </c>
      <c r="H432" s="295" t="s">
        <v>514</v>
      </c>
      <c r="I432" s="295"/>
      <c r="J432" s="296" t="s">
        <v>156</v>
      </c>
      <c r="K432" s="309" t="s">
        <v>156</v>
      </c>
      <c r="L432" s="306" t="s">
        <v>156</v>
      </c>
      <c r="M432" s="295" t="s">
        <v>156</v>
      </c>
      <c r="N432" s="306">
        <v>21.99</v>
      </c>
      <c r="O432" s="306" t="s">
        <v>156</v>
      </c>
      <c r="P432" s="307">
        <v>21.99</v>
      </c>
      <c r="Q432" s="307" t="s">
        <v>156</v>
      </c>
      <c r="R432" s="298" t="s">
        <v>156</v>
      </c>
      <c r="S432" s="297" t="s">
        <v>156</v>
      </c>
      <c r="T432" s="333" t="s">
        <v>156</v>
      </c>
      <c r="U432" s="307" t="s">
        <v>156</v>
      </c>
      <c r="V432" s="307" t="s">
        <v>156</v>
      </c>
      <c r="W432" s="307">
        <f t="shared" si="30"/>
        <v>0</v>
      </c>
      <c r="X432" s="307"/>
      <c r="Y432" s="307">
        <f t="shared" si="31"/>
        <v>0</v>
      </c>
      <c r="Z432" s="298"/>
    </row>
    <row r="433" s="282" customFormat="1" spans="1:26">
      <c r="A433" s="295" t="s">
        <v>1116</v>
      </c>
      <c r="B433" s="296" t="s">
        <v>117</v>
      </c>
      <c r="C433" s="296" t="s">
        <v>42</v>
      </c>
      <c r="D433" s="295" t="s">
        <v>511</v>
      </c>
      <c r="E433" s="296" t="s">
        <v>522</v>
      </c>
      <c r="F433" s="296" t="s">
        <v>156</v>
      </c>
      <c r="G433" s="295" t="s">
        <v>513</v>
      </c>
      <c r="H433" s="295" t="s">
        <v>514</v>
      </c>
      <c r="I433" s="295"/>
      <c r="J433" s="296" t="s">
        <v>156</v>
      </c>
      <c r="K433" s="309" t="s">
        <v>156</v>
      </c>
      <c r="L433" s="306" t="s">
        <v>156</v>
      </c>
      <c r="M433" s="295" t="s">
        <v>156</v>
      </c>
      <c r="N433" s="306">
        <v>21</v>
      </c>
      <c r="O433" s="306" t="s">
        <v>156</v>
      </c>
      <c r="P433" s="307">
        <v>21</v>
      </c>
      <c r="Q433" s="307" t="s">
        <v>156</v>
      </c>
      <c r="R433" s="298" t="s">
        <v>156</v>
      </c>
      <c r="S433" s="297" t="s">
        <v>156</v>
      </c>
      <c r="T433" s="333" t="s">
        <v>156</v>
      </c>
      <c r="U433" s="307" t="s">
        <v>156</v>
      </c>
      <c r="V433" s="307" t="s">
        <v>156</v>
      </c>
      <c r="W433" s="307">
        <f t="shared" si="30"/>
        <v>0</v>
      </c>
      <c r="X433" s="307"/>
      <c r="Y433" s="307">
        <f t="shared" si="31"/>
        <v>0</v>
      </c>
      <c r="Z433" s="298"/>
    </row>
    <row r="434" s="282" customFormat="1" spans="1:26">
      <c r="A434" s="295" t="s">
        <v>1370</v>
      </c>
      <c r="B434" s="296" t="s">
        <v>117</v>
      </c>
      <c r="C434" s="296" t="s">
        <v>42</v>
      </c>
      <c r="D434" s="295" t="s">
        <v>511</v>
      </c>
      <c r="E434" s="296" t="s">
        <v>524</v>
      </c>
      <c r="F434" s="296" t="s">
        <v>156</v>
      </c>
      <c r="G434" s="295" t="s">
        <v>513</v>
      </c>
      <c r="H434" s="295" t="s">
        <v>514</v>
      </c>
      <c r="I434" s="295"/>
      <c r="J434" s="296" t="s">
        <v>156</v>
      </c>
      <c r="K434" s="309" t="s">
        <v>156</v>
      </c>
      <c r="L434" s="306" t="s">
        <v>156</v>
      </c>
      <c r="M434" s="295" t="s">
        <v>156</v>
      </c>
      <c r="N434" s="306">
        <v>16.28</v>
      </c>
      <c r="O434" s="306" t="s">
        <v>156</v>
      </c>
      <c r="P434" s="307">
        <v>16.28</v>
      </c>
      <c r="Q434" s="307" t="s">
        <v>156</v>
      </c>
      <c r="R434" s="298" t="s">
        <v>156</v>
      </c>
      <c r="S434" s="297" t="s">
        <v>156</v>
      </c>
      <c r="T434" s="333" t="s">
        <v>156</v>
      </c>
      <c r="U434" s="307" t="s">
        <v>156</v>
      </c>
      <c r="V434" s="307" t="s">
        <v>156</v>
      </c>
      <c r="W434" s="307">
        <f t="shared" si="30"/>
        <v>0</v>
      </c>
      <c r="X434" s="307"/>
      <c r="Y434" s="307">
        <f t="shared" si="31"/>
        <v>0</v>
      </c>
      <c r="Z434" s="298"/>
    </row>
    <row r="435" s="282" customFormat="1" spans="1:26">
      <c r="A435" s="295" t="s">
        <v>1371</v>
      </c>
      <c r="B435" s="296" t="s">
        <v>117</v>
      </c>
      <c r="C435" s="296" t="s">
        <v>42</v>
      </c>
      <c r="D435" s="295" t="s">
        <v>511</v>
      </c>
      <c r="E435" s="296" t="s">
        <v>526</v>
      </c>
      <c r="F435" s="296" t="s">
        <v>156</v>
      </c>
      <c r="G435" s="295" t="s">
        <v>513</v>
      </c>
      <c r="H435" s="295" t="s">
        <v>514</v>
      </c>
      <c r="I435" s="295"/>
      <c r="J435" s="296" t="s">
        <v>156</v>
      </c>
      <c r="K435" s="309" t="s">
        <v>156</v>
      </c>
      <c r="L435" s="306" t="s">
        <v>156</v>
      </c>
      <c r="M435" s="295" t="s">
        <v>156</v>
      </c>
      <c r="N435" s="306">
        <v>12.78</v>
      </c>
      <c r="O435" s="306" t="s">
        <v>156</v>
      </c>
      <c r="P435" s="307">
        <v>12.78</v>
      </c>
      <c r="Q435" s="307" t="s">
        <v>156</v>
      </c>
      <c r="R435" s="298" t="s">
        <v>156</v>
      </c>
      <c r="S435" s="297" t="s">
        <v>156</v>
      </c>
      <c r="T435" s="333" t="s">
        <v>156</v>
      </c>
      <c r="U435" s="307" t="s">
        <v>156</v>
      </c>
      <c r="V435" s="307" t="s">
        <v>156</v>
      </c>
      <c r="W435" s="307">
        <f t="shared" si="30"/>
        <v>0</v>
      </c>
      <c r="X435" s="307"/>
      <c r="Y435" s="307">
        <f t="shared" si="31"/>
        <v>0</v>
      </c>
      <c r="Z435" s="298"/>
    </row>
    <row r="436" s="282" customFormat="1" spans="1:26">
      <c r="A436" s="295" t="s">
        <v>1372</v>
      </c>
      <c r="B436" s="296" t="s">
        <v>117</v>
      </c>
      <c r="C436" s="296" t="s">
        <v>42</v>
      </c>
      <c r="D436" s="295" t="s">
        <v>511</v>
      </c>
      <c r="E436" s="296" t="s">
        <v>528</v>
      </c>
      <c r="F436" s="296" t="s">
        <v>156</v>
      </c>
      <c r="G436" s="295" t="s">
        <v>513</v>
      </c>
      <c r="H436" s="295" t="s">
        <v>514</v>
      </c>
      <c r="I436" s="295"/>
      <c r="J436" s="296" t="s">
        <v>156</v>
      </c>
      <c r="K436" s="309" t="s">
        <v>156</v>
      </c>
      <c r="L436" s="306" t="s">
        <v>156</v>
      </c>
      <c r="M436" s="295" t="s">
        <v>156</v>
      </c>
      <c r="N436" s="306">
        <v>9.13</v>
      </c>
      <c r="O436" s="306" t="s">
        <v>156</v>
      </c>
      <c r="P436" s="307">
        <v>9.13</v>
      </c>
      <c r="Q436" s="307" t="s">
        <v>156</v>
      </c>
      <c r="R436" s="298" t="s">
        <v>156</v>
      </c>
      <c r="S436" s="297" t="s">
        <v>156</v>
      </c>
      <c r="T436" s="333" t="s">
        <v>156</v>
      </c>
      <c r="U436" s="307" t="s">
        <v>156</v>
      </c>
      <c r="V436" s="307" t="s">
        <v>156</v>
      </c>
      <c r="W436" s="307">
        <f t="shared" si="30"/>
        <v>0</v>
      </c>
      <c r="X436" s="307"/>
      <c r="Y436" s="307">
        <f t="shared" si="31"/>
        <v>0</v>
      </c>
      <c r="Z436" s="298"/>
    </row>
    <row r="437" s="282" customFormat="1" spans="1:26">
      <c r="A437" s="295" t="s">
        <v>1373</v>
      </c>
      <c r="B437" s="296" t="s">
        <v>117</v>
      </c>
      <c r="C437" s="296" t="s">
        <v>42</v>
      </c>
      <c r="D437" s="295" t="s">
        <v>511</v>
      </c>
      <c r="E437" s="296" t="s">
        <v>529</v>
      </c>
      <c r="F437" s="296" t="s">
        <v>156</v>
      </c>
      <c r="G437" s="295" t="s">
        <v>513</v>
      </c>
      <c r="H437" s="295" t="s">
        <v>514</v>
      </c>
      <c r="I437" s="295"/>
      <c r="J437" s="296" t="s">
        <v>156</v>
      </c>
      <c r="K437" s="309" t="s">
        <v>156</v>
      </c>
      <c r="L437" s="306" t="s">
        <v>156</v>
      </c>
      <c r="M437" s="295" t="s">
        <v>156</v>
      </c>
      <c r="N437" s="306">
        <v>16.51</v>
      </c>
      <c r="O437" s="306" t="s">
        <v>156</v>
      </c>
      <c r="P437" s="307">
        <v>16.51</v>
      </c>
      <c r="Q437" s="307" t="s">
        <v>156</v>
      </c>
      <c r="R437" s="298" t="s">
        <v>156</v>
      </c>
      <c r="S437" s="297" t="s">
        <v>156</v>
      </c>
      <c r="T437" s="333" t="s">
        <v>156</v>
      </c>
      <c r="U437" s="307" t="s">
        <v>156</v>
      </c>
      <c r="V437" s="307" t="s">
        <v>156</v>
      </c>
      <c r="W437" s="307">
        <f t="shared" si="30"/>
        <v>0</v>
      </c>
      <c r="X437" s="307"/>
      <c r="Y437" s="307">
        <f t="shared" si="31"/>
        <v>0</v>
      </c>
      <c r="Z437" s="298"/>
    </row>
    <row r="438" s="282" customFormat="1" spans="1:26">
      <c r="A438" s="295" t="s">
        <v>1374</v>
      </c>
      <c r="B438" s="296" t="s">
        <v>117</v>
      </c>
      <c r="C438" s="296" t="s">
        <v>42</v>
      </c>
      <c r="D438" s="295" t="s">
        <v>511</v>
      </c>
      <c r="E438" s="296" t="s">
        <v>531</v>
      </c>
      <c r="F438" s="296" t="s">
        <v>156</v>
      </c>
      <c r="G438" s="295" t="s">
        <v>513</v>
      </c>
      <c r="H438" s="295" t="s">
        <v>514</v>
      </c>
      <c r="I438" s="295"/>
      <c r="J438" s="296" t="s">
        <v>156</v>
      </c>
      <c r="K438" s="309" t="s">
        <v>156</v>
      </c>
      <c r="L438" s="306" t="s">
        <v>156</v>
      </c>
      <c r="M438" s="295" t="s">
        <v>156</v>
      </c>
      <c r="N438" s="306">
        <v>12.33</v>
      </c>
      <c r="O438" s="306" t="s">
        <v>156</v>
      </c>
      <c r="P438" s="307">
        <v>12.33</v>
      </c>
      <c r="Q438" s="307" t="s">
        <v>156</v>
      </c>
      <c r="R438" s="298" t="s">
        <v>156</v>
      </c>
      <c r="S438" s="297" t="s">
        <v>156</v>
      </c>
      <c r="T438" s="333" t="s">
        <v>156</v>
      </c>
      <c r="U438" s="307" t="s">
        <v>156</v>
      </c>
      <c r="V438" s="307" t="s">
        <v>156</v>
      </c>
      <c r="W438" s="307">
        <f t="shared" si="30"/>
        <v>0</v>
      </c>
      <c r="X438" s="307"/>
      <c r="Y438" s="307">
        <f t="shared" si="31"/>
        <v>0</v>
      </c>
      <c r="Z438" s="298"/>
    </row>
    <row r="439" s="282" customFormat="1" spans="1:26">
      <c r="A439" s="295" t="s">
        <v>806</v>
      </c>
      <c r="B439" s="296" t="s">
        <v>117</v>
      </c>
      <c r="C439" s="296" t="s">
        <v>42</v>
      </c>
      <c r="D439" s="295" t="s">
        <v>511</v>
      </c>
      <c r="E439" s="296" t="s">
        <v>533</v>
      </c>
      <c r="F439" s="296" t="s">
        <v>156</v>
      </c>
      <c r="G439" s="295" t="s">
        <v>513</v>
      </c>
      <c r="H439" s="295" t="s">
        <v>514</v>
      </c>
      <c r="I439" s="295"/>
      <c r="J439" s="296" t="s">
        <v>156</v>
      </c>
      <c r="K439" s="309" t="s">
        <v>156</v>
      </c>
      <c r="L439" s="306" t="s">
        <v>156</v>
      </c>
      <c r="M439" s="295" t="s">
        <v>156</v>
      </c>
      <c r="N439" s="306">
        <v>7.3</v>
      </c>
      <c r="O439" s="306" t="s">
        <v>156</v>
      </c>
      <c r="P439" s="307">
        <v>7.3</v>
      </c>
      <c r="Q439" s="307" t="s">
        <v>156</v>
      </c>
      <c r="R439" s="298" t="s">
        <v>156</v>
      </c>
      <c r="S439" s="297" t="s">
        <v>156</v>
      </c>
      <c r="T439" s="333" t="s">
        <v>156</v>
      </c>
      <c r="U439" s="307" t="s">
        <v>156</v>
      </c>
      <c r="V439" s="307" t="s">
        <v>156</v>
      </c>
      <c r="W439" s="307">
        <f t="shared" si="30"/>
        <v>0</v>
      </c>
      <c r="X439" s="307"/>
      <c r="Y439" s="307">
        <f t="shared" si="31"/>
        <v>0</v>
      </c>
      <c r="Z439" s="298"/>
    </row>
    <row r="440" s="282" customFormat="1" spans="1:26">
      <c r="A440" s="295" t="s">
        <v>1358</v>
      </c>
      <c r="B440" s="296" t="s">
        <v>117</v>
      </c>
      <c r="C440" s="296" t="s">
        <v>42</v>
      </c>
      <c r="D440" s="295" t="s">
        <v>511</v>
      </c>
      <c r="E440" s="296" t="s">
        <v>535</v>
      </c>
      <c r="F440" s="296" t="s">
        <v>156</v>
      </c>
      <c r="G440" s="295" t="s">
        <v>513</v>
      </c>
      <c r="H440" s="295" t="s">
        <v>514</v>
      </c>
      <c r="I440" s="295"/>
      <c r="J440" s="296" t="s">
        <v>156</v>
      </c>
      <c r="K440" s="309" t="s">
        <v>156</v>
      </c>
      <c r="L440" s="306" t="s">
        <v>156</v>
      </c>
      <c r="M440" s="295" t="s">
        <v>156</v>
      </c>
      <c r="N440" s="306">
        <v>14.95</v>
      </c>
      <c r="O440" s="306" t="s">
        <v>156</v>
      </c>
      <c r="P440" s="307">
        <v>14.95</v>
      </c>
      <c r="Q440" s="307" t="s">
        <v>156</v>
      </c>
      <c r="R440" s="298" t="s">
        <v>156</v>
      </c>
      <c r="S440" s="297" t="s">
        <v>156</v>
      </c>
      <c r="T440" s="333" t="s">
        <v>156</v>
      </c>
      <c r="U440" s="307" t="s">
        <v>156</v>
      </c>
      <c r="V440" s="307" t="s">
        <v>156</v>
      </c>
      <c r="W440" s="307">
        <f t="shared" si="30"/>
        <v>0</v>
      </c>
      <c r="X440" s="307"/>
      <c r="Y440" s="307">
        <f t="shared" si="31"/>
        <v>0</v>
      </c>
      <c r="Z440" s="298"/>
    </row>
    <row r="441" s="282" customFormat="1" spans="1:26">
      <c r="A441" s="295" t="s">
        <v>1375</v>
      </c>
      <c r="B441" s="296" t="s">
        <v>117</v>
      </c>
      <c r="C441" s="296" t="s">
        <v>45</v>
      </c>
      <c r="D441" s="295" t="s">
        <v>511</v>
      </c>
      <c r="E441" s="296" t="s">
        <v>541</v>
      </c>
      <c r="F441" s="296" t="s">
        <v>156</v>
      </c>
      <c r="G441" s="295" t="s">
        <v>513</v>
      </c>
      <c r="H441" s="295" t="s">
        <v>514</v>
      </c>
      <c r="I441" s="295"/>
      <c r="J441" s="304" t="s">
        <v>156</v>
      </c>
      <c r="K441" s="309" t="s">
        <v>156</v>
      </c>
      <c r="L441" s="306" t="s">
        <v>156</v>
      </c>
      <c r="M441" s="295" t="s">
        <v>156</v>
      </c>
      <c r="N441" s="306">
        <v>14.95</v>
      </c>
      <c r="O441" s="306" t="s">
        <v>156</v>
      </c>
      <c r="P441" s="307">
        <v>14.95</v>
      </c>
      <c r="Q441" s="307" t="s">
        <v>156</v>
      </c>
      <c r="R441" s="298" t="s">
        <v>156</v>
      </c>
      <c r="S441" s="297" t="s">
        <v>156</v>
      </c>
      <c r="T441" s="333" t="s">
        <v>156</v>
      </c>
      <c r="U441" s="307" t="s">
        <v>156</v>
      </c>
      <c r="V441" s="307"/>
      <c r="W441" s="307">
        <f t="shared" si="30"/>
        <v>0</v>
      </c>
      <c r="X441" s="307" t="str">
        <f t="shared" ref="X441:X482" si="34">U441</f>
        <v/>
      </c>
      <c r="Y441" s="307">
        <f t="shared" si="31"/>
        <v>0</v>
      </c>
      <c r="Z441" s="298"/>
    </row>
    <row r="442" s="282" customFormat="1" spans="1:26">
      <c r="A442" s="295" t="s">
        <v>1376</v>
      </c>
      <c r="B442" s="296" t="s">
        <v>117</v>
      </c>
      <c r="C442" s="296" t="s">
        <v>45</v>
      </c>
      <c r="D442" s="295" t="s">
        <v>511</v>
      </c>
      <c r="E442" s="296" t="s">
        <v>1377</v>
      </c>
      <c r="F442" s="296" t="s">
        <v>156</v>
      </c>
      <c r="G442" s="295" t="s">
        <v>513</v>
      </c>
      <c r="H442" s="295" t="s">
        <v>514</v>
      </c>
      <c r="I442" s="295"/>
      <c r="J442" s="304" t="s">
        <v>156</v>
      </c>
      <c r="K442" s="309" t="s">
        <v>156</v>
      </c>
      <c r="L442" s="306" t="s">
        <v>156</v>
      </c>
      <c r="M442" s="295" t="s">
        <v>156</v>
      </c>
      <c r="N442" s="306">
        <v>64</v>
      </c>
      <c r="O442" s="306" t="s">
        <v>156</v>
      </c>
      <c r="P442" s="307">
        <v>64</v>
      </c>
      <c r="Q442" s="307" t="s">
        <v>156</v>
      </c>
      <c r="R442" s="298" t="s">
        <v>156</v>
      </c>
      <c r="S442" s="297" t="s">
        <v>156</v>
      </c>
      <c r="T442" s="333" t="s">
        <v>156</v>
      </c>
      <c r="U442" s="307" t="s">
        <v>156</v>
      </c>
      <c r="V442" s="307"/>
      <c r="W442" s="307">
        <f t="shared" si="30"/>
        <v>0</v>
      </c>
      <c r="X442" s="307" t="str">
        <f t="shared" si="34"/>
        <v/>
      </c>
      <c r="Y442" s="307">
        <f t="shared" si="31"/>
        <v>0</v>
      </c>
      <c r="Z442" s="298"/>
    </row>
    <row r="443" s="282" customFormat="1" spans="1:26">
      <c r="A443" s="295" t="s">
        <v>1378</v>
      </c>
      <c r="B443" s="296" t="s">
        <v>117</v>
      </c>
      <c r="C443" s="296" t="s">
        <v>45</v>
      </c>
      <c r="D443" s="295" t="s">
        <v>511</v>
      </c>
      <c r="E443" s="296" t="s">
        <v>542</v>
      </c>
      <c r="F443" s="296" t="s">
        <v>156</v>
      </c>
      <c r="G443" s="295" t="s">
        <v>513</v>
      </c>
      <c r="H443" s="295" t="s">
        <v>514</v>
      </c>
      <c r="I443" s="295"/>
      <c r="J443" s="304" t="s">
        <v>156</v>
      </c>
      <c r="K443" s="309" t="s">
        <v>156</v>
      </c>
      <c r="L443" s="306" t="s">
        <v>156</v>
      </c>
      <c r="M443" s="295" t="s">
        <v>156</v>
      </c>
      <c r="N443" s="306">
        <v>7.3</v>
      </c>
      <c r="O443" s="306" t="s">
        <v>156</v>
      </c>
      <c r="P443" s="307">
        <v>7.3</v>
      </c>
      <c r="Q443" s="307" t="s">
        <v>156</v>
      </c>
      <c r="R443" s="298" t="s">
        <v>156</v>
      </c>
      <c r="S443" s="297" t="s">
        <v>156</v>
      </c>
      <c r="T443" s="333" t="s">
        <v>156</v>
      </c>
      <c r="U443" s="307" t="s">
        <v>156</v>
      </c>
      <c r="V443" s="307"/>
      <c r="W443" s="307">
        <f t="shared" si="30"/>
        <v>0</v>
      </c>
      <c r="X443" s="307" t="str">
        <f t="shared" si="34"/>
        <v/>
      </c>
      <c r="Y443" s="307">
        <f t="shared" si="31"/>
        <v>0</v>
      </c>
      <c r="Z443" s="298"/>
    </row>
    <row r="444" s="282" customFormat="1" spans="1:26">
      <c r="A444" s="295" t="s">
        <v>1379</v>
      </c>
      <c r="B444" s="296" t="s">
        <v>117</v>
      </c>
      <c r="C444" s="296" t="s">
        <v>45</v>
      </c>
      <c r="D444" s="295" t="s">
        <v>511</v>
      </c>
      <c r="E444" s="296" t="s">
        <v>1380</v>
      </c>
      <c r="F444" s="296" t="s">
        <v>156</v>
      </c>
      <c r="G444" s="295" t="s">
        <v>513</v>
      </c>
      <c r="H444" s="295" t="s">
        <v>514</v>
      </c>
      <c r="I444" s="295"/>
      <c r="J444" s="304" t="s">
        <v>156</v>
      </c>
      <c r="K444" s="309" t="s">
        <v>156</v>
      </c>
      <c r="L444" s="306" t="s">
        <v>156</v>
      </c>
      <c r="M444" s="295" t="s">
        <v>156</v>
      </c>
      <c r="N444" s="306">
        <v>68.32</v>
      </c>
      <c r="O444" s="306" t="s">
        <v>156</v>
      </c>
      <c r="P444" s="307">
        <v>68.32</v>
      </c>
      <c r="Q444" s="307" t="s">
        <v>156</v>
      </c>
      <c r="R444" s="298" t="s">
        <v>156</v>
      </c>
      <c r="S444" s="297" t="s">
        <v>156</v>
      </c>
      <c r="T444" s="333" t="s">
        <v>156</v>
      </c>
      <c r="U444" s="307" t="s">
        <v>156</v>
      </c>
      <c r="V444" s="307"/>
      <c r="W444" s="307">
        <f t="shared" si="30"/>
        <v>0</v>
      </c>
      <c r="X444" s="307" t="str">
        <f t="shared" si="34"/>
        <v/>
      </c>
      <c r="Y444" s="307">
        <f t="shared" si="31"/>
        <v>0</v>
      </c>
      <c r="Z444" s="298"/>
    </row>
    <row r="445" s="282" customFormat="1" spans="1:26">
      <c r="A445" s="295" t="s">
        <v>1381</v>
      </c>
      <c r="B445" s="296" t="s">
        <v>117</v>
      </c>
      <c r="C445" s="296" t="s">
        <v>45</v>
      </c>
      <c r="D445" s="295" t="s">
        <v>511</v>
      </c>
      <c r="E445" s="296" t="s">
        <v>544</v>
      </c>
      <c r="F445" s="296" t="s">
        <v>156</v>
      </c>
      <c r="G445" s="295" t="s">
        <v>513</v>
      </c>
      <c r="H445" s="295" t="s">
        <v>514</v>
      </c>
      <c r="I445" s="295"/>
      <c r="J445" s="304" t="s">
        <v>156</v>
      </c>
      <c r="K445" s="309" t="s">
        <v>156</v>
      </c>
      <c r="L445" s="306" t="s">
        <v>156</v>
      </c>
      <c r="M445" s="295" t="s">
        <v>156</v>
      </c>
      <c r="N445" s="306">
        <v>12.33</v>
      </c>
      <c r="O445" s="306" t="s">
        <v>156</v>
      </c>
      <c r="P445" s="307">
        <v>12.33</v>
      </c>
      <c r="Q445" s="307" t="s">
        <v>156</v>
      </c>
      <c r="R445" s="298" t="s">
        <v>156</v>
      </c>
      <c r="S445" s="297" t="s">
        <v>156</v>
      </c>
      <c r="T445" s="333" t="s">
        <v>156</v>
      </c>
      <c r="U445" s="307" t="s">
        <v>156</v>
      </c>
      <c r="V445" s="307"/>
      <c r="W445" s="307">
        <f t="shared" si="30"/>
        <v>0</v>
      </c>
      <c r="X445" s="307" t="str">
        <f t="shared" si="34"/>
        <v/>
      </c>
      <c r="Y445" s="307">
        <f t="shared" si="31"/>
        <v>0</v>
      </c>
      <c r="Z445" s="298"/>
    </row>
    <row r="446" s="282" customFormat="1" spans="1:26">
      <c r="A446" s="295" t="s">
        <v>1382</v>
      </c>
      <c r="B446" s="296" t="s">
        <v>117</v>
      </c>
      <c r="C446" s="296" t="s">
        <v>45</v>
      </c>
      <c r="D446" s="295" t="s">
        <v>511</v>
      </c>
      <c r="E446" s="296" t="s">
        <v>546</v>
      </c>
      <c r="F446" s="296" t="s">
        <v>156</v>
      </c>
      <c r="G446" s="295" t="s">
        <v>513</v>
      </c>
      <c r="H446" s="295" t="s">
        <v>514</v>
      </c>
      <c r="I446" s="295"/>
      <c r="J446" s="304" t="s">
        <v>156</v>
      </c>
      <c r="K446" s="309" t="s">
        <v>156</v>
      </c>
      <c r="L446" s="306" t="s">
        <v>156</v>
      </c>
      <c r="M446" s="295" t="s">
        <v>156</v>
      </c>
      <c r="N446" s="306">
        <v>16.51</v>
      </c>
      <c r="O446" s="306" t="s">
        <v>156</v>
      </c>
      <c r="P446" s="307">
        <v>16.51</v>
      </c>
      <c r="Q446" s="307" t="s">
        <v>156</v>
      </c>
      <c r="R446" s="298" t="s">
        <v>156</v>
      </c>
      <c r="S446" s="297" t="s">
        <v>156</v>
      </c>
      <c r="T446" s="333" t="s">
        <v>156</v>
      </c>
      <c r="U446" s="307" t="s">
        <v>156</v>
      </c>
      <c r="V446" s="307"/>
      <c r="W446" s="307">
        <f t="shared" si="30"/>
        <v>0</v>
      </c>
      <c r="X446" s="307" t="str">
        <f t="shared" si="34"/>
        <v/>
      </c>
      <c r="Y446" s="307">
        <f t="shared" si="31"/>
        <v>0</v>
      </c>
      <c r="Z446" s="298"/>
    </row>
    <row r="447" s="282" customFormat="1" spans="1:26">
      <c r="A447" s="295" t="s">
        <v>1383</v>
      </c>
      <c r="B447" s="296" t="s">
        <v>117</v>
      </c>
      <c r="C447" s="296" t="s">
        <v>45</v>
      </c>
      <c r="D447" s="295" t="s">
        <v>511</v>
      </c>
      <c r="E447" s="296" t="s">
        <v>548</v>
      </c>
      <c r="F447" s="296" t="s">
        <v>156</v>
      </c>
      <c r="G447" s="295" t="s">
        <v>513</v>
      </c>
      <c r="H447" s="295" t="s">
        <v>514</v>
      </c>
      <c r="I447" s="295"/>
      <c r="J447" s="304" t="s">
        <v>156</v>
      </c>
      <c r="K447" s="309" t="s">
        <v>156</v>
      </c>
      <c r="L447" s="306" t="s">
        <v>156</v>
      </c>
      <c r="M447" s="295" t="s">
        <v>156</v>
      </c>
      <c r="N447" s="306">
        <v>9.13</v>
      </c>
      <c r="O447" s="306" t="s">
        <v>156</v>
      </c>
      <c r="P447" s="307">
        <v>9.13</v>
      </c>
      <c r="Q447" s="307" t="s">
        <v>156</v>
      </c>
      <c r="R447" s="298" t="s">
        <v>156</v>
      </c>
      <c r="S447" s="297" t="s">
        <v>156</v>
      </c>
      <c r="T447" s="333" t="s">
        <v>156</v>
      </c>
      <c r="U447" s="307" t="s">
        <v>156</v>
      </c>
      <c r="V447" s="307"/>
      <c r="W447" s="307">
        <f t="shared" si="30"/>
        <v>0</v>
      </c>
      <c r="X447" s="307" t="str">
        <f t="shared" si="34"/>
        <v/>
      </c>
      <c r="Y447" s="307">
        <f t="shared" si="31"/>
        <v>0</v>
      </c>
      <c r="Z447" s="298"/>
    </row>
    <row r="448" s="282" customFormat="1" spans="1:26">
      <c r="A448" s="295" t="s">
        <v>1384</v>
      </c>
      <c r="B448" s="296" t="s">
        <v>117</v>
      </c>
      <c r="C448" s="296" t="s">
        <v>45</v>
      </c>
      <c r="D448" s="295" t="s">
        <v>511</v>
      </c>
      <c r="E448" s="296" t="s">
        <v>549</v>
      </c>
      <c r="F448" s="296" t="s">
        <v>156</v>
      </c>
      <c r="G448" s="295" t="s">
        <v>513</v>
      </c>
      <c r="H448" s="295" t="s">
        <v>514</v>
      </c>
      <c r="I448" s="295"/>
      <c r="J448" s="304" t="s">
        <v>156</v>
      </c>
      <c r="K448" s="309" t="s">
        <v>156</v>
      </c>
      <c r="L448" s="306" t="s">
        <v>156</v>
      </c>
      <c r="M448" s="295" t="s">
        <v>156</v>
      </c>
      <c r="N448" s="306">
        <v>12.78</v>
      </c>
      <c r="O448" s="306" t="s">
        <v>156</v>
      </c>
      <c r="P448" s="307">
        <v>12.78</v>
      </c>
      <c r="Q448" s="307" t="s">
        <v>156</v>
      </c>
      <c r="R448" s="298" t="s">
        <v>156</v>
      </c>
      <c r="S448" s="297" t="s">
        <v>156</v>
      </c>
      <c r="T448" s="333" t="s">
        <v>156</v>
      </c>
      <c r="U448" s="307" t="s">
        <v>156</v>
      </c>
      <c r="V448" s="307"/>
      <c r="W448" s="307">
        <f t="shared" si="30"/>
        <v>0</v>
      </c>
      <c r="X448" s="307" t="str">
        <f t="shared" si="34"/>
        <v/>
      </c>
      <c r="Y448" s="307">
        <f t="shared" si="31"/>
        <v>0</v>
      </c>
      <c r="Z448" s="298"/>
    </row>
    <row r="449" s="282" customFormat="1" spans="1:26">
      <c r="A449" s="295" t="s">
        <v>1040</v>
      </c>
      <c r="B449" s="296" t="s">
        <v>117</v>
      </c>
      <c r="C449" s="296" t="s">
        <v>45</v>
      </c>
      <c r="D449" s="295" t="s">
        <v>511</v>
      </c>
      <c r="E449" s="296" t="s">
        <v>550</v>
      </c>
      <c r="F449" s="296" t="s">
        <v>156</v>
      </c>
      <c r="G449" s="295" t="s">
        <v>513</v>
      </c>
      <c r="H449" s="295" t="s">
        <v>514</v>
      </c>
      <c r="I449" s="295"/>
      <c r="J449" s="304" t="s">
        <v>156</v>
      </c>
      <c r="K449" s="309" t="s">
        <v>156</v>
      </c>
      <c r="L449" s="306" t="s">
        <v>156</v>
      </c>
      <c r="M449" s="295" t="s">
        <v>156</v>
      </c>
      <c r="N449" s="306">
        <v>16.28</v>
      </c>
      <c r="O449" s="306" t="s">
        <v>156</v>
      </c>
      <c r="P449" s="307">
        <v>16.28</v>
      </c>
      <c r="Q449" s="307" t="s">
        <v>156</v>
      </c>
      <c r="R449" s="298" t="s">
        <v>156</v>
      </c>
      <c r="S449" s="297" t="s">
        <v>156</v>
      </c>
      <c r="T449" s="333" t="s">
        <v>156</v>
      </c>
      <c r="U449" s="307" t="s">
        <v>156</v>
      </c>
      <c r="V449" s="307"/>
      <c r="W449" s="307">
        <f t="shared" si="30"/>
        <v>0</v>
      </c>
      <c r="X449" s="307" t="str">
        <f t="shared" si="34"/>
        <v/>
      </c>
      <c r="Y449" s="307">
        <f t="shared" si="31"/>
        <v>0</v>
      </c>
      <c r="Z449" s="298"/>
    </row>
    <row r="450" s="282" customFormat="1" spans="1:26">
      <c r="A450" s="295" t="s">
        <v>1385</v>
      </c>
      <c r="B450" s="296" t="s">
        <v>117</v>
      </c>
      <c r="C450" s="296" t="s">
        <v>45</v>
      </c>
      <c r="D450" s="295" t="s">
        <v>511</v>
      </c>
      <c r="E450" s="296" t="s">
        <v>552</v>
      </c>
      <c r="F450" s="296" t="s">
        <v>156</v>
      </c>
      <c r="G450" s="295" t="s">
        <v>513</v>
      </c>
      <c r="H450" s="295" t="s">
        <v>514</v>
      </c>
      <c r="I450" s="295"/>
      <c r="J450" s="304" t="s">
        <v>156</v>
      </c>
      <c r="K450" s="309" t="s">
        <v>156</v>
      </c>
      <c r="L450" s="306" t="s">
        <v>156</v>
      </c>
      <c r="M450" s="295" t="s">
        <v>156</v>
      </c>
      <c r="N450" s="306">
        <v>21</v>
      </c>
      <c r="O450" s="306" t="s">
        <v>156</v>
      </c>
      <c r="P450" s="307">
        <v>21</v>
      </c>
      <c r="Q450" s="307" t="s">
        <v>156</v>
      </c>
      <c r="R450" s="298" t="s">
        <v>156</v>
      </c>
      <c r="S450" s="297" t="s">
        <v>156</v>
      </c>
      <c r="T450" s="333" t="s">
        <v>156</v>
      </c>
      <c r="U450" s="307" t="s">
        <v>156</v>
      </c>
      <c r="V450" s="307"/>
      <c r="W450" s="307">
        <f t="shared" si="30"/>
        <v>0</v>
      </c>
      <c r="X450" s="307" t="str">
        <f t="shared" si="34"/>
        <v/>
      </c>
      <c r="Y450" s="307">
        <f t="shared" si="31"/>
        <v>0</v>
      </c>
      <c r="Z450" s="298"/>
    </row>
    <row r="451" s="282" customFormat="1" spans="1:26">
      <c r="A451" s="295" t="s">
        <v>536</v>
      </c>
      <c r="B451" s="296" t="s">
        <v>117</v>
      </c>
      <c r="C451" s="296" t="s">
        <v>45</v>
      </c>
      <c r="D451" s="295" t="s">
        <v>511</v>
      </c>
      <c r="E451" s="296" t="s">
        <v>554</v>
      </c>
      <c r="F451" s="296" t="s">
        <v>156</v>
      </c>
      <c r="G451" s="295" t="s">
        <v>513</v>
      </c>
      <c r="H451" s="295" t="s">
        <v>514</v>
      </c>
      <c r="I451" s="295"/>
      <c r="J451" s="304" t="s">
        <v>156</v>
      </c>
      <c r="K451" s="309" t="s">
        <v>156</v>
      </c>
      <c r="L451" s="306" t="s">
        <v>156</v>
      </c>
      <c r="M451" s="295" t="s">
        <v>156</v>
      </c>
      <c r="N451" s="306">
        <v>21.99</v>
      </c>
      <c r="O451" s="306" t="s">
        <v>156</v>
      </c>
      <c r="P451" s="307">
        <v>21.99</v>
      </c>
      <c r="Q451" s="307" t="s">
        <v>156</v>
      </c>
      <c r="R451" s="298" t="s">
        <v>156</v>
      </c>
      <c r="S451" s="297" t="s">
        <v>156</v>
      </c>
      <c r="T451" s="333" t="s">
        <v>156</v>
      </c>
      <c r="U451" s="307" t="s">
        <v>156</v>
      </c>
      <c r="V451" s="307"/>
      <c r="W451" s="307">
        <f t="shared" si="30"/>
        <v>0</v>
      </c>
      <c r="X451" s="307" t="str">
        <f t="shared" si="34"/>
        <v/>
      </c>
      <c r="Y451" s="307">
        <f t="shared" si="31"/>
        <v>0</v>
      </c>
      <c r="Z451" s="298"/>
    </row>
    <row r="452" s="282" customFormat="1" spans="1:26">
      <c r="A452" s="295" t="s">
        <v>1386</v>
      </c>
      <c r="B452" s="296" t="s">
        <v>117</v>
      </c>
      <c r="C452" s="296" t="s">
        <v>45</v>
      </c>
      <c r="D452" s="295" t="s">
        <v>511</v>
      </c>
      <c r="E452" s="296" t="s">
        <v>556</v>
      </c>
      <c r="F452" s="296" t="s">
        <v>156</v>
      </c>
      <c r="G452" s="295" t="s">
        <v>513</v>
      </c>
      <c r="H452" s="295" t="s">
        <v>514</v>
      </c>
      <c r="I452" s="295"/>
      <c r="J452" s="304" t="s">
        <v>156</v>
      </c>
      <c r="K452" s="309" t="s">
        <v>156</v>
      </c>
      <c r="L452" s="306" t="s">
        <v>156</v>
      </c>
      <c r="M452" s="295" t="s">
        <v>156</v>
      </c>
      <c r="N452" s="306">
        <v>23.17</v>
      </c>
      <c r="O452" s="306" t="s">
        <v>156</v>
      </c>
      <c r="P452" s="307">
        <v>23.17</v>
      </c>
      <c r="Q452" s="307" t="s">
        <v>156</v>
      </c>
      <c r="R452" s="298" t="s">
        <v>156</v>
      </c>
      <c r="S452" s="297" t="s">
        <v>156</v>
      </c>
      <c r="T452" s="333" t="s">
        <v>156</v>
      </c>
      <c r="U452" s="307" t="s">
        <v>156</v>
      </c>
      <c r="V452" s="307"/>
      <c r="W452" s="307">
        <f t="shared" si="30"/>
        <v>0</v>
      </c>
      <c r="X452" s="307" t="str">
        <f t="shared" si="34"/>
        <v/>
      </c>
      <c r="Y452" s="307">
        <f t="shared" si="31"/>
        <v>0</v>
      </c>
      <c r="Z452" s="298"/>
    </row>
    <row r="453" s="282" customFormat="1" spans="1:26">
      <c r="A453" s="295" t="s">
        <v>797</v>
      </c>
      <c r="B453" s="296" t="s">
        <v>117</v>
      </c>
      <c r="C453" s="296" t="s">
        <v>45</v>
      </c>
      <c r="D453" s="295" t="s">
        <v>511</v>
      </c>
      <c r="E453" s="296" t="s">
        <v>558</v>
      </c>
      <c r="F453" s="296" t="s">
        <v>156</v>
      </c>
      <c r="G453" s="295" t="s">
        <v>513</v>
      </c>
      <c r="H453" s="295" t="s">
        <v>514</v>
      </c>
      <c r="I453" s="295"/>
      <c r="J453" s="304" t="s">
        <v>156</v>
      </c>
      <c r="K453" s="309" t="s">
        <v>156</v>
      </c>
      <c r="L453" s="306" t="s">
        <v>156</v>
      </c>
      <c r="M453" s="295" t="s">
        <v>156</v>
      </c>
      <c r="N453" s="306">
        <v>21.12</v>
      </c>
      <c r="O453" s="306" t="s">
        <v>156</v>
      </c>
      <c r="P453" s="307">
        <v>21.12</v>
      </c>
      <c r="Q453" s="307" t="s">
        <v>156</v>
      </c>
      <c r="R453" s="298" t="s">
        <v>156</v>
      </c>
      <c r="S453" s="297" t="s">
        <v>156</v>
      </c>
      <c r="T453" s="333" t="s">
        <v>156</v>
      </c>
      <c r="U453" s="307" t="s">
        <v>156</v>
      </c>
      <c r="V453" s="307"/>
      <c r="W453" s="307">
        <f t="shared" si="30"/>
        <v>0</v>
      </c>
      <c r="X453" s="307" t="str">
        <f t="shared" si="34"/>
        <v/>
      </c>
      <c r="Y453" s="307">
        <f t="shared" si="31"/>
        <v>0</v>
      </c>
      <c r="Z453" s="298"/>
    </row>
    <row r="454" s="282" customFormat="1" spans="1:26">
      <c r="A454" s="295" t="s">
        <v>1387</v>
      </c>
      <c r="B454" s="296" t="s">
        <v>117</v>
      </c>
      <c r="C454" s="296" t="s">
        <v>45</v>
      </c>
      <c r="D454" s="295" t="s">
        <v>511</v>
      </c>
      <c r="E454" s="296" t="s">
        <v>560</v>
      </c>
      <c r="F454" s="296" t="s">
        <v>156</v>
      </c>
      <c r="G454" s="295" t="s">
        <v>513</v>
      </c>
      <c r="H454" s="295" t="s">
        <v>514</v>
      </c>
      <c r="I454" s="295"/>
      <c r="J454" s="304" t="s">
        <v>156</v>
      </c>
      <c r="K454" s="309" t="s">
        <v>156</v>
      </c>
      <c r="L454" s="306" t="s">
        <v>156</v>
      </c>
      <c r="M454" s="295" t="s">
        <v>156</v>
      </c>
      <c r="N454" s="306">
        <v>11.62</v>
      </c>
      <c r="O454" s="306" t="s">
        <v>156</v>
      </c>
      <c r="P454" s="307">
        <v>11.62</v>
      </c>
      <c r="Q454" s="307" t="s">
        <v>156</v>
      </c>
      <c r="R454" s="298" t="s">
        <v>156</v>
      </c>
      <c r="S454" s="297" t="s">
        <v>156</v>
      </c>
      <c r="T454" s="333" t="s">
        <v>156</v>
      </c>
      <c r="U454" s="307" t="s">
        <v>156</v>
      </c>
      <c r="V454" s="307"/>
      <c r="W454" s="307">
        <f t="shared" si="30"/>
        <v>0</v>
      </c>
      <c r="X454" s="307" t="str">
        <f t="shared" si="34"/>
        <v/>
      </c>
      <c r="Y454" s="307">
        <f t="shared" si="31"/>
        <v>0</v>
      </c>
      <c r="Z454" s="298"/>
    </row>
    <row r="455" s="282" customFormat="1" spans="1:26">
      <c r="A455" s="295" t="s">
        <v>1388</v>
      </c>
      <c r="B455" s="296" t="s">
        <v>316</v>
      </c>
      <c r="C455" s="296" t="s">
        <v>42</v>
      </c>
      <c r="D455" s="295" t="s">
        <v>42</v>
      </c>
      <c r="E455" s="296" t="s">
        <v>388</v>
      </c>
      <c r="F455" s="296" t="s">
        <v>156</v>
      </c>
      <c r="G455" s="295" t="s">
        <v>214</v>
      </c>
      <c r="H455" s="295" t="s">
        <v>389</v>
      </c>
      <c r="I455" s="295" t="s">
        <v>294</v>
      </c>
      <c r="J455" s="304">
        <v>20210008478</v>
      </c>
      <c r="K455" s="309" t="s">
        <v>1389</v>
      </c>
      <c r="L455" s="306">
        <v>1043759</v>
      </c>
      <c r="M455" s="295" t="s">
        <v>1390</v>
      </c>
      <c r="N455" s="306">
        <v>139.37</v>
      </c>
      <c r="O455" s="306" t="s">
        <v>156</v>
      </c>
      <c r="P455" s="307">
        <v>139.37</v>
      </c>
      <c r="Q455" s="307" t="s">
        <v>156</v>
      </c>
      <c r="R455" s="298" t="s">
        <v>156</v>
      </c>
      <c r="S455" s="563" t="s">
        <v>392</v>
      </c>
      <c r="T455" s="333" t="s">
        <v>1391</v>
      </c>
      <c r="U455" s="339">
        <v>957577.06</v>
      </c>
      <c r="V455" s="307">
        <f t="shared" ref="V455:V482" si="35">ROUND(U455*0.09,2)</f>
        <v>86181.94</v>
      </c>
      <c r="W455" s="307">
        <f t="shared" ref="W455:W518" si="36">SUM(U455)+SUM(V455)</f>
        <v>1043759</v>
      </c>
      <c r="X455" s="307">
        <f t="shared" si="34"/>
        <v>957577.06</v>
      </c>
      <c r="Y455" s="307">
        <f t="shared" ref="Y455:Y518" si="37">IF(SUM(P455)=0,"",ROUND(SUM(X455)/SUM(P455),2))</f>
        <v>6870.75</v>
      </c>
      <c r="Z455" s="298"/>
    </row>
    <row r="456" s="282" customFormat="1" spans="1:26">
      <c r="A456" s="295" t="s">
        <v>1392</v>
      </c>
      <c r="B456" s="296" t="s">
        <v>316</v>
      </c>
      <c r="C456" s="296" t="s">
        <v>42</v>
      </c>
      <c r="D456" s="295" t="s">
        <v>42</v>
      </c>
      <c r="E456" s="296" t="s">
        <v>395</v>
      </c>
      <c r="F456" s="296" t="s">
        <v>156</v>
      </c>
      <c r="G456" s="295" t="s">
        <v>214</v>
      </c>
      <c r="H456" s="295" t="s">
        <v>389</v>
      </c>
      <c r="I456" s="295" t="s">
        <v>294</v>
      </c>
      <c r="J456" s="304">
        <v>20220004082</v>
      </c>
      <c r="K456" s="309" t="s">
        <v>1393</v>
      </c>
      <c r="L456" s="306">
        <v>1056020</v>
      </c>
      <c r="M456" s="295" t="s">
        <v>1394</v>
      </c>
      <c r="N456" s="306">
        <v>138.95</v>
      </c>
      <c r="O456" s="306" t="s">
        <v>156</v>
      </c>
      <c r="P456" s="307">
        <v>138.95</v>
      </c>
      <c r="Q456" s="307" t="s">
        <v>156</v>
      </c>
      <c r="R456" s="298" t="s">
        <v>156</v>
      </c>
      <c r="S456" s="563" t="s">
        <v>392</v>
      </c>
      <c r="T456" s="333" t="s">
        <v>1395</v>
      </c>
      <c r="U456" s="339">
        <v>968825.69</v>
      </c>
      <c r="V456" s="307">
        <f t="shared" si="35"/>
        <v>87194.31</v>
      </c>
      <c r="W456" s="307">
        <f t="shared" si="36"/>
        <v>1056020</v>
      </c>
      <c r="X456" s="307">
        <f t="shared" si="34"/>
        <v>968825.69</v>
      </c>
      <c r="Y456" s="307">
        <f t="shared" si="37"/>
        <v>6972.48</v>
      </c>
      <c r="Z456" s="298"/>
    </row>
    <row r="457" s="282" customFormat="1" spans="1:26">
      <c r="A457" s="295" t="s">
        <v>1396</v>
      </c>
      <c r="B457" s="296" t="s">
        <v>316</v>
      </c>
      <c r="C457" s="296" t="s">
        <v>42</v>
      </c>
      <c r="D457" s="295" t="s">
        <v>45</v>
      </c>
      <c r="E457" s="296" t="s">
        <v>400</v>
      </c>
      <c r="F457" s="296" t="s">
        <v>156</v>
      </c>
      <c r="G457" s="295" t="s">
        <v>214</v>
      </c>
      <c r="H457" s="295" t="s">
        <v>389</v>
      </c>
      <c r="I457" s="295" t="s">
        <v>294</v>
      </c>
      <c r="J457" s="304">
        <v>20200008405</v>
      </c>
      <c r="K457" s="309" t="s">
        <v>884</v>
      </c>
      <c r="L457" s="306">
        <v>608863</v>
      </c>
      <c r="M457" s="295" t="s">
        <v>1397</v>
      </c>
      <c r="N457" s="306">
        <v>139.37</v>
      </c>
      <c r="O457" s="306" t="s">
        <v>156</v>
      </c>
      <c r="P457" s="307">
        <v>139.37</v>
      </c>
      <c r="Q457" s="307" t="s">
        <v>156</v>
      </c>
      <c r="R457" s="298" t="s">
        <v>156</v>
      </c>
      <c r="S457" s="563" t="s">
        <v>392</v>
      </c>
      <c r="T457" s="333" t="s">
        <v>1398</v>
      </c>
      <c r="U457" s="339">
        <v>558589.91</v>
      </c>
      <c r="V457" s="307">
        <f t="shared" si="35"/>
        <v>50273.09</v>
      </c>
      <c r="W457" s="307">
        <f t="shared" si="36"/>
        <v>608863</v>
      </c>
      <c r="X457" s="307">
        <f t="shared" si="34"/>
        <v>558589.91</v>
      </c>
      <c r="Y457" s="307">
        <f t="shared" si="37"/>
        <v>4007.96</v>
      </c>
      <c r="Z457" s="298"/>
    </row>
    <row r="458" s="282" customFormat="1" spans="1:26">
      <c r="A458" s="295" t="s">
        <v>1399</v>
      </c>
      <c r="B458" s="296" t="s">
        <v>316</v>
      </c>
      <c r="C458" s="296" t="s">
        <v>42</v>
      </c>
      <c r="D458" s="295" t="s">
        <v>45</v>
      </c>
      <c r="E458" s="296" t="s">
        <v>405</v>
      </c>
      <c r="F458" s="296" t="s">
        <v>156</v>
      </c>
      <c r="G458" s="295" t="s">
        <v>214</v>
      </c>
      <c r="H458" s="295" t="s">
        <v>389</v>
      </c>
      <c r="I458" s="295" t="s">
        <v>294</v>
      </c>
      <c r="J458" s="304">
        <v>20200008394</v>
      </c>
      <c r="K458" s="309" t="s">
        <v>884</v>
      </c>
      <c r="L458" s="306">
        <v>607028</v>
      </c>
      <c r="M458" s="295" t="s">
        <v>1400</v>
      </c>
      <c r="N458" s="306">
        <v>138.95</v>
      </c>
      <c r="O458" s="306" t="s">
        <v>156</v>
      </c>
      <c r="P458" s="307">
        <v>138.95</v>
      </c>
      <c r="Q458" s="307" t="s">
        <v>156</v>
      </c>
      <c r="R458" s="298" t="s">
        <v>156</v>
      </c>
      <c r="S458" s="563" t="s">
        <v>392</v>
      </c>
      <c r="T458" s="333" t="s">
        <v>1401</v>
      </c>
      <c r="U458" s="339">
        <v>556906.42</v>
      </c>
      <c r="V458" s="307">
        <f t="shared" si="35"/>
        <v>50121.58</v>
      </c>
      <c r="W458" s="307">
        <f t="shared" si="36"/>
        <v>607028</v>
      </c>
      <c r="X458" s="307">
        <f t="shared" si="34"/>
        <v>556906.42</v>
      </c>
      <c r="Y458" s="307">
        <f t="shared" si="37"/>
        <v>4007.96</v>
      </c>
      <c r="Z458" s="298"/>
    </row>
    <row r="459" s="282" customFormat="1" spans="1:26">
      <c r="A459" s="295" t="s">
        <v>1402</v>
      </c>
      <c r="B459" s="296" t="s">
        <v>316</v>
      </c>
      <c r="C459" s="296" t="s">
        <v>42</v>
      </c>
      <c r="D459" s="295" t="s">
        <v>48</v>
      </c>
      <c r="E459" s="296" t="s">
        <v>410</v>
      </c>
      <c r="F459" s="296" t="s">
        <v>156</v>
      </c>
      <c r="G459" s="295" t="s">
        <v>214</v>
      </c>
      <c r="H459" s="295" t="s">
        <v>389</v>
      </c>
      <c r="I459" s="295" t="s">
        <v>294</v>
      </c>
      <c r="J459" s="304">
        <v>20210000005</v>
      </c>
      <c r="K459" s="309" t="s">
        <v>1142</v>
      </c>
      <c r="L459" s="306">
        <v>615926</v>
      </c>
      <c r="M459" s="295" t="s">
        <v>477</v>
      </c>
      <c r="N459" s="306">
        <v>139.37</v>
      </c>
      <c r="O459" s="306" t="s">
        <v>156</v>
      </c>
      <c r="P459" s="307">
        <v>139.37</v>
      </c>
      <c r="Q459" s="307" t="s">
        <v>156</v>
      </c>
      <c r="R459" s="298" t="s">
        <v>156</v>
      </c>
      <c r="S459" s="563" t="s">
        <v>392</v>
      </c>
      <c r="T459" s="333" t="s">
        <v>1403</v>
      </c>
      <c r="U459" s="339">
        <v>565069.72</v>
      </c>
      <c r="V459" s="307">
        <f t="shared" si="35"/>
        <v>50856.27</v>
      </c>
      <c r="W459" s="307">
        <f t="shared" si="36"/>
        <v>615925.99</v>
      </c>
      <c r="X459" s="307">
        <f t="shared" si="34"/>
        <v>565069.72</v>
      </c>
      <c r="Y459" s="307">
        <f t="shared" si="37"/>
        <v>4054.46</v>
      </c>
      <c r="Z459" s="298"/>
    </row>
    <row r="460" s="282" customFormat="1" spans="1:26">
      <c r="A460" s="295" t="s">
        <v>1041</v>
      </c>
      <c r="B460" s="296" t="s">
        <v>316</v>
      </c>
      <c r="C460" s="296" t="s">
        <v>42</v>
      </c>
      <c r="D460" s="295" t="s">
        <v>48</v>
      </c>
      <c r="E460" s="296" t="s">
        <v>415</v>
      </c>
      <c r="F460" s="296" t="s">
        <v>156</v>
      </c>
      <c r="G460" s="295" t="s">
        <v>214</v>
      </c>
      <c r="H460" s="295" t="s">
        <v>389</v>
      </c>
      <c r="I460" s="295" t="s">
        <v>294</v>
      </c>
      <c r="J460" s="304">
        <v>20200008231</v>
      </c>
      <c r="K460" s="309" t="s">
        <v>480</v>
      </c>
      <c r="L460" s="306">
        <v>614070</v>
      </c>
      <c r="M460" s="295" t="s">
        <v>1404</v>
      </c>
      <c r="N460" s="306">
        <v>138.95</v>
      </c>
      <c r="O460" s="306" t="s">
        <v>156</v>
      </c>
      <c r="P460" s="307">
        <v>138.95</v>
      </c>
      <c r="Q460" s="307" t="s">
        <v>156</v>
      </c>
      <c r="R460" s="298" t="s">
        <v>156</v>
      </c>
      <c r="S460" s="563" t="s">
        <v>392</v>
      </c>
      <c r="T460" s="333" t="s">
        <v>1405</v>
      </c>
      <c r="U460" s="339">
        <v>563366.97</v>
      </c>
      <c r="V460" s="307">
        <f t="shared" si="35"/>
        <v>50703.03</v>
      </c>
      <c r="W460" s="307">
        <f t="shared" si="36"/>
        <v>614070</v>
      </c>
      <c r="X460" s="307">
        <f t="shared" si="34"/>
        <v>563366.97</v>
      </c>
      <c r="Y460" s="307">
        <f t="shared" si="37"/>
        <v>4054.46</v>
      </c>
      <c r="Z460" s="298"/>
    </row>
    <row r="461" s="282" customFormat="1" spans="1:26">
      <c r="A461" s="295" t="s">
        <v>1406</v>
      </c>
      <c r="B461" s="296" t="s">
        <v>316</v>
      </c>
      <c r="C461" s="296" t="s">
        <v>42</v>
      </c>
      <c r="D461" s="295" t="s">
        <v>92</v>
      </c>
      <c r="E461" s="296" t="s">
        <v>420</v>
      </c>
      <c r="F461" s="296" t="s">
        <v>156</v>
      </c>
      <c r="G461" s="295" t="s">
        <v>214</v>
      </c>
      <c r="H461" s="295" t="s">
        <v>389</v>
      </c>
      <c r="I461" s="295" t="s">
        <v>294</v>
      </c>
      <c r="J461" s="304">
        <v>20200012146</v>
      </c>
      <c r="K461" s="309" t="s">
        <v>1407</v>
      </c>
      <c r="L461" s="306">
        <v>623408</v>
      </c>
      <c r="M461" s="295" t="s">
        <v>1408</v>
      </c>
      <c r="N461" s="306">
        <v>139.37</v>
      </c>
      <c r="O461" s="306" t="s">
        <v>156</v>
      </c>
      <c r="P461" s="307">
        <v>139.37</v>
      </c>
      <c r="Q461" s="307" t="s">
        <v>156</v>
      </c>
      <c r="R461" s="298" t="s">
        <v>156</v>
      </c>
      <c r="S461" s="563" t="s">
        <v>392</v>
      </c>
      <c r="T461" s="333" t="s">
        <v>1409</v>
      </c>
      <c r="U461" s="339">
        <v>571933.94</v>
      </c>
      <c r="V461" s="307">
        <f t="shared" si="35"/>
        <v>51474.05</v>
      </c>
      <c r="W461" s="307">
        <f t="shared" si="36"/>
        <v>623407.99</v>
      </c>
      <c r="X461" s="307">
        <f t="shared" si="34"/>
        <v>571933.94</v>
      </c>
      <c r="Y461" s="307">
        <f t="shared" si="37"/>
        <v>4103.71</v>
      </c>
      <c r="Z461" s="298"/>
    </row>
    <row r="462" s="282" customFormat="1" spans="1:26">
      <c r="A462" s="295" t="s">
        <v>1410</v>
      </c>
      <c r="B462" s="296" t="s">
        <v>316</v>
      </c>
      <c r="C462" s="296" t="s">
        <v>42</v>
      </c>
      <c r="D462" s="295" t="s">
        <v>92</v>
      </c>
      <c r="E462" s="296" t="s">
        <v>425</v>
      </c>
      <c r="F462" s="296" t="s">
        <v>156</v>
      </c>
      <c r="G462" s="295" t="s">
        <v>214</v>
      </c>
      <c r="H462" s="295" t="s">
        <v>389</v>
      </c>
      <c r="I462" s="295" t="s">
        <v>294</v>
      </c>
      <c r="J462" s="304">
        <v>20200008142</v>
      </c>
      <c r="K462" s="309" t="s">
        <v>480</v>
      </c>
      <c r="L462" s="306">
        <v>619700</v>
      </c>
      <c r="M462" s="295" t="s">
        <v>1411</v>
      </c>
      <c r="N462" s="306">
        <v>138.95</v>
      </c>
      <c r="O462" s="306" t="s">
        <v>156</v>
      </c>
      <c r="P462" s="307">
        <v>138.95</v>
      </c>
      <c r="Q462" s="307" t="s">
        <v>156</v>
      </c>
      <c r="R462" s="298" t="s">
        <v>156</v>
      </c>
      <c r="S462" s="563" t="s">
        <v>392</v>
      </c>
      <c r="T462" s="333" t="s">
        <v>1412</v>
      </c>
      <c r="U462" s="339">
        <v>568532.11</v>
      </c>
      <c r="V462" s="307">
        <f t="shared" si="35"/>
        <v>51167.89</v>
      </c>
      <c r="W462" s="307">
        <f t="shared" si="36"/>
        <v>619700</v>
      </c>
      <c r="X462" s="307">
        <f t="shared" si="34"/>
        <v>568532.11</v>
      </c>
      <c r="Y462" s="307">
        <f t="shared" si="37"/>
        <v>4091.63</v>
      </c>
      <c r="Z462" s="298"/>
    </row>
    <row r="463" s="282" customFormat="1" spans="1:26">
      <c r="A463" s="295" t="s">
        <v>1413</v>
      </c>
      <c r="B463" s="296" t="s">
        <v>316</v>
      </c>
      <c r="C463" s="296" t="s">
        <v>42</v>
      </c>
      <c r="D463" s="295" t="s">
        <v>95</v>
      </c>
      <c r="E463" s="296" t="s">
        <v>430</v>
      </c>
      <c r="F463" s="296" t="s">
        <v>156</v>
      </c>
      <c r="G463" s="295" t="s">
        <v>214</v>
      </c>
      <c r="H463" s="295" t="s">
        <v>389</v>
      </c>
      <c r="I463" s="295" t="s">
        <v>294</v>
      </c>
      <c r="J463" s="304">
        <v>20200008010</v>
      </c>
      <c r="K463" s="309" t="s">
        <v>406</v>
      </c>
      <c r="L463" s="306">
        <v>630192</v>
      </c>
      <c r="M463" s="295" t="s">
        <v>1414</v>
      </c>
      <c r="N463" s="306">
        <v>139.37</v>
      </c>
      <c r="O463" s="306" t="s">
        <v>156</v>
      </c>
      <c r="P463" s="307">
        <v>139.37</v>
      </c>
      <c r="Q463" s="307" t="s">
        <v>156</v>
      </c>
      <c r="R463" s="298" t="s">
        <v>156</v>
      </c>
      <c r="S463" s="563" t="s">
        <v>392</v>
      </c>
      <c r="T463" s="333" t="s">
        <v>1415</v>
      </c>
      <c r="U463" s="339">
        <v>578157.8</v>
      </c>
      <c r="V463" s="307">
        <f t="shared" si="35"/>
        <v>52034.2</v>
      </c>
      <c r="W463" s="307">
        <f t="shared" si="36"/>
        <v>630192</v>
      </c>
      <c r="X463" s="307">
        <f t="shared" si="34"/>
        <v>578157.8</v>
      </c>
      <c r="Y463" s="307">
        <f t="shared" si="37"/>
        <v>4148.37</v>
      </c>
      <c r="Z463" s="298"/>
    </row>
    <row r="464" s="282" customFormat="1" ht="23.8" spans="1:26">
      <c r="A464" s="295" t="s">
        <v>1416</v>
      </c>
      <c r="B464" s="296" t="s">
        <v>316</v>
      </c>
      <c r="C464" s="296" t="s">
        <v>42</v>
      </c>
      <c r="D464" s="295" t="s">
        <v>95</v>
      </c>
      <c r="E464" s="296" t="s">
        <v>435</v>
      </c>
      <c r="F464" s="296" t="s">
        <v>156</v>
      </c>
      <c r="G464" s="295" t="s">
        <v>214</v>
      </c>
      <c r="H464" s="295" t="s">
        <v>389</v>
      </c>
      <c r="I464" s="295" t="s">
        <v>294</v>
      </c>
      <c r="J464" s="304">
        <v>20200010555</v>
      </c>
      <c r="K464" s="309" t="s">
        <v>1071</v>
      </c>
      <c r="L464" s="306">
        <v>627598</v>
      </c>
      <c r="M464" s="295" t="s">
        <v>1417</v>
      </c>
      <c r="N464" s="306">
        <v>138.95</v>
      </c>
      <c r="O464" s="306" t="s">
        <v>156</v>
      </c>
      <c r="P464" s="307">
        <v>138.95</v>
      </c>
      <c r="Q464" s="307" t="s">
        <v>156</v>
      </c>
      <c r="R464" s="298" t="s">
        <v>156</v>
      </c>
      <c r="S464" s="563" t="s">
        <v>392</v>
      </c>
      <c r="T464" s="333" t="s">
        <v>1418</v>
      </c>
      <c r="U464" s="339">
        <v>575777.98</v>
      </c>
      <c r="V464" s="307">
        <f t="shared" si="35"/>
        <v>51820.02</v>
      </c>
      <c r="W464" s="307">
        <f t="shared" si="36"/>
        <v>627598</v>
      </c>
      <c r="X464" s="307">
        <f t="shared" si="34"/>
        <v>575777.98</v>
      </c>
      <c r="Y464" s="307">
        <f t="shared" si="37"/>
        <v>4143.78</v>
      </c>
      <c r="Z464" s="298"/>
    </row>
    <row r="465" s="282" customFormat="1" ht="23.8" spans="1:26">
      <c r="A465" s="295" t="s">
        <v>1366</v>
      </c>
      <c r="B465" s="296" t="s">
        <v>316</v>
      </c>
      <c r="C465" s="296" t="s">
        <v>42</v>
      </c>
      <c r="D465" s="295" t="s">
        <v>99</v>
      </c>
      <c r="E465" s="296" t="s">
        <v>440</v>
      </c>
      <c r="F465" s="296" t="s">
        <v>156</v>
      </c>
      <c r="G465" s="295" t="s">
        <v>214</v>
      </c>
      <c r="H465" s="295" t="s">
        <v>389</v>
      </c>
      <c r="I465" s="295" t="s">
        <v>294</v>
      </c>
      <c r="J465" s="304">
        <v>20210001515</v>
      </c>
      <c r="K465" s="309" t="s">
        <v>1419</v>
      </c>
      <c r="L465" s="306">
        <v>636559</v>
      </c>
      <c r="M465" s="295" t="s">
        <v>1420</v>
      </c>
      <c r="N465" s="306">
        <v>139.37</v>
      </c>
      <c r="O465" s="306" t="s">
        <v>156</v>
      </c>
      <c r="P465" s="307">
        <v>139.37</v>
      </c>
      <c r="Q465" s="307" t="s">
        <v>156</v>
      </c>
      <c r="R465" s="298" t="s">
        <v>156</v>
      </c>
      <c r="S465" s="563" t="s">
        <v>392</v>
      </c>
      <c r="T465" s="333" t="s">
        <v>1421</v>
      </c>
      <c r="U465" s="339">
        <v>583999.08</v>
      </c>
      <c r="V465" s="307">
        <f t="shared" si="35"/>
        <v>52559.92</v>
      </c>
      <c r="W465" s="307">
        <f t="shared" si="36"/>
        <v>636559</v>
      </c>
      <c r="X465" s="307">
        <f t="shared" si="34"/>
        <v>583999.08</v>
      </c>
      <c r="Y465" s="307">
        <f t="shared" si="37"/>
        <v>4190.28</v>
      </c>
      <c r="Z465" s="298"/>
    </row>
    <row r="466" s="282" customFormat="1" spans="1:26">
      <c r="A466" s="295" t="s">
        <v>1422</v>
      </c>
      <c r="B466" s="296" t="s">
        <v>316</v>
      </c>
      <c r="C466" s="296" t="s">
        <v>42</v>
      </c>
      <c r="D466" s="295" t="s">
        <v>99</v>
      </c>
      <c r="E466" s="296" t="s">
        <v>444</v>
      </c>
      <c r="F466" s="296" t="s">
        <v>156</v>
      </c>
      <c r="G466" s="295" t="s">
        <v>214</v>
      </c>
      <c r="H466" s="295" t="s">
        <v>389</v>
      </c>
      <c r="I466" s="295" t="s">
        <v>294</v>
      </c>
      <c r="J466" s="304">
        <v>20200008363</v>
      </c>
      <c r="K466" s="309" t="s">
        <v>884</v>
      </c>
      <c r="L466" s="306">
        <v>633000</v>
      </c>
      <c r="M466" s="295" t="s">
        <v>1423</v>
      </c>
      <c r="N466" s="306">
        <v>138.95</v>
      </c>
      <c r="O466" s="306" t="s">
        <v>156</v>
      </c>
      <c r="P466" s="307">
        <v>138.95</v>
      </c>
      <c r="Q466" s="307" t="s">
        <v>156</v>
      </c>
      <c r="R466" s="298" t="s">
        <v>156</v>
      </c>
      <c r="S466" s="563" t="s">
        <v>392</v>
      </c>
      <c r="T466" s="333" t="s">
        <v>1424</v>
      </c>
      <c r="U466" s="339">
        <v>580733.94</v>
      </c>
      <c r="V466" s="307">
        <f t="shared" si="35"/>
        <v>52266.05</v>
      </c>
      <c r="W466" s="307">
        <f t="shared" si="36"/>
        <v>632999.99</v>
      </c>
      <c r="X466" s="307">
        <f t="shared" si="34"/>
        <v>580733.94</v>
      </c>
      <c r="Y466" s="307">
        <f t="shared" si="37"/>
        <v>4179.45</v>
      </c>
      <c r="Z466" s="298"/>
    </row>
    <row r="467" s="282" customFormat="1" spans="1:26">
      <c r="A467" s="295" t="s">
        <v>1374</v>
      </c>
      <c r="B467" s="296" t="s">
        <v>316</v>
      </c>
      <c r="C467" s="296" t="s">
        <v>42</v>
      </c>
      <c r="D467" s="295" t="s">
        <v>102</v>
      </c>
      <c r="E467" s="296" t="s">
        <v>448</v>
      </c>
      <c r="F467" s="296" t="s">
        <v>156</v>
      </c>
      <c r="G467" s="295" t="s">
        <v>215</v>
      </c>
      <c r="H467" s="295" t="s">
        <v>389</v>
      </c>
      <c r="I467" s="295" t="s">
        <v>294</v>
      </c>
      <c r="J467" s="304">
        <v>20200010908</v>
      </c>
      <c r="K467" s="309" t="s">
        <v>1425</v>
      </c>
      <c r="L467" s="306">
        <v>950000</v>
      </c>
      <c r="M467" s="295" t="s">
        <v>1426</v>
      </c>
      <c r="N467" s="306">
        <v>209.22</v>
      </c>
      <c r="O467" s="306" t="s">
        <v>156</v>
      </c>
      <c r="P467" s="307">
        <v>209.22</v>
      </c>
      <c r="Q467" s="307" t="s">
        <v>156</v>
      </c>
      <c r="R467" s="298" t="s">
        <v>156</v>
      </c>
      <c r="S467" s="563" t="s">
        <v>392</v>
      </c>
      <c r="T467" s="333" t="s">
        <v>1427</v>
      </c>
      <c r="U467" s="339">
        <v>871559.63</v>
      </c>
      <c r="V467" s="307">
        <f t="shared" si="35"/>
        <v>78440.37</v>
      </c>
      <c r="W467" s="307">
        <f t="shared" si="36"/>
        <v>950000</v>
      </c>
      <c r="X467" s="307">
        <f t="shared" si="34"/>
        <v>871559.63</v>
      </c>
      <c r="Y467" s="307">
        <f t="shared" si="37"/>
        <v>4165.76</v>
      </c>
      <c r="Z467" s="298"/>
    </row>
    <row r="468" s="282" customFormat="1" ht="23.8" spans="1:26">
      <c r="A468" s="295" t="s">
        <v>1428</v>
      </c>
      <c r="B468" s="296" t="s">
        <v>316</v>
      </c>
      <c r="C468" s="296" t="s">
        <v>42</v>
      </c>
      <c r="D468" s="295" t="s">
        <v>102</v>
      </c>
      <c r="E468" s="296" t="s">
        <v>452</v>
      </c>
      <c r="F468" s="296" t="s">
        <v>156</v>
      </c>
      <c r="G468" s="295" t="s">
        <v>215</v>
      </c>
      <c r="H468" s="295" t="s">
        <v>389</v>
      </c>
      <c r="I468" s="295" t="s">
        <v>294</v>
      </c>
      <c r="J468" s="304">
        <v>20200012255</v>
      </c>
      <c r="K468" s="309" t="s">
        <v>1330</v>
      </c>
      <c r="L468" s="306">
        <v>950000</v>
      </c>
      <c r="M468" s="295" t="s">
        <v>1429</v>
      </c>
      <c r="N468" s="306">
        <v>208.8</v>
      </c>
      <c r="O468" s="306" t="s">
        <v>156</v>
      </c>
      <c r="P468" s="307">
        <v>208.8</v>
      </c>
      <c r="Q468" s="307" t="s">
        <v>156</v>
      </c>
      <c r="R468" s="298" t="s">
        <v>156</v>
      </c>
      <c r="S468" s="563" t="s">
        <v>392</v>
      </c>
      <c r="T468" s="333" t="s">
        <v>1430</v>
      </c>
      <c r="U468" s="339">
        <v>871559.63</v>
      </c>
      <c r="V468" s="307">
        <f t="shared" si="35"/>
        <v>78440.37</v>
      </c>
      <c r="W468" s="307">
        <f t="shared" si="36"/>
        <v>950000</v>
      </c>
      <c r="X468" s="307">
        <f t="shared" si="34"/>
        <v>871559.63</v>
      </c>
      <c r="Y468" s="307">
        <f t="shared" si="37"/>
        <v>4174.14</v>
      </c>
      <c r="Z468" s="298"/>
    </row>
    <row r="469" s="282" customFormat="1" spans="1:26">
      <c r="A469" s="295" t="s">
        <v>1431</v>
      </c>
      <c r="B469" s="296" t="s">
        <v>316</v>
      </c>
      <c r="C469" s="296" t="s">
        <v>45</v>
      </c>
      <c r="D469" s="295" t="s">
        <v>42</v>
      </c>
      <c r="E469" s="296" t="s">
        <v>388</v>
      </c>
      <c r="F469" s="296" t="s">
        <v>156</v>
      </c>
      <c r="G469" s="295" t="s">
        <v>214</v>
      </c>
      <c r="H469" s="295" t="s">
        <v>389</v>
      </c>
      <c r="I469" s="295" t="s">
        <v>294</v>
      </c>
      <c r="J469" s="304">
        <v>20210005384</v>
      </c>
      <c r="K469" s="309" t="s">
        <v>1432</v>
      </c>
      <c r="L469" s="306">
        <v>1056020</v>
      </c>
      <c r="M469" s="295" t="s">
        <v>1433</v>
      </c>
      <c r="N469" s="306">
        <v>138.95</v>
      </c>
      <c r="O469" s="306" t="s">
        <v>156</v>
      </c>
      <c r="P469" s="307">
        <v>138.95</v>
      </c>
      <c r="Q469" s="307" t="s">
        <v>156</v>
      </c>
      <c r="R469" s="298" t="s">
        <v>156</v>
      </c>
      <c r="S469" s="563" t="s">
        <v>392</v>
      </c>
      <c r="T469" s="333" t="s">
        <v>1434</v>
      </c>
      <c r="U469" s="339">
        <v>968825.69</v>
      </c>
      <c r="V469" s="307">
        <f t="shared" si="35"/>
        <v>87194.31</v>
      </c>
      <c r="W469" s="307">
        <f t="shared" si="36"/>
        <v>1056020</v>
      </c>
      <c r="X469" s="307">
        <f t="shared" si="34"/>
        <v>968825.69</v>
      </c>
      <c r="Y469" s="307">
        <f t="shared" si="37"/>
        <v>6972.48</v>
      </c>
      <c r="Z469" s="298"/>
    </row>
    <row r="470" s="282" customFormat="1" spans="1:26">
      <c r="A470" s="295" t="s">
        <v>1435</v>
      </c>
      <c r="B470" s="296" t="s">
        <v>316</v>
      </c>
      <c r="C470" s="296" t="s">
        <v>45</v>
      </c>
      <c r="D470" s="295" t="s">
        <v>42</v>
      </c>
      <c r="E470" s="296" t="s">
        <v>395</v>
      </c>
      <c r="F470" s="296" t="s">
        <v>156</v>
      </c>
      <c r="G470" s="295" t="s">
        <v>214</v>
      </c>
      <c r="H470" s="295" t="s">
        <v>389</v>
      </c>
      <c r="I470" s="295" t="s">
        <v>294</v>
      </c>
      <c r="J470" s="304">
        <v>20210005382</v>
      </c>
      <c r="K470" s="309" t="s">
        <v>1432</v>
      </c>
      <c r="L470" s="306">
        <v>1059212</v>
      </c>
      <c r="M470" s="295" t="s">
        <v>1436</v>
      </c>
      <c r="N470" s="306">
        <v>139.37</v>
      </c>
      <c r="O470" s="306" t="s">
        <v>156</v>
      </c>
      <c r="P470" s="307">
        <v>139.37</v>
      </c>
      <c r="Q470" s="307" t="s">
        <v>156</v>
      </c>
      <c r="R470" s="298" t="s">
        <v>156</v>
      </c>
      <c r="S470" s="563" t="s">
        <v>392</v>
      </c>
      <c r="T470" s="333" t="s">
        <v>1437</v>
      </c>
      <c r="U470" s="339">
        <v>971754.13</v>
      </c>
      <c r="V470" s="307">
        <f t="shared" si="35"/>
        <v>87457.87</v>
      </c>
      <c r="W470" s="307">
        <f t="shared" si="36"/>
        <v>1059212</v>
      </c>
      <c r="X470" s="307">
        <f t="shared" si="34"/>
        <v>971754.13</v>
      </c>
      <c r="Y470" s="307">
        <f t="shared" si="37"/>
        <v>6972.48</v>
      </c>
      <c r="Z470" s="298"/>
    </row>
    <row r="471" s="282" customFormat="1" spans="1:26">
      <c r="A471" s="295" t="s">
        <v>1438</v>
      </c>
      <c r="B471" s="296" t="s">
        <v>316</v>
      </c>
      <c r="C471" s="296" t="s">
        <v>45</v>
      </c>
      <c r="D471" s="295" t="s">
        <v>45</v>
      </c>
      <c r="E471" s="296" t="s">
        <v>400</v>
      </c>
      <c r="F471" s="296" t="s">
        <v>156</v>
      </c>
      <c r="G471" s="295" t="s">
        <v>214</v>
      </c>
      <c r="H471" s="295" t="s">
        <v>389</v>
      </c>
      <c r="I471" s="295" t="s">
        <v>294</v>
      </c>
      <c r="J471" s="304">
        <v>20200009656</v>
      </c>
      <c r="K471" s="309" t="s">
        <v>605</v>
      </c>
      <c r="L471" s="306">
        <v>607028</v>
      </c>
      <c r="M471" s="295" t="s">
        <v>1439</v>
      </c>
      <c r="N471" s="306">
        <v>138.95</v>
      </c>
      <c r="O471" s="306" t="s">
        <v>156</v>
      </c>
      <c r="P471" s="307">
        <v>138.95</v>
      </c>
      <c r="Q471" s="307" t="s">
        <v>156</v>
      </c>
      <c r="R471" s="298" t="s">
        <v>156</v>
      </c>
      <c r="S471" s="563" t="s">
        <v>392</v>
      </c>
      <c r="T471" s="333" t="s">
        <v>1440</v>
      </c>
      <c r="U471" s="339">
        <v>556906.42</v>
      </c>
      <c r="V471" s="307">
        <f t="shared" si="35"/>
        <v>50121.58</v>
      </c>
      <c r="W471" s="307">
        <f t="shared" si="36"/>
        <v>607028</v>
      </c>
      <c r="X471" s="307">
        <f t="shared" si="34"/>
        <v>556906.42</v>
      </c>
      <c r="Y471" s="307">
        <f t="shared" si="37"/>
        <v>4007.96</v>
      </c>
      <c r="Z471" s="298"/>
    </row>
    <row r="472" s="282" customFormat="1" spans="1:26">
      <c r="A472" s="295" t="s">
        <v>1370</v>
      </c>
      <c r="B472" s="297" t="s">
        <v>316</v>
      </c>
      <c r="C472" s="297" t="s">
        <v>45</v>
      </c>
      <c r="D472" s="298" t="s">
        <v>45</v>
      </c>
      <c r="E472" s="297" t="s">
        <v>405</v>
      </c>
      <c r="F472" s="297" t="s">
        <v>156</v>
      </c>
      <c r="G472" s="295" t="s">
        <v>214</v>
      </c>
      <c r="H472" s="298" t="s">
        <v>389</v>
      </c>
      <c r="I472" s="295" t="s">
        <v>294</v>
      </c>
      <c r="J472" s="308">
        <v>20200009404</v>
      </c>
      <c r="K472" s="305" t="s">
        <v>824</v>
      </c>
      <c r="L472" s="307">
        <v>622984</v>
      </c>
      <c r="M472" s="298" t="s">
        <v>1441</v>
      </c>
      <c r="N472" s="307">
        <v>139.37</v>
      </c>
      <c r="O472" s="307" t="s">
        <v>156</v>
      </c>
      <c r="P472" s="307">
        <v>139.37</v>
      </c>
      <c r="Q472" s="307" t="s">
        <v>156</v>
      </c>
      <c r="R472" s="298" t="s">
        <v>156</v>
      </c>
      <c r="S472" s="563" t="s">
        <v>392</v>
      </c>
      <c r="T472" s="333" t="s">
        <v>1442</v>
      </c>
      <c r="U472" s="339">
        <v>571544.95</v>
      </c>
      <c r="V472" s="307">
        <f t="shared" si="35"/>
        <v>51439.05</v>
      </c>
      <c r="W472" s="307">
        <f t="shared" si="36"/>
        <v>622984</v>
      </c>
      <c r="X472" s="307">
        <f t="shared" si="34"/>
        <v>571544.95</v>
      </c>
      <c r="Y472" s="307">
        <f t="shared" si="37"/>
        <v>4100.92</v>
      </c>
      <c r="Z472" s="298"/>
    </row>
    <row r="473" s="282" customFormat="1" ht="23.8" spans="1:26">
      <c r="A473" s="295" t="s">
        <v>1443</v>
      </c>
      <c r="B473" s="296" t="s">
        <v>316</v>
      </c>
      <c r="C473" s="296" t="s">
        <v>45</v>
      </c>
      <c r="D473" s="295" t="s">
        <v>48</v>
      </c>
      <c r="E473" s="296" t="s">
        <v>410</v>
      </c>
      <c r="F473" s="296" t="s">
        <v>156</v>
      </c>
      <c r="G473" s="295" t="s">
        <v>214</v>
      </c>
      <c r="H473" s="295" t="s">
        <v>389</v>
      </c>
      <c r="I473" s="295" t="s">
        <v>294</v>
      </c>
      <c r="J473" s="304">
        <v>20210001514</v>
      </c>
      <c r="K473" s="309" t="s">
        <v>1419</v>
      </c>
      <c r="L473" s="306">
        <v>614070</v>
      </c>
      <c r="M473" s="295" t="s">
        <v>1444</v>
      </c>
      <c r="N473" s="306">
        <v>138.95</v>
      </c>
      <c r="O473" s="306" t="s">
        <v>156</v>
      </c>
      <c r="P473" s="307">
        <v>138.95</v>
      </c>
      <c r="Q473" s="307" t="s">
        <v>156</v>
      </c>
      <c r="R473" s="298" t="s">
        <v>156</v>
      </c>
      <c r="S473" s="563" t="s">
        <v>392</v>
      </c>
      <c r="T473" s="333" t="s">
        <v>1445</v>
      </c>
      <c r="U473" s="339">
        <v>563366.97</v>
      </c>
      <c r="V473" s="307">
        <f t="shared" si="35"/>
        <v>50703.03</v>
      </c>
      <c r="W473" s="307">
        <f t="shared" si="36"/>
        <v>614070</v>
      </c>
      <c r="X473" s="307">
        <f t="shared" si="34"/>
        <v>563366.97</v>
      </c>
      <c r="Y473" s="307">
        <f t="shared" si="37"/>
        <v>4054.46</v>
      </c>
      <c r="Z473" s="298"/>
    </row>
    <row r="474" s="282" customFormat="1" spans="1:26">
      <c r="A474" s="295" t="s">
        <v>1446</v>
      </c>
      <c r="B474" s="296" t="s">
        <v>316</v>
      </c>
      <c r="C474" s="296" t="s">
        <v>45</v>
      </c>
      <c r="D474" s="295" t="s">
        <v>48</v>
      </c>
      <c r="E474" s="296" t="s">
        <v>415</v>
      </c>
      <c r="F474" s="296" t="s">
        <v>156</v>
      </c>
      <c r="G474" s="295" t="s">
        <v>214</v>
      </c>
      <c r="H474" s="295" t="s">
        <v>389</v>
      </c>
      <c r="I474" s="295" t="s">
        <v>294</v>
      </c>
      <c r="J474" s="304">
        <v>20210005935</v>
      </c>
      <c r="K474" s="309" t="s">
        <v>1447</v>
      </c>
      <c r="L474" s="306">
        <v>687094</v>
      </c>
      <c r="M474" s="295" t="s">
        <v>1448</v>
      </c>
      <c r="N474" s="306">
        <v>139.37</v>
      </c>
      <c r="O474" s="306" t="s">
        <v>156</v>
      </c>
      <c r="P474" s="307">
        <v>139.37</v>
      </c>
      <c r="Q474" s="307" t="s">
        <v>156</v>
      </c>
      <c r="R474" s="298" t="s">
        <v>156</v>
      </c>
      <c r="S474" s="563" t="s">
        <v>392</v>
      </c>
      <c r="T474" s="333" t="s">
        <v>1449</v>
      </c>
      <c r="U474" s="340">
        <v>630361.47</v>
      </c>
      <c r="V474" s="307">
        <f t="shared" si="35"/>
        <v>56732.53</v>
      </c>
      <c r="W474" s="307">
        <f t="shared" si="36"/>
        <v>687094</v>
      </c>
      <c r="X474" s="307">
        <f t="shared" si="34"/>
        <v>630361.47</v>
      </c>
      <c r="Y474" s="307">
        <f t="shared" si="37"/>
        <v>4522.94</v>
      </c>
      <c r="Z474" s="298"/>
    </row>
    <row r="475" s="282" customFormat="1" spans="1:26">
      <c r="A475" s="295" t="s">
        <v>1039</v>
      </c>
      <c r="B475" s="296" t="s">
        <v>316</v>
      </c>
      <c r="C475" s="296" t="s">
        <v>45</v>
      </c>
      <c r="D475" s="295" t="s">
        <v>92</v>
      </c>
      <c r="E475" s="296" t="s">
        <v>420</v>
      </c>
      <c r="F475" s="296" t="s">
        <v>156</v>
      </c>
      <c r="G475" s="295" t="s">
        <v>214</v>
      </c>
      <c r="H475" s="295" t="s">
        <v>389</v>
      </c>
      <c r="I475" s="295" t="s">
        <v>294</v>
      </c>
      <c r="J475" s="304">
        <v>20200008520</v>
      </c>
      <c r="K475" s="309" t="s">
        <v>902</v>
      </c>
      <c r="L475" s="306">
        <v>619717</v>
      </c>
      <c r="M475" s="295" t="s">
        <v>1450</v>
      </c>
      <c r="N475" s="306">
        <v>138.95</v>
      </c>
      <c r="O475" s="306" t="s">
        <v>156</v>
      </c>
      <c r="P475" s="307">
        <v>138.95</v>
      </c>
      <c r="Q475" s="307" t="s">
        <v>156</v>
      </c>
      <c r="R475" s="298" t="s">
        <v>156</v>
      </c>
      <c r="S475" s="563" t="s">
        <v>392</v>
      </c>
      <c r="T475" s="333" t="s">
        <v>1451</v>
      </c>
      <c r="U475" s="339">
        <v>568547.71</v>
      </c>
      <c r="V475" s="307">
        <f t="shared" si="35"/>
        <v>51169.29</v>
      </c>
      <c r="W475" s="307">
        <f t="shared" si="36"/>
        <v>619717</v>
      </c>
      <c r="X475" s="307">
        <f t="shared" si="34"/>
        <v>568547.71</v>
      </c>
      <c r="Y475" s="307">
        <f t="shared" si="37"/>
        <v>4091.74</v>
      </c>
      <c r="Z475" s="298"/>
    </row>
    <row r="476" s="282" customFormat="1" spans="1:26">
      <c r="A476" s="295" t="s">
        <v>1452</v>
      </c>
      <c r="B476" s="296" t="s">
        <v>316</v>
      </c>
      <c r="C476" s="296" t="s">
        <v>45</v>
      </c>
      <c r="D476" s="295" t="s">
        <v>92</v>
      </c>
      <c r="E476" s="296" t="s">
        <v>425</v>
      </c>
      <c r="F476" s="296" t="s">
        <v>156</v>
      </c>
      <c r="G476" s="295" t="s">
        <v>214</v>
      </c>
      <c r="H476" s="295" t="s">
        <v>389</v>
      </c>
      <c r="I476" s="295" t="s">
        <v>294</v>
      </c>
      <c r="J476" s="304">
        <v>20200008528</v>
      </c>
      <c r="K476" s="309" t="s">
        <v>902</v>
      </c>
      <c r="L476" s="306">
        <v>623408</v>
      </c>
      <c r="M476" s="295" t="s">
        <v>1453</v>
      </c>
      <c r="N476" s="306">
        <v>139.37</v>
      </c>
      <c r="O476" s="306" t="s">
        <v>156</v>
      </c>
      <c r="P476" s="307">
        <v>139.37</v>
      </c>
      <c r="Q476" s="307" t="s">
        <v>156</v>
      </c>
      <c r="R476" s="298" t="s">
        <v>156</v>
      </c>
      <c r="S476" s="563" t="s">
        <v>392</v>
      </c>
      <c r="T476" s="333" t="s">
        <v>1454</v>
      </c>
      <c r="U476" s="339">
        <v>571933.94</v>
      </c>
      <c r="V476" s="307">
        <f t="shared" si="35"/>
        <v>51474.05</v>
      </c>
      <c r="W476" s="307">
        <f t="shared" si="36"/>
        <v>623407.99</v>
      </c>
      <c r="X476" s="307">
        <f t="shared" si="34"/>
        <v>571933.94</v>
      </c>
      <c r="Y476" s="307">
        <f t="shared" si="37"/>
        <v>4103.71</v>
      </c>
      <c r="Z476" s="298"/>
    </row>
    <row r="477" s="282" customFormat="1" spans="1:26">
      <c r="A477" s="295" t="s">
        <v>1455</v>
      </c>
      <c r="B477" s="297" t="s">
        <v>316</v>
      </c>
      <c r="C477" s="297" t="s">
        <v>45</v>
      </c>
      <c r="D477" s="298" t="s">
        <v>95</v>
      </c>
      <c r="E477" s="297" t="s">
        <v>430</v>
      </c>
      <c r="F477" s="297" t="s">
        <v>156</v>
      </c>
      <c r="G477" s="295" t="s">
        <v>214</v>
      </c>
      <c r="H477" s="298" t="s">
        <v>389</v>
      </c>
      <c r="I477" s="295" t="s">
        <v>294</v>
      </c>
      <c r="J477" s="308">
        <v>20210000725</v>
      </c>
      <c r="K477" s="305" t="s">
        <v>1456</v>
      </c>
      <c r="L477" s="307">
        <v>625000</v>
      </c>
      <c r="M477" s="298" t="s">
        <v>1457</v>
      </c>
      <c r="N477" s="307">
        <v>138.95</v>
      </c>
      <c r="O477" s="307" t="s">
        <v>156</v>
      </c>
      <c r="P477" s="307">
        <v>138.95</v>
      </c>
      <c r="Q477" s="307" t="s">
        <v>156</v>
      </c>
      <c r="R477" s="298" t="s">
        <v>156</v>
      </c>
      <c r="S477" s="563" t="s">
        <v>392</v>
      </c>
      <c r="T477" s="333" t="s">
        <v>1458</v>
      </c>
      <c r="U477" s="339">
        <v>573394.5</v>
      </c>
      <c r="V477" s="307">
        <f t="shared" si="35"/>
        <v>51605.51</v>
      </c>
      <c r="W477" s="307">
        <f t="shared" si="36"/>
        <v>625000.01</v>
      </c>
      <c r="X477" s="307">
        <f t="shared" si="34"/>
        <v>573394.5</v>
      </c>
      <c r="Y477" s="307">
        <f t="shared" si="37"/>
        <v>4126.62</v>
      </c>
      <c r="Z477" s="298"/>
    </row>
    <row r="478" s="282" customFormat="1" spans="1:26">
      <c r="A478" s="295" t="s">
        <v>1459</v>
      </c>
      <c r="B478" s="296" t="s">
        <v>316</v>
      </c>
      <c r="C478" s="296" t="s">
        <v>45</v>
      </c>
      <c r="D478" s="295" t="s">
        <v>95</v>
      </c>
      <c r="E478" s="296" t="s">
        <v>435</v>
      </c>
      <c r="F478" s="296" t="s">
        <v>156</v>
      </c>
      <c r="G478" s="295" t="s">
        <v>214</v>
      </c>
      <c r="H478" s="295" t="s">
        <v>389</v>
      </c>
      <c r="I478" s="295" t="s">
        <v>294</v>
      </c>
      <c r="J478" s="304">
        <v>20200011537</v>
      </c>
      <c r="K478" s="309" t="s">
        <v>1460</v>
      </c>
      <c r="L478" s="306">
        <v>630192</v>
      </c>
      <c r="M478" s="295" t="s">
        <v>1461</v>
      </c>
      <c r="N478" s="306">
        <v>139.37</v>
      </c>
      <c r="O478" s="306" t="s">
        <v>156</v>
      </c>
      <c r="P478" s="307">
        <v>139.37</v>
      </c>
      <c r="Q478" s="307" t="s">
        <v>156</v>
      </c>
      <c r="R478" s="298" t="s">
        <v>156</v>
      </c>
      <c r="S478" s="563" t="s">
        <v>392</v>
      </c>
      <c r="T478" s="333" t="s">
        <v>1462</v>
      </c>
      <c r="U478" s="339">
        <v>578157.8</v>
      </c>
      <c r="V478" s="307">
        <f t="shared" si="35"/>
        <v>52034.2</v>
      </c>
      <c r="W478" s="307">
        <f t="shared" si="36"/>
        <v>630192</v>
      </c>
      <c r="X478" s="307">
        <f t="shared" si="34"/>
        <v>578157.8</v>
      </c>
      <c r="Y478" s="307">
        <f t="shared" si="37"/>
        <v>4148.37</v>
      </c>
      <c r="Z478" s="298"/>
    </row>
    <row r="479" s="282" customFormat="1" spans="1:26">
      <c r="A479" s="295" t="s">
        <v>1463</v>
      </c>
      <c r="B479" s="296" t="s">
        <v>316</v>
      </c>
      <c r="C479" s="296" t="s">
        <v>45</v>
      </c>
      <c r="D479" s="295" t="s">
        <v>99</v>
      </c>
      <c r="E479" s="296" t="s">
        <v>440</v>
      </c>
      <c r="F479" s="296" t="s">
        <v>156</v>
      </c>
      <c r="G479" s="295" t="s">
        <v>214</v>
      </c>
      <c r="H479" s="295" t="s">
        <v>389</v>
      </c>
      <c r="I479" s="295" t="s">
        <v>294</v>
      </c>
      <c r="J479" s="304">
        <v>20200008087</v>
      </c>
      <c r="K479" s="309" t="s">
        <v>465</v>
      </c>
      <c r="L479" s="306">
        <v>633000</v>
      </c>
      <c r="M479" s="295" t="s">
        <v>1464</v>
      </c>
      <c r="N479" s="306">
        <v>138.95</v>
      </c>
      <c r="O479" s="306" t="s">
        <v>156</v>
      </c>
      <c r="P479" s="307">
        <v>138.95</v>
      </c>
      <c r="Q479" s="307" t="s">
        <v>156</v>
      </c>
      <c r="R479" s="298" t="s">
        <v>156</v>
      </c>
      <c r="S479" s="563" t="s">
        <v>392</v>
      </c>
      <c r="T479" s="333" t="s">
        <v>1465</v>
      </c>
      <c r="U479" s="320">
        <v>580733.94</v>
      </c>
      <c r="V479" s="307">
        <f t="shared" si="35"/>
        <v>52266.05</v>
      </c>
      <c r="W479" s="307">
        <f t="shared" si="36"/>
        <v>632999.99</v>
      </c>
      <c r="X479" s="307">
        <f t="shared" si="34"/>
        <v>580733.94</v>
      </c>
      <c r="Y479" s="307">
        <f t="shared" si="37"/>
        <v>4179.45</v>
      </c>
      <c r="Z479" s="298"/>
    </row>
    <row r="480" s="282" customFormat="1" spans="1:26">
      <c r="A480" s="295" t="s">
        <v>928</v>
      </c>
      <c r="B480" s="296" t="s">
        <v>316</v>
      </c>
      <c r="C480" s="296" t="s">
        <v>45</v>
      </c>
      <c r="D480" s="295" t="s">
        <v>99</v>
      </c>
      <c r="E480" s="296" t="s">
        <v>444</v>
      </c>
      <c r="F480" s="296" t="s">
        <v>156</v>
      </c>
      <c r="G480" s="295" t="s">
        <v>214</v>
      </c>
      <c r="H480" s="295" t="s">
        <v>389</v>
      </c>
      <c r="I480" s="295" t="s">
        <v>294</v>
      </c>
      <c r="J480" s="304">
        <v>20200008051</v>
      </c>
      <c r="K480" s="309" t="s">
        <v>406</v>
      </c>
      <c r="L480" s="306">
        <v>636559</v>
      </c>
      <c r="M480" s="295" t="s">
        <v>1466</v>
      </c>
      <c r="N480" s="306">
        <v>139.37</v>
      </c>
      <c r="O480" s="306" t="s">
        <v>156</v>
      </c>
      <c r="P480" s="307">
        <v>139.37</v>
      </c>
      <c r="Q480" s="307" t="s">
        <v>156</v>
      </c>
      <c r="R480" s="298" t="s">
        <v>156</v>
      </c>
      <c r="S480" s="563" t="s">
        <v>392</v>
      </c>
      <c r="T480" s="333" t="s">
        <v>1467</v>
      </c>
      <c r="U480" s="339">
        <v>583999.08</v>
      </c>
      <c r="V480" s="307">
        <f t="shared" si="35"/>
        <v>52559.92</v>
      </c>
      <c r="W480" s="307">
        <f t="shared" si="36"/>
        <v>636559</v>
      </c>
      <c r="X480" s="307">
        <f t="shared" si="34"/>
        <v>583999.08</v>
      </c>
      <c r="Y480" s="307">
        <f t="shared" si="37"/>
        <v>4190.28</v>
      </c>
      <c r="Z480" s="298"/>
    </row>
    <row r="481" s="282" customFormat="1" spans="1:26">
      <c r="A481" s="295" t="s">
        <v>1362</v>
      </c>
      <c r="B481" s="296" t="s">
        <v>316</v>
      </c>
      <c r="C481" s="296" t="s">
        <v>45</v>
      </c>
      <c r="D481" s="295" t="s">
        <v>102</v>
      </c>
      <c r="E481" s="296" t="s">
        <v>448</v>
      </c>
      <c r="F481" s="296" t="s">
        <v>156</v>
      </c>
      <c r="G481" s="295" t="s">
        <v>215</v>
      </c>
      <c r="H481" s="295" t="s">
        <v>389</v>
      </c>
      <c r="I481" s="295" t="s">
        <v>294</v>
      </c>
      <c r="J481" s="304">
        <v>20200011299</v>
      </c>
      <c r="K481" s="309" t="s">
        <v>1468</v>
      </c>
      <c r="L481" s="306">
        <v>942465</v>
      </c>
      <c r="M481" s="295" t="s">
        <v>1469</v>
      </c>
      <c r="N481" s="306">
        <v>208.8</v>
      </c>
      <c r="O481" s="306" t="s">
        <v>156</v>
      </c>
      <c r="P481" s="307">
        <v>208.8</v>
      </c>
      <c r="Q481" s="307" t="s">
        <v>156</v>
      </c>
      <c r="R481" s="298" t="s">
        <v>156</v>
      </c>
      <c r="S481" s="563" t="s">
        <v>392</v>
      </c>
      <c r="T481" s="333" t="s">
        <v>1470</v>
      </c>
      <c r="U481" s="339">
        <v>864646.79</v>
      </c>
      <c r="V481" s="307">
        <f t="shared" si="35"/>
        <v>77818.21</v>
      </c>
      <c r="W481" s="307">
        <f t="shared" si="36"/>
        <v>942465</v>
      </c>
      <c r="X481" s="307">
        <f t="shared" si="34"/>
        <v>864646.79</v>
      </c>
      <c r="Y481" s="307">
        <f t="shared" si="37"/>
        <v>4141.03</v>
      </c>
      <c r="Z481" s="298"/>
    </row>
    <row r="482" s="282" customFormat="1" ht="23.8" spans="1:26">
      <c r="A482" s="295" t="s">
        <v>1471</v>
      </c>
      <c r="B482" s="296" t="s">
        <v>316</v>
      </c>
      <c r="C482" s="296" t="s">
        <v>45</v>
      </c>
      <c r="D482" s="295" t="s">
        <v>102</v>
      </c>
      <c r="E482" s="296" t="s">
        <v>452</v>
      </c>
      <c r="F482" s="296" t="s">
        <v>156</v>
      </c>
      <c r="G482" s="295" t="s">
        <v>215</v>
      </c>
      <c r="H482" s="295" t="s">
        <v>389</v>
      </c>
      <c r="I482" s="295" t="s">
        <v>294</v>
      </c>
      <c r="J482" s="304">
        <v>20210002684</v>
      </c>
      <c r="K482" s="309" t="s">
        <v>1103</v>
      </c>
      <c r="L482" s="306">
        <v>895401</v>
      </c>
      <c r="M482" s="295" t="s">
        <v>1472</v>
      </c>
      <c r="N482" s="306">
        <v>209.22</v>
      </c>
      <c r="O482" s="306" t="s">
        <v>156</v>
      </c>
      <c r="P482" s="307">
        <v>209.22</v>
      </c>
      <c r="Q482" s="307" t="s">
        <v>156</v>
      </c>
      <c r="R482" s="298" t="s">
        <v>156</v>
      </c>
      <c r="S482" s="563" t="s">
        <v>392</v>
      </c>
      <c r="T482" s="333" t="s">
        <v>1473</v>
      </c>
      <c r="U482" s="339">
        <v>821468.81</v>
      </c>
      <c r="V482" s="307">
        <f t="shared" si="35"/>
        <v>73932.19</v>
      </c>
      <c r="W482" s="307">
        <f t="shared" si="36"/>
        <v>895401</v>
      </c>
      <c r="X482" s="307">
        <f t="shared" si="34"/>
        <v>821468.81</v>
      </c>
      <c r="Y482" s="307">
        <f t="shared" si="37"/>
        <v>3926.34</v>
      </c>
      <c r="Z482" s="298"/>
    </row>
    <row r="483" s="282" customFormat="1" spans="1:26">
      <c r="A483" s="295" t="s">
        <v>887</v>
      </c>
      <c r="B483" s="296" t="s">
        <v>316</v>
      </c>
      <c r="C483" s="296" t="s">
        <v>42</v>
      </c>
      <c r="D483" s="295" t="s">
        <v>511</v>
      </c>
      <c r="E483" s="296" t="s">
        <v>512</v>
      </c>
      <c r="F483" s="296" t="s">
        <v>156</v>
      </c>
      <c r="G483" s="295" t="s">
        <v>513</v>
      </c>
      <c r="H483" s="295" t="s">
        <v>514</v>
      </c>
      <c r="I483" s="295"/>
      <c r="J483" s="296" t="s">
        <v>156</v>
      </c>
      <c r="K483" s="309" t="s">
        <v>156</v>
      </c>
      <c r="L483" s="306" t="s">
        <v>156</v>
      </c>
      <c r="M483" s="295" t="s">
        <v>156</v>
      </c>
      <c r="N483" s="306">
        <v>10.3</v>
      </c>
      <c r="O483" s="306" t="s">
        <v>156</v>
      </c>
      <c r="P483" s="307">
        <v>10.3</v>
      </c>
      <c r="Q483" s="307" t="s">
        <v>156</v>
      </c>
      <c r="R483" s="298" t="s">
        <v>156</v>
      </c>
      <c r="S483" s="297" t="s">
        <v>156</v>
      </c>
      <c r="T483" s="333" t="s">
        <v>156</v>
      </c>
      <c r="U483" s="307" t="s">
        <v>156</v>
      </c>
      <c r="V483" s="307" t="s">
        <v>156</v>
      </c>
      <c r="W483" s="307">
        <f t="shared" si="36"/>
        <v>0</v>
      </c>
      <c r="X483" s="307"/>
      <c r="Y483" s="307">
        <f t="shared" si="37"/>
        <v>0</v>
      </c>
      <c r="Z483" s="298"/>
    </row>
    <row r="484" s="282" customFormat="1" spans="1:26">
      <c r="A484" s="295" t="s">
        <v>1474</v>
      </c>
      <c r="B484" s="296" t="s">
        <v>316</v>
      </c>
      <c r="C484" s="296" t="s">
        <v>42</v>
      </c>
      <c r="D484" s="295" t="s">
        <v>511</v>
      </c>
      <c r="E484" s="296" t="s">
        <v>516</v>
      </c>
      <c r="F484" s="296" t="s">
        <v>156</v>
      </c>
      <c r="G484" s="295" t="s">
        <v>513</v>
      </c>
      <c r="H484" s="295" t="s">
        <v>514</v>
      </c>
      <c r="I484" s="295"/>
      <c r="J484" s="296" t="s">
        <v>156</v>
      </c>
      <c r="K484" s="309" t="s">
        <v>156</v>
      </c>
      <c r="L484" s="306" t="s">
        <v>156</v>
      </c>
      <c r="M484" s="295" t="s">
        <v>156</v>
      </c>
      <c r="N484" s="306">
        <v>8.95</v>
      </c>
      <c r="O484" s="306" t="s">
        <v>156</v>
      </c>
      <c r="P484" s="307">
        <v>8.95</v>
      </c>
      <c r="Q484" s="307" t="s">
        <v>156</v>
      </c>
      <c r="R484" s="298" t="s">
        <v>156</v>
      </c>
      <c r="S484" s="297" t="s">
        <v>156</v>
      </c>
      <c r="T484" s="333" t="s">
        <v>156</v>
      </c>
      <c r="U484" s="307" t="s">
        <v>156</v>
      </c>
      <c r="V484" s="307" t="s">
        <v>156</v>
      </c>
      <c r="W484" s="307">
        <f t="shared" si="36"/>
        <v>0</v>
      </c>
      <c r="X484" s="307"/>
      <c r="Y484" s="307">
        <f t="shared" si="37"/>
        <v>0</v>
      </c>
      <c r="Z484" s="298"/>
    </row>
    <row r="485" s="282" customFormat="1" spans="1:26">
      <c r="A485" s="295" t="s">
        <v>898</v>
      </c>
      <c r="B485" s="296" t="s">
        <v>316</v>
      </c>
      <c r="C485" s="296" t="s">
        <v>42</v>
      </c>
      <c r="D485" s="295" t="s">
        <v>511</v>
      </c>
      <c r="E485" s="296" t="s">
        <v>518</v>
      </c>
      <c r="F485" s="296" t="s">
        <v>156</v>
      </c>
      <c r="G485" s="295" t="s">
        <v>513</v>
      </c>
      <c r="H485" s="295" t="s">
        <v>514</v>
      </c>
      <c r="I485" s="295"/>
      <c r="J485" s="296" t="s">
        <v>156</v>
      </c>
      <c r="K485" s="309" t="s">
        <v>156</v>
      </c>
      <c r="L485" s="306" t="s">
        <v>156</v>
      </c>
      <c r="M485" s="295" t="s">
        <v>156</v>
      </c>
      <c r="N485" s="306">
        <v>9.4</v>
      </c>
      <c r="O485" s="306" t="s">
        <v>156</v>
      </c>
      <c r="P485" s="307">
        <v>9.4</v>
      </c>
      <c r="Q485" s="307" t="s">
        <v>156</v>
      </c>
      <c r="R485" s="298" t="s">
        <v>156</v>
      </c>
      <c r="S485" s="297" t="s">
        <v>156</v>
      </c>
      <c r="T485" s="333" t="s">
        <v>156</v>
      </c>
      <c r="U485" s="307" t="s">
        <v>156</v>
      </c>
      <c r="V485" s="307" t="s">
        <v>156</v>
      </c>
      <c r="W485" s="307">
        <f t="shared" si="36"/>
        <v>0</v>
      </c>
      <c r="X485" s="307"/>
      <c r="Y485" s="307">
        <f t="shared" si="37"/>
        <v>0</v>
      </c>
      <c r="Z485" s="298"/>
    </row>
    <row r="486" s="282" customFormat="1" spans="1:26">
      <c r="A486" s="295" t="s">
        <v>1475</v>
      </c>
      <c r="B486" s="296" t="s">
        <v>316</v>
      </c>
      <c r="C486" s="296" t="s">
        <v>42</v>
      </c>
      <c r="D486" s="295" t="s">
        <v>511</v>
      </c>
      <c r="E486" s="296" t="s">
        <v>520</v>
      </c>
      <c r="F486" s="296" t="s">
        <v>156</v>
      </c>
      <c r="G486" s="295" t="s">
        <v>513</v>
      </c>
      <c r="H486" s="295" t="s">
        <v>514</v>
      </c>
      <c r="I486" s="295"/>
      <c r="J486" s="296" t="s">
        <v>156</v>
      </c>
      <c r="K486" s="309" t="s">
        <v>156</v>
      </c>
      <c r="L486" s="306" t="s">
        <v>156</v>
      </c>
      <c r="M486" s="295" t="s">
        <v>156</v>
      </c>
      <c r="N486" s="306">
        <v>8.95</v>
      </c>
      <c r="O486" s="306" t="s">
        <v>156</v>
      </c>
      <c r="P486" s="307">
        <v>8.95</v>
      </c>
      <c r="Q486" s="307" t="s">
        <v>156</v>
      </c>
      <c r="R486" s="298" t="s">
        <v>156</v>
      </c>
      <c r="S486" s="297" t="s">
        <v>156</v>
      </c>
      <c r="T486" s="333" t="s">
        <v>156</v>
      </c>
      <c r="U486" s="307" t="s">
        <v>156</v>
      </c>
      <c r="V486" s="307" t="s">
        <v>156</v>
      </c>
      <c r="W486" s="307">
        <f t="shared" si="36"/>
        <v>0</v>
      </c>
      <c r="X486" s="307"/>
      <c r="Y486" s="307">
        <f t="shared" si="37"/>
        <v>0</v>
      </c>
      <c r="Z486" s="298"/>
    </row>
    <row r="487" s="282" customFormat="1" spans="1:26">
      <c r="A487" s="295" t="s">
        <v>1476</v>
      </c>
      <c r="B487" s="296" t="s">
        <v>316</v>
      </c>
      <c r="C487" s="296" t="s">
        <v>42</v>
      </c>
      <c r="D487" s="295" t="s">
        <v>511</v>
      </c>
      <c r="E487" s="296" t="s">
        <v>522</v>
      </c>
      <c r="F487" s="296" t="s">
        <v>156</v>
      </c>
      <c r="G487" s="295" t="s">
        <v>513</v>
      </c>
      <c r="H487" s="295" t="s">
        <v>514</v>
      </c>
      <c r="I487" s="295"/>
      <c r="J487" s="296" t="s">
        <v>156</v>
      </c>
      <c r="K487" s="309" t="s">
        <v>156</v>
      </c>
      <c r="L487" s="306" t="s">
        <v>156</v>
      </c>
      <c r="M487" s="295" t="s">
        <v>156</v>
      </c>
      <c r="N487" s="306">
        <v>8.22</v>
      </c>
      <c r="O487" s="306" t="s">
        <v>156</v>
      </c>
      <c r="P487" s="307">
        <v>8.22</v>
      </c>
      <c r="Q487" s="307" t="s">
        <v>156</v>
      </c>
      <c r="R487" s="298" t="s">
        <v>156</v>
      </c>
      <c r="S487" s="297" t="s">
        <v>156</v>
      </c>
      <c r="T487" s="333" t="s">
        <v>156</v>
      </c>
      <c r="U487" s="307" t="s">
        <v>156</v>
      </c>
      <c r="V487" s="307" t="s">
        <v>156</v>
      </c>
      <c r="W487" s="307">
        <f t="shared" si="36"/>
        <v>0</v>
      </c>
      <c r="X487" s="307"/>
      <c r="Y487" s="307">
        <f t="shared" si="37"/>
        <v>0</v>
      </c>
      <c r="Z487" s="298"/>
    </row>
    <row r="488" s="282" customFormat="1" spans="1:26">
      <c r="A488" s="295" t="s">
        <v>1341</v>
      </c>
      <c r="B488" s="296" t="s">
        <v>316</v>
      </c>
      <c r="C488" s="296" t="s">
        <v>42</v>
      </c>
      <c r="D488" s="295" t="s">
        <v>511</v>
      </c>
      <c r="E488" s="296" t="s">
        <v>524</v>
      </c>
      <c r="F488" s="296" t="s">
        <v>156</v>
      </c>
      <c r="G488" s="295" t="s">
        <v>513</v>
      </c>
      <c r="H488" s="295" t="s">
        <v>514</v>
      </c>
      <c r="I488" s="295"/>
      <c r="J488" s="296" t="s">
        <v>156</v>
      </c>
      <c r="K488" s="309" t="s">
        <v>156</v>
      </c>
      <c r="L488" s="306" t="s">
        <v>156</v>
      </c>
      <c r="M488" s="295" t="s">
        <v>156</v>
      </c>
      <c r="N488" s="306">
        <v>76.79</v>
      </c>
      <c r="O488" s="306" t="s">
        <v>156</v>
      </c>
      <c r="P488" s="307">
        <v>76.79</v>
      </c>
      <c r="Q488" s="307" t="s">
        <v>156</v>
      </c>
      <c r="R488" s="298" t="s">
        <v>156</v>
      </c>
      <c r="S488" s="297" t="s">
        <v>156</v>
      </c>
      <c r="T488" s="333" t="s">
        <v>156</v>
      </c>
      <c r="U488" s="307" t="s">
        <v>156</v>
      </c>
      <c r="V488" s="307" t="s">
        <v>156</v>
      </c>
      <c r="W488" s="307">
        <f t="shared" si="36"/>
        <v>0</v>
      </c>
      <c r="X488" s="307"/>
      <c r="Y488" s="307">
        <f t="shared" si="37"/>
        <v>0</v>
      </c>
      <c r="Z488" s="298"/>
    </row>
    <row r="489" s="282" customFormat="1" spans="1:26">
      <c r="A489" s="295" t="s">
        <v>1438</v>
      </c>
      <c r="B489" s="296" t="s">
        <v>316</v>
      </c>
      <c r="C489" s="296" t="s">
        <v>42</v>
      </c>
      <c r="D489" s="295" t="s">
        <v>511</v>
      </c>
      <c r="E489" s="296" t="s">
        <v>526</v>
      </c>
      <c r="F489" s="296" t="s">
        <v>156</v>
      </c>
      <c r="G489" s="295" t="s">
        <v>513</v>
      </c>
      <c r="H489" s="295" t="s">
        <v>514</v>
      </c>
      <c r="I489" s="295"/>
      <c r="J489" s="296" t="s">
        <v>156</v>
      </c>
      <c r="K489" s="309" t="s">
        <v>156</v>
      </c>
      <c r="L489" s="306" t="s">
        <v>156</v>
      </c>
      <c r="M489" s="295" t="s">
        <v>156</v>
      </c>
      <c r="N489" s="306">
        <v>14.58</v>
      </c>
      <c r="O489" s="306" t="s">
        <v>156</v>
      </c>
      <c r="P489" s="307">
        <v>14.58</v>
      </c>
      <c r="Q489" s="307" t="s">
        <v>156</v>
      </c>
      <c r="R489" s="298" t="s">
        <v>156</v>
      </c>
      <c r="S489" s="297" t="s">
        <v>156</v>
      </c>
      <c r="T489" s="333" t="s">
        <v>156</v>
      </c>
      <c r="U489" s="307" t="s">
        <v>156</v>
      </c>
      <c r="V489" s="307" t="s">
        <v>156</v>
      </c>
      <c r="W489" s="307">
        <f t="shared" si="36"/>
        <v>0</v>
      </c>
      <c r="X489" s="307"/>
      <c r="Y489" s="307">
        <f t="shared" si="37"/>
        <v>0</v>
      </c>
      <c r="Z489" s="298"/>
    </row>
    <row r="490" s="282" customFormat="1" spans="1:26">
      <c r="A490" s="295" t="s">
        <v>1477</v>
      </c>
      <c r="B490" s="296" t="s">
        <v>316</v>
      </c>
      <c r="C490" s="296" t="s">
        <v>42</v>
      </c>
      <c r="D490" s="295" t="s">
        <v>511</v>
      </c>
      <c r="E490" s="296" t="s">
        <v>528</v>
      </c>
      <c r="F490" s="296" t="s">
        <v>156</v>
      </c>
      <c r="G490" s="295" t="s">
        <v>513</v>
      </c>
      <c r="H490" s="295" t="s">
        <v>514</v>
      </c>
      <c r="I490" s="295"/>
      <c r="J490" s="296" t="s">
        <v>156</v>
      </c>
      <c r="K490" s="309" t="s">
        <v>156</v>
      </c>
      <c r="L490" s="306" t="s">
        <v>156</v>
      </c>
      <c r="M490" s="295" t="s">
        <v>156</v>
      </c>
      <c r="N490" s="306">
        <v>14.58</v>
      </c>
      <c r="O490" s="306" t="s">
        <v>156</v>
      </c>
      <c r="P490" s="307">
        <v>14.58</v>
      </c>
      <c r="Q490" s="307" t="s">
        <v>156</v>
      </c>
      <c r="R490" s="298" t="s">
        <v>156</v>
      </c>
      <c r="S490" s="297" t="s">
        <v>156</v>
      </c>
      <c r="T490" s="333" t="s">
        <v>156</v>
      </c>
      <c r="U490" s="307" t="s">
        <v>156</v>
      </c>
      <c r="V490" s="307" t="s">
        <v>156</v>
      </c>
      <c r="W490" s="307">
        <f t="shared" si="36"/>
        <v>0</v>
      </c>
      <c r="X490" s="307"/>
      <c r="Y490" s="307">
        <f t="shared" si="37"/>
        <v>0</v>
      </c>
      <c r="Z490" s="298"/>
    </row>
    <row r="491" s="282" customFormat="1" spans="1:26">
      <c r="A491" s="295" t="s">
        <v>1287</v>
      </c>
      <c r="B491" s="296" t="s">
        <v>316</v>
      </c>
      <c r="C491" s="296" t="s">
        <v>42</v>
      </c>
      <c r="D491" s="295" t="s">
        <v>511</v>
      </c>
      <c r="E491" s="296" t="s">
        <v>529</v>
      </c>
      <c r="F491" s="296" t="s">
        <v>156</v>
      </c>
      <c r="G491" s="295" t="s">
        <v>513</v>
      </c>
      <c r="H491" s="295" t="s">
        <v>514</v>
      </c>
      <c r="I491" s="295"/>
      <c r="J491" s="296" t="s">
        <v>156</v>
      </c>
      <c r="K491" s="309" t="s">
        <v>156</v>
      </c>
      <c r="L491" s="306" t="s">
        <v>156</v>
      </c>
      <c r="M491" s="295" t="s">
        <v>156</v>
      </c>
      <c r="N491" s="306">
        <v>76.79</v>
      </c>
      <c r="O491" s="306" t="s">
        <v>156</v>
      </c>
      <c r="P491" s="307">
        <v>76.79</v>
      </c>
      <c r="Q491" s="307" t="s">
        <v>156</v>
      </c>
      <c r="R491" s="298" t="s">
        <v>156</v>
      </c>
      <c r="S491" s="297" t="s">
        <v>156</v>
      </c>
      <c r="T491" s="333" t="s">
        <v>156</v>
      </c>
      <c r="U491" s="307" t="s">
        <v>156</v>
      </c>
      <c r="V491" s="307" t="s">
        <v>156</v>
      </c>
      <c r="W491" s="307">
        <f t="shared" si="36"/>
        <v>0</v>
      </c>
      <c r="X491" s="307"/>
      <c r="Y491" s="307">
        <f t="shared" si="37"/>
        <v>0</v>
      </c>
      <c r="Z491" s="298"/>
    </row>
    <row r="492" s="282" customFormat="1" spans="1:26">
      <c r="A492" s="295" t="s">
        <v>1478</v>
      </c>
      <c r="B492" s="296" t="s">
        <v>316</v>
      </c>
      <c r="C492" s="296" t="s">
        <v>42</v>
      </c>
      <c r="D492" s="295" t="s">
        <v>511</v>
      </c>
      <c r="E492" s="296" t="s">
        <v>531</v>
      </c>
      <c r="F492" s="296" t="s">
        <v>156</v>
      </c>
      <c r="G492" s="295" t="s">
        <v>513</v>
      </c>
      <c r="H492" s="295" t="s">
        <v>514</v>
      </c>
      <c r="I492" s="295"/>
      <c r="J492" s="296" t="s">
        <v>156</v>
      </c>
      <c r="K492" s="309" t="s">
        <v>156</v>
      </c>
      <c r="L492" s="306" t="s">
        <v>156</v>
      </c>
      <c r="M492" s="295" t="s">
        <v>156</v>
      </c>
      <c r="N492" s="306">
        <v>8.22</v>
      </c>
      <c r="O492" s="306" t="s">
        <v>156</v>
      </c>
      <c r="P492" s="307">
        <v>8.22</v>
      </c>
      <c r="Q492" s="307" t="s">
        <v>156</v>
      </c>
      <c r="R492" s="298" t="s">
        <v>156</v>
      </c>
      <c r="S492" s="297" t="s">
        <v>156</v>
      </c>
      <c r="T492" s="333" t="s">
        <v>156</v>
      </c>
      <c r="U492" s="307" t="s">
        <v>156</v>
      </c>
      <c r="V492" s="307" t="s">
        <v>156</v>
      </c>
      <c r="W492" s="307">
        <f t="shared" si="36"/>
        <v>0</v>
      </c>
      <c r="X492" s="307"/>
      <c r="Y492" s="307">
        <f t="shared" si="37"/>
        <v>0</v>
      </c>
      <c r="Z492" s="298"/>
    </row>
    <row r="493" s="282" customFormat="1" spans="1:26">
      <c r="A493" s="295" t="s">
        <v>1171</v>
      </c>
      <c r="B493" s="296" t="s">
        <v>316</v>
      </c>
      <c r="C493" s="296" t="s">
        <v>42</v>
      </c>
      <c r="D493" s="295" t="s">
        <v>511</v>
      </c>
      <c r="E493" s="296" t="s">
        <v>533</v>
      </c>
      <c r="F493" s="296" t="s">
        <v>156</v>
      </c>
      <c r="G493" s="295" t="s">
        <v>513</v>
      </c>
      <c r="H493" s="295" t="s">
        <v>514</v>
      </c>
      <c r="I493" s="295"/>
      <c r="J493" s="296" t="s">
        <v>156</v>
      </c>
      <c r="K493" s="309" t="s">
        <v>156</v>
      </c>
      <c r="L493" s="306" t="s">
        <v>156</v>
      </c>
      <c r="M493" s="295" t="s">
        <v>156</v>
      </c>
      <c r="N493" s="306">
        <v>8.95</v>
      </c>
      <c r="O493" s="306" t="s">
        <v>156</v>
      </c>
      <c r="P493" s="307">
        <v>8.95</v>
      </c>
      <c r="Q493" s="307" t="s">
        <v>156</v>
      </c>
      <c r="R493" s="298" t="s">
        <v>156</v>
      </c>
      <c r="S493" s="297" t="s">
        <v>156</v>
      </c>
      <c r="T493" s="333" t="s">
        <v>156</v>
      </c>
      <c r="U493" s="307" t="s">
        <v>156</v>
      </c>
      <c r="V493" s="307" t="s">
        <v>156</v>
      </c>
      <c r="W493" s="307">
        <f t="shared" si="36"/>
        <v>0</v>
      </c>
      <c r="X493" s="307"/>
      <c r="Y493" s="307">
        <f t="shared" si="37"/>
        <v>0</v>
      </c>
      <c r="Z493" s="298"/>
    </row>
    <row r="494" s="282" customFormat="1" spans="1:26">
      <c r="A494" s="295" t="s">
        <v>1479</v>
      </c>
      <c r="B494" s="296" t="s">
        <v>316</v>
      </c>
      <c r="C494" s="296" t="s">
        <v>42</v>
      </c>
      <c r="D494" s="295" t="s">
        <v>511</v>
      </c>
      <c r="E494" s="296" t="s">
        <v>535</v>
      </c>
      <c r="F494" s="296" t="s">
        <v>156</v>
      </c>
      <c r="G494" s="295" t="s">
        <v>513</v>
      </c>
      <c r="H494" s="295" t="s">
        <v>514</v>
      </c>
      <c r="I494" s="295"/>
      <c r="J494" s="296" t="s">
        <v>156</v>
      </c>
      <c r="K494" s="309" t="s">
        <v>156</v>
      </c>
      <c r="L494" s="306" t="s">
        <v>156</v>
      </c>
      <c r="M494" s="295" t="s">
        <v>156</v>
      </c>
      <c r="N494" s="306">
        <v>9.4</v>
      </c>
      <c r="O494" s="306" t="s">
        <v>156</v>
      </c>
      <c r="P494" s="307">
        <v>9.4</v>
      </c>
      <c r="Q494" s="307" t="s">
        <v>156</v>
      </c>
      <c r="R494" s="298" t="s">
        <v>156</v>
      </c>
      <c r="S494" s="297" t="s">
        <v>156</v>
      </c>
      <c r="T494" s="333" t="s">
        <v>156</v>
      </c>
      <c r="U494" s="307" t="s">
        <v>156</v>
      </c>
      <c r="V494" s="307" t="s">
        <v>156</v>
      </c>
      <c r="W494" s="307">
        <f t="shared" si="36"/>
        <v>0</v>
      </c>
      <c r="X494" s="307"/>
      <c r="Y494" s="307">
        <f t="shared" si="37"/>
        <v>0</v>
      </c>
      <c r="Z494" s="298"/>
    </row>
    <row r="495" s="282" customFormat="1" spans="1:26">
      <c r="A495" s="295" t="s">
        <v>876</v>
      </c>
      <c r="B495" s="296" t="s">
        <v>316</v>
      </c>
      <c r="C495" s="296" t="s">
        <v>42</v>
      </c>
      <c r="D495" s="295" t="s">
        <v>511</v>
      </c>
      <c r="E495" s="296" t="s">
        <v>537</v>
      </c>
      <c r="F495" s="296" t="s">
        <v>156</v>
      </c>
      <c r="G495" s="295" t="s">
        <v>513</v>
      </c>
      <c r="H495" s="295" t="s">
        <v>514</v>
      </c>
      <c r="I495" s="295"/>
      <c r="J495" s="296" t="s">
        <v>156</v>
      </c>
      <c r="K495" s="309" t="s">
        <v>156</v>
      </c>
      <c r="L495" s="306" t="s">
        <v>156</v>
      </c>
      <c r="M495" s="295" t="s">
        <v>156</v>
      </c>
      <c r="N495" s="306">
        <v>8.95</v>
      </c>
      <c r="O495" s="306" t="s">
        <v>156</v>
      </c>
      <c r="P495" s="307">
        <v>8.95</v>
      </c>
      <c r="Q495" s="307" t="s">
        <v>156</v>
      </c>
      <c r="R495" s="298" t="s">
        <v>156</v>
      </c>
      <c r="S495" s="297" t="s">
        <v>156</v>
      </c>
      <c r="T495" s="333" t="s">
        <v>156</v>
      </c>
      <c r="U495" s="307" t="s">
        <v>156</v>
      </c>
      <c r="V495" s="307" t="s">
        <v>156</v>
      </c>
      <c r="W495" s="307">
        <f t="shared" si="36"/>
        <v>0</v>
      </c>
      <c r="X495" s="307"/>
      <c r="Y495" s="307">
        <f t="shared" si="37"/>
        <v>0</v>
      </c>
      <c r="Z495" s="298"/>
    </row>
    <row r="496" s="282" customFormat="1" spans="1:26">
      <c r="A496" s="295" t="s">
        <v>720</v>
      </c>
      <c r="B496" s="296" t="s">
        <v>316</v>
      </c>
      <c r="C496" s="296" t="s">
        <v>42</v>
      </c>
      <c r="D496" s="295" t="s">
        <v>511</v>
      </c>
      <c r="E496" s="296" t="s">
        <v>539</v>
      </c>
      <c r="F496" s="296" t="s">
        <v>156</v>
      </c>
      <c r="G496" s="295" t="s">
        <v>513</v>
      </c>
      <c r="H496" s="295" t="s">
        <v>514</v>
      </c>
      <c r="I496" s="295"/>
      <c r="J496" s="296" t="s">
        <v>156</v>
      </c>
      <c r="K496" s="309" t="s">
        <v>156</v>
      </c>
      <c r="L496" s="306" t="s">
        <v>156</v>
      </c>
      <c r="M496" s="295" t="s">
        <v>156</v>
      </c>
      <c r="N496" s="306">
        <v>8.95</v>
      </c>
      <c r="O496" s="306" t="s">
        <v>156</v>
      </c>
      <c r="P496" s="307">
        <v>8.95</v>
      </c>
      <c r="Q496" s="307" t="s">
        <v>156</v>
      </c>
      <c r="R496" s="298" t="s">
        <v>156</v>
      </c>
      <c r="S496" s="297" t="s">
        <v>156</v>
      </c>
      <c r="T496" s="333" t="s">
        <v>156</v>
      </c>
      <c r="U496" s="307" t="s">
        <v>156</v>
      </c>
      <c r="V496" s="307" t="s">
        <v>156</v>
      </c>
      <c r="W496" s="307">
        <f t="shared" si="36"/>
        <v>0</v>
      </c>
      <c r="X496" s="307"/>
      <c r="Y496" s="307">
        <f t="shared" si="37"/>
        <v>0</v>
      </c>
      <c r="Z496" s="298"/>
    </row>
    <row r="497" s="282" customFormat="1" spans="1:26">
      <c r="A497" s="295" t="s">
        <v>1480</v>
      </c>
      <c r="B497" s="296" t="s">
        <v>316</v>
      </c>
      <c r="C497" s="296" t="s">
        <v>45</v>
      </c>
      <c r="D497" s="295" t="s">
        <v>511</v>
      </c>
      <c r="E497" s="296" t="s">
        <v>541</v>
      </c>
      <c r="F497" s="296" t="s">
        <v>156</v>
      </c>
      <c r="G497" s="295" t="s">
        <v>513</v>
      </c>
      <c r="H497" s="295" t="s">
        <v>514</v>
      </c>
      <c r="I497" s="295"/>
      <c r="J497" s="304" t="s">
        <v>156</v>
      </c>
      <c r="K497" s="309" t="s">
        <v>156</v>
      </c>
      <c r="L497" s="306" t="s">
        <v>156</v>
      </c>
      <c r="M497" s="295" t="s">
        <v>156</v>
      </c>
      <c r="N497" s="306">
        <v>10.3</v>
      </c>
      <c r="O497" s="306" t="s">
        <v>156</v>
      </c>
      <c r="P497" s="307">
        <v>10.3</v>
      </c>
      <c r="Q497" s="307" t="s">
        <v>156</v>
      </c>
      <c r="R497" s="298" t="s">
        <v>156</v>
      </c>
      <c r="S497" s="297" t="s">
        <v>156</v>
      </c>
      <c r="T497" s="333" t="s">
        <v>156</v>
      </c>
      <c r="U497" s="307" t="s">
        <v>156</v>
      </c>
      <c r="V497" s="307"/>
      <c r="W497" s="307">
        <f t="shared" si="36"/>
        <v>0</v>
      </c>
      <c r="X497" s="307" t="str">
        <f t="shared" ref="X497:X560" si="38">U497</f>
        <v/>
      </c>
      <c r="Y497" s="307">
        <f t="shared" si="37"/>
        <v>0</v>
      </c>
      <c r="Z497" s="298"/>
    </row>
    <row r="498" s="282" customFormat="1" spans="1:26">
      <c r="A498" s="295" t="s">
        <v>1481</v>
      </c>
      <c r="B498" s="296" t="s">
        <v>316</v>
      </c>
      <c r="C498" s="296" t="s">
        <v>45</v>
      </c>
      <c r="D498" s="295" t="s">
        <v>511</v>
      </c>
      <c r="E498" s="296" t="s">
        <v>542</v>
      </c>
      <c r="F498" s="296" t="s">
        <v>156</v>
      </c>
      <c r="G498" s="295" t="s">
        <v>513</v>
      </c>
      <c r="H498" s="295" t="s">
        <v>514</v>
      </c>
      <c r="I498" s="295"/>
      <c r="J498" s="304" t="s">
        <v>156</v>
      </c>
      <c r="K498" s="309" t="s">
        <v>156</v>
      </c>
      <c r="L498" s="306" t="s">
        <v>156</v>
      </c>
      <c r="M498" s="295" t="s">
        <v>156</v>
      </c>
      <c r="N498" s="306">
        <v>8.95</v>
      </c>
      <c r="O498" s="306" t="s">
        <v>156</v>
      </c>
      <c r="P498" s="307">
        <v>8.95</v>
      </c>
      <c r="Q498" s="307" t="s">
        <v>156</v>
      </c>
      <c r="R498" s="298" t="s">
        <v>156</v>
      </c>
      <c r="S498" s="297" t="s">
        <v>156</v>
      </c>
      <c r="T498" s="333" t="s">
        <v>156</v>
      </c>
      <c r="U498" s="307" t="s">
        <v>156</v>
      </c>
      <c r="V498" s="307"/>
      <c r="W498" s="307">
        <f t="shared" si="36"/>
        <v>0</v>
      </c>
      <c r="X498" s="307" t="str">
        <f t="shared" si="38"/>
        <v/>
      </c>
      <c r="Y498" s="307">
        <f t="shared" si="37"/>
        <v>0</v>
      </c>
      <c r="Z498" s="298"/>
    </row>
    <row r="499" s="282" customFormat="1" spans="1:26">
      <c r="A499" s="295" t="s">
        <v>1482</v>
      </c>
      <c r="B499" s="296" t="s">
        <v>316</v>
      </c>
      <c r="C499" s="296" t="s">
        <v>45</v>
      </c>
      <c r="D499" s="295" t="s">
        <v>511</v>
      </c>
      <c r="E499" s="296" t="s">
        <v>544</v>
      </c>
      <c r="F499" s="296" t="s">
        <v>156</v>
      </c>
      <c r="G499" s="295" t="s">
        <v>513</v>
      </c>
      <c r="H499" s="295" t="s">
        <v>514</v>
      </c>
      <c r="I499" s="295"/>
      <c r="J499" s="304" t="s">
        <v>156</v>
      </c>
      <c r="K499" s="309" t="s">
        <v>156</v>
      </c>
      <c r="L499" s="306" t="s">
        <v>156</v>
      </c>
      <c r="M499" s="295" t="s">
        <v>156</v>
      </c>
      <c r="N499" s="306">
        <v>9.4</v>
      </c>
      <c r="O499" s="306" t="s">
        <v>156</v>
      </c>
      <c r="P499" s="307">
        <v>9.4</v>
      </c>
      <c r="Q499" s="307" t="s">
        <v>156</v>
      </c>
      <c r="R499" s="298" t="s">
        <v>156</v>
      </c>
      <c r="S499" s="297" t="s">
        <v>156</v>
      </c>
      <c r="T499" s="333" t="s">
        <v>156</v>
      </c>
      <c r="U499" s="307" t="s">
        <v>156</v>
      </c>
      <c r="V499" s="307"/>
      <c r="W499" s="307">
        <f t="shared" si="36"/>
        <v>0</v>
      </c>
      <c r="X499" s="307" t="str">
        <f t="shared" si="38"/>
        <v/>
      </c>
      <c r="Y499" s="307">
        <f t="shared" si="37"/>
        <v>0</v>
      </c>
      <c r="Z499" s="298"/>
    </row>
    <row r="500" s="282" customFormat="1" spans="1:26">
      <c r="A500" s="295" t="s">
        <v>1483</v>
      </c>
      <c r="B500" s="296" t="s">
        <v>316</v>
      </c>
      <c r="C500" s="296" t="s">
        <v>45</v>
      </c>
      <c r="D500" s="295" t="s">
        <v>511</v>
      </c>
      <c r="E500" s="296" t="s">
        <v>546</v>
      </c>
      <c r="F500" s="296" t="s">
        <v>156</v>
      </c>
      <c r="G500" s="295" t="s">
        <v>513</v>
      </c>
      <c r="H500" s="295" t="s">
        <v>514</v>
      </c>
      <c r="I500" s="295"/>
      <c r="J500" s="304" t="s">
        <v>156</v>
      </c>
      <c r="K500" s="309" t="s">
        <v>156</v>
      </c>
      <c r="L500" s="306" t="s">
        <v>156</v>
      </c>
      <c r="M500" s="295" t="s">
        <v>156</v>
      </c>
      <c r="N500" s="306">
        <v>8.95</v>
      </c>
      <c r="O500" s="306" t="s">
        <v>156</v>
      </c>
      <c r="P500" s="307">
        <v>8.95</v>
      </c>
      <c r="Q500" s="307" t="s">
        <v>156</v>
      </c>
      <c r="R500" s="298" t="s">
        <v>156</v>
      </c>
      <c r="S500" s="297" t="s">
        <v>156</v>
      </c>
      <c r="T500" s="333" t="s">
        <v>156</v>
      </c>
      <c r="U500" s="307" t="s">
        <v>156</v>
      </c>
      <c r="V500" s="307"/>
      <c r="W500" s="307">
        <f t="shared" si="36"/>
        <v>0</v>
      </c>
      <c r="X500" s="307" t="str">
        <f t="shared" si="38"/>
        <v/>
      </c>
      <c r="Y500" s="307">
        <f t="shared" si="37"/>
        <v>0</v>
      </c>
      <c r="Z500" s="298"/>
    </row>
    <row r="501" s="282" customFormat="1" spans="1:26">
      <c r="A501" s="295" t="s">
        <v>793</v>
      </c>
      <c r="B501" s="296" t="s">
        <v>316</v>
      </c>
      <c r="C501" s="296" t="s">
        <v>45</v>
      </c>
      <c r="D501" s="295" t="s">
        <v>511</v>
      </c>
      <c r="E501" s="296" t="s">
        <v>548</v>
      </c>
      <c r="F501" s="296" t="s">
        <v>156</v>
      </c>
      <c r="G501" s="295" t="s">
        <v>513</v>
      </c>
      <c r="H501" s="295" t="s">
        <v>514</v>
      </c>
      <c r="I501" s="295"/>
      <c r="J501" s="304" t="s">
        <v>156</v>
      </c>
      <c r="K501" s="309" t="s">
        <v>156</v>
      </c>
      <c r="L501" s="306" t="s">
        <v>156</v>
      </c>
      <c r="M501" s="295" t="s">
        <v>156</v>
      </c>
      <c r="N501" s="306">
        <v>8.22</v>
      </c>
      <c r="O501" s="306" t="s">
        <v>156</v>
      </c>
      <c r="P501" s="307">
        <v>8.22</v>
      </c>
      <c r="Q501" s="307" t="s">
        <v>156</v>
      </c>
      <c r="R501" s="298" t="s">
        <v>156</v>
      </c>
      <c r="S501" s="297" t="s">
        <v>156</v>
      </c>
      <c r="T501" s="333" t="s">
        <v>156</v>
      </c>
      <c r="U501" s="307" t="s">
        <v>156</v>
      </c>
      <c r="V501" s="307"/>
      <c r="W501" s="307">
        <f t="shared" si="36"/>
        <v>0</v>
      </c>
      <c r="X501" s="307" t="str">
        <f t="shared" si="38"/>
        <v/>
      </c>
      <c r="Y501" s="307">
        <f t="shared" si="37"/>
        <v>0</v>
      </c>
      <c r="Z501" s="298"/>
    </row>
    <row r="502" s="282" customFormat="1" spans="1:26">
      <c r="A502" s="295" t="s">
        <v>1484</v>
      </c>
      <c r="B502" s="297" t="s">
        <v>316</v>
      </c>
      <c r="C502" s="297" t="s">
        <v>45</v>
      </c>
      <c r="D502" s="298" t="s">
        <v>511</v>
      </c>
      <c r="E502" s="297" t="s">
        <v>549</v>
      </c>
      <c r="F502" s="297" t="s">
        <v>156</v>
      </c>
      <c r="G502" s="295" t="s">
        <v>513</v>
      </c>
      <c r="H502" s="295" t="s">
        <v>514</v>
      </c>
      <c r="I502" s="298"/>
      <c r="J502" s="308" t="s">
        <v>156</v>
      </c>
      <c r="K502" s="305" t="s">
        <v>156</v>
      </c>
      <c r="L502" s="307" t="s">
        <v>156</v>
      </c>
      <c r="M502" s="298" t="s">
        <v>156</v>
      </c>
      <c r="N502" s="307">
        <v>76.79</v>
      </c>
      <c r="O502" s="307" t="s">
        <v>156</v>
      </c>
      <c r="P502" s="307">
        <v>76.79</v>
      </c>
      <c r="Q502" s="307" t="s">
        <v>156</v>
      </c>
      <c r="R502" s="298" t="s">
        <v>156</v>
      </c>
      <c r="S502" s="297" t="s">
        <v>156</v>
      </c>
      <c r="T502" s="333" t="s">
        <v>156</v>
      </c>
      <c r="U502" s="307" t="s">
        <v>156</v>
      </c>
      <c r="V502" s="307"/>
      <c r="W502" s="307">
        <f t="shared" si="36"/>
        <v>0</v>
      </c>
      <c r="X502" s="307" t="str">
        <f t="shared" si="38"/>
        <v/>
      </c>
      <c r="Y502" s="307">
        <f t="shared" si="37"/>
        <v>0</v>
      </c>
      <c r="Z502" s="298"/>
    </row>
    <row r="503" s="282" customFormat="1" spans="1:26">
      <c r="A503" s="295" t="s">
        <v>1485</v>
      </c>
      <c r="B503" s="296" t="s">
        <v>316</v>
      </c>
      <c r="C503" s="296" t="s">
        <v>45</v>
      </c>
      <c r="D503" s="295" t="s">
        <v>511</v>
      </c>
      <c r="E503" s="296" t="s">
        <v>550</v>
      </c>
      <c r="F503" s="296" t="s">
        <v>156</v>
      </c>
      <c r="G503" s="295" t="s">
        <v>513</v>
      </c>
      <c r="H503" s="295" t="s">
        <v>514</v>
      </c>
      <c r="I503" s="295"/>
      <c r="J503" s="304" t="s">
        <v>156</v>
      </c>
      <c r="K503" s="309" t="s">
        <v>156</v>
      </c>
      <c r="L503" s="306" t="s">
        <v>156</v>
      </c>
      <c r="M503" s="295" t="s">
        <v>156</v>
      </c>
      <c r="N503" s="306">
        <v>14.58</v>
      </c>
      <c r="O503" s="306" t="s">
        <v>156</v>
      </c>
      <c r="P503" s="307">
        <v>14.58</v>
      </c>
      <c r="Q503" s="307" t="s">
        <v>156</v>
      </c>
      <c r="R503" s="298" t="s">
        <v>156</v>
      </c>
      <c r="S503" s="297" t="s">
        <v>156</v>
      </c>
      <c r="T503" s="333" t="s">
        <v>156</v>
      </c>
      <c r="U503" s="307" t="s">
        <v>156</v>
      </c>
      <c r="V503" s="307"/>
      <c r="W503" s="307">
        <f t="shared" si="36"/>
        <v>0</v>
      </c>
      <c r="X503" s="307" t="str">
        <f t="shared" si="38"/>
        <v/>
      </c>
      <c r="Y503" s="307">
        <f t="shared" si="37"/>
        <v>0</v>
      </c>
      <c r="Z503" s="298"/>
    </row>
    <row r="504" s="282" customFormat="1" spans="1:26">
      <c r="A504" s="295" t="s">
        <v>673</v>
      </c>
      <c r="B504" s="296" t="s">
        <v>316</v>
      </c>
      <c r="C504" s="296" t="s">
        <v>45</v>
      </c>
      <c r="D504" s="295" t="s">
        <v>511</v>
      </c>
      <c r="E504" s="296" t="s">
        <v>552</v>
      </c>
      <c r="F504" s="296" t="s">
        <v>156</v>
      </c>
      <c r="G504" s="295" t="s">
        <v>513</v>
      </c>
      <c r="H504" s="295" t="s">
        <v>514</v>
      </c>
      <c r="I504" s="295"/>
      <c r="J504" s="304" t="s">
        <v>156</v>
      </c>
      <c r="K504" s="309" t="s">
        <v>156</v>
      </c>
      <c r="L504" s="306" t="s">
        <v>156</v>
      </c>
      <c r="M504" s="295" t="s">
        <v>156</v>
      </c>
      <c r="N504" s="306">
        <v>14.58</v>
      </c>
      <c r="O504" s="306" t="s">
        <v>156</v>
      </c>
      <c r="P504" s="307">
        <v>14.58</v>
      </c>
      <c r="Q504" s="307" t="s">
        <v>156</v>
      </c>
      <c r="R504" s="298" t="s">
        <v>156</v>
      </c>
      <c r="S504" s="297" t="s">
        <v>156</v>
      </c>
      <c r="T504" s="333" t="s">
        <v>156</v>
      </c>
      <c r="U504" s="307" t="s">
        <v>156</v>
      </c>
      <c r="V504" s="307"/>
      <c r="W504" s="307">
        <f t="shared" si="36"/>
        <v>0</v>
      </c>
      <c r="X504" s="307" t="str">
        <f t="shared" si="38"/>
        <v/>
      </c>
      <c r="Y504" s="307">
        <f t="shared" si="37"/>
        <v>0</v>
      </c>
      <c r="Z504" s="298"/>
    </row>
    <row r="505" s="282" customFormat="1" spans="1:26">
      <c r="A505" s="295" t="s">
        <v>1486</v>
      </c>
      <c r="B505" s="296" t="s">
        <v>316</v>
      </c>
      <c r="C505" s="296" t="s">
        <v>45</v>
      </c>
      <c r="D505" s="295" t="s">
        <v>511</v>
      </c>
      <c r="E505" s="296" t="s">
        <v>554</v>
      </c>
      <c r="F505" s="296" t="s">
        <v>156</v>
      </c>
      <c r="G505" s="295" t="s">
        <v>513</v>
      </c>
      <c r="H505" s="295" t="s">
        <v>514</v>
      </c>
      <c r="I505" s="295"/>
      <c r="J505" s="304" t="s">
        <v>156</v>
      </c>
      <c r="K505" s="309" t="s">
        <v>156</v>
      </c>
      <c r="L505" s="306" t="s">
        <v>156</v>
      </c>
      <c r="M505" s="295" t="s">
        <v>156</v>
      </c>
      <c r="N505" s="306">
        <v>76.79</v>
      </c>
      <c r="O505" s="306" t="s">
        <v>156</v>
      </c>
      <c r="P505" s="307">
        <v>76.79</v>
      </c>
      <c r="Q505" s="307" t="s">
        <v>156</v>
      </c>
      <c r="R505" s="298" t="s">
        <v>156</v>
      </c>
      <c r="S505" s="297" t="s">
        <v>156</v>
      </c>
      <c r="T505" s="333" t="s">
        <v>156</v>
      </c>
      <c r="U505" s="307" t="s">
        <v>156</v>
      </c>
      <c r="V505" s="307"/>
      <c r="W505" s="307">
        <f t="shared" si="36"/>
        <v>0</v>
      </c>
      <c r="X505" s="307" t="str">
        <f t="shared" si="38"/>
        <v/>
      </c>
      <c r="Y505" s="307">
        <f t="shared" si="37"/>
        <v>0</v>
      </c>
      <c r="Z505" s="298"/>
    </row>
    <row r="506" s="282" customFormat="1" spans="1:26">
      <c r="A506" s="295" t="s">
        <v>1487</v>
      </c>
      <c r="B506" s="296" t="s">
        <v>316</v>
      </c>
      <c r="C506" s="296" t="s">
        <v>45</v>
      </c>
      <c r="D506" s="295" t="s">
        <v>511</v>
      </c>
      <c r="E506" s="296" t="s">
        <v>556</v>
      </c>
      <c r="F506" s="296" t="s">
        <v>156</v>
      </c>
      <c r="G506" s="295" t="s">
        <v>513</v>
      </c>
      <c r="H506" s="295" t="s">
        <v>514</v>
      </c>
      <c r="I506" s="295"/>
      <c r="J506" s="304" t="s">
        <v>156</v>
      </c>
      <c r="K506" s="309" t="s">
        <v>156</v>
      </c>
      <c r="L506" s="306" t="s">
        <v>156</v>
      </c>
      <c r="M506" s="295" t="s">
        <v>156</v>
      </c>
      <c r="N506" s="306">
        <v>8.22</v>
      </c>
      <c r="O506" s="306" t="s">
        <v>156</v>
      </c>
      <c r="P506" s="307">
        <v>8.22</v>
      </c>
      <c r="Q506" s="307" t="s">
        <v>156</v>
      </c>
      <c r="R506" s="298" t="s">
        <v>156</v>
      </c>
      <c r="S506" s="297" t="s">
        <v>156</v>
      </c>
      <c r="T506" s="333" t="s">
        <v>156</v>
      </c>
      <c r="U506" s="307" t="s">
        <v>156</v>
      </c>
      <c r="V506" s="307"/>
      <c r="W506" s="307">
        <f t="shared" si="36"/>
        <v>0</v>
      </c>
      <c r="X506" s="307" t="str">
        <f t="shared" si="38"/>
        <v/>
      </c>
      <c r="Y506" s="307">
        <f t="shared" si="37"/>
        <v>0</v>
      </c>
      <c r="Z506" s="298"/>
    </row>
    <row r="507" s="282" customFormat="1" spans="1:26">
      <c r="A507" s="295" t="s">
        <v>1488</v>
      </c>
      <c r="B507" s="296" t="s">
        <v>316</v>
      </c>
      <c r="C507" s="296" t="s">
        <v>45</v>
      </c>
      <c r="D507" s="295" t="s">
        <v>511</v>
      </c>
      <c r="E507" s="296" t="s">
        <v>558</v>
      </c>
      <c r="F507" s="296" t="s">
        <v>156</v>
      </c>
      <c r="G507" s="295" t="s">
        <v>513</v>
      </c>
      <c r="H507" s="295" t="s">
        <v>514</v>
      </c>
      <c r="I507" s="295"/>
      <c r="J507" s="304" t="s">
        <v>156</v>
      </c>
      <c r="K507" s="309" t="s">
        <v>156</v>
      </c>
      <c r="L507" s="306" t="s">
        <v>156</v>
      </c>
      <c r="M507" s="295" t="s">
        <v>156</v>
      </c>
      <c r="N507" s="306">
        <v>8.95</v>
      </c>
      <c r="O507" s="306" t="s">
        <v>156</v>
      </c>
      <c r="P507" s="307">
        <v>8.95</v>
      </c>
      <c r="Q507" s="307" t="s">
        <v>156</v>
      </c>
      <c r="R507" s="298" t="s">
        <v>156</v>
      </c>
      <c r="S507" s="297" t="s">
        <v>156</v>
      </c>
      <c r="T507" s="333" t="s">
        <v>156</v>
      </c>
      <c r="U507" s="307" t="s">
        <v>156</v>
      </c>
      <c r="V507" s="307"/>
      <c r="W507" s="307">
        <f t="shared" si="36"/>
        <v>0</v>
      </c>
      <c r="X507" s="307" t="str">
        <f t="shared" si="38"/>
        <v/>
      </c>
      <c r="Y507" s="307">
        <f t="shared" si="37"/>
        <v>0</v>
      </c>
      <c r="Z507" s="298"/>
    </row>
    <row r="508" s="282" customFormat="1" spans="1:26">
      <c r="A508" s="295" t="s">
        <v>1489</v>
      </c>
      <c r="B508" s="296" t="s">
        <v>316</v>
      </c>
      <c r="C508" s="296" t="s">
        <v>45</v>
      </c>
      <c r="D508" s="295" t="s">
        <v>511</v>
      </c>
      <c r="E508" s="296" t="s">
        <v>560</v>
      </c>
      <c r="F508" s="296" t="s">
        <v>156</v>
      </c>
      <c r="G508" s="295" t="s">
        <v>513</v>
      </c>
      <c r="H508" s="295" t="s">
        <v>514</v>
      </c>
      <c r="I508" s="295"/>
      <c r="J508" s="304" t="s">
        <v>156</v>
      </c>
      <c r="K508" s="309" t="s">
        <v>156</v>
      </c>
      <c r="L508" s="306" t="s">
        <v>156</v>
      </c>
      <c r="M508" s="295" t="s">
        <v>156</v>
      </c>
      <c r="N508" s="306">
        <v>9.4</v>
      </c>
      <c r="O508" s="306" t="s">
        <v>156</v>
      </c>
      <c r="P508" s="307">
        <v>9.4</v>
      </c>
      <c r="Q508" s="307" t="s">
        <v>156</v>
      </c>
      <c r="R508" s="298" t="s">
        <v>156</v>
      </c>
      <c r="S508" s="297" t="s">
        <v>156</v>
      </c>
      <c r="T508" s="333" t="s">
        <v>156</v>
      </c>
      <c r="U508" s="307" t="s">
        <v>156</v>
      </c>
      <c r="V508" s="307"/>
      <c r="W508" s="307">
        <f t="shared" si="36"/>
        <v>0</v>
      </c>
      <c r="X508" s="307" t="str">
        <f t="shared" si="38"/>
        <v/>
      </c>
      <c r="Y508" s="307">
        <f t="shared" si="37"/>
        <v>0</v>
      </c>
      <c r="Z508" s="298"/>
    </row>
    <row r="509" s="282" customFormat="1" spans="1:26">
      <c r="A509" s="295" t="s">
        <v>1490</v>
      </c>
      <c r="B509" s="296" t="s">
        <v>316</v>
      </c>
      <c r="C509" s="296" t="s">
        <v>45</v>
      </c>
      <c r="D509" s="295" t="s">
        <v>511</v>
      </c>
      <c r="E509" s="296" t="s">
        <v>562</v>
      </c>
      <c r="F509" s="296" t="s">
        <v>156</v>
      </c>
      <c r="G509" s="295" t="s">
        <v>513</v>
      </c>
      <c r="H509" s="295" t="s">
        <v>514</v>
      </c>
      <c r="I509" s="295"/>
      <c r="J509" s="304" t="s">
        <v>156</v>
      </c>
      <c r="K509" s="309" t="s">
        <v>156</v>
      </c>
      <c r="L509" s="306" t="s">
        <v>156</v>
      </c>
      <c r="M509" s="295" t="s">
        <v>156</v>
      </c>
      <c r="N509" s="306">
        <v>8.95</v>
      </c>
      <c r="O509" s="306" t="s">
        <v>156</v>
      </c>
      <c r="P509" s="307">
        <v>8.95</v>
      </c>
      <c r="Q509" s="307" t="s">
        <v>156</v>
      </c>
      <c r="R509" s="298" t="s">
        <v>156</v>
      </c>
      <c r="S509" s="297" t="s">
        <v>156</v>
      </c>
      <c r="T509" s="333" t="s">
        <v>156</v>
      </c>
      <c r="U509" s="307" t="s">
        <v>156</v>
      </c>
      <c r="V509" s="307"/>
      <c r="W509" s="307">
        <f t="shared" si="36"/>
        <v>0</v>
      </c>
      <c r="X509" s="307" t="str">
        <f t="shared" si="38"/>
        <v/>
      </c>
      <c r="Y509" s="307">
        <f t="shared" si="37"/>
        <v>0</v>
      </c>
      <c r="Z509" s="298"/>
    </row>
    <row r="510" s="282" customFormat="1" spans="1:26">
      <c r="A510" s="295" t="s">
        <v>1491</v>
      </c>
      <c r="B510" s="296" t="s">
        <v>316</v>
      </c>
      <c r="C510" s="296" t="s">
        <v>45</v>
      </c>
      <c r="D510" s="295" t="s">
        <v>511</v>
      </c>
      <c r="E510" s="296" t="s">
        <v>564</v>
      </c>
      <c r="F510" s="296" t="s">
        <v>156</v>
      </c>
      <c r="G510" s="295" t="s">
        <v>513</v>
      </c>
      <c r="H510" s="295" t="s">
        <v>514</v>
      </c>
      <c r="I510" s="295"/>
      <c r="J510" s="304" t="s">
        <v>156</v>
      </c>
      <c r="K510" s="309" t="s">
        <v>156</v>
      </c>
      <c r="L510" s="306" t="s">
        <v>156</v>
      </c>
      <c r="M510" s="295" t="s">
        <v>156</v>
      </c>
      <c r="N510" s="306">
        <v>8.95</v>
      </c>
      <c r="O510" s="306" t="s">
        <v>156</v>
      </c>
      <c r="P510" s="307">
        <v>8.95</v>
      </c>
      <c r="Q510" s="307" t="s">
        <v>156</v>
      </c>
      <c r="R510" s="298" t="s">
        <v>156</v>
      </c>
      <c r="S510" s="297" t="s">
        <v>156</v>
      </c>
      <c r="T510" s="333" t="s">
        <v>156</v>
      </c>
      <c r="U510" s="307" t="s">
        <v>156</v>
      </c>
      <c r="V510" s="307"/>
      <c r="W510" s="307">
        <f t="shared" si="36"/>
        <v>0</v>
      </c>
      <c r="X510" s="307" t="str">
        <f t="shared" si="38"/>
        <v/>
      </c>
      <c r="Y510" s="307">
        <f t="shared" si="37"/>
        <v>0</v>
      </c>
      <c r="Z510" s="298"/>
    </row>
    <row r="511" s="282" customFormat="1" spans="1:26">
      <c r="A511" s="295" t="s">
        <v>1492</v>
      </c>
      <c r="B511" s="297" t="s">
        <v>317</v>
      </c>
      <c r="C511" s="297" t="s">
        <v>42</v>
      </c>
      <c r="D511" s="298" t="s">
        <v>42</v>
      </c>
      <c r="E511" s="297" t="s">
        <v>388</v>
      </c>
      <c r="F511" s="297" t="s">
        <v>156</v>
      </c>
      <c r="G511" s="295" t="s">
        <v>215</v>
      </c>
      <c r="H511" s="298" t="s">
        <v>389</v>
      </c>
      <c r="I511" s="295" t="s">
        <v>294</v>
      </c>
      <c r="J511" s="308">
        <v>20230001847</v>
      </c>
      <c r="K511" s="305" t="s">
        <v>1493</v>
      </c>
      <c r="L511" s="307">
        <v>1294550</v>
      </c>
      <c r="M511" s="298" t="s">
        <v>1494</v>
      </c>
      <c r="N511" s="307">
        <v>177.19</v>
      </c>
      <c r="O511" s="307" t="s">
        <v>156</v>
      </c>
      <c r="P511" s="307">
        <v>177.19</v>
      </c>
      <c r="Q511" s="307" t="s">
        <v>156</v>
      </c>
      <c r="R511" s="298" t="s">
        <v>156</v>
      </c>
      <c r="S511" s="563" t="s">
        <v>392</v>
      </c>
      <c r="T511" s="333" t="s">
        <v>1495</v>
      </c>
      <c r="U511" s="340">
        <f>593830.28*2</f>
        <v>1187660.56</v>
      </c>
      <c r="V511" s="307">
        <f t="shared" ref="V511:V538" si="39">ROUND(U511*0.09,2)</f>
        <v>106889.45</v>
      </c>
      <c r="W511" s="307">
        <f t="shared" si="36"/>
        <v>1294550.01</v>
      </c>
      <c r="X511" s="307">
        <f t="shared" si="38"/>
        <v>1187660.56</v>
      </c>
      <c r="Y511" s="307">
        <f t="shared" si="37"/>
        <v>6702.75</v>
      </c>
      <c r="Z511" s="298"/>
    </row>
    <row r="512" s="282" customFormat="1" spans="1:26">
      <c r="A512" s="295" t="s">
        <v>1155</v>
      </c>
      <c r="B512" s="296" t="s">
        <v>317</v>
      </c>
      <c r="C512" s="296" t="s">
        <v>42</v>
      </c>
      <c r="D512" s="295" t="s">
        <v>42</v>
      </c>
      <c r="E512" s="296" t="s">
        <v>395</v>
      </c>
      <c r="F512" s="296" t="s">
        <v>156</v>
      </c>
      <c r="G512" s="295" t="s">
        <v>215</v>
      </c>
      <c r="H512" s="295" t="s">
        <v>389</v>
      </c>
      <c r="I512" s="295" t="s">
        <v>294</v>
      </c>
      <c r="J512" s="304">
        <v>20230002110</v>
      </c>
      <c r="K512" s="309" t="s">
        <v>1496</v>
      </c>
      <c r="L512" s="306">
        <v>1100000</v>
      </c>
      <c r="M512" s="295" t="s">
        <v>1497</v>
      </c>
      <c r="N512" s="306">
        <v>149.04</v>
      </c>
      <c r="O512" s="306" t="s">
        <v>156</v>
      </c>
      <c r="P512" s="307">
        <v>149.04</v>
      </c>
      <c r="Q512" s="307" t="s">
        <v>156</v>
      </c>
      <c r="R512" s="298" t="s">
        <v>156</v>
      </c>
      <c r="S512" s="563" t="s">
        <v>392</v>
      </c>
      <c r="T512" s="333" t="s">
        <v>1498</v>
      </c>
      <c r="U512" s="340">
        <f>504587.16*2</f>
        <v>1009174.32</v>
      </c>
      <c r="V512" s="307">
        <f t="shared" si="39"/>
        <v>90825.69</v>
      </c>
      <c r="W512" s="307">
        <f t="shared" si="36"/>
        <v>1100000.01</v>
      </c>
      <c r="X512" s="307">
        <f t="shared" si="38"/>
        <v>1009174.32</v>
      </c>
      <c r="Y512" s="307">
        <f t="shared" si="37"/>
        <v>6771.16</v>
      </c>
      <c r="Z512" s="298"/>
    </row>
    <row r="513" s="282" customFormat="1" spans="1:26">
      <c r="A513" s="295" t="s">
        <v>1499</v>
      </c>
      <c r="B513" s="296" t="s">
        <v>317</v>
      </c>
      <c r="C513" s="296" t="s">
        <v>42</v>
      </c>
      <c r="D513" s="295" t="s">
        <v>45</v>
      </c>
      <c r="E513" s="296" t="s">
        <v>400</v>
      </c>
      <c r="F513" s="296" t="s">
        <v>156</v>
      </c>
      <c r="G513" s="295" t="s">
        <v>215</v>
      </c>
      <c r="H513" s="295" t="s">
        <v>389</v>
      </c>
      <c r="I513" s="295" t="s">
        <v>294</v>
      </c>
      <c r="J513" s="304">
        <v>20210002252</v>
      </c>
      <c r="K513" s="309" t="s">
        <v>1500</v>
      </c>
      <c r="L513" s="306">
        <v>788888</v>
      </c>
      <c r="M513" s="295" t="s">
        <v>1501</v>
      </c>
      <c r="N513" s="306">
        <v>177.19</v>
      </c>
      <c r="O513" s="306" t="s">
        <v>156</v>
      </c>
      <c r="P513" s="307">
        <v>177.19</v>
      </c>
      <c r="Q513" s="307" t="s">
        <v>156</v>
      </c>
      <c r="R513" s="298" t="s">
        <v>156</v>
      </c>
      <c r="S513" s="563" t="s">
        <v>392</v>
      </c>
      <c r="T513" s="333" t="s">
        <v>1502</v>
      </c>
      <c r="U513" s="339">
        <v>723750.46</v>
      </c>
      <c r="V513" s="307">
        <f t="shared" si="39"/>
        <v>65137.54</v>
      </c>
      <c r="W513" s="307">
        <f t="shared" si="36"/>
        <v>788888</v>
      </c>
      <c r="X513" s="307">
        <f t="shared" si="38"/>
        <v>723750.46</v>
      </c>
      <c r="Y513" s="307">
        <f t="shared" si="37"/>
        <v>4084.6</v>
      </c>
      <c r="Z513" s="298"/>
    </row>
    <row r="514" s="282" customFormat="1" ht="23.8" spans="1:26">
      <c r="A514" s="295" t="s">
        <v>1503</v>
      </c>
      <c r="B514" s="296" t="s">
        <v>317</v>
      </c>
      <c r="C514" s="296" t="s">
        <v>42</v>
      </c>
      <c r="D514" s="295" t="s">
        <v>45</v>
      </c>
      <c r="E514" s="296" t="s">
        <v>405</v>
      </c>
      <c r="F514" s="296" t="s">
        <v>156</v>
      </c>
      <c r="G514" s="295" t="s">
        <v>215</v>
      </c>
      <c r="H514" s="295" t="s">
        <v>389</v>
      </c>
      <c r="I514" s="295" t="s">
        <v>294</v>
      </c>
      <c r="J514" s="304">
        <v>20200010333</v>
      </c>
      <c r="K514" s="309" t="s">
        <v>756</v>
      </c>
      <c r="L514" s="306">
        <v>671130</v>
      </c>
      <c r="M514" s="295" t="s">
        <v>1504</v>
      </c>
      <c r="N514" s="306">
        <v>149.14</v>
      </c>
      <c r="O514" s="306" t="s">
        <v>156</v>
      </c>
      <c r="P514" s="307">
        <v>149.14</v>
      </c>
      <c r="Q514" s="307" t="s">
        <v>156</v>
      </c>
      <c r="R514" s="298" t="s">
        <v>156</v>
      </c>
      <c r="S514" s="563" t="s">
        <v>392</v>
      </c>
      <c r="T514" s="333" t="s">
        <v>1505</v>
      </c>
      <c r="U514" s="339">
        <v>615715.6</v>
      </c>
      <c r="V514" s="307">
        <f t="shared" si="39"/>
        <v>55414.4</v>
      </c>
      <c r="W514" s="307">
        <f t="shared" si="36"/>
        <v>671130</v>
      </c>
      <c r="X514" s="307">
        <f t="shared" si="38"/>
        <v>615715.6</v>
      </c>
      <c r="Y514" s="307">
        <f t="shared" si="37"/>
        <v>4128.44</v>
      </c>
      <c r="Z514" s="298"/>
    </row>
    <row r="515" s="282" customFormat="1" spans="1:26">
      <c r="A515" s="295" t="s">
        <v>1038</v>
      </c>
      <c r="B515" s="296" t="s">
        <v>317</v>
      </c>
      <c r="C515" s="296" t="s">
        <v>42</v>
      </c>
      <c r="D515" s="295" t="s">
        <v>48</v>
      </c>
      <c r="E515" s="296" t="s">
        <v>410</v>
      </c>
      <c r="F515" s="296" t="s">
        <v>156</v>
      </c>
      <c r="G515" s="295" t="s">
        <v>215</v>
      </c>
      <c r="H515" s="295" t="s">
        <v>389</v>
      </c>
      <c r="I515" s="295" t="s">
        <v>294</v>
      </c>
      <c r="J515" s="304">
        <v>20200007646</v>
      </c>
      <c r="K515" s="309" t="s">
        <v>832</v>
      </c>
      <c r="L515" s="306">
        <v>774030</v>
      </c>
      <c r="M515" s="295" t="s">
        <v>1506</v>
      </c>
      <c r="N515" s="306">
        <v>177.19</v>
      </c>
      <c r="O515" s="306" t="s">
        <v>156</v>
      </c>
      <c r="P515" s="307">
        <v>177.19</v>
      </c>
      <c r="Q515" s="307" t="s">
        <v>156</v>
      </c>
      <c r="R515" s="298" t="s">
        <v>156</v>
      </c>
      <c r="S515" s="563" t="s">
        <v>392</v>
      </c>
      <c r="T515" s="333" t="s">
        <v>1507</v>
      </c>
      <c r="U515" s="339">
        <v>710119.27</v>
      </c>
      <c r="V515" s="307">
        <f t="shared" si="39"/>
        <v>63910.73</v>
      </c>
      <c r="W515" s="307">
        <f t="shared" si="36"/>
        <v>774030</v>
      </c>
      <c r="X515" s="307">
        <f t="shared" si="38"/>
        <v>710119.27</v>
      </c>
      <c r="Y515" s="307">
        <f t="shared" si="37"/>
        <v>4007.67</v>
      </c>
      <c r="Z515" s="298"/>
    </row>
    <row r="516" s="282" customFormat="1" spans="1:26">
      <c r="A516" s="295" t="s">
        <v>677</v>
      </c>
      <c r="B516" s="296" t="s">
        <v>317</v>
      </c>
      <c r="C516" s="296" t="s">
        <v>42</v>
      </c>
      <c r="D516" s="295" t="s">
        <v>48</v>
      </c>
      <c r="E516" s="296" t="s">
        <v>415</v>
      </c>
      <c r="F516" s="296" t="s">
        <v>156</v>
      </c>
      <c r="G516" s="295" t="s">
        <v>215</v>
      </c>
      <c r="H516" s="295" t="s">
        <v>389</v>
      </c>
      <c r="I516" s="295" t="s">
        <v>294</v>
      </c>
      <c r="J516" s="304">
        <v>20200012364</v>
      </c>
      <c r="K516" s="309" t="s">
        <v>1508</v>
      </c>
      <c r="L516" s="306">
        <v>657612</v>
      </c>
      <c r="M516" s="295" t="s">
        <v>1122</v>
      </c>
      <c r="N516" s="306">
        <v>149.14</v>
      </c>
      <c r="O516" s="306" t="s">
        <v>156</v>
      </c>
      <c r="P516" s="307">
        <v>149.14</v>
      </c>
      <c r="Q516" s="307" t="s">
        <v>156</v>
      </c>
      <c r="R516" s="298" t="s">
        <v>156</v>
      </c>
      <c r="S516" s="563" t="s">
        <v>392</v>
      </c>
      <c r="T516" s="333" t="s">
        <v>1509</v>
      </c>
      <c r="U516" s="339">
        <v>603313.76</v>
      </c>
      <c r="V516" s="307">
        <f t="shared" si="39"/>
        <v>54298.24</v>
      </c>
      <c r="W516" s="307">
        <f t="shared" si="36"/>
        <v>657612</v>
      </c>
      <c r="X516" s="307">
        <f t="shared" si="38"/>
        <v>603313.76</v>
      </c>
      <c r="Y516" s="307">
        <f t="shared" si="37"/>
        <v>4045.28</v>
      </c>
      <c r="Z516" s="298"/>
    </row>
    <row r="517" s="282" customFormat="1" ht="23.8" spans="1:26">
      <c r="A517" s="295" t="s">
        <v>1510</v>
      </c>
      <c r="B517" s="296" t="s">
        <v>317</v>
      </c>
      <c r="C517" s="296" t="s">
        <v>42</v>
      </c>
      <c r="D517" s="295" t="s">
        <v>92</v>
      </c>
      <c r="E517" s="296" t="s">
        <v>420</v>
      </c>
      <c r="F517" s="296" t="s">
        <v>156</v>
      </c>
      <c r="G517" s="295" t="s">
        <v>215</v>
      </c>
      <c r="H517" s="295" t="s">
        <v>389</v>
      </c>
      <c r="I517" s="295" t="s">
        <v>294</v>
      </c>
      <c r="J517" s="304">
        <v>20210003184</v>
      </c>
      <c r="K517" s="309" t="s">
        <v>1511</v>
      </c>
      <c r="L517" s="306">
        <v>789605</v>
      </c>
      <c r="M517" s="295" t="s">
        <v>1512</v>
      </c>
      <c r="N517" s="306">
        <v>177.19</v>
      </c>
      <c r="O517" s="306" t="s">
        <v>156</v>
      </c>
      <c r="P517" s="307">
        <v>177.19</v>
      </c>
      <c r="Q517" s="307" t="s">
        <v>156</v>
      </c>
      <c r="R517" s="298" t="s">
        <v>156</v>
      </c>
      <c r="S517" s="563" t="s">
        <v>392</v>
      </c>
      <c r="T517" s="333" t="s">
        <v>1513</v>
      </c>
      <c r="U517" s="339">
        <v>724408.26</v>
      </c>
      <c r="V517" s="307">
        <f t="shared" si="39"/>
        <v>65196.74</v>
      </c>
      <c r="W517" s="307">
        <f t="shared" si="36"/>
        <v>789605</v>
      </c>
      <c r="X517" s="307">
        <f t="shared" si="38"/>
        <v>724408.26</v>
      </c>
      <c r="Y517" s="307">
        <f t="shared" si="37"/>
        <v>4088.31</v>
      </c>
      <c r="Z517" s="298"/>
    </row>
    <row r="518" s="282" customFormat="1" spans="1:26">
      <c r="A518" s="295" t="s">
        <v>1158</v>
      </c>
      <c r="B518" s="296" t="s">
        <v>317</v>
      </c>
      <c r="C518" s="296" t="s">
        <v>42</v>
      </c>
      <c r="D518" s="295" t="s">
        <v>92</v>
      </c>
      <c r="E518" s="296" t="s">
        <v>425</v>
      </c>
      <c r="F518" s="296" t="s">
        <v>156</v>
      </c>
      <c r="G518" s="295" t="s">
        <v>215</v>
      </c>
      <c r="H518" s="295" t="s">
        <v>389</v>
      </c>
      <c r="I518" s="295" t="s">
        <v>294</v>
      </c>
      <c r="J518" s="304">
        <v>20200008715</v>
      </c>
      <c r="K518" s="309" t="s">
        <v>1009</v>
      </c>
      <c r="L518" s="306">
        <v>654872</v>
      </c>
      <c r="M518" s="295" t="s">
        <v>1514</v>
      </c>
      <c r="N518" s="306">
        <v>149.14</v>
      </c>
      <c r="O518" s="306" t="s">
        <v>156</v>
      </c>
      <c r="P518" s="307">
        <v>149.14</v>
      </c>
      <c r="Q518" s="307" t="s">
        <v>156</v>
      </c>
      <c r="R518" s="298" t="s">
        <v>156</v>
      </c>
      <c r="S518" s="563" t="s">
        <v>392</v>
      </c>
      <c r="T518" s="333" t="s">
        <v>1515</v>
      </c>
      <c r="U518" s="339">
        <v>600800</v>
      </c>
      <c r="V518" s="307">
        <f t="shared" si="39"/>
        <v>54072</v>
      </c>
      <c r="W518" s="307">
        <f t="shared" si="36"/>
        <v>654872</v>
      </c>
      <c r="X518" s="307">
        <f t="shared" si="38"/>
        <v>600800</v>
      </c>
      <c r="Y518" s="307">
        <f t="shared" si="37"/>
        <v>4028.43</v>
      </c>
      <c r="Z518" s="298"/>
    </row>
    <row r="519" s="282" customFormat="1" spans="1:26">
      <c r="A519" s="295" t="s">
        <v>1516</v>
      </c>
      <c r="B519" s="296" t="s">
        <v>317</v>
      </c>
      <c r="C519" s="296" t="s">
        <v>42</v>
      </c>
      <c r="D519" s="295" t="s">
        <v>95</v>
      </c>
      <c r="E519" s="296" t="s">
        <v>430</v>
      </c>
      <c r="F519" s="296" t="s">
        <v>156</v>
      </c>
      <c r="G519" s="295" t="s">
        <v>215</v>
      </c>
      <c r="H519" s="295" t="s">
        <v>389</v>
      </c>
      <c r="I519" s="295" t="s">
        <v>294</v>
      </c>
      <c r="J519" s="304">
        <v>20220005305</v>
      </c>
      <c r="K519" s="309" t="s">
        <v>1517</v>
      </c>
      <c r="L519" s="306">
        <v>793230</v>
      </c>
      <c r="M519" s="295" t="s">
        <v>1518</v>
      </c>
      <c r="N519" s="306">
        <v>177.19</v>
      </c>
      <c r="O519" s="306" t="s">
        <v>156</v>
      </c>
      <c r="P519" s="307">
        <v>177.19</v>
      </c>
      <c r="Q519" s="307" t="s">
        <v>156</v>
      </c>
      <c r="R519" s="298" t="s">
        <v>156</v>
      </c>
      <c r="S519" s="563" t="s">
        <v>392</v>
      </c>
      <c r="T519" s="333" t="s">
        <v>1519</v>
      </c>
      <c r="U519" s="339">
        <v>727733.94</v>
      </c>
      <c r="V519" s="307">
        <f t="shared" si="39"/>
        <v>65496.05</v>
      </c>
      <c r="W519" s="307">
        <f t="shared" ref="W519:W582" si="40">SUM(U519)+SUM(V519)</f>
        <v>793229.99</v>
      </c>
      <c r="X519" s="307">
        <f t="shared" si="38"/>
        <v>727733.94</v>
      </c>
      <c r="Y519" s="307">
        <f t="shared" ref="Y519:Y582" si="41">IF(SUM(P519)=0,"",ROUND(SUM(X519)/SUM(P519),2))</f>
        <v>4107.08</v>
      </c>
      <c r="Z519" s="298"/>
    </row>
    <row r="520" s="282" customFormat="1" spans="1:26">
      <c r="A520" s="295" t="s">
        <v>1520</v>
      </c>
      <c r="B520" s="296" t="s">
        <v>317</v>
      </c>
      <c r="C520" s="296" t="s">
        <v>42</v>
      </c>
      <c r="D520" s="295" t="s">
        <v>95</v>
      </c>
      <c r="E520" s="296" t="s">
        <v>435</v>
      </c>
      <c r="F520" s="296" t="s">
        <v>156</v>
      </c>
      <c r="G520" s="295" t="s">
        <v>215</v>
      </c>
      <c r="H520" s="295" t="s">
        <v>389</v>
      </c>
      <c r="I520" s="295" t="s">
        <v>294</v>
      </c>
      <c r="J520" s="304">
        <v>20200008496</v>
      </c>
      <c r="K520" s="309" t="s">
        <v>580</v>
      </c>
      <c r="L520" s="306">
        <v>672132</v>
      </c>
      <c r="M520" s="295" t="s">
        <v>1521</v>
      </c>
      <c r="N520" s="306">
        <v>149.14</v>
      </c>
      <c r="O520" s="306" t="s">
        <v>156</v>
      </c>
      <c r="P520" s="307">
        <v>149.14</v>
      </c>
      <c r="Q520" s="307" t="s">
        <v>156</v>
      </c>
      <c r="R520" s="298" t="s">
        <v>156</v>
      </c>
      <c r="S520" s="563" t="s">
        <v>392</v>
      </c>
      <c r="T520" s="333" t="s">
        <v>1522</v>
      </c>
      <c r="U520" s="339">
        <v>616634.86</v>
      </c>
      <c r="V520" s="307">
        <f t="shared" si="39"/>
        <v>55497.14</v>
      </c>
      <c r="W520" s="307">
        <f t="shared" si="40"/>
        <v>672132</v>
      </c>
      <c r="X520" s="307">
        <f t="shared" si="38"/>
        <v>616634.86</v>
      </c>
      <c r="Y520" s="307">
        <f t="shared" si="41"/>
        <v>4134.6</v>
      </c>
      <c r="Z520" s="298"/>
    </row>
    <row r="521" s="282" customFormat="1" ht="23.8" spans="1:26">
      <c r="A521" s="295" t="s">
        <v>1523</v>
      </c>
      <c r="B521" s="296" t="s">
        <v>317</v>
      </c>
      <c r="C521" s="296" t="s">
        <v>42</v>
      </c>
      <c r="D521" s="295" t="s">
        <v>99</v>
      </c>
      <c r="E521" s="296" t="s">
        <v>440</v>
      </c>
      <c r="F521" s="296" t="s">
        <v>156</v>
      </c>
      <c r="G521" s="295" t="s">
        <v>215</v>
      </c>
      <c r="H521" s="295" t="s">
        <v>389</v>
      </c>
      <c r="I521" s="295" t="s">
        <v>294</v>
      </c>
      <c r="J521" s="304">
        <v>20200011481</v>
      </c>
      <c r="K521" s="309" t="s">
        <v>1460</v>
      </c>
      <c r="L521" s="306">
        <v>801324</v>
      </c>
      <c r="M521" s="295" t="s">
        <v>1524</v>
      </c>
      <c r="N521" s="306">
        <v>177.19</v>
      </c>
      <c r="O521" s="306" t="s">
        <v>156</v>
      </c>
      <c r="P521" s="307">
        <v>177.19</v>
      </c>
      <c r="Q521" s="307" t="s">
        <v>156</v>
      </c>
      <c r="R521" s="298" t="s">
        <v>156</v>
      </c>
      <c r="S521" s="563" t="s">
        <v>392</v>
      </c>
      <c r="T521" s="333" t="s">
        <v>1525</v>
      </c>
      <c r="U521" s="339">
        <v>735159.63</v>
      </c>
      <c r="V521" s="307">
        <f t="shared" si="39"/>
        <v>66164.37</v>
      </c>
      <c r="W521" s="307">
        <f t="shared" si="40"/>
        <v>801324</v>
      </c>
      <c r="X521" s="307">
        <f t="shared" si="38"/>
        <v>735159.63</v>
      </c>
      <c r="Y521" s="307">
        <f t="shared" si="41"/>
        <v>4148.99</v>
      </c>
      <c r="Z521" s="298"/>
    </row>
    <row r="522" s="282" customFormat="1" spans="1:26">
      <c r="A522" s="295" t="s">
        <v>678</v>
      </c>
      <c r="B522" s="296" t="s">
        <v>317</v>
      </c>
      <c r="C522" s="296" t="s">
        <v>42</v>
      </c>
      <c r="D522" s="295" t="s">
        <v>99</v>
      </c>
      <c r="E522" s="296" t="s">
        <v>444</v>
      </c>
      <c r="F522" s="296" t="s">
        <v>156</v>
      </c>
      <c r="G522" s="295" t="s">
        <v>215</v>
      </c>
      <c r="H522" s="295" t="s">
        <v>389</v>
      </c>
      <c r="I522" s="295" t="s">
        <v>294</v>
      </c>
      <c r="J522" s="304">
        <v>20200008257</v>
      </c>
      <c r="K522" s="309" t="s">
        <v>637</v>
      </c>
      <c r="L522" s="306">
        <v>675445</v>
      </c>
      <c r="M522" s="295" t="s">
        <v>1526</v>
      </c>
      <c r="N522" s="306">
        <v>149.14</v>
      </c>
      <c r="O522" s="306" t="s">
        <v>156</v>
      </c>
      <c r="P522" s="307">
        <v>149.14</v>
      </c>
      <c r="Q522" s="307" t="s">
        <v>156</v>
      </c>
      <c r="R522" s="298" t="s">
        <v>156</v>
      </c>
      <c r="S522" s="563" t="s">
        <v>392</v>
      </c>
      <c r="T522" s="333" t="s">
        <v>1527</v>
      </c>
      <c r="U522" s="339">
        <v>619674.31</v>
      </c>
      <c r="V522" s="307">
        <f t="shared" si="39"/>
        <v>55770.69</v>
      </c>
      <c r="W522" s="307">
        <f t="shared" si="40"/>
        <v>675445</v>
      </c>
      <c r="X522" s="307">
        <f t="shared" si="38"/>
        <v>619674.31</v>
      </c>
      <c r="Y522" s="307">
        <f t="shared" si="41"/>
        <v>4154.98</v>
      </c>
      <c r="Z522" s="298"/>
    </row>
    <row r="523" s="282" customFormat="1" spans="1:26">
      <c r="A523" s="295" t="s">
        <v>1528</v>
      </c>
      <c r="B523" s="296" t="s">
        <v>317</v>
      </c>
      <c r="C523" s="296" t="s">
        <v>42</v>
      </c>
      <c r="D523" s="295" t="s">
        <v>102</v>
      </c>
      <c r="E523" s="296" t="s">
        <v>448</v>
      </c>
      <c r="F523" s="296" t="s">
        <v>156</v>
      </c>
      <c r="G523" s="295" t="s">
        <v>215</v>
      </c>
      <c r="H523" s="295" t="s">
        <v>389</v>
      </c>
      <c r="I523" s="295" t="s">
        <v>294</v>
      </c>
      <c r="J523" s="304">
        <v>20200010328</v>
      </c>
      <c r="K523" s="309" t="s">
        <v>756</v>
      </c>
      <c r="L523" s="306">
        <v>1200000</v>
      </c>
      <c r="M523" s="295" t="s">
        <v>1529</v>
      </c>
      <c r="N523" s="306">
        <v>274.22</v>
      </c>
      <c r="O523" s="306" t="s">
        <v>156</v>
      </c>
      <c r="P523" s="307">
        <v>274.22</v>
      </c>
      <c r="Q523" s="307" t="s">
        <v>156</v>
      </c>
      <c r="R523" s="298" t="s">
        <v>156</v>
      </c>
      <c r="S523" s="563" t="s">
        <v>392</v>
      </c>
      <c r="T523" s="333" t="s">
        <v>1530</v>
      </c>
      <c r="U523" s="339">
        <f>550458.72*2</f>
        <v>1100917.44</v>
      </c>
      <c r="V523" s="307">
        <f t="shared" si="39"/>
        <v>99082.57</v>
      </c>
      <c r="W523" s="307">
        <f t="shared" si="40"/>
        <v>1200000.01</v>
      </c>
      <c r="X523" s="307">
        <f t="shared" si="38"/>
        <v>1100917.44</v>
      </c>
      <c r="Y523" s="307">
        <f t="shared" si="41"/>
        <v>4014.72</v>
      </c>
      <c r="Z523" s="298"/>
    </row>
    <row r="524" s="282" customFormat="1" spans="1:26">
      <c r="A524" s="295" t="s">
        <v>1531</v>
      </c>
      <c r="B524" s="296" t="s">
        <v>317</v>
      </c>
      <c r="C524" s="296" t="s">
        <v>42</v>
      </c>
      <c r="D524" s="295" t="s">
        <v>102</v>
      </c>
      <c r="E524" s="296" t="s">
        <v>452</v>
      </c>
      <c r="F524" s="296" t="s">
        <v>156</v>
      </c>
      <c r="G524" s="295" t="s">
        <v>215</v>
      </c>
      <c r="H524" s="295" t="s">
        <v>389</v>
      </c>
      <c r="I524" s="295" t="s">
        <v>294</v>
      </c>
      <c r="J524" s="304">
        <v>20210003951</v>
      </c>
      <c r="K524" s="309" t="s">
        <v>1532</v>
      </c>
      <c r="L524" s="306">
        <v>1101194</v>
      </c>
      <c r="M524" s="295" t="s">
        <v>1533</v>
      </c>
      <c r="N524" s="306">
        <v>239.39</v>
      </c>
      <c r="O524" s="306" t="s">
        <v>156</v>
      </c>
      <c r="P524" s="307">
        <v>239.39</v>
      </c>
      <c r="Q524" s="307" t="s">
        <v>156</v>
      </c>
      <c r="R524" s="298" t="s">
        <v>156</v>
      </c>
      <c r="S524" s="563" t="s">
        <v>392</v>
      </c>
      <c r="T524" s="333" t="s">
        <v>1534</v>
      </c>
      <c r="U524" s="339">
        <f>505134.86*2</f>
        <v>1010269.72</v>
      </c>
      <c r="V524" s="307">
        <f t="shared" si="39"/>
        <v>90924.27</v>
      </c>
      <c r="W524" s="307">
        <f t="shared" si="40"/>
        <v>1101193.99</v>
      </c>
      <c r="X524" s="307">
        <f t="shared" si="38"/>
        <v>1010269.72</v>
      </c>
      <c r="Y524" s="307">
        <f t="shared" si="41"/>
        <v>4220.18</v>
      </c>
      <c r="Z524" s="298"/>
    </row>
    <row r="525" s="282" customFormat="1" spans="1:26">
      <c r="A525" s="295" t="s">
        <v>1535</v>
      </c>
      <c r="B525" s="296" t="s">
        <v>317</v>
      </c>
      <c r="C525" s="296" t="s">
        <v>45</v>
      </c>
      <c r="D525" s="295" t="s">
        <v>42</v>
      </c>
      <c r="E525" s="296" t="s">
        <v>388</v>
      </c>
      <c r="F525" s="296" t="s">
        <v>156</v>
      </c>
      <c r="G525" s="295" t="s">
        <v>215</v>
      </c>
      <c r="H525" s="295" t="s">
        <v>389</v>
      </c>
      <c r="I525" s="295" t="s">
        <v>294</v>
      </c>
      <c r="J525" s="304">
        <v>20240002821</v>
      </c>
      <c r="K525" s="309" t="s">
        <v>1536</v>
      </c>
      <c r="L525" s="306">
        <v>1080000</v>
      </c>
      <c r="M525" s="341" t="s">
        <v>1537</v>
      </c>
      <c r="N525" s="306">
        <v>149.04</v>
      </c>
      <c r="O525" s="306" t="s">
        <v>156</v>
      </c>
      <c r="P525" s="307">
        <v>149.04</v>
      </c>
      <c r="Q525" s="307" t="s">
        <v>156</v>
      </c>
      <c r="R525" s="298" t="s">
        <v>156</v>
      </c>
      <c r="S525" s="563" t="s">
        <v>392</v>
      </c>
      <c r="T525" s="333" t="s">
        <v>1538</v>
      </c>
      <c r="U525" s="340">
        <v>990825.69</v>
      </c>
      <c r="V525" s="307">
        <f t="shared" si="39"/>
        <v>89174.31</v>
      </c>
      <c r="W525" s="307">
        <f t="shared" si="40"/>
        <v>1080000</v>
      </c>
      <c r="X525" s="307">
        <f t="shared" si="38"/>
        <v>990825.69</v>
      </c>
      <c r="Y525" s="307">
        <f t="shared" si="41"/>
        <v>6648.05</v>
      </c>
      <c r="Z525" s="298"/>
    </row>
    <row r="526" s="282" customFormat="1" spans="1:26">
      <c r="A526" s="295" t="s">
        <v>1539</v>
      </c>
      <c r="B526" s="296" t="s">
        <v>317</v>
      </c>
      <c r="C526" s="296" t="s">
        <v>45</v>
      </c>
      <c r="D526" s="295" t="s">
        <v>42</v>
      </c>
      <c r="E526" s="296" t="s">
        <v>395</v>
      </c>
      <c r="F526" s="296" t="s">
        <v>156</v>
      </c>
      <c r="G526" s="295" t="s">
        <v>215</v>
      </c>
      <c r="H526" s="295" t="s">
        <v>389</v>
      </c>
      <c r="I526" s="295" t="s">
        <v>294</v>
      </c>
      <c r="J526" s="304">
        <v>20230003577</v>
      </c>
      <c r="K526" s="309" t="s">
        <v>1540</v>
      </c>
      <c r="L526" s="306">
        <v>1336633</v>
      </c>
      <c r="M526" s="295" t="s">
        <v>1541</v>
      </c>
      <c r="N526" s="306">
        <v>177.19</v>
      </c>
      <c r="O526" s="306" t="s">
        <v>156</v>
      </c>
      <c r="P526" s="307">
        <v>177.19</v>
      </c>
      <c r="Q526" s="307" t="s">
        <v>156</v>
      </c>
      <c r="R526" s="298" t="s">
        <v>156</v>
      </c>
      <c r="S526" s="563" t="s">
        <v>392</v>
      </c>
      <c r="T526" s="333" t="s">
        <v>1542</v>
      </c>
      <c r="U526" s="340">
        <f>613134.4+613134.4</f>
        <v>1226268.8</v>
      </c>
      <c r="V526" s="307">
        <f t="shared" si="39"/>
        <v>110364.19</v>
      </c>
      <c r="W526" s="307">
        <f t="shared" si="40"/>
        <v>1336632.99</v>
      </c>
      <c r="X526" s="307">
        <f t="shared" si="38"/>
        <v>1226268.8</v>
      </c>
      <c r="Y526" s="307">
        <f t="shared" si="41"/>
        <v>6920.64</v>
      </c>
      <c r="Z526" s="298"/>
    </row>
    <row r="527" s="282" customFormat="1" spans="1:26">
      <c r="A527" s="295" t="s">
        <v>1372</v>
      </c>
      <c r="B527" s="296" t="s">
        <v>317</v>
      </c>
      <c r="C527" s="296" t="s">
        <v>45</v>
      </c>
      <c r="D527" s="295" t="s">
        <v>45</v>
      </c>
      <c r="E527" s="296" t="s">
        <v>400</v>
      </c>
      <c r="F527" s="296" t="s">
        <v>156</v>
      </c>
      <c r="G527" s="295" t="s">
        <v>215</v>
      </c>
      <c r="H527" s="295" t="s">
        <v>389</v>
      </c>
      <c r="I527" s="295" t="s">
        <v>294</v>
      </c>
      <c r="J527" s="304">
        <v>20200012239</v>
      </c>
      <c r="K527" s="309" t="s">
        <v>1083</v>
      </c>
      <c r="L527" s="306">
        <v>671130</v>
      </c>
      <c r="M527" s="295" t="s">
        <v>1543</v>
      </c>
      <c r="N527" s="306">
        <v>149.14</v>
      </c>
      <c r="O527" s="306" t="s">
        <v>156</v>
      </c>
      <c r="P527" s="307">
        <v>149.14</v>
      </c>
      <c r="Q527" s="307" t="s">
        <v>156</v>
      </c>
      <c r="R527" s="298" t="s">
        <v>156</v>
      </c>
      <c r="S527" s="563" t="s">
        <v>392</v>
      </c>
      <c r="T527" s="333" t="s">
        <v>1544</v>
      </c>
      <c r="U527" s="339">
        <v>615715.6</v>
      </c>
      <c r="V527" s="307">
        <f t="shared" si="39"/>
        <v>55414.4</v>
      </c>
      <c r="W527" s="307">
        <f t="shared" si="40"/>
        <v>671130</v>
      </c>
      <c r="X527" s="307">
        <f t="shared" si="38"/>
        <v>615715.6</v>
      </c>
      <c r="Y527" s="307">
        <f t="shared" si="41"/>
        <v>4128.44</v>
      </c>
      <c r="Z527" s="298"/>
    </row>
    <row r="528" s="282" customFormat="1" ht="23.8" spans="1:26">
      <c r="A528" s="295" t="s">
        <v>1545</v>
      </c>
      <c r="B528" s="296" t="s">
        <v>317</v>
      </c>
      <c r="C528" s="296" t="s">
        <v>45</v>
      </c>
      <c r="D528" s="295" t="s">
        <v>45</v>
      </c>
      <c r="E528" s="296" t="s">
        <v>405</v>
      </c>
      <c r="F528" s="296" t="s">
        <v>156</v>
      </c>
      <c r="G528" s="295" t="s">
        <v>215</v>
      </c>
      <c r="H528" s="295" t="s">
        <v>389</v>
      </c>
      <c r="I528" s="295" t="s">
        <v>294</v>
      </c>
      <c r="J528" s="304">
        <v>20210002780</v>
      </c>
      <c r="K528" s="309" t="s">
        <v>1546</v>
      </c>
      <c r="L528" s="306">
        <v>770777</v>
      </c>
      <c r="M528" s="295" t="s">
        <v>1547</v>
      </c>
      <c r="N528" s="306">
        <v>177.19</v>
      </c>
      <c r="O528" s="306" t="s">
        <v>156</v>
      </c>
      <c r="P528" s="307">
        <v>177.19</v>
      </c>
      <c r="Q528" s="307" t="s">
        <v>156</v>
      </c>
      <c r="R528" s="298" t="s">
        <v>156</v>
      </c>
      <c r="S528" s="563" t="s">
        <v>392</v>
      </c>
      <c r="T528" s="333" t="s">
        <v>1548</v>
      </c>
      <c r="U528" s="339">
        <v>707134.86</v>
      </c>
      <c r="V528" s="307">
        <f t="shared" si="39"/>
        <v>63642.14</v>
      </c>
      <c r="W528" s="307">
        <f t="shared" si="40"/>
        <v>770777</v>
      </c>
      <c r="X528" s="307">
        <f t="shared" si="38"/>
        <v>707134.86</v>
      </c>
      <c r="Y528" s="307">
        <f t="shared" si="41"/>
        <v>3990.83</v>
      </c>
      <c r="Z528" s="298"/>
    </row>
    <row r="529" s="282" customFormat="1" spans="1:26">
      <c r="A529" s="295" t="s">
        <v>1549</v>
      </c>
      <c r="B529" s="296" t="s">
        <v>317</v>
      </c>
      <c r="C529" s="296" t="s">
        <v>45</v>
      </c>
      <c r="D529" s="295" t="s">
        <v>48</v>
      </c>
      <c r="E529" s="296" t="s">
        <v>410</v>
      </c>
      <c r="F529" s="296" t="s">
        <v>156</v>
      </c>
      <c r="G529" s="295" t="s">
        <v>215</v>
      </c>
      <c r="H529" s="295" t="s">
        <v>389</v>
      </c>
      <c r="I529" s="295" t="s">
        <v>294</v>
      </c>
      <c r="J529" s="304">
        <v>20220006005</v>
      </c>
      <c r="K529" s="309" t="s">
        <v>1550</v>
      </c>
      <c r="L529" s="306">
        <v>657612</v>
      </c>
      <c r="M529" s="295" t="s">
        <v>1551</v>
      </c>
      <c r="N529" s="306">
        <v>149.14</v>
      </c>
      <c r="O529" s="306" t="s">
        <v>156</v>
      </c>
      <c r="P529" s="307">
        <v>149.14</v>
      </c>
      <c r="Q529" s="307" t="s">
        <v>156</v>
      </c>
      <c r="R529" s="298" t="s">
        <v>156</v>
      </c>
      <c r="S529" s="563" t="s">
        <v>392</v>
      </c>
      <c r="T529" s="333" t="s">
        <v>1552</v>
      </c>
      <c r="U529" s="340">
        <v>603313.76</v>
      </c>
      <c r="V529" s="307">
        <f t="shared" si="39"/>
        <v>54298.24</v>
      </c>
      <c r="W529" s="307">
        <f t="shared" si="40"/>
        <v>657612</v>
      </c>
      <c r="X529" s="307">
        <f t="shared" si="38"/>
        <v>603313.76</v>
      </c>
      <c r="Y529" s="307">
        <f t="shared" si="41"/>
        <v>4045.28</v>
      </c>
      <c r="Z529" s="298"/>
    </row>
    <row r="530" s="282" customFormat="1" spans="1:26">
      <c r="A530" s="295" t="s">
        <v>1553</v>
      </c>
      <c r="B530" s="296" t="s">
        <v>317</v>
      </c>
      <c r="C530" s="296" t="s">
        <v>45</v>
      </c>
      <c r="D530" s="295" t="s">
        <v>48</v>
      </c>
      <c r="E530" s="296" t="s">
        <v>415</v>
      </c>
      <c r="F530" s="296" t="s">
        <v>156</v>
      </c>
      <c r="G530" s="295" t="s">
        <v>215</v>
      </c>
      <c r="H530" s="295" t="s">
        <v>389</v>
      </c>
      <c r="I530" s="295" t="s">
        <v>294</v>
      </c>
      <c r="J530" s="304">
        <v>20200011101</v>
      </c>
      <c r="K530" s="309" t="s">
        <v>1554</v>
      </c>
      <c r="L530" s="306">
        <v>776092</v>
      </c>
      <c r="M530" s="295" t="s">
        <v>1555</v>
      </c>
      <c r="N530" s="306">
        <v>177.19</v>
      </c>
      <c r="O530" s="306" t="s">
        <v>156</v>
      </c>
      <c r="P530" s="307">
        <v>177.19</v>
      </c>
      <c r="Q530" s="307" t="s">
        <v>156</v>
      </c>
      <c r="R530" s="298" t="s">
        <v>156</v>
      </c>
      <c r="S530" s="563" t="s">
        <v>392</v>
      </c>
      <c r="T530" s="333" t="s">
        <v>1556</v>
      </c>
      <c r="U530" s="339">
        <v>712011.01</v>
      </c>
      <c r="V530" s="307">
        <f t="shared" si="39"/>
        <v>64080.99</v>
      </c>
      <c r="W530" s="307">
        <f t="shared" si="40"/>
        <v>776092</v>
      </c>
      <c r="X530" s="307">
        <f t="shared" si="38"/>
        <v>712011.01</v>
      </c>
      <c r="Y530" s="307">
        <f t="shared" si="41"/>
        <v>4018.35</v>
      </c>
      <c r="Z530" s="298"/>
    </row>
    <row r="531" s="282" customFormat="1" spans="1:26">
      <c r="A531" s="295" t="s">
        <v>1557</v>
      </c>
      <c r="B531" s="296" t="s">
        <v>317</v>
      </c>
      <c r="C531" s="296" t="s">
        <v>45</v>
      </c>
      <c r="D531" s="295" t="s">
        <v>92</v>
      </c>
      <c r="E531" s="296" t="s">
        <v>420</v>
      </c>
      <c r="F531" s="296" t="s">
        <v>156</v>
      </c>
      <c r="G531" s="295" t="s">
        <v>215</v>
      </c>
      <c r="H531" s="295" t="s">
        <v>389</v>
      </c>
      <c r="I531" s="295" t="s">
        <v>294</v>
      </c>
      <c r="J531" s="304">
        <v>20210002922</v>
      </c>
      <c r="K531" s="309" t="s">
        <v>1558</v>
      </c>
      <c r="L531" s="306">
        <v>664872</v>
      </c>
      <c r="M531" s="295" t="s">
        <v>1559</v>
      </c>
      <c r="N531" s="306">
        <v>149.14</v>
      </c>
      <c r="O531" s="306" t="s">
        <v>156</v>
      </c>
      <c r="P531" s="307">
        <v>149.14</v>
      </c>
      <c r="Q531" s="307" t="s">
        <v>156</v>
      </c>
      <c r="R531" s="298" t="s">
        <v>156</v>
      </c>
      <c r="S531" s="563" t="s">
        <v>392</v>
      </c>
      <c r="T531" s="333" t="s">
        <v>1560</v>
      </c>
      <c r="U531" s="339">
        <v>609974.31</v>
      </c>
      <c r="V531" s="307">
        <f t="shared" si="39"/>
        <v>54897.69</v>
      </c>
      <c r="W531" s="307">
        <f t="shared" si="40"/>
        <v>664872</v>
      </c>
      <c r="X531" s="307">
        <f t="shared" si="38"/>
        <v>609974.31</v>
      </c>
      <c r="Y531" s="307">
        <f t="shared" si="41"/>
        <v>4089.94</v>
      </c>
      <c r="Z531" s="298"/>
    </row>
    <row r="532" s="282" customFormat="1" spans="1:26">
      <c r="A532" s="295" t="s">
        <v>794</v>
      </c>
      <c r="B532" s="296" t="s">
        <v>317</v>
      </c>
      <c r="C532" s="296" t="s">
        <v>45</v>
      </c>
      <c r="D532" s="295" t="s">
        <v>92</v>
      </c>
      <c r="E532" s="296" t="s">
        <v>425</v>
      </c>
      <c r="F532" s="296" t="s">
        <v>156</v>
      </c>
      <c r="G532" s="295" t="s">
        <v>215</v>
      </c>
      <c r="H532" s="295" t="s">
        <v>389</v>
      </c>
      <c r="I532" s="295" t="s">
        <v>294</v>
      </c>
      <c r="J532" s="304">
        <v>20210001012</v>
      </c>
      <c r="K532" s="309" t="s">
        <v>1561</v>
      </c>
      <c r="L532" s="306">
        <v>787301</v>
      </c>
      <c r="M532" s="295" t="s">
        <v>1562</v>
      </c>
      <c r="N532" s="306">
        <v>177.19</v>
      </c>
      <c r="O532" s="306" t="s">
        <v>156</v>
      </c>
      <c r="P532" s="307">
        <v>177.19</v>
      </c>
      <c r="Q532" s="307" t="s">
        <v>156</v>
      </c>
      <c r="R532" s="298" t="s">
        <v>156</v>
      </c>
      <c r="S532" s="563" t="s">
        <v>392</v>
      </c>
      <c r="T532" s="333" t="s">
        <v>1563</v>
      </c>
      <c r="U532" s="339">
        <v>722294.5</v>
      </c>
      <c r="V532" s="307">
        <f t="shared" si="39"/>
        <v>65006.51</v>
      </c>
      <c r="W532" s="307">
        <f t="shared" si="40"/>
        <v>787301.01</v>
      </c>
      <c r="X532" s="307">
        <f t="shared" si="38"/>
        <v>722294.5</v>
      </c>
      <c r="Y532" s="307">
        <f t="shared" si="41"/>
        <v>4076.38</v>
      </c>
      <c r="Z532" s="298"/>
    </row>
    <row r="533" s="282" customFormat="1" spans="1:26">
      <c r="A533" s="295" t="s">
        <v>792</v>
      </c>
      <c r="B533" s="296" t="s">
        <v>317</v>
      </c>
      <c r="C533" s="296" t="s">
        <v>45</v>
      </c>
      <c r="D533" s="295" t="s">
        <v>95</v>
      </c>
      <c r="E533" s="296" t="s">
        <v>430</v>
      </c>
      <c r="F533" s="296" t="s">
        <v>156</v>
      </c>
      <c r="G533" s="295" t="s">
        <v>215</v>
      </c>
      <c r="H533" s="295" t="s">
        <v>389</v>
      </c>
      <c r="I533" s="295" t="s">
        <v>294</v>
      </c>
      <c r="J533" s="304">
        <v>20200008493</v>
      </c>
      <c r="K533" s="309" t="s">
        <v>580</v>
      </c>
      <c r="L533" s="306">
        <v>672132</v>
      </c>
      <c r="M533" s="295" t="s">
        <v>1564</v>
      </c>
      <c r="N533" s="306">
        <v>149.14</v>
      </c>
      <c r="O533" s="306" t="s">
        <v>156</v>
      </c>
      <c r="P533" s="307">
        <v>149.14</v>
      </c>
      <c r="Q533" s="307" t="s">
        <v>156</v>
      </c>
      <c r="R533" s="298" t="s">
        <v>156</v>
      </c>
      <c r="S533" s="563" t="s">
        <v>392</v>
      </c>
      <c r="T533" s="333" t="s">
        <v>1565</v>
      </c>
      <c r="U533" s="339">
        <v>616634.86</v>
      </c>
      <c r="V533" s="307">
        <f t="shared" si="39"/>
        <v>55497.14</v>
      </c>
      <c r="W533" s="307">
        <f t="shared" si="40"/>
        <v>672132</v>
      </c>
      <c r="X533" s="307">
        <f t="shared" si="38"/>
        <v>616634.86</v>
      </c>
      <c r="Y533" s="307">
        <f t="shared" si="41"/>
        <v>4134.6</v>
      </c>
      <c r="Z533" s="298"/>
    </row>
    <row r="534" s="282" customFormat="1" spans="1:26">
      <c r="A534" s="295" t="s">
        <v>926</v>
      </c>
      <c r="B534" s="296" t="s">
        <v>317</v>
      </c>
      <c r="C534" s="296" t="s">
        <v>45</v>
      </c>
      <c r="D534" s="295" t="s">
        <v>95</v>
      </c>
      <c r="E534" s="296" t="s">
        <v>435</v>
      </c>
      <c r="F534" s="296" t="s">
        <v>156</v>
      </c>
      <c r="G534" s="295" t="s">
        <v>215</v>
      </c>
      <c r="H534" s="295" t="s">
        <v>389</v>
      </c>
      <c r="I534" s="295" t="s">
        <v>294</v>
      </c>
      <c r="J534" s="304">
        <v>20210001434</v>
      </c>
      <c r="K534" s="309" t="s">
        <v>1566</v>
      </c>
      <c r="L534" s="306">
        <v>795927</v>
      </c>
      <c r="M534" s="295" t="s">
        <v>1567</v>
      </c>
      <c r="N534" s="306">
        <v>177.19</v>
      </c>
      <c r="O534" s="306" t="s">
        <v>156</v>
      </c>
      <c r="P534" s="307">
        <v>177.19</v>
      </c>
      <c r="Q534" s="307" t="s">
        <v>156</v>
      </c>
      <c r="R534" s="298" t="s">
        <v>156</v>
      </c>
      <c r="S534" s="563" t="s">
        <v>392</v>
      </c>
      <c r="T534" s="333" t="s">
        <v>1568</v>
      </c>
      <c r="U534" s="339">
        <v>730208.26</v>
      </c>
      <c r="V534" s="307">
        <f t="shared" si="39"/>
        <v>65718.74</v>
      </c>
      <c r="W534" s="307">
        <f t="shared" si="40"/>
        <v>795927</v>
      </c>
      <c r="X534" s="307">
        <f t="shared" si="38"/>
        <v>730208.26</v>
      </c>
      <c r="Y534" s="307">
        <f t="shared" si="41"/>
        <v>4121.05</v>
      </c>
      <c r="Z534" s="298"/>
    </row>
    <row r="535" s="282" customFormat="1" spans="1:26">
      <c r="A535" s="295" t="s">
        <v>1569</v>
      </c>
      <c r="B535" s="296" t="s">
        <v>317</v>
      </c>
      <c r="C535" s="296" t="s">
        <v>45</v>
      </c>
      <c r="D535" s="295" t="s">
        <v>99</v>
      </c>
      <c r="E535" s="296" t="s">
        <v>440</v>
      </c>
      <c r="F535" s="296" t="s">
        <v>156</v>
      </c>
      <c r="G535" s="295" t="s">
        <v>215</v>
      </c>
      <c r="H535" s="295" t="s">
        <v>389</v>
      </c>
      <c r="I535" s="295" t="s">
        <v>294</v>
      </c>
      <c r="J535" s="304">
        <v>20200008527</v>
      </c>
      <c r="K535" s="309" t="s">
        <v>902</v>
      </c>
      <c r="L535" s="306">
        <v>678945</v>
      </c>
      <c r="M535" s="295" t="s">
        <v>1570</v>
      </c>
      <c r="N535" s="306">
        <v>149.14</v>
      </c>
      <c r="O535" s="306" t="s">
        <v>156</v>
      </c>
      <c r="P535" s="307">
        <v>149.14</v>
      </c>
      <c r="Q535" s="307" t="s">
        <v>156</v>
      </c>
      <c r="R535" s="298" t="s">
        <v>156</v>
      </c>
      <c r="S535" s="563" t="s">
        <v>392</v>
      </c>
      <c r="T535" s="333" t="s">
        <v>1571</v>
      </c>
      <c r="U535" s="339">
        <v>622885.32</v>
      </c>
      <c r="V535" s="307">
        <f t="shared" si="39"/>
        <v>56059.68</v>
      </c>
      <c r="W535" s="307">
        <f t="shared" si="40"/>
        <v>678945</v>
      </c>
      <c r="X535" s="307">
        <f t="shared" si="38"/>
        <v>622885.32</v>
      </c>
      <c r="Y535" s="307">
        <f t="shared" si="41"/>
        <v>4176.51</v>
      </c>
      <c r="Z535" s="298"/>
    </row>
    <row r="536" s="282" customFormat="1" ht="23.8" spans="1:26">
      <c r="A536" s="295" t="s">
        <v>1572</v>
      </c>
      <c r="B536" s="296" t="s">
        <v>317</v>
      </c>
      <c r="C536" s="296" t="s">
        <v>45</v>
      </c>
      <c r="D536" s="295" t="s">
        <v>99</v>
      </c>
      <c r="E536" s="296" t="s">
        <v>444</v>
      </c>
      <c r="F536" s="296" t="s">
        <v>156</v>
      </c>
      <c r="G536" s="295" t="s">
        <v>215</v>
      </c>
      <c r="H536" s="295" t="s">
        <v>389</v>
      </c>
      <c r="I536" s="295" t="s">
        <v>294</v>
      </c>
      <c r="J536" s="304">
        <v>20200012046</v>
      </c>
      <c r="K536" s="309" t="s">
        <v>1573</v>
      </c>
      <c r="L536" s="306">
        <v>799021</v>
      </c>
      <c r="M536" s="295" t="s">
        <v>1574</v>
      </c>
      <c r="N536" s="306">
        <v>177.19</v>
      </c>
      <c r="O536" s="306" t="s">
        <v>156</v>
      </c>
      <c r="P536" s="307">
        <v>177.19</v>
      </c>
      <c r="Q536" s="307" t="s">
        <v>156</v>
      </c>
      <c r="R536" s="298" t="s">
        <v>156</v>
      </c>
      <c r="S536" s="563" t="s">
        <v>392</v>
      </c>
      <c r="T536" s="333" t="s">
        <v>1575</v>
      </c>
      <c r="U536" s="339">
        <v>733046.79</v>
      </c>
      <c r="V536" s="307">
        <f t="shared" si="39"/>
        <v>65974.21</v>
      </c>
      <c r="W536" s="307">
        <f t="shared" si="40"/>
        <v>799021</v>
      </c>
      <c r="X536" s="307">
        <f t="shared" si="38"/>
        <v>733046.79</v>
      </c>
      <c r="Y536" s="307">
        <f t="shared" si="41"/>
        <v>4137.07</v>
      </c>
      <c r="Z536" s="298"/>
    </row>
    <row r="537" s="282" customFormat="1" spans="1:26">
      <c r="A537" s="295" t="s">
        <v>1576</v>
      </c>
      <c r="B537" s="296" t="s">
        <v>317</v>
      </c>
      <c r="C537" s="296" t="s">
        <v>45</v>
      </c>
      <c r="D537" s="295" t="s">
        <v>102</v>
      </c>
      <c r="E537" s="296" t="s">
        <v>448</v>
      </c>
      <c r="F537" s="296" t="s">
        <v>156</v>
      </c>
      <c r="G537" s="295" t="s">
        <v>215</v>
      </c>
      <c r="H537" s="295" t="s">
        <v>389</v>
      </c>
      <c r="I537" s="295" t="s">
        <v>294</v>
      </c>
      <c r="J537" s="304">
        <v>20200010181</v>
      </c>
      <c r="K537" s="309" t="s">
        <v>1129</v>
      </c>
      <c r="L537" s="306">
        <v>1076000</v>
      </c>
      <c r="M537" s="295" t="s">
        <v>1577</v>
      </c>
      <c r="N537" s="306">
        <v>239.39</v>
      </c>
      <c r="O537" s="306" t="s">
        <v>156</v>
      </c>
      <c r="P537" s="307">
        <v>239.39</v>
      </c>
      <c r="Q537" s="307" t="s">
        <v>156</v>
      </c>
      <c r="R537" s="298" t="s">
        <v>156</v>
      </c>
      <c r="S537" s="563" t="s">
        <v>392</v>
      </c>
      <c r="T537" s="333" t="s">
        <v>1578</v>
      </c>
      <c r="U537" s="339">
        <v>987155.96</v>
      </c>
      <c r="V537" s="307">
        <f t="shared" si="39"/>
        <v>88844.04</v>
      </c>
      <c r="W537" s="307">
        <f t="shared" si="40"/>
        <v>1076000</v>
      </c>
      <c r="X537" s="307">
        <f t="shared" si="38"/>
        <v>987155.96</v>
      </c>
      <c r="Y537" s="307">
        <f t="shared" si="41"/>
        <v>4123.63</v>
      </c>
      <c r="Z537" s="298"/>
    </row>
    <row r="538" s="282" customFormat="1" spans="1:26">
      <c r="A538" s="295" t="s">
        <v>1579</v>
      </c>
      <c r="B538" s="296" t="s">
        <v>317</v>
      </c>
      <c r="C538" s="296" t="s">
        <v>45</v>
      </c>
      <c r="D538" s="295" t="s">
        <v>102</v>
      </c>
      <c r="E538" s="296" t="s">
        <v>452</v>
      </c>
      <c r="F538" s="296" t="s">
        <v>156</v>
      </c>
      <c r="G538" s="295" t="s">
        <v>215</v>
      </c>
      <c r="H538" s="295" t="s">
        <v>389</v>
      </c>
      <c r="I538" s="295" t="s">
        <v>294</v>
      </c>
      <c r="J538" s="304">
        <v>20210003252</v>
      </c>
      <c r="K538" s="309" t="s">
        <v>1580</v>
      </c>
      <c r="L538" s="306">
        <v>1261412</v>
      </c>
      <c r="M538" s="295" t="s">
        <v>1581</v>
      </c>
      <c r="N538" s="306">
        <v>274.22</v>
      </c>
      <c r="O538" s="306" t="s">
        <v>156</v>
      </c>
      <c r="P538" s="307">
        <v>274.22</v>
      </c>
      <c r="Q538" s="307" t="s">
        <v>156</v>
      </c>
      <c r="R538" s="298" t="s">
        <v>156</v>
      </c>
      <c r="S538" s="563" t="s">
        <v>392</v>
      </c>
      <c r="T538" s="333" t="s">
        <v>1582</v>
      </c>
      <c r="U538" s="339">
        <f>578629.36*2</f>
        <v>1157258.72</v>
      </c>
      <c r="V538" s="307">
        <f t="shared" si="39"/>
        <v>104153.28</v>
      </c>
      <c r="W538" s="307">
        <f t="shared" si="40"/>
        <v>1261412</v>
      </c>
      <c r="X538" s="307">
        <f t="shared" si="38"/>
        <v>1157258.72</v>
      </c>
      <c r="Y538" s="307">
        <f t="shared" si="41"/>
        <v>4220.18</v>
      </c>
      <c r="Z538" s="298"/>
    </row>
    <row r="539" s="282" customFormat="1" spans="1:26">
      <c r="A539" s="295" t="s">
        <v>515</v>
      </c>
      <c r="B539" s="296" t="s">
        <v>317</v>
      </c>
      <c r="C539" s="296" t="s">
        <v>42</v>
      </c>
      <c r="D539" s="295" t="s">
        <v>511</v>
      </c>
      <c r="E539" s="296" t="s">
        <v>512</v>
      </c>
      <c r="F539" s="296" t="s">
        <v>156</v>
      </c>
      <c r="G539" s="295" t="s">
        <v>513</v>
      </c>
      <c r="H539" s="295" t="s">
        <v>514</v>
      </c>
      <c r="I539" s="295"/>
      <c r="J539" s="304" t="s">
        <v>156</v>
      </c>
      <c r="K539" s="309" t="s">
        <v>156</v>
      </c>
      <c r="L539" s="306" t="s">
        <v>156</v>
      </c>
      <c r="M539" s="295" t="s">
        <v>156</v>
      </c>
      <c r="N539" s="306">
        <v>68.32</v>
      </c>
      <c r="O539" s="306" t="s">
        <v>156</v>
      </c>
      <c r="P539" s="307">
        <v>68.32</v>
      </c>
      <c r="Q539" s="307" t="s">
        <v>156</v>
      </c>
      <c r="R539" s="298" t="s">
        <v>156</v>
      </c>
      <c r="S539" s="297" t="s">
        <v>156</v>
      </c>
      <c r="T539" s="333" t="s">
        <v>156</v>
      </c>
      <c r="U539" s="307" t="s">
        <v>156</v>
      </c>
      <c r="V539" s="307"/>
      <c r="W539" s="307">
        <f t="shared" si="40"/>
        <v>0</v>
      </c>
      <c r="X539" s="307" t="str">
        <f t="shared" si="38"/>
        <v/>
      </c>
      <c r="Y539" s="307">
        <f t="shared" si="41"/>
        <v>0</v>
      </c>
      <c r="Z539" s="298"/>
    </row>
    <row r="540" s="282" customFormat="1" spans="1:26">
      <c r="A540" s="295" t="s">
        <v>1042</v>
      </c>
      <c r="B540" s="296" t="s">
        <v>317</v>
      </c>
      <c r="C540" s="296" t="s">
        <v>42</v>
      </c>
      <c r="D540" s="295" t="s">
        <v>511</v>
      </c>
      <c r="E540" s="296" t="s">
        <v>516</v>
      </c>
      <c r="F540" s="296" t="s">
        <v>156</v>
      </c>
      <c r="G540" s="295" t="s">
        <v>513</v>
      </c>
      <c r="H540" s="295" t="s">
        <v>514</v>
      </c>
      <c r="I540" s="295"/>
      <c r="J540" s="304" t="s">
        <v>156</v>
      </c>
      <c r="K540" s="309" t="s">
        <v>156</v>
      </c>
      <c r="L540" s="306" t="s">
        <v>156</v>
      </c>
      <c r="M540" s="295" t="s">
        <v>156</v>
      </c>
      <c r="N540" s="306">
        <v>64</v>
      </c>
      <c r="O540" s="306" t="s">
        <v>156</v>
      </c>
      <c r="P540" s="307">
        <v>64</v>
      </c>
      <c r="Q540" s="307" t="s">
        <v>156</v>
      </c>
      <c r="R540" s="298" t="s">
        <v>156</v>
      </c>
      <c r="S540" s="297" t="s">
        <v>156</v>
      </c>
      <c r="T540" s="333" t="s">
        <v>156</v>
      </c>
      <c r="U540" s="307" t="s">
        <v>156</v>
      </c>
      <c r="V540" s="307"/>
      <c r="W540" s="307">
        <f t="shared" si="40"/>
        <v>0</v>
      </c>
      <c r="X540" s="307" t="str">
        <f t="shared" si="38"/>
        <v/>
      </c>
      <c r="Y540" s="307">
        <f t="shared" si="41"/>
        <v>0</v>
      </c>
      <c r="Z540" s="298"/>
    </row>
    <row r="541" s="282" customFormat="1" spans="1:26">
      <c r="A541" s="295" t="s">
        <v>1583</v>
      </c>
      <c r="B541" s="296" t="s">
        <v>317</v>
      </c>
      <c r="C541" s="296" t="s">
        <v>42</v>
      </c>
      <c r="D541" s="295" t="s">
        <v>511</v>
      </c>
      <c r="E541" s="296" t="s">
        <v>518</v>
      </c>
      <c r="F541" s="296" t="s">
        <v>156</v>
      </c>
      <c r="G541" s="295" t="s">
        <v>513</v>
      </c>
      <c r="H541" s="295" t="s">
        <v>514</v>
      </c>
      <c r="I541" s="295"/>
      <c r="J541" s="304" t="s">
        <v>156</v>
      </c>
      <c r="K541" s="309" t="s">
        <v>156</v>
      </c>
      <c r="L541" s="306" t="s">
        <v>156</v>
      </c>
      <c r="M541" s="295" t="s">
        <v>156</v>
      </c>
      <c r="N541" s="306">
        <v>64</v>
      </c>
      <c r="O541" s="306" t="s">
        <v>156</v>
      </c>
      <c r="P541" s="307">
        <v>64</v>
      </c>
      <c r="Q541" s="307" t="s">
        <v>156</v>
      </c>
      <c r="R541" s="298" t="s">
        <v>156</v>
      </c>
      <c r="S541" s="297" t="s">
        <v>156</v>
      </c>
      <c r="T541" s="333" t="s">
        <v>156</v>
      </c>
      <c r="U541" s="307" t="s">
        <v>156</v>
      </c>
      <c r="V541" s="307"/>
      <c r="W541" s="307">
        <f t="shared" si="40"/>
        <v>0</v>
      </c>
      <c r="X541" s="307" t="str">
        <f t="shared" si="38"/>
        <v/>
      </c>
      <c r="Y541" s="307">
        <f t="shared" si="41"/>
        <v>0</v>
      </c>
      <c r="Z541" s="298"/>
    </row>
    <row r="542" s="282" customFormat="1" spans="1:26">
      <c r="A542" s="295" t="s">
        <v>799</v>
      </c>
      <c r="B542" s="296" t="s">
        <v>317</v>
      </c>
      <c r="C542" s="296" t="s">
        <v>42</v>
      </c>
      <c r="D542" s="295" t="s">
        <v>511</v>
      </c>
      <c r="E542" s="296" t="s">
        <v>520</v>
      </c>
      <c r="F542" s="296" t="s">
        <v>156</v>
      </c>
      <c r="G542" s="295" t="s">
        <v>513</v>
      </c>
      <c r="H542" s="295" t="s">
        <v>514</v>
      </c>
      <c r="I542" s="295"/>
      <c r="J542" s="304" t="s">
        <v>156</v>
      </c>
      <c r="K542" s="309" t="s">
        <v>156</v>
      </c>
      <c r="L542" s="306" t="s">
        <v>156</v>
      </c>
      <c r="M542" s="295" t="s">
        <v>156</v>
      </c>
      <c r="N542" s="306">
        <v>68.32</v>
      </c>
      <c r="O542" s="306" t="s">
        <v>156</v>
      </c>
      <c r="P542" s="307">
        <v>68.32</v>
      </c>
      <c r="Q542" s="307" t="s">
        <v>156</v>
      </c>
      <c r="R542" s="298" t="s">
        <v>156</v>
      </c>
      <c r="S542" s="297" t="s">
        <v>156</v>
      </c>
      <c r="T542" s="333" t="s">
        <v>156</v>
      </c>
      <c r="U542" s="307" t="s">
        <v>156</v>
      </c>
      <c r="V542" s="307"/>
      <c r="W542" s="307">
        <f t="shared" si="40"/>
        <v>0</v>
      </c>
      <c r="X542" s="307" t="str">
        <f t="shared" si="38"/>
        <v/>
      </c>
      <c r="Y542" s="307">
        <f t="shared" si="41"/>
        <v>0</v>
      </c>
      <c r="Z542" s="298"/>
    </row>
    <row r="543" s="282" customFormat="1" spans="1:26">
      <c r="A543" s="295" t="s">
        <v>1584</v>
      </c>
      <c r="B543" s="296" t="s">
        <v>317</v>
      </c>
      <c r="C543" s="296" t="s">
        <v>42</v>
      </c>
      <c r="D543" s="295" t="s">
        <v>511</v>
      </c>
      <c r="E543" s="296" t="s">
        <v>522</v>
      </c>
      <c r="F543" s="296" t="s">
        <v>156</v>
      </c>
      <c r="G543" s="295" t="s">
        <v>513</v>
      </c>
      <c r="H543" s="295" t="s">
        <v>514</v>
      </c>
      <c r="I543" s="295"/>
      <c r="J543" s="304" t="s">
        <v>156</v>
      </c>
      <c r="K543" s="309" t="s">
        <v>156</v>
      </c>
      <c r="L543" s="306" t="s">
        <v>156</v>
      </c>
      <c r="M543" s="295" t="s">
        <v>156</v>
      </c>
      <c r="N543" s="306">
        <v>11.62</v>
      </c>
      <c r="O543" s="306" t="s">
        <v>156</v>
      </c>
      <c r="P543" s="307">
        <v>11.62</v>
      </c>
      <c r="Q543" s="307" t="s">
        <v>156</v>
      </c>
      <c r="R543" s="298" t="s">
        <v>156</v>
      </c>
      <c r="S543" s="297" t="s">
        <v>156</v>
      </c>
      <c r="T543" s="333" t="s">
        <v>156</v>
      </c>
      <c r="U543" s="307" t="s">
        <v>156</v>
      </c>
      <c r="V543" s="307"/>
      <c r="W543" s="307">
        <f t="shared" si="40"/>
        <v>0</v>
      </c>
      <c r="X543" s="307" t="str">
        <f t="shared" si="38"/>
        <v/>
      </c>
      <c r="Y543" s="307">
        <f t="shared" si="41"/>
        <v>0</v>
      </c>
      <c r="Z543" s="298"/>
    </row>
    <row r="544" s="282" customFormat="1" spans="1:26">
      <c r="A544" s="295" t="s">
        <v>1585</v>
      </c>
      <c r="B544" s="296" t="s">
        <v>317</v>
      </c>
      <c r="C544" s="296" t="s">
        <v>42</v>
      </c>
      <c r="D544" s="295" t="s">
        <v>511</v>
      </c>
      <c r="E544" s="296" t="s">
        <v>524</v>
      </c>
      <c r="F544" s="296" t="s">
        <v>156</v>
      </c>
      <c r="G544" s="295" t="s">
        <v>513</v>
      </c>
      <c r="H544" s="295" t="s">
        <v>514</v>
      </c>
      <c r="I544" s="295"/>
      <c r="J544" s="304" t="s">
        <v>156</v>
      </c>
      <c r="K544" s="309" t="s">
        <v>156</v>
      </c>
      <c r="L544" s="306" t="s">
        <v>156</v>
      </c>
      <c r="M544" s="295" t="s">
        <v>156</v>
      </c>
      <c r="N544" s="306">
        <v>21.12</v>
      </c>
      <c r="O544" s="306" t="s">
        <v>156</v>
      </c>
      <c r="P544" s="307">
        <v>21.12</v>
      </c>
      <c r="Q544" s="307" t="s">
        <v>156</v>
      </c>
      <c r="R544" s="298" t="s">
        <v>156</v>
      </c>
      <c r="S544" s="297" t="s">
        <v>156</v>
      </c>
      <c r="T544" s="333" t="s">
        <v>156</v>
      </c>
      <c r="U544" s="307" t="s">
        <v>156</v>
      </c>
      <c r="V544" s="307"/>
      <c r="W544" s="307">
        <f t="shared" si="40"/>
        <v>0</v>
      </c>
      <c r="X544" s="307" t="str">
        <f t="shared" si="38"/>
        <v/>
      </c>
      <c r="Y544" s="307">
        <f t="shared" si="41"/>
        <v>0</v>
      </c>
      <c r="Z544" s="298"/>
    </row>
    <row r="545" s="282" customFormat="1" spans="1:26">
      <c r="A545" s="295" t="s">
        <v>1035</v>
      </c>
      <c r="B545" s="296" t="s">
        <v>317</v>
      </c>
      <c r="C545" s="296" t="s">
        <v>42</v>
      </c>
      <c r="D545" s="295" t="s">
        <v>511</v>
      </c>
      <c r="E545" s="296" t="s">
        <v>526</v>
      </c>
      <c r="F545" s="296" t="s">
        <v>156</v>
      </c>
      <c r="G545" s="295" t="s">
        <v>513</v>
      </c>
      <c r="H545" s="295" t="s">
        <v>514</v>
      </c>
      <c r="I545" s="295"/>
      <c r="J545" s="304" t="s">
        <v>156</v>
      </c>
      <c r="K545" s="309" t="s">
        <v>156</v>
      </c>
      <c r="L545" s="306" t="s">
        <v>156</v>
      </c>
      <c r="M545" s="295" t="s">
        <v>156</v>
      </c>
      <c r="N545" s="306">
        <v>23.17</v>
      </c>
      <c r="O545" s="306" t="s">
        <v>156</v>
      </c>
      <c r="P545" s="307">
        <v>23.17</v>
      </c>
      <c r="Q545" s="307" t="s">
        <v>156</v>
      </c>
      <c r="R545" s="298" t="s">
        <v>156</v>
      </c>
      <c r="S545" s="297" t="s">
        <v>156</v>
      </c>
      <c r="T545" s="333" t="s">
        <v>156</v>
      </c>
      <c r="U545" s="307" t="s">
        <v>156</v>
      </c>
      <c r="V545" s="307"/>
      <c r="W545" s="307">
        <f t="shared" si="40"/>
        <v>0</v>
      </c>
      <c r="X545" s="307" t="str">
        <f t="shared" si="38"/>
        <v/>
      </c>
      <c r="Y545" s="307">
        <f t="shared" si="41"/>
        <v>0</v>
      </c>
      <c r="Z545" s="298"/>
    </row>
    <row r="546" s="282" customFormat="1" spans="1:26">
      <c r="A546" s="295" t="s">
        <v>1586</v>
      </c>
      <c r="B546" s="296" t="s">
        <v>317</v>
      </c>
      <c r="C546" s="296" t="s">
        <v>42</v>
      </c>
      <c r="D546" s="295" t="s">
        <v>511</v>
      </c>
      <c r="E546" s="296" t="s">
        <v>528</v>
      </c>
      <c r="F546" s="296" t="s">
        <v>156</v>
      </c>
      <c r="G546" s="295" t="s">
        <v>513</v>
      </c>
      <c r="H546" s="295" t="s">
        <v>514</v>
      </c>
      <c r="I546" s="295"/>
      <c r="J546" s="304" t="s">
        <v>156</v>
      </c>
      <c r="K546" s="309" t="s">
        <v>156</v>
      </c>
      <c r="L546" s="306" t="s">
        <v>156</v>
      </c>
      <c r="M546" s="295" t="s">
        <v>156</v>
      </c>
      <c r="N546" s="306">
        <v>21.99</v>
      </c>
      <c r="O546" s="306" t="s">
        <v>156</v>
      </c>
      <c r="P546" s="307">
        <v>21.99</v>
      </c>
      <c r="Q546" s="307" t="s">
        <v>156</v>
      </c>
      <c r="R546" s="298" t="s">
        <v>156</v>
      </c>
      <c r="S546" s="297" t="s">
        <v>156</v>
      </c>
      <c r="T546" s="333" t="s">
        <v>156</v>
      </c>
      <c r="U546" s="307" t="s">
        <v>156</v>
      </c>
      <c r="V546" s="307"/>
      <c r="W546" s="307">
        <f t="shared" si="40"/>
        <v>0</v>
      </c>
      <c r="X546" s="307" t="str">
        <f t="shared" si="38"/>
        <v/>
      </c>
      <c r="Y546" s="307">
        <f t="shared" si="41"/>
        <v>0</v>
      </c>
      <c r="Z546" s="298"/>
    </row>
    <row r="547" s="282" customFormat="1" spans="1:26">
      <c r="A547" s="295" t="s">
        <v>1587</v>
      </c>
      <c r="B547" s="296" t="s">
        <v>317</v>
      </c>
      <c r="C547" s="296" t="s">
        <v>42</v>
      </c>
      <c r="D547" s="295" t="s">
        <v>511</v>
      </c>
      <c r="E547" s="296" t="s">
        <v>529</v>
      </c>
      <c r="F547" s="296" t="s">
        <v>156</v>
      </c>
      <c r="G547" s="295" t="s">
        <v>513</v>
      </c>
      <c r="H547" s="295" t="s">
        <v>514</v>
      </c>
      <c r="I547" s="295"/>
      <c r="J547" s="304" t="s">
        <v>156</v>
      </c>
      <c r="K547" s="309" t="s">
        <v>156</v>
      </c>
      <c r="L547" s="306" t="s">
        <v>156</v>
      </c>
      <c r="M547" s="295" t="s">
        <v>156</v>
      </c>
      <c r="N547" s="306">
        <v>21</v>
      </c>
      <c r="O547" s="306" t="s">
        <v>156</v>
      </c>
      <c r="P547" s="307">
        <v>21</v>
      </c>
      <c r="Q547" s="307" t="s">
        <v>156</v>
      </c>
      <c r="R547" s="298" t="s">
        <v>156</v>
      </c>
      <c r="S547" s="297" t="s">
        <v>156</v>
      </c>
      <c r="T547" s="333" t="s">
        <v>156</v>
      </c>
      <c r="U547" s="307" t="s">
        <v>156</v>
      </c>
      <c r="V547" s="307"/>
      <c r="W547" s="307">
        <f t="shared" si="40"/>
        <v>0</v>
      </c>
      <c r="X547" s="307" t="str">
        <f t="shared" si="38"/>
        <v/>
      </c>
      <c r="Y547" s="307">
        <f t="shared" si="41"/>
        <v>0</v>
      </c>
      <c r="Z547" s="298"/>
    </row>
    <row r="548" s="282" customFormat="1" spans="1:26">
      <c r="A548" s="295" t="s">
        <v>1588</v>
      </c>
      <c r="B548" s="296" t="s">
        <v>317</v>
      </c>
      <c r="C548" s="296" t="s">
        <v>42</v>
      </c>
      <c r="D548" s="295" t="s">
        <v>511</v>
      </c>
      <c r="E548" s="296" t="s">
        <v>531</v>
      </c>
      <c r="F548" s="296" t="s">
        <v>156</v>
      </c>
      <c r="G548" s="295" t="s">
        <v>513</v>
      </c>
      <c r="H548" s="295" t="s">
        <v>514</v>
      </c>
      <c r="I548" s="295"/>
      <c r="J548" s="304" t="s">
        <v>156</v>
      </c>
      <c r="K548" s="309" t="s">
        <v>156</v>
      </c>
      <c r="L548" s="306" t="s">
        <v>156</v>
      </c>
      <c r="M548" s="295" t="s">
        <v>156</v>
      </c>
      <c r="N548" s="306">
        <v>16.28</v>
      </c>
      <c r="O548" s="306" t="s">
        <v>156</v>
      </c>
      <c r="P548" s="307">
        <v>16.28</v>
      </c>
      <c r="Q548" s="307" t="s">
        <v>156</v>
      </c>
      <c r="R548" s="298" t="s">
        <v>156</v>
      </c>
      <c r="S548" s="297" t="s">
        <v>156</v>
      </c>
      <c r="T548" s="333" t="s">
        <v>156</v>
      </c>
      <c r="U548" s="307" t="s">
        <v>156</v>
      </c>
      <c r="V548" s="307"/>
      <c r="W548" s="307">
        <f t="shared" si="40"/>
        <v>0</v>
      </c>
      <c r="X548" s="307" t="str">
        <f t="shared" si="38"/>
        <v/>
      </c>
      <c r="Y548" s="307">
        <f t="shared" si="41"/>
        <v>0</v>
      </c>
      <c r="Z548" s="298"/>
    </row>
    <row r="549" s="282" customFormat="1" spans="1:26">
      <c r="A549" s="295" t="s">
        <v>922</v>
      </c>
      <c r="B549" s="296" t="s">
        <v>317</v>
      </c>
      <c r="C549" s="296" t="s">
        <v>42</v>
      </c>
      <c r="D549" s="295" t="s">
        <v>511</v>
      </c>
      <c r="E549" s="296" t="s">
        <v>533</v>
      </c>
      <c r="F549" s="296" t="s">
        <v>156</v>
      </c>
      <c r="G549" s="295" t="s">
        <v>513</v>
      </c>
      <c r="H549" s="295" t="s">
        <v>514</v>
      </c>
      <c r="I549" s="295"/>
      <c r="J549" s="304" t="s">
        <v>156</v>
      </c>
      <c r="K549" s="309" t="s">
        <v>156</v>
      </c>
      <c r="L549" s="306" t="s">
        <v>156</v>
      </c>
      <c r="M549" s="295" t="s">
        <v>156</v>
      </c>
      <c r="N549" s="306">
        <v>12.78</v>
      </c>
      <c r="O549" s="306" t="s">
        <v>156</v>
      </c>
      <c r="P549" s="307">
        <v>12.78</v>
      </c>
      <c r="Q549" s="307" t="s">
        <v>156</v>
      </c>
      <c r="R549" s="298" t="s">
        <v>156</v>
      </c>
      <c r="S549" s="297" t="s">
        <v>156</v>
      </c>
      <c r="T549" s="333" t="s">
        <v>156</v>
      </c>
      <c r="U549" s="307" t="s">
        <v>156</v>
      </c>
      <c r="V549" s="307"/>
      <c r="W549" s="307">
        <f t="shared" si="40"/>
        <v>0</v>
      </c>
      <c r="X549" s="307" t="str">
        <f t="shared" si="38"/>
        <v/>
      </c>
      <c r="Y549" s="307">
        <f t="shared" si="41"/>
        <v>0</v>
      </c>
      <c r="Z549" s="298"/>
    </row>
    <row r="550" s="282" customFormat="1" spans="1:26">
      <c r="A550" s="295" t="s">
        <v>1589</v>
      </c>
      <c r="B550" s="297" t="s">
        <v>317</v>
      </c>
      <c r="C550" s="297" t="s">
        <v>42</v>
      </c>
      <c r="D550" s="298" t="s">
        <v>511</v>
      </c>
      <c r="E550" s="297" t="s">
        <v>535</v>
      </c>
      <c r="F550" s="297" t="s">
        <v>156</v>
      </c>
      <c r="G550" s="295" t="s">
        <v>513</v>
      </c>
      <c r="H550" s="295" t="s">
        <v>514</v>
      </c>
      <c r="I550" s="298"/>
      <c r="J550" s="308" t="s">
        <v>156</v>
      </c>
      <c r="K550" s="305" t="s">
        <v>156</v>
      </c>
      <c r="L550" s="307" t="s">
        <v>156</v>
      </c>
      <c r="M550" s="298" t="s">
        <v>156</v>
      </c>
      <c r="N550" s="307">
        <v>9.13</v>
      </c>
      <c r="O550" s="307" t="s">
        <v>156</v>
      </c>
      <c r="P550" s="307">
        <v>9.13</v>
      </c>
      <c r="Q550" s="307" t="s">
        <v>156</v>
      </c>
      <c r="R550" s="298" t="s">
        <v>156</v>
      </c>
      <c r="S550" s="297" t="s">
        <v>156</v>
      </c>
      <c r="T550" s="333" t="s">
        <v>156</v>
      </c>
      <c r="U550" s="307" t="s">
        <v>156</v>
      </c>
      <c r="V550" s="307"/>
      <c r="W550" s="307">
        <f t="shared" si="40"/>
        <v>0</v>
      </c>
      <c r="X550" s="307" t="str">
        <f t="shared" si="38"/>
        <v/>
      </c>
      <c r="Y550" s="307">
        <f t="shared" si="41"/>
        <v>0</v>
      </c>
      <c r="Z550" s="298"/>
    </row>
    <row r="551" s="282" customFormat="1" spans="1:26">
      <c r="A551" s="295" t="s">
        <v>1590</v>
      </c>
      <c r="B551" s="296" t="s">
        <v>317</v>
      </c>
      <c r="C551" s="296" t="s">
        <v>42</v>
      </c>
      <c r="D551" s="295" t="s">
        <v>511</v>
      </c>
      <c r="E551" s="296" t="s">
        <v>537</v>
      </c>
      <c r="F551" s="296" t="s">
        <v>156</v>
      </c>
      <c r="G551" s="295" t="s">
        <v>513</v>
      </c>
      <c r="H551" s="295" t="s">
        <v>514</v>
      </c>
      <c r="I551" s="295"/>
      <c r="J551" s="304" t="s">
        <v>156</v>
      </c>
      <c r="K551" s="309" t="s">
        <v>156</v>
      </c>
      <c r="L551" s="306" t="s">
        <v>156</v>
      </c>
      <c r="M551" s="295" t="s">
        <v>156</v>
      </c>
      <c r="N551" s="306">
        <v>16.51</v>
      </c>
      <c r="O551" s="306" t="s">
        <v>156</v>
      </c>
      <c r="P551" s="307">
        <v>16.51</v>
      </c>
      <c r="Q551" s="307" t="s">
        <v>156</v>
      </c>
      <c r="R551" s="298" t="s">
        <v>156</v>
      </c>
      <c r="S551" s="297" t="s">
        <v>156</v>
      </c>
      <c r="T551" s="333" t="s">
        <v>156</v>
      </c>
      <c r="U551" s="307" t="s">
        <v>156</v>
      </c>
      <c r="V551" s="307"/>
      <c r="W551" s="307">
        <f t="shared" si="40"/>
        <v>0</v>
      </c>
      <c r="X551" s="307" t="str">
        <f t="shared" si="38"/>
        <v/>
      </c>
      <c r="Y551" s="307">
        <f t="shared" si="41"/>
        <v>0</v>
      </c>
      <c r="Z551" s="298"/>
    </row>
    <row r="552" s="282" customFormat="1" spans="1:26">
      <c r="A552" s="295" t="s">
        <v>1591</v>
      </c>
      <c r="B552" s="296" t="s">
        <v>317</v>
      </c>
      <c r="C552" s="296" t="s">
        <v>42</v>
      </c>
      <c r="D552" s="295" t="s">
        <v>511</v>
      </c>
      <c r="E552" s="296" t="s">
        <v>539</v>
      </c>
      <c r="F552" s="296" t="s">
        <v>156</v>
      </c>
      <c r="G552" s="295" t="s">
        <v>513</v>
      </c>
      <c r="H552" s="295" t="s">
        <v>514</v>
      </c>
      <c r="I552" s="295"/>
      <c r="J552" s="304" t="s">
        <v>156</v>
      </c>
      <c r="K552" s="309" t="s">
        <v>156</v>
      </c>
      <c r="L552" s="306" t="s">
        <v>156</v>
      </c>
      <c r="M552" s="295" t="s">
        <v>156</v>
      </c>
      <c r="N552" s="306">
        <v>12.33</v>
      </c>
      <c r="O552" s="306" t="s">
        <v>156</v>
      </c>
      <c r="P552" s="307">
        <v>12.33</v>
      </c>
      <c r="Q552" s="307" t="s">
        <v>156</v>
      </c>
      <c r="R552" s="298" t="s">
        <v>156</v>
      </c>
      <c r="S552" s="297" t="s">
        <v>156</v>
      </c>
      <c r="T552" s="333" t="s">
        <v>156</v>
      </c>
      <c r="U552" s="307" t="s">
        <v>156</v>
      </c>
      <c r="V552" s="307"/>
      <c r="W552" s="307">
        <f t="shared" si="40"/>
        <v>0</v>
      </c>
      <c r="X552" s="307" t="str">
        <f t="shared" si="38"/>
        <v/>
      </c>
      <c r="Y552" s="307">
        <f t="shared" si="41"/>
        <v>0</v>
      </c>
      <c r="Z552" s="298"/>
    </row>
    <row r="553" s="282" customFormat="1" spans="1:26">
      <c r="A553" s="295" t="s">
        <v>1592</v>
      </c>
      <c r="B553" s="296" t="s">
        <v>317</v>
      </c>
      <c r="C553" s="296" t="s">
        <v>45</v>
      </c>
      <c r="D553" s="295" t="s">
        <v>511</v>
      </c>
      <c r="E553" s="296" t="s">
        <v>541</v>
      </c>
      <c r="F553" s="296" t="s">
        <v>156</v>
      </c>
      <c r="G553" s="295" t="s">
        <v>513</v>
      </c>
      <c r="H553" s="295" t="s">
        <v>514</v>
      </c>
      <c r="I553" s="295"/>
      <c r="J553" s="304" t="s">
        <v>156</v>
      </c>
      <c r="K553" s="309" t="s">
        <v>156</v>
      </c>
      <c r="L553" s="306" t="s">
        <v>156</v>
      </c>
      <c r="M553" s="295" t="s">
        <v>156</v>
      </c>
      <c r="N553" s="306">
        <v>7.3</v>
      </c>
      <c r="O553" s="306" t="s">
        <v>156</v>
      </c>
      <c r="P553" s="307">
        <v>7.3</v>
      </c>
      <c r="Q553" s="307" t="s">
        <v>156</v>
      </c>
      <c r="R553" s="298" t="s">
        <v>156</v>
      </c>
      <c r="S553" s="297" t="s">
        <v>156</v>
      </c>
      <c r="T553" s="333" t="s">
        <v>156</v>
      </c>
      <c r="U553" s="307" t="s">
        <v>156</v>
      </c>
      <c r="V553" s="307"/>
      <c r="W553" s="307">
        <f t="shared" si="40"/>
        <v>0</v>
      </c>
      <c r="X553" s="307" t="str">
        <f t="shared" si="38"/>
        <v/>
      </c>
      <c r="Y553" s="307">
        <f t="shared" si="41"/>
        <v>0</v>
      </c>
      <c r="Z553" s="298"/>
    </row>
    <row r="554" s="282" customFormat="1" spans="1:26">
      <c r="A554" s="295" t="s">
        <v>1593</v>
      </c>
      <c r="B554" s="296" t="s">
        <v>317</v>
      </c>
      <c r="C554" s="296" t="s">
        <v>45</v>
      </c>
      <c r="D554" s="295" t="s">
        <v>511</v>
      </c>
      <c r="E554" s="296" t="s">
        <v>542</v>
      </c>
      <c r="F554" s="296" t="s">
        <v>156</v>
      </c>
      <c r="G554" s="295" t="s">
        <v>513</v>
      </c>
      <c r="H554" s="295" t="s">
        <v>514</v>
      </c>
      <c r="I554" s="295"/>
      <c r="J554" s="304" t="s">
        <v>156</v>
      </c>
      <c r="K554" s="309" t="s">
        <v>156</v>
      </c>
      <c r="L554" s="306" t="s">
        <v>156</v>
      </c>
      <c r="M554" s="295" t="s">
        <v>156</v>
      </c>
      <c r="N554" s="306">
        <v>14.95</v>
      </c>
      <c r="O554" s="306" t="s">
        <v>156</v>
      </c>
      <c r="P554" s="307">
        <v>14.95</v>
      </c>
      <c r="Q554" s="307" t="s">
        <v>156</v>
      </c>
      <c r="R554" s="298" t="s">
        <v>156</v>
      </c>
      <c r="S554" s="297" t="s">
        <v>156</v>
      </c>
      <c r="T554" s="333" t="s">
        <v>156</v>
      </c>
      <c r="U554" s="307" t="s">
        <v>156</v>
      </c>
      <c r="V554" s="307"/>
      <c r="W554" s="307">
        <f t="shared" si="40"/>
        <v>0</v>
      </c>
      <c r="X554" s="307" t="str">
        <f t="shared" si="38"/>
        <v/>
      </c>
      <c r="Y554" s="307">
        <f t="shared" si="41"/>
        <v>0</v>
      </c>
      <c r="Z554" s="298"/>
    </row>
    <row r="555" s="282" customFormat="1" spans="1:26">
      <c r="A555" s="295" t="s">
        <v>400</v>
      </c>
      <c r="B555" s="296" t="s">
        <v>317</v>
      </c>
      <c r="C555" s="296" t="s">
        <v>45</v>
      </c>
      <c r="D555" s="295" t="s">
        <v>511</v>
      </c>
      <c r="E555" s="296" t="s">
        <v>544</v>
      </c>
      <c r="F555" s="296" t="s">
        <v>156</v>
      </c>
      <c r="G555" s="295" t="s">
        <v>513</v>
      </c>
      <c r="H555" s="295" t="s">
        <v>514</v>
      </c>
      <c r="I555" s="295"/>
      <c r="J555" s="304" t="s">
        <v>156</v>
      </c>
      <c r="K555" s="309" t="s">
        <v>156</v>
      </c>
      <c r="L555" s="306" t="s">
        <v>156</v>
      </c>
      <c r="M555" s="295" t="s">
        <v>156</v>
      </c>
      <c r="N555" s="306">
        <v>14.95</v>
      </c>
      <c r="O555" s="306" t="s">
        <v>156</v>
      </c>
      <c r="P555" s="307">
        <v>14.95</v>
      </c>
      <c r="Q555" s="307" t="s">
        <v>156</v>
      </c>
      <c r="R555" s="298" t="s">
        <v>156</v>
      </c>
      <c r="S555" s="297" t="s">
        <v>156</v>
      </c>
      <c r="T555" s="333" t="s">
        <v>156</v>
      </c>
      <c r="U555" s="307" t="s">
        <v>156</v>
      </c>
      <c r="V555" s="307"/>
      <c r="W555" s="307">
        <f t="shared" si="40"/>
        <v>0</v>
      </c>
      <c r="X555" s="307" t="str">
        <f t="shared" si="38"/>
        <v/>
      </c>
      <c r="Y555" s="307">
        <f t="shared" si="41"/>
        <v>0</v>
      </c>
      <c r="Z555" s="298"/>
    </row>
    <row r="556" s="282" customFormat="1" spans="1:26">
      <c r="A556" s="295" t="s">
        <v>405</v>
      </c>
      <c r="B556" s="296" t="s">
        <v>317</v>
      </c>
      <c r="C556" s="296" t="s">
        <v>45</v>
      </c>
      <c r="D556" s="295" t="s">
        <v>511</v>
      </c>
      <c r="E556" s="296" t="s">
        <v>546</v>
      </c>
      <c r="F556" s="296" t="s">
        <v>156</v>
      </c>
      <c r="G556" s="295" t="s">
        <v>513</v>
      </c>
      <c r="H556" s="295" t="s">
        <v>514</v>
      </c>
      <c r="I556" s="295"/>
      <c r="J556" s="304" t="s">
        <v>156</v>
      </c>
      <c r="K556" s="309" t="s">
        <v>156</v>
      </c>
      <c r="L556" s="306" t="s">
        <v>156</v>
      </c>
      <c r="M556" s="295" t="s">
        <v>156</v>
      </c>
      <c r="N556" s="306">
        <v>7.3</v>
      </c>
      <c r="O556" s="306" t="s">
        <v>156</v>
      </c>
      <c r="P556" s="307">
        <v>7.3</v>
      </c>
      <c r="Q556" s="307" t="s">
        <v>156</v>
      </c>
      <c r="R556" s="298" t="s">
        <v>156</v>
      </c>
      <c r="S556" s="297" t="s">
        <v>156</v>
      </c>
      <c r="T556" s="333" t="s">
        <v>156</v>
      </c>
      <c r="U556" s="307" t="s">
        <v>156</v>
      </c>
      <c r="V556" s="307"/>
      <c r="W556" s="307">
        <f t="shared" si="40"/>
        <v>0</v>
      </c>
      <c r="X556" s="307" t="str">
        <f t="shared" si="38"/>
        <v/>
      </c>
      <c r="Y556" s="307">
        <f t="shared" si="41"/>
        <v>0</v>
      </c>
      <c r="Z556" s="298"/>
    </row>
    <row r="557" s="282" customFormat="1" spans="1:26">
      <c r="A557" s="295" t="s">
        <v>1594</v>
      </c>
      <c r="B557" s="296" t="s">
        <v>317</v>
      </c>
      <c r="C557" s="296" t="s">
        <v>45</v>
      </c>
      <c r="D557" s="295" t="s">
        <v>511</v>
      </c>
      <c r="E557" s="296" t="s">
        <v>548</v>
      </c>
      <c r="F557" s="296" t="s">
        <v>156</v>
      </c>
      <c r="G557" s="295" t="s">
        <v>513</v>
      </c>
      <c r="H557" s="295" t="s">
        <v>514</v>
      </c>
      <c r="I557" s="295"/>
      <c r="J557" s="304" t="s">
        <v>156</v>
      </c>
      <c r="K557" s="309" t="s">
        <v>156</v>
      </c>
      <c r="L557" s="306" t="s">
        <v>156</v>
      </c>
      <c r="M557" s="295" t="s">
        <v>156</v>
      </c>
      <c r="N557" s="306">
        <v>12.33</v>
      </c>
      <c r="O557" s="306" t="s">
        <v>156</v>
      </c>
      <c r="P557" s="307">
        <v>12.33</v>
      </c>
      <c r="Q557" s="307" t="s">
        <v>156</v>
      </c>
      <c r="R557" s="298" t="s">
        <v>156</v>
      </c>
      <c r="S557" s="297" t="s">
        <v>156</v>
      </c>
      <c r="T557" s="333" t="s">
        <v>156</v>
      </c>
      <c r="U557" s="307" t="s">
        <v>156</v>
      </c>
      <c r="V557" s="307"/>
      <c r="W557" s="307">
        <f t="shared" si="40"/>
        <v>0</v>
      </c>
      <c r="X557" s="307" t="str">
        <f t="shared" si="38"/>
        <v/>
      </c>
      <c r="Y557" s="307">
        <f t="shared" si="41"/>
        <v>0</v>
      </c>
      <c r="Z557" s="298"/>
    </row>
    <row r="558" s="282" customFormat="1" spans="1:26">
      <c r="A558" s="295" t="s">
        <v>1595</v>
      </c>
      <c r="B558" s="296" t="s">
        <v>317</v>
      </c>
      <c r="C558" s="296" t="s">
        <v>45</v>
      </c>
      <c r="D558" s="295" t="s">
        <v>511</v>
      </c>
      <c r="E558" s="296" t="s">
        <v>549</v>
      </c>
      <c r="F558" s="296" t="s">
        <v>156</v>
      </c>
      <c r="G558" s="295" t="s">
        <v>513</v>
      </c>
      <c r="H558" s="295" t="s">
        <v>514</v>
      </c>
      <c r="I558" s="295"/>
      <c r="J558" s="304" t="s">
        <v>156</v>
      </c>
      <c r="K558" s="309" t="s">
        <v>156</v>
      </c>
      <c r="L558" s="306" t="s">
        <v>156</v>
      </c>
      <c r="M558" s="295" t="s">
        <v>156</v>
      </c>
      <c r="N558" s="306">
        <v>16.51</v>
      </c>
      <c r="O558" s="306" t="s">
        <v>156</v>
      </c>
      <c r="P558" s="307">
        <v>16.51</v>
      </c>
      <c r="Q558" s="307" t="s">
        <v>156</v>
      </c>
      <c r="R558" s="298" t="s">
        <v>156</v>
      </c>
      <c r="S558" s="297" t="s">
        <v>156</v>
      </c>
      <c r="T558" s="333" t="s">
        <v>156</v>
      </c>
      <c r="U558" s="307" t="s">
        <v>156</v>
      </c>
      <c r="V558" s="307"/>
      <c r="W558" s="307">
        <f t="shared" si="40"/>
        <v>0</v>
      </c>
      <c r="X558" s="307" t="str">
        <f t="shared" si="38"/>
        <v/>
      </c>
      <c r="Y558" s="307">
        <f t="shared" si="41"/>
        <v>0</v>
      </c>
      <c r="Z558" s="298"/>
    </row>
    <row r="559" s="282" customFormat="1" spans="1:26">
      <c r="A559" s="295" t="s">
        <v>1596</v>
      </c>
      <c r="B559" s="296" t="s">
        <v>317</v>
      </c>
      <c r="C559" s="296" t="s">
        <v>45</v>
      </c>
      <c r="D559" s="295" t="s">
        <v>511</v>
      </c>
      <c r="E559" s="296" t="s">
        <v>550</v>
      </c>
      <c r="F559" s="296" t="s">
        <v>156</v>
      </c>
      <c r="G559" s="295" t="s">
        <v>513</v>
      </c>
      <c r="H559" s="295" t="s">
        <v>514</v>
      </c>
      <c r="I559" s="295"/>
      <c r="J559" s="304" t="s">
        <v>156</v>
      </c>
      <c r="K559" s="309" t="s">
        <v>156</v>
      </c>
      <c r="L559" s="306" t="s">
        <v>156</v>
      </c>
      <c r="M559" s="295" t="s">
        <v>156</v>
      </c>
      <c r="N559" s="306">
        <v>9.13</v>
      </c>
      <c r="O559" s="306" t="s">
        <v>156</v>
      </c>
      <c r="P559" s="307">
        <v>9.13</v>
      </c>
      <c r="Q559" s="307" t="s">
        <v>156</v>
      </c>
      <c r="R559" s="298" t="s">
        <v>156</v>
      </c>
      <c r="S559" s="297" t="s">
        <v>156</v>
      </c>
      <c r="T559" s="333" t="s">
        <v>156</v>
      </c>
      <c r="U559" s="307" t="s">
        <v>156</v>
      </c>
      <c r="V559" s="307"/>
      <c r="W559" s="307">
        <f t="shared" si="40"/>
        <v>0</v>
      </c>
      <c r="X559" s="307" t="str">
        <f t="shared" si="38"/>
        <v/>
      </c>
      <c r="Y559" s="307">
        <f t="shared" si="41"/>
        <v>0</v>
      </c>
      <c r="Z559" s="298"/>
    </row>
    <row r="560" s="282" customFormat="1" spans="1:26">
      <c r="A560" s="295" t="s">
        <v>795</v>
      </c>
      <c r="B560" s="296" t="s">
        <v>317</v>
      </c>
      <c r="C560" s="296" t="s">
        <v>45</v>
      </c>
      <c r="D560" s="295" t="s">
        <v>511</v>
      </c>
      <c r="E560" s="296" t="s">
        <v>552</v>
      </c>
      <c r="F560" s="296" t="s">
        <v>156</v>
      </c>
      <c r="G560" s="295" t="s">
        <v>513</v>
      </c>
      <c r="H560" s="295" t="s">
        <v>514</v>
      </c>
      <c r="I560" s="295"/>
      <c r="J560" s="304" t="s">
        <v>156</v>
      </c>
      <c r="K560" s="309" t="s">
        <v>156</v>
      </c>
      <c r="L560" s="306" t="s">
        <v>156</v>
      </c>
      <c r="M560" s="295" t="s">
        <v>156</v>
      </c>
      <c r="N560" s="306">
        <v>12.78</v>
      </c>
      <c r="O560" s="306" t="s">
        <v>156</v>
      </c>
      <c r="P560" s="307">
        <v>12.78</v>
      </c>
      <c r="Q560" s="307" t="s">
        <v>156</v>
      </c>
      <c r="R560" s="298" t="s">
        <v>156</v>
      </c>
      <c r="S560" s="297" t="s">
        <v>156</v>
      </c>
      <c r="T560" s="333" t="s">
        <v>156</v>
      </c>
      <c r="U560" s="307" t="s">
        <v>156</v>
      </c>
      <c r="V560" s="307"/>
      <c r="W560" s="307">
        <f t="shared" si="40"/>
        <v>0</v>
      </c>
      <c r="X560" s="307" t="str">
        <f t="shared" si="38"/>
        <v/>
      </c>
      <c r="Y560" s="307">
        <f t="shared" si="41"/>
        <v>0</v>
      </c>
      <c r="Z560" s="298"/>
    </row>
    <row r="561" s="282" customFormat="1" spans="1:26">
      <c r="A561" s="295" t="s">
        <v>1597</v>
      </c>
      <c r="B561" s="296" t="s">
        <v>317</v>
      </c>
      <c r="C561" s="296" t="s">
        <v>45</v>
      </c>
      <c r="D561" s="295" t="s">
        <v>511</v>
      </c>
      <c r="E561" s="296" t="s">
        <v>554</v>
      </c>
      <c r="F561" s="296" t="s">
        <v>156</v>
      </c>
      <c r="G561" s="295" t="s">
        <v>513</v>
      </c>
      <c r="H561" s="295" t="s">
        <v>514</v>
      </c>
      <c r="I561" s="295"/>
      <c r="J561" s="304" t="s">
        <v>156</v>
      </c>
      <c r="K561" s="309" t="s">
        <v>156</v>
      </c>
      <c r="L561" s="306" t="s">
        <v>156</v>
      </c>
      <c r="M561" s="295" t="s">
        <v>156</v>
      </c>
      <c r="N561" s="306">
        <v>16.28</v>
      </c>
      <c r="O561" s="306" t="s">
        <v>156</v>
      </c>
      <c r="P561" s="307">
        <v>16.28</v>
      </c>
      <c r="Q561" s="307" t="s">
        <v>156</v>
      </c>
      <c r="R561" s="298" t="s">
        <v>156</v>
      </c>
      <c r="S561" s="297" t="s">
        <v>156</v>
      </c>
      <c r="T561" s="333" t="s">
        <v>156</v>
      </c>
      <c r="U561" s="307" t="s">
        <v>156</v>
      </c>
      <c r="V561" s="307"/>
      <c r="W561" s="307">
        <f t="shared" si="40"/>
        <v>0</v>
      </c>
      <c r="X561" s="307" t="str">
        <f t="shared" ref="X561:X598" si="42">U561</f>
        <v/>
      </c>
      <c r="Y561" s="307">
        <f t="shared" si="41"/>
        <v>0</v>
      </c>
      <c r="Z561" s="298"/>
    </row>
    <row r="562" s="282" customFormat="1" spans="1:26">
      <c r="A562" s="295" t="s">
        <v>1369</v>
      </c>
      <c r="B562" s="296" t="s">
        <v>317</v>
      </c>
      <c r="C562" s="296" t="s">
        <v>45</v>
      </c>
      <c r="D562" s="295" t="s">
        <v>511</v>
      </c>
      <c r="E562" s="296" t="s">
        <v>556</v>
      </c>
      <c r="F562" s="296" t="s">
        <v>156</v>
      </c>
      <c r="G562" s="295" t="s">
        <v>513</v>
      </c>
      <c r="H562" s="295" t="s">
        <v>514</v>
      </c>
      <c r="I562" s="295"/>
      <c r="J562" s="304" t="s">
        <v>156</v>
      </c>
      <c r="K562" s="309" t="s">
        <v>156</v>
      </c>
      <c r="L562" s="306" t="s">
        <v>156</v>
      </c>
      <c r="M562" s="295" t="s">
        <v>156</v>
      </c>
      <c r="N562" s="306">
        <v>21</v>
      </c>
      <c r="O562" s="306" t="s">
        <v>156</v>
      </c>
      <c r="P562" s="307">
        <v>21</v>
      </c>
      <c r="Q562" s="307" t="s">
        <v>156</v>
      </c>
      <c r="R562" s="298" t="s">
        <v>156</v>
      </c>
      <c r="S562" s="297" t="s">
        <v>156</v>
      </c>
      <c r="T562" s="333" t="s">
        <v>156</v>
      </c>
      <c r="U562" s="307" t="s">
        <v>156</v>
      </c>
      <c r="V562" s="307"/>
      <c r="W562" s="307">
        <f t="shared" si="40"/>
        <v>0</v>
      </c>
      <c r="X562" s="307" t="str">
        <f t="shared" si="42"/>
        <v/>
      </c>
      <c r="Y562" s="307">
        <f t="shared" si="41"/>
        <v>0</v>
      </c>
      <c r="Z562" s="298"/>
    </row>
    <row r="563" s="282" customFormat="1" spans="1:26">
      <c r="A563" s="295" t="s">
        <v>1598</v>
      </c>
      <c r="B563" s="296" t="s">
        <v>317</v>
      </c>
      <c r="C563" s="296" t="s">
        <v>45</v>
      </c>
      <c r="D563" s="295" t="s">
        <v>511</v>
      </c>
      <c r="E563" s="296" t="s">
        <v>558</v>
      </c>
      <c r="F563" s="296" t="s">
        <v>156</v>
      </c>
      <c r="G563" s="295" t="s">
        <v>513</v>
      </c>
      <c r="H563" s="295" t="s">
        <v>514</v>
      </c>
      <c r="I563" s="295"/>
      <c r="J563" s="304" t="s">
        <v>156</v>
      </c>
      <c r="K563" s="309" t="s">
        <v>156</v>
      </c>
      <c r="L563" s="306" t="s">
        <v>156</v>
      </c>
      <c r="M563" s="295" t="s">
        <v>156</v>
      </c>
      <c r="N563" s="306">
        <v>21.99</v>
      </c>
      <c r="O563" s="306" t="s">
        <v>156</v>
      </c>
      <c r="P563" s="307">
        <v>21.99</v>
      </c>
      <c r="Q563" s="307" t="s">
        <v>156</v>
      </c>
      <c r="R563" s="298" t="s">
        <v>156</v>
      </c>
      <c r="S563" s="297" t="s">
        <v>156</v>
      </c>
      <c r="T563" s="333" t="s">
        <v>156</v>
      </c>
      <c r="U563" s="307" t="s">
        <v>156</v>
      </c>
      <c r="V563" s="307"/>
      <c r="W563" s="307">
        <f t="shared" si="40"/>
        <v>0</v>
      </c>
      <c r="X563" s="307" t="str">
        <f t="shared" si="42"/>
        <v/>
      </c>
      <c r="Y563" s="307">
        <f t="shared" si="41"/>
        <v>0</v>
      </c>
      <c r="Z563" s="298"/>
    </row>
    <row r="564" s="282" customFormat="1" spans="1:26">
      <c r="A564" s="295" t="s">
        <v>1599</v>
      </c>
      <c r="B564" s="296" t="s">
        <v>317</v>
      </c>
      <c r="C564" s="296" t="s">
        <v>45</v>
      </c>
      <c r="D564" s="295" t="s">
        <v>511</v>
      </c>
      <c r="E564" s="296" t="s">
        <v>560</v>
      </c>
      <c r="F564" s="296" t="s">
        <v>156</v>
      </c>
      <c r="G564" s="295" t="s">
        <v>513</v>
      </c>
      <c r="H564" s="295" t="s">
        <v>514</v>
      </c>
      <c r="I564" s="295"/>
      <c r="J564" s="304" t="s">
        <v>156</v>
      </c>
      <c r="K564" s="309" t="s">
        <v>156</v>
      </c>
      <c r="L564" s="306" t="s">
        <v>156</v>
      </c>
      <c r="M564" s="295" t="s">
        <v>156</v>
      </c>
      <c r="N564" s="306">
        <v>23.17</v>
      </c>
      <c r="O564" s="306" t="s">
        <v>156</v>
      </c>
      <c r="P564" s="307">
        <v>23.17</v>
      </c>
      <c r="Q564" s="307" t="s">
        <v>156</v>
      </c>
      <c r="R564" s="298" t="s">
        <v>156</v>
      </c>
      <c r="S564" s="297" t="s">
        <v>156</v>
      </c>
      <c r="T564" s="333" t="s">
        <v>156</v>
      </c>
      <c r="U564" s="307" t="s">
        <v>156</v>
      </c>
      <c r="V564" s="307"/>
      <c r="W564" s="307">
        <f t="shared" si="40"/>
        <v>0</v>
      </c>
      <c r="X564" s="307" t="str">
        <f t="shared" si="42"/>
        <v/>
      </c>
      <c r="Y564" s="307">
        <f t="shared" si="41"/>
        <v>0</v>
      </c>
      <c r="Z564" s="298"/>
    </row>
    <row r="565" s="282" customFormat="1" spans="1:26">
      <c r="A565" s="295" t="s">
        <v>1600</v>
      </c>
      <c r="B565" s="296" t="s">
        <v>317</v>
      </c>
      <c r="C565" s="296" t="s">
        <v>45</v>
      </c>
      <c r="D565" s="295" t="s">
        <v>511</v>
      </c>
      <c r="E565" s="296" t="s">
        <v>562</v>
      </c>
      <c r="F565" s="296" t="s">
        <v>156</v>
      </c>
      <c r="G565" s="295" t="s">
        <v>513</v>
      </c>
      <c r="H565" s="295" t="s">
        <v>514</v>
      </c>
      <c r="I565" s="295"/>
      <c r="J565" s="304" t="s">
        <v>156</v>
      </c>
      <c r="K565" s="309" t="s">
        <v>156</v>
      </c>
      <c r="L565" s="306" t="s">
        <v>156</v>
      </c>
      <c r="M565" s="295" t="s">
        <v>156</v>
      </c>
      <c r="N565" s="306">
        <v>21.12</v>
      </c>
      <c r="O565" s="306" t="s">
        <v>156</v>
      </c>
      <c r="P565" s="307">
        <v>21.12</v>
      </c>
      <c r="Q565" s="307" t="s">
        <v>156</v>
      </c>
      <c r="R565" s="298" t="s">
        <v>156</v>
      </c>
      <c r="S565" s="297" t="s">
        <v>156</v>
      </c>
      <c r="T565" s="333" t="s">
        <v>156</v>
      </c>
      <c r="U565" s="307" t="s">
        <v>156</v>
      </c>
      <c r="V565" s="307"/>
      <c r="W565" s="307">
        <f t="shared" si="40"/>
        <v>0</v>
      </c>
      <c r="X565" s="307" t="str">
        <f t="shared" si="42"/>
        <v/>
      </c>
      <c r="Y565" s="307">
        <f t="shared" si="41"/>
        <v>0</v>
      </c>
      <c r="Z565" s="298"/>
    </row>
    <row r="566" s="282" customFormat="1" spans="1:26">
      <c r="A566" s="295" t="s">
        <v>523</v>
      </c>
      <c r="B566" s="296" t="s">
        <v>317</v>
      </c>
      <c r="C566" s="296" t="s">
        <v>45</v>
      </c>
      <c r="D566" s="295" t="s">
        <v>511</v>
      </c>
      <c r="E566" s="296" t="s">
        <v>564</v>
      </c>
      <c r="F566" s="296" t="s">
        <v>156</v>
      </c>
      <c r="G566" s="295" t="s">
        <v>513</v>
      </c>
      <c r="H566" s="295" t="s">
        <v>514</v>
      </c>
      <c r="I566" s="295"/>
      <c r="J566" s="304" t="s">
        <v>156</v>
      </c>
      <c r="K566" s="309" t="s">
        <v>156</v>
      </c>
      <c r="L566" s="306" t="s">
        <v>156</v>
      </c>
      <c r="M566" s="295" t="s">
        <v>156</v>
      </c>
      <c r="N566" s="306">
        <v>11.62</v>
      </c>
      <c r="O566" s="306" t="s">
        <v>156</v>
      </c>
      <c r="P566" s="307">
        <v>11.62</v>
      </c>
      <c r="Q566" s="307" t="s">
        <v>156</v>
      </c>
      <c r="R566" s="298" t="s">
        <v>156</v>
      </c>
      <c r="S566" s="297" t="s">
        <v>156</v>
      </c>
      <c r="T566" s="333" t="s">
        <v>156</v>
      </c>
      <c r="U566" s="307" t="s">
        <v>156</v>
      </c>
      <c r="V566" s="307"/>
      <c r="W566" s="307">
        <f t="shared" si="40"/>
        <v>0</v>
      </c>
      <c r="X566" s="307" t="str">
        <f t="shared" si="42"/>
        <v/>
      </c>
      <c r="Y566" s="307">
        <f t="shared" si="41"/>
        <v>0</v>
      </c>
      <c r="Z566" s="298"/>
    </row>
    <row r="567" s="282" customFormat="1" spans="1:26">
      <c r="A567" s="295" t="s">
        <v>1601</v>
      </c>
      <c r="B567" s="296" t="s">
        <v>45</v>
      </c>
      <c r="C567" s="296" t="s">
        <v>42</v>
      </c>
      <c r="D567" s="295" t="s">
        <v>42</v>
      </c>
      <c r="E567" s="296" t="s">
        <v>1602</v>
      </c>
      <c r="F567" s="296" t="s">
        <v>156</v>
      </c>
      <c r="G567" s="295" t="s">
        <v>148</v>
      </c>
      <c r="H567" s="295" t="s">
        <v>514</v>
      </c>
      <c r="I567" s="295"/>
      <c r="J567" s="304" t="s">
        <v>156</v>
      </c>
      <c r="K567" s="309" t="s">
        <v>156</v>
      </c>
      <c r="L567" s="306" t="s">
        <v>156</v>
      </c>
      <c r="M567" s="295" t="s">
        <v>156</v>
      </c>
      <c r="N567" s="306">
        <v>50.52</v>
      </c>
      <c r="O567" s="306" t="s">
        <v>156</v>
      </c>
      <c r="P567" s="307">
        <v>50.52</v>
      </c>
      <c r="Q567" s="307" t="s">
        <v>156</v>
      </c>
      <c r="R567" s="298" t="s">
        <v>156</v>
      </c>
      <c r="S567" s="297" t="s">
        <v>156</v>
      </c>
      <c r="T567" s="333" t="s">
        <v>156</v>
      </c>
      <c r="U567" s="307" t="s">
        <v>156</v>
      </c>
      <c r="V567" s="307"/>
      <c r="W567" s="307">
        <f t="shared" si="40"/>
        <v>0</v>
      </c>
      <c r="X567" s="307" t="str">
        <f t="shared" si="42"/>
        <v/>
      </c>
      <c r="Y567" s="307">
        <f t="shared" si="41"/>
        <v>0</v>
      </c>
      <c r="Z567" s="298"/>
    </row>
    <row r="568" s="282" customFormat="1" spans="1:26">
      <c r="A568" s="295" t="s">
        <v>1603</v>
      </c>
      <c r="B568" s="296" t="s">
        <v>45</v>
      </c>
      <c r="C568" s="296" t="s">
        <v>42</v>
      </c>
      <c r="D568" s="295" t="s">
        <v>42</v>
      </c>
      <c r="E568" s="296" t="s">
        <v>1604</v>
      </c>
      <c r="F568" s="296" t="s">
        <v>156</v>
      </c>
      <c r="G568" s="295" t="s">
        <v>148</v>
      </c>
      <c r="H568" s="295" t="s">
        <v>514</v>
      </c>
      <c r="I568" s="295"/>
      <c r="J568" s="304" t="s">
        <v>156</v>
      </c>
      <c r="K568" s="309" t="s">
        <v>156</v>
      </c>
      <c r="L568" s="306"/>
      <c r="M568" s="295"/>
      <c r="N568" s="306">
        <v>49.88</v>
      </c>
      <c r="O568" s="306" t="s">
        <v>156</v>
      </c>
      <c r="P568" s="307">
        <v>49.88</v>
      </c>
      <c r="Q568" s="307" t="s">
        <v>156</v>
      </c>
      <c r="R568" s="298" t="s">
        <v>156</v>
      </c>
      <c r="S568" s="297" t="s">
        <v>156</v>
      </c>
      <c r="T568" s="333"/>
      <c r="U568" s="342"/>
      <c r="V568" s="307"/>
      <c r="W568" s="307">
        <f t="shared" si="40"/>
        <v>0</v>
      </c>
      <c r="X568" s="307">
        <f t="shared" si="42"/>
        <v>0</v>
      </c>
      <c r="Y568" s="307">
        <f t="shared" si="41"/>
        <v>0</v>
      </c>
      <c r="Z568" s="298"/>
    </row>
    <row r="569" s="282" customFormat="1" spans="1:26">
      <c r="A569" s="295" t="s">
        <v>1605</v>
      </c>
      <c r="B569" s="296" t="s">
        <v>45</v>
      </c>
      <c r="C569" s="296" t="s">
        <v>42</v>
      </c>
      <c r="D569" s="295" t="s">
        <v>42</v>
      </c>
      <c r="E569" s="296" t="s">
        <v>1606</v>
      </c>
      <c r="F569" s="296" t="s">
        <v>156</v>
      </c>
      <c r="G569" s="295" t="s">
        <v>148</v>
      </c>
      <c r="H569" s="295" t="s">
        <v>514</v>
      </c>
      <c r="I569" s="295"/>
      <c r="J569" s="304" t="s">
        <v>156</v>
      </c>
      <c r="K569" s="309" t="s">
        <v>156</v>
      </c>
      <c r="L569" s="306"/>
      <c r="M569" s="295"/>
      <c r="N569" s="306">
        <v>49.88</v>
      </c>
      <c r="O569" s="306" t="s">
        <v>156</v>
      </c>
      <c r="P569" s="307">
        <v>49.88</v>
      </c>
      <c r="Q569" s="307" t="s">
        <v>156</v>
      </c>
      <c r="R569" s="298" t="s">
        <v>156</v>
      </c>
      <c r="S569" s="297" t="s">
        <v>156</v>
      </c>
      <c r="T569" s="333"/>
      <c r="U569" s="342"/>
      <c r="V569" s="307"/>
      <c r="W569" s="307">
        <f t="shared" si="40"/>
        <v>0</v>
      </c>
      <c r="X569" s="307">
        <f t="shared" si="42"/>
        <v>0</v>
      </c>
      <c r="Y569" s="307">
        <f t="shared" si="41"/>
        <v>0</v>
      </c>
      <c r="Z569" s="298"/>
    </row>
    <row r="570" s="282" customFormat="1" spans="1:26">
      <c r="A570" s="295" t="s">
        <v>1607</v>
      </c>
      <c r="B570" s="296" t="s">
        <v>45</v>
      </c>
      <c r="C570" s="296" t="s">
        <v>42</v>
      </c>
      <c r="D570" s="295" t="s">
        <v>42</v>
      </c>
      <c r="E570" s="296" t="s">
        <v>1608</v>
      </c>
      <c r="F570" s="296" t="s">
        <v>156</v>
      </c>
      <c r="G570" s="295" t="s">
        <v>148</v>
      </c>
      <c r="H570" s="295" t="s">
        <v>389</v>
      </c>
      <c r="I570" s="295" t="s">
        <v>294</v>
      </c>
      <c r="J570" s="304">
        <v>20240001179</v>
      </c>
      <c r="K570" s="309" t="s">
        <v>1609</v>
      </c>
      <c r="L570" s="306">
        <v>1121787</v>
      </c>
      <c r="M570" s="295" t="s">
        <v>1610</v>
      </c>
      <c r="N570" s="306">
        <v>49.88</v>
      </c>
      <c r="O570" s="306" t="s">
        <v>156</v>
      </c>
      <c r="P570" s="307">
        <v>49.88</v>
      </c>
      <c r="Q570" s="307" t="s">
        <v>156</v>
      </c>
      <c r="R570" s="298" t="s">
        <v>156</v>
      </c>
      <c r="S570" s="563" t="s">
        <v>392</v>
      </c>
      <c r="T570" s="333" t="s">
        <v>1611</v>
      </c>
      <c r="U570" s="343">
        <f>514581.65+514580.73</f>
        <v>1029162.38</v>
      </c>
      <c r="V570" s="307">
        <f t="shared" ref="V568:V571" si="43">ROUND(U570*0.09,2)</f>
        <v>92624.61</v>
      </c>
      <c r="W570" s="307">
        <f t="shared" si="40"/>
        <v>1121786.99</v>
      </c>
      <c r="X570" s="307">
        <f t="shared" si="42"/>
        <v>1029162.38</v>
      </c>
      <c r="Y570" s="307">
        <f t="shared" si="41"/>
        <v>20632.77</v>
      </c>
      <c r="Z570" s="298"/>
    </row>
    <row r="571" s="282" customFormat="1" spans="1:26">
      <c r="A571" s="295" t="s">
        <v>1612</v>
      </c>
      <c r="B571" s="296" t="s">
        <v>45</v>
      </c>
      <c r="C571" s="296" t="s">
        <v>42</v>
      </c>
      <c r="D571" s="295" t="s">
        <v>42</v>
      </c>
      <c r="E571" s="296" t="s">
        <v>1613</v>
      </c>
      <c r="F571" s="296" t="s">
        <v>156</v>
      </c>
      <c r="G571" s="295" t="s">
        <v>148</v>
      </c>
      <c r="H571" s="295" t="s">
        <v>389</v>
      </c>
      <c r="I571" s="295" t="s">
        <v>294</v>
      </c>
      <c r="J571" s="304">
        <v>20240001180</v>
      </c>
      <c r="K571" s="309" t="s">
        <v>1609</v>
      </c>
      <c r="L571" s="306">
        <v>1116643</v>
      </c>
      <c r="M571" s="295" t="s">
        <v>1610</v>
      </c>
      <c r="N571" s="306">
        <v>49.88</v>
      </c>
      <c r="O571" s="306" t="s">
        <v>156</v>
      </c>
      <c r="P571" s="307">
        <v>49.88</v>
      </c>
      <c r="Q571" s="307" t="s">
        <v>156</v>
      </c>
      <c r="R571" s="298" t="s">
        <v>156</v>
      </c>
      <c r="S571" s="563" t="s">
        <v>392</v>
      </c>
      <c r="T571" s="333" t="s">
        <v>1614</v>
      </c>
      <c r="U571" s="343">
        <f>512222.02+512221.1</f>
        <v>1024443.12</v>
      </c>
      <c r="V571" s="307">
        <f t="shared" si="43"/>
        <v>92199.88</v>
      </c>
      <c r="W571" s="307">
        <f t="shared" si="40"/>
        <v>1116643</v>
      </c>
      <c r="X571" s="307">
        <f t="shared" si="42"/>
        <v>1024443.12</v>
      </c>
      <c r="Y571" s="307">
        <f t="shared" si="41"/>
        <v>20538.15</v>
      </c>
      <c r="Z571" s="298"/>
    </row>
    <row r="572" s="282" customFormat="1" spans="1:26">
      <c r="A572" s="295" t="s">
        <v>1615</v>
      </c>
      <c r="B572" s="296" t="s">
        <v>45</v>
      </c>
      <c r="C572" s="296" t="s">
        <v>42</v>
      </c>
      <c r="D572" s="295" t="s">
        <v>42</v>
      </c>
      <c r="E572" s="296" t="s">
        <v>1616</v>
      </c>
      <c r="F572" s="296" t="s">
        <v>156</v>
      </c>
      <c r="G572" s="295" t="s">
        <v>148</v>
      </c>
      <c r="H572" s="295" t="s">
        <v>514</v>
      </c>
      <c r="I572" s="295"/>
      <c r="J572" s="304" t="s">
        <v>156</v>
      </c>
      <c r="K572" s="309" t="s">
        <v>156</v>
      </c>
      <c r="L572" s="306" t="s">
        <v>156</v>
      </c>
      <c r="M572" s="295" t="s">
        <v>156</v>
      </c>
      <c r="N572" s="306">
        <v>49.88</v>
      </c>
      <c r="O572" s="306" t="s">
        <v>156</v>
      </c>
      <c r="P572" s="307">
        <v>49.88</v>
      </c>
      <c r="Q572" s="307" t="s">
        <v>156</v>
      </c>
      <c r="R572" s="298" t="s">
        <v>156</v>
      </c>
      <c r="S572" s="297" t="s">
        <v>156</v>
      </c>
      <c r="T572" s="333" t="s">
        <v>156</v>
      </c>
      <c r="U572" s="307" t="s">
        <v>156</v>
      </c>
      <c r="V572" s="307"/>
      <c r="W572" s="307">
        <f t="shared" si="40"/>
        <v>0</v>
      </c>
      <c r="X572" s="307" t="str">
        <f t="shared" si="42"/>
        <v/>
      </c>
      <c r="Y572" s="307">
        <f t="shared" si="41"/>
        <v>0</v>
      </c>
      <c r="Z572" s="298"/>
    </row>
    <row r="573" s="282" customFormat="1" spans="1:26">
      <c r="A573" s="295" t="s">
        <v>1617</v>
      </c>
      <c r="B573" s="296" t="s">
        <v>45</v>
      </c>
      <c r="C573" s="296" t="s">
        <v>42</v>
      </c>
      <c r="D573" s="295" t="s">
        <v>42</v>
      </c>
      <c r="E573" s="296" t="s">
        <v>1618</v>
      </c>
      <c r="F573" s="296" t="s">
        <v>156</v>
      </c>
      <c r="G573" s="295" t="s">
        <v>148</v>
      </c>
      <c r="H573" s="295" t="s">
        <v>389</v>
      </c>
      <c r="I573" s="295" t="s">
        <v>294</v>
      </c>
      <c r="J573" s="304" t="s">
        <v>156</v>
      </c>
      <c r="K573" s="309">
        <v>45604</v>
      </c>
      <c r="L573" s="306">
        <v>1120761</v>
      </c>
      <c r="M573" s="99" t="s">
        <v>1619</v>
      </c>
      <c r="N573" s="306">
        <v>49.88</v>
      </c>
      <c r="O573" s="306" t="s">
        <v>156</v>
      </c>
      <c r="P573" s="307">
        <v>49.88</v>
      </c>
      <c r="Q573" s="307" t="s">
        <v>156</v>
      </c>
      <c r="R573" s="298" t="s">
        <v>156</v>
      </c>
      <c r="S573" s="563" t="s">
        <v>392</v>
      </c>
      <c r="T573" s="565" t="s">
        <v>1620</v>
      </c>
      <c r="U573" s="344">
        <v>1028221.1</v>
      </c>
      <c r="V573" s="307">
        <f>ROUND(U573*0.09,2)</f>
        <v>92539.9</v>
      </c>
      <c r="W573" s="307">
        <f t="shared" si="40"/>
        <v>1120761</v>
      </c>
      <c r="X573" s="307">
        <f>L573/1.09</f>
        <v>1028221.10091743</v>
      </c>
      <c r="Y573" s="307">
        <f t="shared" si="41"/>
        <v>20613.9</v>
      </c>
      <c r="Z573" s="298"/>
    </row>
    <row r="574" s="282" customFormat="1" spans="1:26">
      <c r="A574" s="295" t="s">
        <v>1621</v>
      </c>
      <c r="B574" s="296" t="s">
        <v>45</v>
      </c>
      <c r="C574" s="296" t="s">
        <v>42</v>
      </c>
      <c r="D574" s="295" t="s">
        <v>42</v>
      </c>
      <c r="E574" s="296" t="s">
        <v>1622</v>
      </c>
      <c r="F574" s="296" t="s">
        <v>156</v>
      </c>
      <c r="G574" s="295" t="s">
        <v>148</v>
      </c>
      <c r="H574" s="295" t="s">
        <v>389</v>
      </c>
      <c r="I574" s="295" t="s">
        <v>294</v>
      </c>
      <c r="J574" s="304" t="s">
        <v>156</v>
      </c>
      <c r="K574" s="309">
        <v>45604</v>
      </c>
      <c r="L574" s="306">
        <v>1114584</v>
      </c>
      <c r="M574" s="99" t="s">
        <v>1619</v>
      </c>
      <c r="N574" s="306">
        <v>49.88</v>
      </c>
      <c r="O574" s="306" t="s">
        <v>156</v>
      </c>
      <c r="P574" s="307">
        <v>49.88</v>
      </c>
      <c r="Q574" s="307" t="s">
        <v>156</v>
      </c>
      <c r="R574" s="298" t="s">
        <v>156</v>
      </c>
      <c r="S574" s="563" t="s">
        <v>392</v>
      </c>
      <c r="T574" s="565" t="s">
        <v>1623</v>
      </c>
      <c r="U574" s="344">
        <v>1022554.13</v>
      </c>
      <c r="V574" s="307">
        <f>ROUND(U574*0.09,2)</f>
        <v>92029.87</v>
      </c>
      <c r="W574" s="307">
        <f t="shared" si="40"/>
        <v>1114584</v>
      </c>
      <c r="X574" s="307">
        <f>L574/1.09</f>
        <v>1022554.12844037</v>
      </c>
      <c r="Y574" s="307">
        <f t="shared" si="41"/>
        <v>20500.28</v>
      </c>
      <c r="Z574" s="298"/>
    </row>
    <row r="575" s="282" customFormat="1" spans="1:26">
      <c r="A575" s="295" t="s">
        <v>796</v>
      </c>
      <c r="B575" s="296" t="s">
        <v>45</v>
      </c>
      <c r="C575" s="296" t="s">
        <v>42</v>
      </c>
      <c r="D575" s="295" t="s">
        <v>42</v>
      </c>
      <c r="E575" s="296" t="s">
        <v>1624</v>
      </c>
      <c r="F575" s="296" t="s">
        <v>156</v>
      </c>
      <c r="G575" s="295" t="s">
        <v>148</v>
      </c>
      <c r="H575" s="295" t="s">
        <v>514</v>
      </c>
      <c r="I575" s="295"/>
      <c r="J575" s="304" t="s">
        <v>156</v>
      </c>
      <c r="K575" s="309" t="s">
        <v>156</v>
      </c>
      <c r="L575" s="306" t="s">
        <v>156</v>
      </c>
      <c r="M575" s="295" t="s">
        <v>156</v>
      </c>
      <c r="N575" s="306">
        <v>49.88</v>
      </c>
      <c r="O575" s="306" t="s">
        <v>156</v>
      </c>
      <c r="P575" s="307">
        <v>49.88</v>
      </c>
      <c r="Q575" s="307" t="s">
        <v>156</v>
      </c>
      <c r="R575" s="298" t="s">
        <v>156</v>
      </c>
      <c r="S575" s="297" t="s">
        <v>156</v>
      </c>
      <c r="T575" s="333" t="s">
        <v>156</v>
      </c>
      <c r="U575" s="307" t="s">
        <v>156</v>
      </c>
      <c r="V575" s="307"/>
      <c r="W575" s="307">
        <f t="shared" si="40"/>
        <v>0</v>
      </c>
      <c r="X575" s="307" t="str">
        <f t="shared" si="42"/>
        <v/>
      </c>
      <c r="Y575" s="307">
        <f t="shared" si="41"/>
        <v>0</v>
      </c>
      <c r="Z575" s="298"/>
    </row>
    <row r="576" s="282" customFormat="1" spans="1:26">
      <c r="A576" s="295" t="s">
        <v>1625</v>
      </c>
      <c r="B576" s="296" t="s">
        <v>45</v>
      </c>
      <c r="C576" s="296" t="s">
        <v>42</v>
      </c>
      <c r="D576" s="295" t="s">
        <v>42</v>
      </c>
      <c r="E576" s="296" t="s">
        <v>113</v>
      </c>
      <c r="F576" s="296" t="s">
        <v>156</v>
      </c>
      <c r="G576" s="295" t="s">
        <v>148</v>
      </c>
      <c r="H576" s="295" t="s">
        <v>514</v>
      </c>
      <c r="I576" s="295"/>
      <c r="J576" s="304" t="s">
        <v>156</v>
      </c>
      <c r="K576" s="309" t="s">
        <v>156</v>
      </c>
      <c r="L576" s="306" t="s">
        <v>156</v>
      </c>
      <c r="M576" s="295" t="s">
        <v>156</v>
      </c>
      <c r="N576" s="306">
        <v>49.88</v>
      </c>
      <c r="O576" s="306" t="s">
        <v>156</v>
      </c>
      <c r="P576" s="307">
        <v>49.88</v>
      </c>
      <c r="Q576" s="307" t="s">
        <v>156</v>
      </c>
      <c r="R576" s="298" t="s">
        <v>156</v>
      </c>
      <c r="S576" s="297" t="s">
        <v>156</v>
      </c>
      <c r="T576" s="333" t="s">
        <v>156</v>
      </c>
      <c r="U576" s="307" t="s">
        <v>156</v>
      </c>
      <c r="V576" s="307"/>
      <c r="W576" s="307">
        <f t="shared" si="40"/>
        <v>0</v>
      </c>
      <c r="X576" s="307" t="str">
        <f t="shared" si="42"/>
        <v/>
      </c>
      <c r="Y576" s="307">
        <f t="shared" si="41"/>
        <v>0</v>
      </c>
      <c r="Z576" s="298"/>
    </row>
    <row r="577" s="282" customFormat="1" spans="1:26">
      <c r="A577" s="295" t="s">
        <v>1626</v>
      </c>
      <c r="B577" s="296" t="s">
        <v>45</v>
      </c>
      <c r="C577" s="296" t="s">
        <v>42</v>
      </c>
      <c r="D577" s="295" t="s">
        <v>42</v>
      </c>
      <c r="E577" s="296" t="s">
        <v>117</v>
      </c>
      <c r="F577" s="296" t="s">
        <v>156</v>
      </c>
      <c r="G577" s="295" t="s">
        <v>148</v>
      </c>
      <c r="H577" s="295" t="s">
        <v>514</v>
      </c>
      <c r="I577" s="295"/>
      <c r="J577" s="304" t="s">
        <v>156</v>
      </c>
      <c r="K577" s="309" t="s">
        <v>156</v>
      </c>
      <c r="L577" s="306" t="s">
        <v>156</v>
      </c>
      <c r="M577" s="295" t="s">
        <v>156</v>
      </c>
      <c r="N577" s="306">
        <v>49.88</v>
      </c>
      <c r="O577" s="306" t="s">
        <v>156</v>
      </c>
      <c r="P577" s="307">
        <v>49.88</v>
      </c>
      <c r="Q577" s="307" t="s">
        <v>156</v>
      </c>
      <c r="R577" s="298" t="s">
        <v>156</v>
      </c>
      <c r="S577" s="297" t="s">
        <v>156</v>
      </c>
      <c r="T577" s="333" t="s">
        <v>156</v>
      </c>
      <c r="U577" s="307" t="s">
        <v>156</v>
      </c>
      <c r="V577" s="307"/>
      <c r="W577" s="307">
        <f t="shared" si="40"/>
        <v>0</v>
      </c>
      <c r="X577" s="307" t="str">
        <f t="shared" si="42"/>
        <v/>
      </c>
      <c r="Y577" s="307">
        <f t="shared" si="41"/>
        <v>0</v>
      </c>
      <c r="Z577" s="298"/>
    </row>
    <row r="578" s="282" customFormat="1" spans="1:26">
      <c r="A578" s="295" t="s">
        <v>927</v>
      </c>
      <c r="B578" s="296" t="s">
        <v>45</v>
      </c>
      <c r="C578" s="296" t="s">
        <v>42</v>
      </c>
      <c r="D578" s="295" t="s">
        <v>42</v>
      </c>
      <c r="E578" s="296" t="s">
        <v>120</v>
      </c>
      <c r="F578" s="296" t="s">
        <v>156</v>
      </c>
      <c r="G578" s="295" t="s">
        <v>148</v>
      </c>
      <c r="H578" s="295" t="s">
        <v>514</v>
      </c>
      <c r="I578" s="295"/>
      <c r="J578" s="304" t="s">
        <v>156</v>
      </c>
      <c r="K578" s="309" t="s">
        <v>156</v>
      </c>
      <c r="L578" s="306" t="s">
        <v>156</v>
      </c>
      <c r="M578" s="295" t="s">
        <v>156</v>
      </c>
      <c r="N578" s="306">
        <v>56.23</v>
      </c>
      <c r="O578" s="306" t="s">
        <v>156</v>
      </c>
      <c r="P578" s="307">
        <v>56.23</v>
      </c>
      <c r="Q578" s="307" t="s">
        <v>156</v>
      </c>
      <c r="R578" s="298" t="s">
        <v>156</v>
      </c>
      <c r="S578" s="297" t="s">
        <v>156</v>
      </c>
      <c r="T578" s="333" t="s">
        <v>156</v>
      </c>
      <c r="U578" s="307" t="s">
        <v>156</v>
      </c>
      <c r="V578" s="307"/>
      <c r="W578" s="307">
        <f t="shared" si="40"/>
        <v>0</v>
      </c>
      <c r="X578" s="307" t="str">
        <f t="shared" si="42"/>
        <v/>
      </c>
      <c r="Y578" s="307">
        <f t="shared" si="41"/>
        <v>0</v>
      </c>
      <c r="Z578" s="298"/>
    </row>
    <row r="579" s="282" customFormat="1" spans="1:26">
      <c r="A579" s="295" t="s">
        <v>1627</v>
      </c>
      <c r="B579" s="296" t="s">
        <v>45</v>
      </c>
      <c r="C579" s="296" t="s">
        <v>42</v>
      </c>
      <c r="D579" s="295" t="s">
        <v>42</v>
      </c>
      <c r="E579" s="296" t="s">
        <v>123</v>
      </c>
      <c r="F579" s="296" t="s">
        <v>156</v>
      </c>
      <c r="G579" s="295" t="s">
        <v>148</v>
      </c>
      <c r="H579" s="295" t="s">
        <v>514</v>
      </c>
      <c r="I579" s="295"/>
      <c r="J579" s="304" t="s">
        <v>156</v>
      </c>
      <c r="K579" s="309" t="s">
        <v>156</v>
      </c>
      <c r="L579" s="306" t="s">
        <v>156</v>
      </c>
      <c r="M579" s="295" t="s">
        <v>156</v>
      </c>
      <c r="N579" s="306">
        <v>49.88</v>
      </c>
      <c r="O579" s="306" t="s">
        <v>156</v>
      </c>
      <c r="P579" s="307">
        <v>49.88</v>
      </c>
      <c r="Q579" s="307" t="s">
        <v>156</v>
      </c>
      <c r="R579" s="298" t="s">
        <v>156</v>
      </c>
      <c r="S579" s="297" t="s">
        <v>156</v>
      </c>
      <c r="T579" s="333" t="s">
        <v>156</v>
      </c>
      <c r="U579" s="307" t="s">
        <v>156</v>
      </c>
      <c r="V579" s="307"/>
      <c r="W579" s="307">
        <f t="shared" si="40"/>
        <v>0</v>
      </c>
      <c r="X579" s="307" t="str">
        <f t="shared" si="42"/>
        <v/>
      </c>
      <c r="Y579" s="307">
        <f t="shared" si="41"/>
        <v>0</v>
      </c>
      <c r="Z579" s="298"/>
    </row>
    <row r="580" s="282" customFormat="1" spans="1:26">
      <c r="A580" s="295" t="s">
        <v>1628</v>
      </c>
      <c r="B580" s="296" t="s">
        <v>45</v>
      </c>
      <c r="C580" s="296" t="s">
        <v>42</v>
      </c>
      <c r="D580" s="295" t="s">
        <v>42</v>
      </c>
      <c r="E580" s="296" t="s">
        <v>290</v>
      </c>
      <c r="F580" s="296" t="s">
        <v>156</v>
      </c>
      <c r="G580" s="295" t="s">
        <v>148</v>
      </c>
      <c r="H580" s="295" t="s">
        <v>514</v>
      </c>
      <c r="I580" s="295"/>
      <c r="J580" s="304" t="s">
        <v>156</v>
      </c>
      <c r="K580" s="309" t="s">
        <v>156</v>
      </c>
      <c r="L580" s="306" t="s">
        <v>156</v>
      </c>
      <c r="M580" s="295" t="s">
        <v>156</v>
      </c>
      <c r="N580" s="306">
        <v>49.88</v>
      </c>
      <c r="O580" s="306" t="s">
        <v>156</v>
      </c>
      <c r="P580" s="307">
        <v>49.88</v>
      </c>
      <c r="Q580" s="307" t="s">
        <v>156</v>
      </c>
      <c r="R580" s="298" t="s">
        <v>156</v>
      </c>
      <c r="S580" s="297" t="s">
        <v>156</v>
      </c>
      <c r="T580" s="333" t="s">
        <v>156</v>
      </c>
      <c r="U580" s="307" t="s">
        <v>156</v>
      </c>
      <c r="V580" s="307"/>
      <c r="W580" s="307">
        <f t="shared" si="40"/>
        <v>0</v>
      </c>
      <c r="X580" s="307" t="str">
        <f t="shared" si="42"/>
        <v/>
      </c>
      <c r="Y580" s="307">
        <f t="shared" si="41"/>
        <v>0</v>
      </c>
      <c r="Z580" s="298"/>
    </row>
    <row r="581" s="282" customFormat="1" spans="1:26">
      <c r="A581" s="295" t="s">
        <v>1629</v>
      </c>
      <c r="B581" s="296" t="s">
        <v>45</v>
      </c>
      <c r="C581" s="296" t="s">
        <v>42</v>
      </c>
      <c r="D581" s="295" t="s">
        <v>42</v>
      </c>
      <c r="E581" s="296" t="s">
        <v>291</v>
      </c>
      <c r="F581" s="296" t="s">
        <v>156</v>
      </c>
      <c r="G581" s="295" t="s">
        <v>148</v>
      </c>
      <c r="H581" s="295" t="s">
        <v>389</v>
      </c>
      <c r="I581" s="295" t="s">
        <v>294</v>
      </c>
      <c r="J581" s="304">
        <v>20210006014</v>
      </c>
      <c r="K581" s="309" t="s">
        <v>1630</v>
      </c>
      <c r="L581" s="306">
        <v>1219000</v>
      </c>
      <c r="M581" s="295" t="s">
        <v>1631</v>
      </c>
      <c r="N581" s="306">
        <v>57.5</v>
      </c>
      <c r="O581" s="306" t="s">
        <v>156</v>
      </c>
      <c r="P581" s="307">
        <v>57.5</v>
      </c>
      <c r="Q581" s="307" t="s">
        <v>156</v>
      </c>
      <c r="R581" s="298" t="s">
        <v>156</v>
      </c>
      <c r="S581" s="563" t="s">
        <v>392</v>
      </c>
      <c r="T581" s="333" t="s">
        <v>1632</v>
      </c>
      <c r="U581" s="345">
        <f>559174.31*2</f>
        <v>1118348.62</v>
      </c>
      <c r="V581" s="307">
        <f>ROUND(U581*0.09,2)</f>
        <v>100651.38</v>
      </c>
      <c r="W581" s="307">
        <f t="shared" si="40"/>
        <v>1219000</v>
      </c>
      <c r="X581" s="307">
        <f t="shared" si="42"/>
        <v>1118348.62</v>
      </c>
      <c r="Y581" s="307">
        <f t="shared" si="41"/>
        <v>19449.54</v>
      </c>
      <c r="Z581" s="298"/>
    </row>
    <row r="582" s="282" customFormat="1" spans="1:26">
      <c r="A582" s="295" t="s">
        <v>1633</v>
      </c>
      <c r="B582" s="296" t="s">
        <v>45</v>
      </c>
      <c r="C582" s="296" t="s">
        <v>42</v>
      </c>
      <c r="D582" s="295" t="s">
        <v>45</v>
      </c>
      <c r="E582" s="296" t="s">
        <v>1602</v>
      </c>
      <c r="F582" s="296" t="s">
        <v>156</v>
      </c>
      <c r="G582" s="295" t="s">
        <v>148</v>
      </c>
      <c r="H582" s="295" t="s">
        <v>514</v>
      </c>
      <c r="I582" s="295"/>
      <c r="J582" s="304" t="s">
        <v>156</v>
      </c>
      <c r="K582" s="309" t="s">
        <v>156</v>
      </c>
      <c r="L582" s="306" t="s">
        <v>156</v>
      </c>
      <c r="M582" s="295" t="s">
        <v>156</v>
      </c>
      <c r="N582" s="306">
        <v>388.91</v>
      </c>
      <c r="O582" s="306" t="s">
        <v>156</v>
      </c>
      <c r="P582" s="307">
        <v>388.91</v>
      </c>
      <c r="Q582" s="307" t="s">
        <v>156</v>
      </c>
      <c r="R582" s="298" t="s">
        <v>156</v>
      </c>
      <c r="S582" s="297" t="s">
        <v>156</v>
      </c>
      <c r="T582" s="333" t="s">
        <v>156</v>
      </c>
      <c r="U582" s="307" t="s">
        <v>156</v>
      </c>
      <c r="V582" s="307"/>
      <c r="W582" s="307">
        <f t="shared" si="40"/>
        <v>0</v>
      </c>
      <c r="X582" s="307" t="str">
        <f t="shared" si="42"/>
        <v/>
      </c>
      <c r="Y582" s="307">
        <f t="shared" si="41"/>
        <v>0</v>
      </c>
      <c r="Z582" s="298"/>
    </row>
    <row r="583" s="282" customFormat="1" spans="1:26">
      <c r="A583" s="295" t="s">
        <v>669</v>
      </c>
      <c r="B583" s="296" t="s">
        <v>45</v>
      </c>
      <c r="C583" s="296" t="s">
        <v>42</v>
      </c>
      <c r="D583" s="295" t="s">
        <v>45</v>
      </c>
      <c r="E583" s="296" t="s">
        <v>1604</v>
      </c>
      <c r="F583" s="296" t="s">
        <v>156</v>
      </c>
      <c r="G583" s="295" t="s">
        <v>148</v>
      </c>
      <c r="H583" s="295" t="s">
        <v>514</v>
      </c>
      <c r="I583" s="295"/>
      <c r="J583" s="304" t="s">
        <v>156</v>
      </c>
      <c r="K583" s="309" t="s">
        <v>156</v>
      </c>
      <c r="L583" s="306" t="s">
        <v>156</v>
      </c>
      <c r="M583" s="295" t="s">
        <v>156</v>
      </c>
      <c r="N583" s="306">
        <v>336.24</v>
      </c>
      <c r="O583" s="306" t="s">
        <v>156</v>
      </c>
      <c r="P583" s="307">
        <v>336.24</v>
      </c>
      <c r="Q583" s="307" t="s">
        <v>156</v>
      </c>
      <c r="R583" s="298" t="s">
        <v>156</v>
      </c>
      <c r="S583" s="297" t="s">
        <v>156</v>
      </c>
      <c r="T583" s="333" t="s">
        <v>156</v>
      </c>
      <c r="U583" s="307" t="s">
        <v>156</v>
      </c>
      <c r="V583" s="307"/>
      <c r="W583" s="307">
        <f t="shared" ref="W583:W606" si="44">SUM(U583)+SUM(V583)</f>
        <v>0</v>
      </c>
      <c r="X583" s="307" t="str">
        <f t="shared" si="42"/>
        <v/>
      </c>
      <c r="Y583" s="307">
        <f>IF(SUM(P583)=0,"",ROUND(SUM(X583)/SUM(P583),2))</f>
        <v>0</v>
      </c>
      <c r="Z583" s="298"/>
    </row>
    <row r="584" s="282" customFormat="1" spans="1:26">
      <c r="A584" s="295" t="s">
        <v>1634</v>
      </c>
      <c r="B584" s="296" t="s">
        <v>48</v>
      </c>
      <c r="C584" s="296" t="s">
        <v>42</v>
      </c>
      <c r="D584" s="295" t="s">
        <v>42</v>
      </c>
      <c r="E584" s="296" t="s">
        <v>1602</v>
      </c>
      <c r="F584" s="296" t="s">
        <v>156</v>
      </c>
      <c r="G584" s="295" t="s">
        <v>148</v>
      </c>
      <c r="H584" s="295" t="s">
        <v>514</v>
      </c>
      <c r="I584" s="295"/>
      <c r="J584" s="304" t="s">
        <v>156</v>
      </c>
      <c r="K584" s="309" t="s">
        <v>156</v>
      </c>
      <c r="L584" s="306"/>
      <c r="M584" s="295" t="s">
        <v>156</v>
      </c>
      <c r="N584" s="306">
        <v>103.78</v>
      </c>
      <c r="O584" s="306" t="s">
        <v>156</v>
      </c>
      <c r="P584" s="307">
        <v>103.78</v>
      </c>
      <c r="Q584" s="307" t="s">
        <v>156</v>
      </c>
      <c r="R584" s="298" t="s">
        <v>156</v>
      </c>
      <c r="S584" s="297" t="s">
        <v>156</v>
      </c>
      <c r="T584" s="333" t="s">
        <v>156</v>
      </c>
      <c r="U584" s="307" t="s">
        <v>156</v>
      </c>
      <c r="V584" s="307"/>
      <c r="W584" s="307">
        <f t="shared" si="44"/>
        <v>0</v>
      </c>
      <c r="X584" s="307">
        <f t="shared" ref="X584:X598" si="45">L584/1.09</f>
        <v>0</v>
      </c>
      <c r="Y584" s="307">
        <f t="shared" ref="Y583:Y598" si="46">IF(SUM(P584)=0,"",ROUND(SUM(X584)/SUM(P584),2))</f>
        <v>0</v>
      </c>
      <c r="Z584" s="298"/>
    </row>
    <row r="585" s="282" customFormat="1" spans="1:26">
      <c r="A585" s="295" t="s">
        <v>517</v>
      </c>
      <c r="B585" s="296" t="s">
        <v>48</v>
      </c>
      <c r="C585" s="296" t="s">
        <v>42</v>
      </c>
      <c r="D585" s="295" t="s">
        <v>42</v>
      </c>
      <c r="E585" s="296" t="s">
        <v>1604</v>
      </c>
      <c r="F585" s="296" t="s">
        <v>156</v>
      </c>
      <c r="G585" s="295" t="s">
        <v>148</v>
      </c>
      <c r="H585" s="295" t="s">
        <v>514</v>
      </c>
      <c r="I585" s="295"/>
      <c r="J585" s="304" t="s">
        <v>156</v>
      </c>
      <c r="K585" s="309" t="s">
        <v>156</v>
      </c>
      <c r="L585" s="306"/>
      <c r="M585" s="295" t="s">
        <v>156</v>
      </c>
      <c r="N585" s="306">
        <v>56.41</v>
      </c>
      <c r="O585" s="306" t="s">
        <v>156</v>
      </c>
      <c r="P585" s="307">
        <v>56.41</v>
      </c>
      <c r="Q585" s="307" t="s">
        <v>156</v>
      </c>
      <c r="R585" s="298" t="s">
        <v>156</v>
      </c>
      <c r="S585" s="297" t="s">
        <v>156</v>
      </c>
      <c r="T585" s="333" t="s">
        <v>156</v>
      </c>
      <c r="U585" s="307" t="s">
        <v>156</v>
      </c>
      <c r="V585" s="307"/>
      <c r="W585" s="307">
        <f t="shared" si="44"/>
        <v>0</v>
      </c>
      <c r="X585" s="307">
        <f t="shared" si="45"/>
        <v>0</v>
      </c>
      <c r="Y585" s="307">
        <f t="shared" si="46"/>
        <v>0</v>
      </c>
      <c r="Z585" s="298"/>
    </row>
    <row r="586" s="282" customFormat="1" spans="1:26">
      <c r="A586" s="295" t="s">
        <v>1635</v>
      </c>
      <c r="B586" s="296" t="s">
        <v>48</v>
      </c>
      <c r="C586" s="296" t="s">
        <v>42</v>
      </c>
      <c r="D586" s="295" t="s">
        <v>42</v>
      </c>
      <c r="E586" s="296" t="s">
        <v>1606</v>
      </c>
      <c r="F586" s="296" t="s">
        <v>156</v>
      </c>
      <c r="G586" s="295" t="s">
        <v>148</v>
      </c>
      <c r="H586" s="295" t="s">
        <v>514</v>
      </c>
      <c r="I586" s="295"/>
      <c r="J586" s="304" t="s">
        <v>156</v>
      </c>
      <c r="K586" s="309" t="s">
        <v>156</v>
      </c>
      <c r="L586" s="306"/>
      <c r="M586" s="295" t="s">
        <v>156</v>
      </c>
      <c r="N586" s="306">
        <v>30.52</v>
      </c>
      <c r="O586" s="306" t="s">
        <v>156</v>
      </c>
      <c r="P586" s="307">
        <v>30.52</v>
      </c>
      <c r="Q586" s="307" t="s">
        <v>156</v>
      </c>
      <c r="R586" s="298" t="s">
        <v>156</v>
      </c>
      <c r="S586" s="297" t="s">
        <v>156</v>
      </c>
      <c r="T586" s="333" t="s">
        <v>156</v>
      </c>
      <c r="U586" s="307" t="s">
        <v>156</v>
      </c>
      <c r="V586" s="307"/>
      <c r="W586" s="307">
        <f t="shared" si="44"/>
        <v>0</v>
      </c>
      <c r="X586" s="307">
        <f t="shared" si="45"/>
        <v>0</v>
      </c>
      <c r="Y586" s="307">
        <f t="shared" si="46"/>
        <v>0</v>
      </c>
      <c r="Z586" s="298"/>
    </row>
    <row r="587" s="282" customFormat="1" spans="1:26">
      <c r="A587" s="295" t="s">
        <v>1636</v>
      </c>
      <c r="B587" s="296" t="s">
        <v>48</v>
      </c>
      <c r="C587" s="296" t="s">
        <v>42</v>
      </c>
      <c r="D587" s="295" t="s">
        <v>42</v>
      </c>
      <c r="E587" s="296" t="s">
        <v>1608</v>
      </c>
      <c r="F587" s="296" t="s">
        <v>156</v>
      </c>
      <c r="G587" s="295" t="s">
        <v>148</v>
      </c>
      <c r="H587" s="295" t="s">
        <v>514</v>
      </c>
      <c r="I587" s="295"/>
      <c r="J587" s="304" t="s">
        <v>156</v>
      </c>
      <c r="K587" s="309" t="s">
        <v>156</v>
      </c>
      <c r="L587" s="306"/>
      <c r="M587" s="295" t="s">
        <v>156</v>
      </c>
      <c r="N587" s="306">
        <v>30.52</v>
      </c>
      <c r="O587" s="306" t="s">
        <v>156</v>
      </c>
      <c r="P587" s="307">
        <v>30.52</v>
      </c>
      <c r="Q587" s="307" t="s">
        <v>156</v>
      </c>
      <c r="R587" s="298" t="s">
        <v>156</v>
      </c>
      <c r="S587" s="297" t="s">
        <v>156</v>
      </c>
      <c r="T587" s="333" t="s">
        <v>156</v>
      </c>
      <c r="U587" s="307" t="s">
        <v>156</v>
      </c>
      <c r="V587" s="307"/>
      <c r="W587" s="307">
        <f t="shared" si="44"/>
        <v>0</v>
      </c>
      <c r="X587" s="307">
        <f t="shared" si="45"/>
        <v>0</v>
      </c>
      <c r="Y587" s="307">
        <f t="shared" si="46"/>
        <v>0</v>
      </c>
      <c r="Z587" s="298"/>
    </row>
    <row r="588" s="282" customFormat="1" spans="1:26">
      <c r="A588" s="295" t="s">
        <v>1637</v>
      </c>
      <c r="B588" s="296" t="s">
        <v>48</v>
      </c>
      <c r="C588" s="296" t="s">
        <v>42</v>
      </c>
      <c r="D588" s="295" t="s">
        <v>42</v>
      </c>
      <c r="E588" s="296" t="s">
        <v>1613</v>
      </c>
      <c r="F588" s="296" t="s">
        <v>156</v>
      </c>
      <c r="G588" s="295" t="s">
        <v>148</v>
      </c>
      <c r="H588" s="295" t="s">
        <v>514</v>
      </c>
      <c r="I588" s="295"/>
      <c r="J588" s="304" t="s">
        <v>156</v>
      </c>
      <c r="K588" s="309" t="s">
        <v>156</v>
      </c>
      <c r="L588" s="306"/>
      <c r="M588" s="295" t="s">
        <v>156</v>
      </c>
      <c r="N588" s="306">
        <v>56.41</v>
      </c>
      <c r="O588" s="306" t="s">
        <v>156</v>
      </c>
      <c r="P588" s="307">
        <v>56.41</v>
      </c>
      <c r="Q588" s="307" t="s">
        <v>156</v>
      </c>
      <c r="R588" s="298" t="s">
        <v>156</v>
      </c>
      <c r="S588" s="297" t="s">
        <v>156</v>
      </c>
      <c r="T588" s="333" t="s">
        <v>156</v>
      </c>
      <c r="U588" s="307" t="s">
        <v>156</v>
      </c>
      <c r="V588" s="307"/>
      <c r="W588" s="307">
        <f t="shared" si="44"/>
        <v>0</v>
      </c>
      <c r="X588" s="307">
        <f t="shared" si="45"/>
        <v>0</v>
      </c>
      <c r="Y588" s="307">
        <f t="shared" si="46"/>
        <v>0</v>
      </c>
      <c r="Z588" s="298"/>
    </row>
    <row r="589" s="282" customFormat="1" spans="1:26">
      <c r="A589" s="295" t="s">
        <v>1638</v>
      </c>
      <c r="B589" s="296" t="s">
        <v>48</v>
      </c>
      <c r="C589" s="296" t="s">
        <v>42</v>
      </c>
      <c r="D589" s="295" t="s">
        <v>42</v>
      </c>
      <c r="E589" s="296" t="s">
        <v>1616</v>
      </c>
      <c r="F589" s="296" t="s">
        <v>156</v>
      </c>
      <c r="G589" s="295" t="s">
        <v>148</v>
      </c>
      <c r="H589" s="295" t="s">
        <v>514</v>
      </c>
      <c r="I589" s="295"/>
      <c r="J589" s="304" t="s">
        <v>156</v>
      </c>
      <c r="K589" s="309" t="s">
        <v>156</v>
      </c>
      <c r="L589" s="306"/>
      <c r="M589" s="295" t="s">
        <v>156</v>
      </c>
      <c r="N589" s="306">
        <v>50.04</v>
      </c>
      <c r="O589" s="306" t="s">
        <v>156</v>
      </c>
      <c r="P589" s="307">
        <v>50.04</v>
      </c>
      <c r="Q589" s="307" t="s">
        <v>156</v>
      </c>
      <c r="R589" s="298" t="s">
        <v>156</v>
      </c>
      <c r="S589" s="297" t="s">
        <v>156</v>
      </c>
      <c r="T589" s="333" t="s">
        <v>156</v>
      </c>
      <c r="U589" s="307" t="s">
        <v>156</v>
      </c>
      <c r="V589" s="307"/>
      <c r="W589" s="307">
        <f t="shared" si="44"/>
        <v>0</v>
      </c>
      <c r="X589" s="307">
        <f t="shared" si="45"/>
        <v>0</v>
      </c>
      <c r="Y589" s="307">
        <f t="shared" si="46"/>
        <v>0</v>
      </c>
      <c r="Z589" s="298"/>
    </row>
    <row r="590" s="282" customFormat="1" spans="1:26">
      <c r="A590" s="295" t="s">
        <v>675</v>
      </c>
      <c r="B590" s="296" t="s">
        <v>48</v>
      </c>
      <c r="C590" s="296" t="s">
        <v>42</v>
      </c>
      <c r="D590" s="295" t="s">
        <v>42</v>
      </c>
      <c r="E590" s="296" t="s">
        <v>1618</v>
      </c>
      <c r="F590" s="296" t="s">
        <v>156</v>
      </c>
      <c r="G590" s="295" t="s">
        <v>148</v>
      </c>
      <c r="H590" s="295" t="s">
        <v>514</v>
      </c>
      <c r="I590" s="295"/>
      <c r="J590" s="304" t="s">
        <v>156</v>
      </c>
      <c r="K590" s="309" t="s">
        <v>156</v>
      </c>
      <c r="L590" s="306"/>
      <c r="M590" s="295" t="s">
        <v>156</v>
      </c>
      <c r="N590" s="306">
        <v>50.04</v>
      </c>
      <c r="O590" s="306" t="s">
        <v>156</v>
      </c>
      <c r="P590" s="307">
        <v>50.04</v>
      </c>
      <c r="Q590" s="307" t="s">
        <v>156</v>
      </c>
      <c r="R590" s="298" t="s">
        <v>156</v>
      </c>
      <c r="S590" s="297" t="s">
        <v>156</v>
      </c>
      <c r="T590" s="333" t="s">
        <v>156</v>
      </c>
      <c r="U590" s="307" t="s">
        <v>156</v>
      </c>
      <c r="V590" s="307"/>
      <c r="W590" s="307">
        <f t="shared" si="44"/>
        <v>0</v>
      </c>
      <c r="X590" s="307">
        <f t="shared" si="45"/>
        <v>0</v>
      </c>
      <c r="Y590" s="307">
        <f t="shared" si="46"/>
        <v>0</v>
      </c>
      <c r="Z590" s="298"/>
    </row>
    <row r="591" s="282" customFormat="1" spans="1:26">
      <c r="A591" s="295" t="s">
        <v>1639</v>
      </c>
      <c r="B591" s="296" t="s">
        <v>48</v>
      </c>
      <c r="C591" s="296" t="s">
        <v>42</v>
      </c>
      <c r="D591" s="295" t="s">
        <v>42</v>
      </c>
      <c r="E591" s="296" t="s">
        <v>1622</v>
      </c>
      <c r="F591" s="296" t="s">
        <v>156</v>
      </c>
      <c r="G591" s="295" t="s">
        <v>148</v>
      </c>
      <c r="H591" s="295" t="s">
        <v>514</v>
      </c>
      <c r="I591" s="295"/>
      <c r="J591" s="304" t="s">
        <v>156</v>
      </c>
      <c r="K591" s="309" t="s">
        <v>156</v>
      </c>
      <c r="L591" s="306"/>
      <c r="M591" s="295" t="s">
        <v>156</v>
      </c>
      <c r="N591" s="306">
        <v>55.13</v>
      </c>
      <c r="O591" s="306" t="s">
        <v>156</v>
      </c>
      <c r="P591" s="307">
        <v>55.13</v>
      </c>
      <c r="Q591" s="307" t="s">
        <v>156</v>
      </c>
      <c r="R591" s="298" t="s">
        <v>156</v>
      </c>
      <c r="S591" s="297" t="s">
        <v>156</v>
      </c>
      <c r="T591" s="333" t="s">
        <v>156</v>
      </c>
      <c r="U591" s="307" t="s">
        <v>156</v>
      </c>
      <c r="V591" s="307"/>
      <c r="W591" s="307">
        <f t="shared" si="44"/>
        <v>0</v>
      </c>
      <c r="X591" s="307">
        <f t="shared" si="45"/>
        <v>0</v>
      </c>
      <c r="Y591" s="307">
        <f t="shared" si="46"/>
        <v>0</v>
      </c>
      <c r="Z591" s="298"/>
    </row>
    <row r="592" s="282" customFormat="1" spans="1:26">
      <c r="A592" s="295" t="s">
        <v>923</v>
      </c>
      <c r="B592" s="297" t="s">
        <v>48</v>
      </c>
      <c r="C592" s="297" t="s">
        <v>42</v>
      </c>
      <c r="D592" s="298" t="s">
        <v>42</v>
      </c>
      <c r="E592" s="297" t="s">
        <v>1640</v>
      </c>
      <c r="F592" s="297" t="s">
        <v>156</v>
      </c>
      <c r="G592" s="295" t="s">
        <v>513</v>
      </c>
      <c r="H592" s="298" t="s">
        <v>1641</v>
      </c>
      <c r="I592" s="298"/>
      <c r="J592" s="308" t="s">
        <v>156</v>
      </c>
      <c r="K592" s="305" t="s">
        <v>156</v>
      </c>
      <c r="L592" s="307"/>
      <c r="M592" s="298" t="s">
        <v>156</v>
      </c>
      <c r="N592" s="307">
        <v>38.8</v>
      </c>
      <c r="O592" s="307" t="s">
        <v>156</v>
      </c>
      <c r="P592" s="307">
        <v>38.8</v>
      </c>
      <c r="Q592" s="307" t="s">
        <v>156</v>
      </c>
      <c r="R592" s="298" t="s">
        <v>156</v>
      </c>
      <c r="S592" s="297" t="s">
        <v>156</v>
      </c>
      <c r="T592" s="333" t="s">
        <v>156</v>
      </c>
      <c r="U592" s="307" t="s">
        <v>156</v>
      </c>
      <c r="V592" s="307"/>
      <c r="W592" s="307">
        <f t="shared" si="44"/>
        <v>0</v>
      </c>
      <c r="X592" s="307"/>
      <c r="Y592" s="307">
        <f t="shared" si="46"/>
        <v>0</v>
      </c>
      <c r="Z592" s="298"/>
    </row>
    <row r="593" s="282" customFormat="1" spans="1:26">
      <c r="A593" s="295" t="s">
        <v>1642</v>
      </c>
      <c r="B593" s="296" t="s">
        <v>48</v>
      </c>
      <c r="C593" s="296" t="s">
        <v>42</v>
      </c>
      <c r="D593" s="295" t="s">
        <v>45</v>
      </c>
      <c r="E593" s="296" t="s">
        <v>1602</v>
      </c>
      <c r="F593" s="296" t="s">
        <v>156</v>
      </c>
      <c r="G593" s="295" t="s">
        <v>148</v>
      </c>
      <c r="H593" s="295" t="s">
        <v>514</v>
      </c>
      <c r="I593" s="295"/>
      <c r="J593" s="304" t="s">
        <v>156</v>
      </c>
      <c r="K593" s="309" t="s">
        <v>156</v>
      </c>
      <c r="L593" s="306"/>
      <c r="M593" s="295" t="s">
        <v>156</v>
      </c>
      <c r="N593" s="306">
        <v>152.21</v>
      </c>
      <c r="O593" s="306" t="s">
        <v>156</v>
      </c>
      <c r="P593" s="307">
        <v>152.21</v>
      </c>
      <c r="Q593" s="307" t="s">
        <v>156</v>
      </c>
      <c r="R593" s="298" t="s">
        <v>156</v>
      </c>
      <c r="S593" s="297" t="s">
        <v>156</v>
      </c>
      <c r="T593" s="333" t="s">
        <v>156</v>
      </c>
      <c r="U593" s="307" t="s">
        <v>156</v>
      </c>
      <c r="V593" s="307"/>
      <c r="W593" s="307">
        <f t="shared" si="44"/>
        <v>0</v>
      </c>
      <c r="X593" s="307">
        <f t="shared" si="45"/>
        <v>0</v>
      </c>
      <c r="Y593" s="307">
        <f t="shared" si="46"/>
        <v>0</v>
      </c>
      <c r="Z593" s="298"/>
    </row>
    <row r="594" s="282" customFormat="1" spans="1:26">
      <c r="A594" s="295" t="s">
        <v>1643</v>
      </c>
      <c r="B594" s="296" t="s">
        <v>48</v>
      </c>
      <c r="C594" s="296" t="s">
        <v>42</v>
      </c>
      <c r="D594" s="295" t="s">
        <v>45</v>
      </c>
      <c r="E594" s="296" t="s">
        <v>1604</v>
      </c>
      <c r="F594" s="296" t="s">
        <v>156</v>
      </c>
      <c r="G594" s="295" t="s">
        <v>148</v>
      </c>
      <c r="H594" s="295" t="s">
        <v>514</v>
      </c>
      <c r="I594" s="295"/>
      <c r="J594" s="304" t="s">
        <v>156</v>
      </c>
      <c r="K594" s="309" t="s">
        <v>156</v>
      </c>
      <c r="L594" s="306"/>
      <c r="M594" s="295" t="s">
        <v>156</v>
      </c>
      <c r="N594" s="306">
        <v>221.88</v>
      </c>
      <c r="O594" s="306" t="s">
        <v>156</v>
      </c>
      <c r="P594" s="307">
        <v>221.88</v>
      </c>
      <c r="Q594" s="307" t="s">
        <v>156</v>
      </c>
      <c r="R594" s="298" t="s">
        <v>156</v>
      </c>
      <c r="S594" s="297" t="s">
        <v>156</v>
      </c>
      <c r="T594" s="333" t="s">
        <v>156</v>
      </c>
      <c r="U594" s="307" t="s">
        <v>156</v>
      </c>
      <c r="V594" s="307"/>
      <c r="W594" s="307">
        <f t="shared" si="44"/>
        <v>0</v>
      </c>
      <c r="X594" s="307">
        <f t="shared" si="45"/>
        <v>0</v>
      </c>
      <c r="Y594" s="307">
        <f t="shared" si="46"/>
        <v>0</v>
      </c>
      <c r="Z594" s="298"/>
    </row>
    <row r="595" s="282" customFormat="1" spans="1:26">
      <c r="A595" s="295" t="s">
        <v>1479</v>
      </c>
      <c r="B595" s="296" t="s">
        <v>48</v>
      </c>
      <c r="C595" s="296" t="s">
        <v>42</v>
      </c>
      <c r="D595" s="295" t="s">
        <v>45</v>
      </c>
      <c r="E595" s="296" t="s">
        <v>1606</v>
      </c>
      <c r="F595" s="296" t="s">
        <v>156</v>
      </c>
      <c r="G595" s="295" t="s">
        <v>148</v>
      </c>
      <c r="H595" s="295" t="s">
        <v>514</v>
      </c>
      <c r="I595" s="295"/>
      <c r="J595" s="304" t="s">
        <v>156</v>
      </c>
      <c r="K595" s="309" t="s">
        <v>156</v>
      </c>
      <c r="L595" s="306"/>
      <c r="M595" s="295" t="s">
        <v>156</v>
      </c>
      <c r="N595" s="306">
        <v>290.34</v>
      </c>
      <c r="O595" s="306" t="s">
        <v>156</v>
      </c>
      <c r="P595" s="307">
        <v>290.34</v>
      </c>
      <c r="Q595" s="307" t="s">
        <v>156</v>
      </c>
      <c r="R595" s="298" t="s">
        <v>156</v>
      </c>
      <c r="S595" s="297" t="s">
        <v>156</v>
      </c>
      <c r="T595" s="333" t="s">
        <v>156</v>
      </c>
      <c r="U595" s="307" t="s">
        <v>156</v>
      </c>
      <c r="V595" s="307"/>
      <c r="W595" s="307">
        <f t="shared" si="44"/>
        <v>0</v>
      </c>
      <c r="X595" s="307">
        <f t="shared" si="45"/>
        <v>0</v>
      </c>
      <c r="Y595" s="307">
        <f t="shared" si="46"/>
        <v>0</v>
      </c>
      <c r="Z595" s="298"/>
    </row>
    <row r="596" s="282" customFormat="1" spans="1:26">
      <c r="A596" s="295" t="s">
        <v>1644</v>
      </c>
      <c r="B596" s="296" t="s">
        <v>48</v>
      </c>
      <c r="C596" s="296" t="s">
        <v>42</v>
      </c>
      <c r="D596" s="295" t="s">
        <v>48</v>
      </c>
      <c r="E596" s="296" t="s">
        <v>1602</v>
      </c>
      <c r="F596" s="296" t="s">
        <v>156</v>
      </c>
      <c r="G596" s="295" t="s">
        <v>148</v>
      </c>
      <c r="H596" s="295" t="s">
        <v>514</v>
      </c>
      <c r="I596" s="295"/>
      <c r="J596" s="304" t="s">
        <v>156</v>
      </c>
      <c r="K596" s="309" t="s">
        <v>156</v>
      </c>
      <c r="L596" s="306"/>
      <c r="M596" s="295" t="s">
        <v>156</v>
      </c>
      <c r="N596" s="306">
        <v>152.21</v>
      </c>
      <c r="O596" s="306" t="s">
        <v>156</v>
      </c>
      <c r="P596" s="307">
        <v>152.21</v>
      </c>
      <c r="Q596" s="307" t="s">
        <v>156</v>
      </c>
      <c r="R596" s="298" t="s">
        <v>156</v>
      </c>
      <c r="S596" s="297" t="s">
        <v>156</v>
      </c>
      <c r="T596" s="333" t="s">
        <v>156</v>
      </c>
      <c r="U596" s="307" t="s">
        <v>156</v>
      </c>
      <c r="V596" s="307"/>
      <c r="W596" s="307">
        <f t="shared" si="44"/>
        <v>0</v>
      </c>
      <c r="X596" s="307">
        <f t="shared" si="45"/>
        <v>0</v>
      </c>
      <c r="Y596" s="307">
        <f t="shared" si="46"/>
        <v>0</v>
      </c>
      <c r="Z596" s="298"/>
    </row>
    <row r="597" s="282" customFormat="1" spans="1:26">
      <c r="A597" s="295" t="s">
        <v>1645</v>
      </c>
      <c r="B597" s="296" t="s">
        <v>48</v>
      </c>
      <c r="C597" s="296" t="s">
        <v>42</v>
      </c>
      <c r="D597" s="295" t="s">
        <v>48</v>
      </c>
      <c r="E597" s="296" t="s">
        <v>1604</v>
      </c>
      <c r="F597" s="296" t="s">
        <v>156</v>
      </c>
      <c r="G597" s="295" t="s">
        <v>148</v>
      </c>
      <c r="H597" s="295" t="s">
        <v>514</v>
      </c>
      <c r="I597" s="295"/>
      <c r="J597" s="304" t="s">
        <v>156</v>
      </c>
      <c r="K597" s="309" t="s">
        <v>156</v>
      </c>
      <c r="L597" s="306"/>
      <c r="M597" s="295" t="s">
        <v>156</v>
      </c>
      <c r="N597" s="306">
        <v>221.88</v>
      </c>
      <c r="O597" s="306" t="s">
        <v>156</v>
      </c>
      <c r="P597" s="307">
        <v>221.88</v>
      </c>
      <c r="Q597" s="307" t="s">
        <v>156</v>
      </c>
      <c r="R597" s="298" t="s">
        <v>156</v>
      </c>
      <c r="S597" s="297" t="s">
        <v>156</v>
      </c>
      <c r="T597" s="333" t="s">
        <v>156</v>
      </c>
      <c r="U597" s="307" t="s">
        <v>156</v>
      </c>
      <c r="V597" s="307"/>
      <c r="W597" s="307">
        <f t="shared" si="44"/>
        <v>0</v>
      </c>
      <c r="X597" s="307">
        <f t="shared" si="45"/>
        <v>0</v>
      </c>
      <c r="Y597" s="307">
        <f t="shared" si="46"/>
        <v>0</v>
      </c>
      <c r="Z597" s="298"/>
    </row>
    <row r="598" s="282" customFormat="1" spans="1:26">
      <c r="A598" s="295" t="s">
        <v>534</v>
      </c>
      <c r="B598" s="296" t="s">
        <v>48</v>
      </c>
      <c r="C598" s="296" t="s">
        <v>42</v>
      </c>
      <c r="D598" s="295" t="s">
        <v>48</v>
      </c>
      <c r="E598" s="296" t="s">
        <v>1606</v>
      </c>
      <c r="F598" s="296" t="s">
        <v>156</v>
      </c>
      <c r="G598" s="295" t="s">
        <v>148</v>
      </c>
      <c r="H598" s="295" t="s">
        <v>514</v>
      </c>
      <c r="I598" s="295"/>
      <c r="J598" s="304" t="s">
        <v>156</v>
      </c>
      <c r="K598" s="309" t="s">
        <v>156</v>
      </c>
      <c r="L598" s="306"/>
      <c r="M598" s="295" t="s">
        <v>156</v>
      </c>
      <c r="N598" s="306">
        <v>290.34</v>
      </c>
      <c r="O598" s="306" t="s">
        <v>156</v>
      </c>
      <c r="P598" s="307">
        <v>290.34</v>
      </c>
      <c r="Q598" s="307" t="s">
        <v>156</v>
      </c>
      <c r="R598" s="298" t="s">
        <v>156</v>
      </c>
      <c r="S598" s="297" t="s">
        <v>156</v>
      </c>
      <c r="T598" s="333" t="s">
        <v>156</v>
      </c>
      <c r="U598" s="307" t="s">
        <v>156</v>
      </c>
      <c r="V598" s="307"/>
      <c r="W598" s="307">
        <f t="shared" si="44"/>
        <v>0</v>
      </c>
      <c r="X598" s="307">
        <f t="shared" si="45"/>
        <v>0</v>
      </c>
      <c r="Y598" s="307">
        <f t="shared" si="46"/>
        <v>0</v>
      </c>
      <c r="Z598" s="298"/>
    </row>
    <row r="599" s="282" customFormat="1" spans="1:26">
      <c r="A599" s="295" t="s">
        <v>1572</v>
      </c>
      <c r="B599" s="296" t="s">
        <v>1256</v>
      </c>
      <c r="C599" s="296" t="s">
        <v>42</v>
      </c>
      <c r="D599" s="295" t="s">
        <v>42</v>
      </c>
      <c r="E599" s="296" t="s">
        <v>1602</v>
      </c>
      <c r="F599" s="296" t="s">
        <v>156</v>
      </c>
      <c r="G599" s="295" t="s">
        <v>148</v>
      </c>
      <c r="H599" s="295" t="s">
        <v>514</v>
      </c>
      <c r="I599" s="295"/>
      <c r="J599" s="296" t="s">
        <v>156</v>
      </c>
      <c r="K599" s="309" t="s">
        <v>156</v>
      </c>
      <c r="L599" s="306" t="s">
        <v>156</v>
      </c>
      <c r="M599" s="295" t="s">
        <v>156</v>
      </c>
      <c r="N599" s="306">
        <v>50.13</v>
      </c>
      <c r="O599" s="306" t="s">
        <v>156</v>
      </c>
      <c r="P599" s="307">
        <v>50.13</v>
      </c>
      <c r="Q599" s="307">
        <v>50.13</v>
      </c>
      <c r="R599" s="298" t="s">
        <v>156</v>
      </c>
      <c r="S599" s="297" t="s">
        <v>156</v>
      </c>
      <c r="T599" s="333" t="s">
        <v>156</v>
      </c>
      <c r="U599" s="307" t="s">
        <v>156</v>
      </c>
      <c r="V599" s="307"/>
      <c r="W599" s="307">
        <f t="shared" si="44"/>
        <v>0</v>
      </c>
      <c r="X599" s="307"/>
      <c r="Y599" s="307">
        <f t="shared" ref="Y599:Y606" si="47">IF(SUM(P599)=0,"",ROUND(SUM(X599)/SUM(P599),2))</f>
        <v>0</v>
      </c>
      <c r="Z599" s="298"/>
    </row>
    <row r="600" s="282" customFormat="1" spans="1:26">
      <c r="A600" s="295" t="s">
        <v>1045</v>
      </c>
      <c r="B600" s="296" t="s">
        <v>1256</v>
      </c>
      <c r="C600" s="296" t="s">
        <v>42</v>
      </c>
      <c r="D600" s="295" t="s">
        <v>42</v>
      </c>
      <c r="E600" s="296" t="s">
        <v>1604</v>
      </c>
      <c r="F600" s="296" t="s">
        <v>156</v>
      </c>
      <c r="G600" s="295" t="s">
        <v>148</v>
      </c>
      <c r="H600" s="295" t="s">
        <v>514</v>
      </c>
      <c r="I600" s="295"/>
      <c r="J600" s="296" t="s">
        <v>156</v>
      </c>
      <c r="K600" s="309" t="s">
        <v>156</v>
      </c>
      <c r="L600" s="306" t="s">
        <v>156</v>
      </c>
      <c r="M600" s="295" t="s">
        <v>156</v>
      </c>
      <c r="N600" s="306">
        <v>50.13</v>
      </c>
      <c r="O600" s="306" t="s">
        <v>156</v>
      </c>
      <c r="P600" s="307">
        <v>50.13</v>
      </c>
      <c r="Q600" s="307">
        <v>50.13</v>
      </c>
      <c r="R600" s="298" t="s">
        <v>156</v>
      </c>
      <c r="S600" s="297" t="s">
        <v>156</v>
      </c>
      <c r="T600" s="333" t="s">
        <v>156</v>
      </c>
      <c r="U600" s="307" t="s">
        <v>156</v>
      </c>
      <c r="V600" s="307"/>
      <c r="W600" s="307">
        <f t="shared" si="44"/>
        <v>0</v>
      </c>
      <c r="X600" s="307"/>
      <c r="Y600" s="307">
        <f t="shared" si="47"/>
        <v>0</v>
      </c>
      <c r="Z600" s="298"/>
    </row>
    <row r="601" s="282" customFormat="1" spans="1:26">
      <c r="A601" s="295" t="s">
        <v>551</v>
      </c>
      <c r="B601" s="296" t="s">
        <v>1256</v>
      </c>
      <c r="C601" s="296" t="s">
        <v>42</v>
      </c>
      <c r="D601" s="295" t="s">
        <v>42</v>
      </c>
      <c r="E601" s="296" t="s">
        <v>1606</v>
      </c>
      <c r="F601" s="296" t="s">
        <v>156</v>
      </c>
      <c r="G601" s="295" t="s">
        <v>148</v>
      </c>
      <c r="H601" s="295" t="s">
        <v>514</v>
      </c>
      <c r="I601" s="295"/>
      <c r="J601" s="296" t="s">
        <v>156</v>
      </c>
      <c r="K601" s="309" t="s">
        <v>156</v>
      </c>
      <c r="L601" s="306" t="s">
        <v>156</v>
      </c>
      <c r="M601" s="295" t="s">
        <v>156</v>
      </c>
      <c r="N601" s="306">
        <v>50.13</v>
      </c>
      <c r="O601" s="306" t="s">
        <v>156</v>
      </c>
      <c r="P601" s="307">
        <v>50.13</v>
      </c>
      <c r="Q601" s="307">
        <v>50.13</v>
      </c>
      <c r="R601" s="298" t="s">
        <v>156</v>
      </c>
      <c r="S601" s="297" t="s">
        <v>156</v>
      </c>
      <c r="T601" s="333" t="s">
        <v>156</v>
      </c>
      <c r="U601" s="307" t="s">
        <v>156</v>
      </c>
      <c r="V601" s="307"/>
      <c r="W601" s="307">
        <f t="shared" si="44"/>
        <v>0</v>
      </c>
      <c r="X601" s="307"/>
      <c r="Y601" s="307">
        <f t="shared" si="47"/>
        <v>0</v>
      </c>
      <c r="Z601" s="298"/>
    </row>
    <row r="602" s="282" customFormat="1" spans="1:26">
      <c r="A602" s="295" t="s">
        <v>1382</v>
      </c>
      <c r="B602" s="296" t="s">
        <v>1256</v>
      </c>
      <c r="C602" s="296" t="s">
        <v>42</v>
      </c>
      <c r="D602" s="295" t="s">
        <v>42</v>
      </c>
      <c r="E602" s="296" t="s">
        <v>1608</v>
      </c>
      <c r="F602" s="296" t="s">
        <v>156</v>
      </c>
      <c r="G602" s="295" t="s">
        <v>148</v>
      </c>
      <c r="H602" s="295" t="s">
        <v>514</v>
      </c>
      <c r="I602" s="295"/>
      <c r="J602" s="296" t="s">
        <v>156</v>
      </c>
      <c r="K602" s="309" t="s">
        <v>156</v>
      </c>
      <c r="L602" s="306" t="s">
        <v>156</v>
      </c>
      <c r="M602" s="295" t="s">
        <v>156</v>
      </c>
      <c r="N602" s="306">
        <v>51.03</v>
      </c>
      <c r="O602" s="306" t="s">
        <v>156</v>
      </c>
      <c r="P602" s="307">
        <v>51.03</v>
      </c>
      <c r="Q602" s="307">
        <v>51.03</v>
      </c>
      <c r="R602" s="298" t="s">
        <v>156</v>
      </c>
      <c r="S602" s="297" t="s">
        <v>156</v>
      </c>
      <c r="T602" s="333" t="s">
        <v>156</v>
      </c>
      <c r="U602" s="307" t="s">
        <v>156</v>
      </c>
      <c r="V602" s="307"/>
      <c r="W602" s="307">
        <f t="shared" si="44"/>
        <v>0</v>
      </c>
      <c r="X602" s="307"/>
      <c r="Y602" s="307">
        <f t="shared" si="47"/>
        <v>0</v>
      </c>
      <c r="Z602" s="298"/>
    </row>
    <row r="603" s="282" customFormat="1" spans="1:26">
      <c r="A603" s="295" t="s">
        <v>1230</v>
      </c>
      <c r="B603" s="296" t="s">
        <v>1256</v>
      </c>
      <c r="C603" s="296" t="s">
        <v>42</v>
      </c>
      <c r="D603" s="295" t="s">
        <v>42</v>
      </c>
      <c r="E603" s="296" t="s">
        <v>1613</v>
      </c>
      <c r="F603" s="296" t="s">
        <v>156</v>
      </c>
      <c r="G603" s="295" t="s">
        <v>148</v>
      </c>
      <c r="H603" s="295" t="s">
        <v>514</v>
      </c>
      <c r="I603" s="295"/>
      <c r="J603" s="296" t="s">
        <v>156</v>
      </c>
      <c r="K603" s="309" t="s">
        <v>156</v>
      </c>
      <c r="L603" s="306" t="s">
        <v>156</v>
      </c>
      <c r="M603" s="295" t="s">
        <v>156</v>
      </c>
      <c r="N603" s="306">
        <v>50.13</v>
      </c>
      <c r="O603" s="306" t="s">
        <v>156</v>
      </c>
      <c r="P603" s="307">
        <v>50.13</v>
      </c>
      <c r="Q603" s="307">
        <v>50.13</v>
      </c>
      <c r="R603" s="298" t="s">
        <v>156</v>
      </c>
      <c r="S603" s="297" t="s">
        <v>156</v>
      </c>
      <c r="T603" s="333" t="s">
        <v>156</v>
      </c>
      <c r="U603" s="307" t="s">
        <v>156</v>
      </c>
      <c r="V603" s="307"/>
      <c r="W603" s="307">
        <f t="shared" si="44"/>
        <v>0</v>
      </c>
      <c r="X603" s="307"/>
      <c r="Y603" s="307">
        <f t="shared" si="47"/>
        <v>0</v>
      </c>
      <c r="Z603" s="298"/>
    </row>
    <row r="604" s="278" customFormat="1" ht="11.9" spans="1:26">
      <c r="A604" s="295" t="s">
        <v>42</v>
      </c>
      <c r="B604" s="296" t="s">
        <v>1256</v>
      </c>
      <c r="C604" s="296" t="s">
        <v>42</v>
      </c>
      <c r="D604" s="295" t="s">
        <v>42</v>
      </c>
      <c r="E604" s="296" t="s">
        <v>1616</v>
      </c>
      <c r="F604" s="296" t="s">
        <v>156</v>
      </c>
      <c r="G604" s="295" t="s">
        <v>148</v>
      </c>
      <c r="H604" s="295" t="s">
        <v>514</v>
      </c>
      <c r="I604" s="295"/>
      <c r="J604" s="296" t="s">
        <v>156</v>
      </c>
      <c r="K604" s="309" t="s">
        <v>156</v>
      </c>
      <c r="L604" s="306" t="s">
        <v>156</v>
      </c>
      <c r="M604" s="295" t="s">
        <v>156</v>
      </c>
      <c r="N604" s="306">
        <v>50.13</v>
      </c>
      <c r="O604" s="306" t="s">
        <v>156</v>
      </c>
      <c r="P604" s="307">
        <v>50.13</v>
      </c>
      <c r="Q604" s="307">
        <v>50.13</v>
      </c>
      <c r="R604" s="298" t="s">
        <v>156</v>
      </c>
      <c r="S604" s="297" t="s">
        <v>156</v>
      </c>
      <c r="T604" s="333" t="s">
        <v>156</v>
      </c>
      <c r="U604" s="307" t="s">
        <v>156</v>
      </c>
      <c r="V604" s="307"/>
      <c r="W604" s="307">
        <f t="shared" si="44"/>
        <v>0</v>
      </c>
      <c r="X604" s="307"/>
      <c r="Y604" s="307">
        <f t="shared" si="47"/>
        <v>0</v>
      </c>
      <c r="Z604" s="298"/>
    </row>
    <row r="605" s="282" customFormat="1" spans="1:26">
      <c r="A605" s="295" t="s">
        <v>755</v>
      </c>
      <c r="B605" s="296" t="s">
        <v>1256</v>
      </c>
      <c r="C605" s="296" t="s">
        <v>42</v>
      </c>
      <c r="D605" s="295" t="s">
        <v>42</v>
      </c>
      <c r="E605" s="296" t="s">
        <v>1618</v>
      </c>
      <c r="F605" s="296" t="s">
        <v>156</v>
      </c>
      <c r="G605" s="295" t="s">
        <v>148</v>
      </c>
      <c r="H605" s="295" t="s">
        <v>514</v>
      </c>
      <c r="I605" s="295"/>
      <c r="J605" s="296" t="s">
        <v>156</v>
      </c>
      <c r="K605" s="309" t="s">
        <v>156</v>
      </c>
      <c r="L605" s="306" t="s">
        <v>156</v>
      </c>
      <c r="M605" s="295" t="s">
        <v>156</v>
      </c>
      <c r="N605" s="306">
        <v>57.79</v>
      </c>
      <c r="O605" s="306" t="s">
        <v>156</v>
      </c>
      <c r="P605" s="307">
        <v>57.79</v>
      </c>
      <c r="Q605" s="307">
        <v>57.79</v>
      </c>
      <c r="R605" s="298" t="s">
        <v>156</v>
      </c>
      <c r="S605" s="297" t="s">
        <v>156</v>
      </c>
      <c r="T605" s="333" t="s">
        <v>156</v>
      </c>
      <c r="U605" s="307" t="s">
        <v>156</v>
      </c>
      <c r="V605" s="307"/>
      <c r="W605" s="307">
        <f t="shared" si="44"/>
        <v>0</v>
      </c>
      <c r="X605" s="307"/>
      <c r="Y605" s="307">
        <f t="shared" si="47"/>
        <v>0</v>
      </c>
      <c r="Z605" s="298"/>
    </row>
    <row r="606" s="282" customFormat="1" ht="19" customHeight="1" spans="1:26">
      <c r="A606" s="295" t="s">
        <v>1646</v>
      </c>
      <c r="B606" s="296" t="s">
        <v>1256</v>
      </c>
      <c r="C606" s="296" t="s">
        <v>42</v>
      </c>
      <c r="D606" s="295" t="s">
        <v>45</v>
      </c>
      <c r="E606" s="296" t="s">
        <v>1602</v>
      </c>
      <c r="F606" s="296" t="s">
        <v>156</v>
      </c>
      <c r="G606" s="295" t="s">
        <v>148</v>
      </c>
      <c r="H606" s="295" t="s">
        <v>389</v>
      </c>
      <c r="I606" s="295" t="s">
        <v>294</v>
      </c>
      <c r="J606" s="296">
        <v>20230003248</v>
      </c>
      <c r="K606" s="309" t="s">
        <v>1647</v>
      </c>
      <c r="L606" s="306">
        <v>2507706</v>
      </c>
      <c r="M606" s="295" t="s">
        <v>1648</v>
      </c>
      <c r="N606" s="306">
        <v>296.23</v>
      </c>
      <c r="O606" s="306" t="s">
        <v>156</v>
      </c>
      <c r="P606" s="307">
        <v>296.23</v>
      </c>
      <c r="Q606" s="307">
        <v>296.23</v>
      </c>
      <c r="R606" s="298" t="s">
        <v>156</v>
      </c>
      <c r="S606" s="563" t="s">
        <v>392</v>
      </c>
      <c r="T606" s="333" t="s">
        <v>1649</v>
      </c>
      <c r="U606" s="346">
        <f>766882.57*3</f>
        <v>2300647.71</v>
      </c>
      <c r="V606" s="307">
        <f>ROUND(U606*0.09,2)</f>
        <v>207058.29</v>
      </c>
      <c r="W606" s="307">
        <f t="shared" si="44"/>
        <v>2507706</v>
      </c>
      <c r="X606" s="307">
        <f>U606</f>
        <v>2300647.71</v>
      </c>
      <c r="Y606" s="307">
        <f t="shared" si="47"/>
        <v>7766.42</v>
      </c>
      <c r="Z606" s="298"/>
    </row>
    <row r="607" s="282" customFormat="1" spans="1:26">
      <c r="A607" s="295" t="s">
        <v>1165</v>
      </c>
      <c r="B607" s="296" t="s">
        <v>1256</v>
      </c>
      <c r="C607" s="296" t="s">
        <v>42</v>
      </c>
      <c r="D607" s="295" t="s">
        <v>45</v>
      </c>
      <c r="E607" s="296" t="s">
        <v>1604</v>
      </c>
      <c r="F607" s="296" t="s">
        <v>156</v>
      </c>
      <c r="G607" s="295" t="s">
        <v>148</v>
      </c>
      <c r="H607" s="295" t="s">
        <v>514</v>
      </c>
      <c r="I607" s="295"/>
      <c r="J607" s="296" t="s">
        <v>156</v>
      </c>
      <c r="K607" s="309" t="s">
        <v>156</v>
      </c>
      <c r="L607" s="306" t="s">
        <v>156</v>
      </c>
      <c r="M607" s="295" t="s">
        <v>156</v>
      </c>
      <c r="N607" s="306">
        <v>237.93</v>
      </c>
      <c r="O607" s="306" t="s">
        <v>156</v>
      </c>
      <c r="P607" s="307">
        <v>237.93</v>
      </c>
      <c r="Q607" s="307">
        <v>237.93</v>
      </c>
      <c r="R607" s="298" t="s">
        <v>156</v>
      </c>
      <c r="S607" s="297" t="s">
        <v>156</v>
      </c>
      <c r="T607" s="297" t="s">
        <v>156</v>
      </c>
      <c r="U607" s="307" t="s">
        <v>156</v>
      </c>
      <c r="V607" s="307" t="s">
        <v>156</v>
      </c>
      <c r="W607" s="307">
        <v>0</v>
      </c>
      <c r="X607" s="307"/>
      <c r="Y607" s="307">
        <v>0</v>
      </c>
      <c r="Z607" s="298"/>
    </row>
  </sheetData>
  <mergeCells count="2">
    <mergeCell ref="A1:Z1"/>
    <mergeCell ref="A2:Z2"/>
  </mergeCells>
  <dataValidations count="5">
    <dataValidation allowBlank="1" showInputMessage="1" showErrorMessage="1" sqref="G3:I3"/>
    <dataValidation type="list" allowBlank="1" showInputMessage="1" showErrorMessage="1" sqref="R604 R343:R358 R371:R389">
      <formula1>"东,南,西,北,东南,西南,东北,西北"</formula1>
    </dataValidation>
    <dataValidation type="list" allowBlank="1" showInputMessage="1" showErrorMessage="1" sqref="G608:G1048576">
      <formula1>OFFSET(数据对照表!$A$2,,,COUNTA(数据对照表!A:A)-1,1)</formula1>
    </dataValidation>
    <dataValidation type="list" allowBlank="1" showInputMessage="1" showErrorMessage="1" sqref="H7:H1048576">
      <formula1>"已售,未售,自用,出租,不可售"</formula1>
    </dataValidation>
    <dataValidation type="list" allowBlank="1" showInputMessage="1" showErrorMessage="1" sqref="I7:I1048576">
      <formula1>"货币收入,实物及其他收入,视同销售收入"</formula1>
    </dataValidation>
  </dataValidations>
  <printOptions horizontalCentered="1"/>
  <pageMargins left="0.747916666666667" right="0.354166666666667" top="0.984027777777778" bottom="0.984027777777778" header="0.511805555555556" footer="0.511805555555556"/>
  <pageSetup paperSize="9" scale="63" fitToHeight="0" orientation="landscape"/>
  <headerFooter>
    <oddFooter>&amp;C第 &amp;P 页，共 &amp;N 页</oddFooter>
  </headerFooter>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filterMode="1" codeName="Sheet9">
    <pageSetUpPr fitToPage="1"/>
  </sheetPr>
  <dimension ref="A1:XFD470"/>
  <sheetViews>
    <sheetView zoomScale="115" zoomScaleNormal="115" workbookViewId="0">
      <pane xSplit="11830" topLeftCell="O1" activePane="topLeft"/>
      <selection activeCell="R475" sqref="R475"/>
      <selection pane="topRight"/>
    </sheetView>
  </sheetViews>
  <sheetFormatPr defaultColWidth="4.88405797101449" defaultRowHeight="17.5"/>
  <cols>
    <col min="1" max="1" width="4.88405797101449" style="143"/>
    <col min="2" max="2" width="9.09420289855072" style="142" customWidth="1"/>
    <col min="3" max="3" width="7.40579710144928" style="142" customWidth="1"/>
    <col min="4" max="4" width="10.7246376811594" style="142" customWidth="1"/>
    <col min="5" max="5" width="11.9492753623188" style="142" customWidth="1"/>
    <col min="6" max="6" width="15.2173913043478" style="142" customWidth="1"/>
    <col min="7" max="7" width="6.91304347826087" style="142" customWidth="1"/>
    <col min="8" max="8" width="42.1666666666667" style="142" customWidth="1"/>
    <col min="9" max="11" width="4.88405797101449" style="142"/>
    <col min="12" max="12" width="9.09420289855072" style="142" customWidth="1"/>
    <col min="13" max="13" width="10.8623188405797" style="142" customWidth="1"/>
    <col min="14" max="15" width="15.0797101449275" style="144" customWidth="1"/>
    <col min="16" max="16" width="15.0797101449275" style="145" customWidth="1"/>
    <col min="17" max="17" width="13.4057971014493" style="144" customWidth="1"/>
    <col min="18" max="18" width="15.0797101449275" style="144" customWidth="1"/>
    <col min="19" max="19" width="8.61594202898551" style="146" customWidth="1"/>
    <col min="20" max="20" width="15.0797101449275" style="144" customWidth="1"/>
    <col min="21" max="21" width="10.5" style="142" customWidth="1"/>
    <col min="22" max="22" width="14.2971014492754" style="142" customWidth="1"/>
    <col min="23" max="25" width="13.4057971014493" style="147" customWidth="1"/>
    <col min="26" max="26" width="7.88405797101449" style="142" customWidth="1"/>
    <col min="27" max="28" width="4.88405797101449" style="142" customWidth="1"/>
    <col min="29" max="16365" width="4.88405797101449" style="142"/>
  </cols>
  <sheetData>
    <row r="1" ht="23.8" spans="1:28">
      <c r="A1" s="148" t="s">
        <v>1650</v>
      </c>
      <c r="B1" s="148"/>
      <c r="C1" s="148"/>
      <c r="D1" s="148"/>
      <c r="E1" s="148"/>
      <c r="F1" s="148"/>
      <c r="G1" s="148"/>
      <c r="H1" s="148"/>
      <c r="I1" s="148"/>
      <c r="J1" s="148"/>
      <c r="K1" s="148"/>
      <c r="L1" s="148"/>
      <c r="M1" s="148"/>
      <c r="N1" s="148"/>
      <c r="O1" s="148"/>
      <c r="P1" s="167"/>
      <c r="Q1" s="148"/>
      <c r="R1" s="148"/>
      <c r="S1" s="148"/>
      <c r="T1" s="148"/>
      <c r="U1" s="148"/>
      <c r="V1" s="148"/>
      <c r="W1" s="148"/>
      <c r="X1" s="148"/>
      <c r="Y1" s="148"/>
      <c r="Z1" s="148"/>
      <c r="AA1" s="148"/>
      <c r="AB1" s="148"/>
    </row>
    <row r="2" s="137" customFormat="1" ht="15" spans="1:28">
      <c r="A2" s="149" t="str">
        <f>土地增值税税源明细表!F5&amp;"："&amp;土地增值税税源明细表!H5&amp;"          "&amp;土地增值税税源明细表!A5&amp;"："&amp;土地增值税税源明细表!B5&amp;"          "&amp;"金额单位:人民币元(列至角分)"</f>
        <v>项目编码：Z65280120200027          项目名称：沁春锦苑二期          金额单位:人民币元(列至角分)</v>
      </c>
      <c r="B2" s="149"/>
      <c r="C2" s="149"/>
      <c r="D2" s="149"/>
      <c r="E2" s="149"/>
      <c r="F2" s="149"/>
      <c r="G2" s="149"/>
      <c r="H2" s="149"/>
      <c r="I2" s="149"/>
      <c r="J2" s="149"/>
      <c r="K2" s="149"/>
      <c r="L2" s="149"/>
      <c r="M2" s="149"/>
      <c r="N2" s="149"/>
      <c r="O2" s="149"/>
      <c r="P2" s="168"/>
      <c r="Q2" s="149"/>
      <c r="R2" s="149"/>
      <c r="S2" s="149"/>
      <c r="T2" s="149"/>
      <c r="U2" s="149"/>
      <c r="V2" s="149"/>
      <c r="W2" s="149"/>
      <c r="X2" s="149"/>
      <c r="Y2" s="149"/>
      <c r="Z2" s="149"/>
      <c r="AA2" s="149"/>
      <c r="AB2" s="149"/>
    </row>
    <row r="3" s="138" customFormat="1" ht="47.6" spans="1:28">
      <c r="A3" s="150" t="s">
        <v>37</v>
      </c>
      <c r="B3" s="151" t="s">
        <v>1651</v>
      </c>
      <c r="C3" s="151" t="s">
        <v>1652</v>
      </c>
      <c r="D3" s="152" t="s">
        <v>1653</v>
      </c>
      <c r="E3" s="153" t="s">
        <v>1654</v>
      </c>
      <c r="F3" s="151" t="s">
        <v>1655</v>
      </c>
      <c r="G3" s="151" t="s">
        <v>1656</v>
      </c>
      <c r="H3" s="151" t="s">
        <v>1657</v>
      </c>
      <c r="I3" s="151" t="s">
        <v>1658</v>
      </c>
      <c r="J3" s="151" t="s">
        <v>1659</v>
      </c>
      <c r="K3" s="154" t="s">
        <v>1660</v>
      </c>
      <c r="L3" s="151" t="s">
        <v>1661</v>
      </c>
      <c r="M3" s="151" t="s">
        <v>1662</v>
      </c>
      <c r="N3" s="169" t="s">
        <v>1663</v>
      </c>
      <c r="O3" s="169" t="s">
        <v>1664</v>
      </c>
      <c r="P3" s="170" t="s">
        <v>1665</v>
      </c>
      <c r="Q3" s="169" t="s">
        <v>1666</v>
      </c>
      <c r="R3" s="169" t="s">
        <v>1667</v>
      </c>
      <c r="S3" s="175" t="s">
        <v>1668</v>
      </c>
      <c r="T3" s="169" t="s">
        <v>1669</v>
      </c>
      <c r="U3" s="151" t="s">
        <v>375</v>
      </c>
      <c r="V3" s="151" t="s">
        <v>1670</v>
      </c>
      <c r="W3" s="151" t="s">
        <v>1671</v>
      </c>
      <c r="X3" s="151" t="s">
        <v>1672</v>
      </c>
      <c r="Y3" s="151" t="s">
        <v>1673</v>
      </c>
      <c r="Z3" s="151" t="s">
        <v>1674</v>
      </c>
      <c r="AA3" s="151" t="s">
        <v>1675</v>
      </c>
      <c r="AB3" s="151" t="s">
        <v>1676</v>
      </c>
    </row>
    <row r="4" s="138" customFormat="1" ht="15.65" spans="1:28">
      <c r="A4" s="154" t="s">
        <v>376</v>
      </c>
      <c r="B4" s="155" t="s">
        <v>377</v>
      </c>
      <c r="C4" s="155" t="s">
        <v>377</v>
      </c>
      <c r="D4" s="156" t="s">
        <v>377</v>
      </c>
      <c r="E4" s="156" t="s">
        <v>377</v>
      </c>
      <c r="F4" s="155" t="s">
        <v>377</v>
      </c>
      <c r="G4" s="155" t="s">
        <v>377</v>
      </c>
      <c r="H4" s="155" t="s">
        <v>377</v>
      </c>
      <c r="I4" s="155" t="s">
        <v>377</v>
      </c>
      <c r="J4" s="155" t="s">
        <v>377</v>
      </c>
      <c r="K4" s="155" t="s">
        <v>377</v>
      </c>
      <c r="L4" s="155" t="s">
        <v>377</v>
      </c>
      <c r="M4" s="155" t="s">
        <v>377</v>
      </c>
      <c r="N4" s="171">
        <f>SUM(N$7:N$1047992)</f>
        <v>206094792.111278</v>
      </c>
      <c r="O4" s="171">
        <f>SUM(O$7:O$1047992)</f>
        <v>219726639.11412</v>
      </c>
      <c r="P4" s="172">
        <f>SUM(P$7:P$1047992)</f>
        <v>206302438.641278</v>
      </c>
      <c r="Q4" s="171">
        <f>SUM(Q$7:Q$1047992)</f>
        <v>-7394242.56984494</v>
      </c>
      <c r="R4" s="171">
        <f>SUM(R$7:R$1047992)</f>
        <v>198908196.071433</v>
      </c>
      <c r="S4" s="176">
        <f>IF(R5=0,"",ROUND(T5/R5,6))</f>
        <v>0.32952</v>
      </c>
      <c r="T4" s="171">
        <f>SUM(T$7:T$1047992)</f>
        <v>159766387.47</v>
      </c>
      <c r="U4" s="155" t="s">
        <v>377</v>
      </c>
      <c r="V4" s="155" t="s">
        <v>377</v>
      </c>
      <c r="W4" s="171">
        <f>SUM(W$7:W$1047992)</f>
        <v>57699495.83</v>
      </c>
      <c r="X4" s="171">
        <f>SUM(X$7:X$1047992)</f>
        <v>71156569.1</v>
      </c>
      <c r="Y4" s="171">
        <f>SUM(Y$7:Y$1047992)</f>
        <v>30910322.54</v>
      </c>
      <c r="Z4" s="155" t="s">
        <v>377</v>
      </c>
      <c r="AA4" s="155" t="s">
        <v>377</v>
      </c>
      <c r="AB4" s="155" t="s">
        <v>377</v>
      </c>
    </row>
    <row r="5" s="139" customFormat="1" ht="22" customHeight="1" spans="1:28">
      <c r="A5" s="154" t="s">
        <v>378</v>
      </c>
      <c r="B5" s="155" t="s">
        <v>377</v>
      </c>
      <c r="C5" s="155" t="s">
        <v>377</v>
      </c>
      <c r="D5" s="156" t="s">
        <v>377</v>
      </c>
      <c r="E5" s="156" t="s">
        <v>377</v>
      </c>
      <c r="F5" s="155" t="s">
        <v>377</v>
      </c>
      <c r="G5" s="155" t="s">
        <v>377</v>
      </c>
      <c r="H5" s="155" t="s">
        <v>377</v>
      </c>
      <c r="I5" s="155" t="s">
        <v>377</v>
      </c>
      <c r="J5" s="155" t="s">
        <v>377</v>
      </c>
      <c r="K5" s="155" t="s">
        <v>377</v>
      </c>
      <c r="L5" s="155" t="s">
        <v>377</v>
      </c>
      <c r="M5" s="155" t="s">
        <v>377</v>
      </c>
      <c r="N5" s="171">
        <f>SUBTOTAL(9,N$7:N$1047992)</f>
        <v>154455.45</v>
      </c>
      <c r="O5" s="171">
        <f>SUBTOTAL(9,O$7:O$1047992)</f>
        <v>157732.6782</v>
      </c>
      <c r="P5" s="172">
        <f>SUBTOTAL(9,P$7:P$1047992)</f>
        <v>154455.45</v>
      </c>
      <c r="Q5" s="171">
        <f>SUBTOTAL(9,Q$7:Q$1047992)</f>
        <v>13861.3816831683</v>
      </c>
      <c r="R5" s="171">
        <f>SUBTOTAL(9,R$7:R$1047992)</f>
        <v>168316.831683168</v>
      </c>
      <c r="S5" s="176" t="str">
        <f>IF(SUM(R6)=0,"",ROUND(SUM(T6)/SUM(R6),6))</f>
        <v/>
      </c>
      <c r="T5" s="171">
        <f>SUBTOTAL(9,T$7:T$1047992)</f>
        <v>55463.74</v>
      </c>
      <c r="U5" s="155" t="s">
        <v>377</v>
      </c>
      <c r="V5" s="155" t="s">
        <v>377</v>
      </c>
      <c r="W5" s="171">
        <f>SUBTOTAL(9,W$7:W$1047992)</f>
        <v>20256.99</v>
      </c>
      <c r="X5" s="171">
        <f>SUBTOTAL(9,X$7:X$1047992)</f>
        <v>24982.42</v>
      </c>
      <c r="Y5" s="171">
        <f>SUBTOTAL(9,Y$7:Y$1047992)</f>
        <v>10224.33</v>
      </c>
      <c r="Z5" s="155" t="s">
        <v>377</v>
      </c>
      <c r="AA5" s="155" t="s">
        <v>377</v>
      </c>
      <c r="AB5" s="155" t="s">
        <v>377</v>
      </c>
    </row>
    <row r="6" ht="15" customHeight="1" spans="1:16364">
      <c r="A6" s="157" t="s">
        <v>379</v>
      </c>
      <c r="B6" s="566" t="s">
        <v>42</v>
      </c>
      <c r="C6" s="566" t="s">
        <v>45</v>
      </c>
      <c r="D6" s="567" t="s">
        <v>48</v>
      </c>
      <c r="E6" s="567" t="s">
        <v>92</v>
      </c>
      <c r="F6" s="566" t="s">
        <v>95</v>
      </c>
      <c r="G6" s="566" t="s">
        <v>99</v>
      </c>
      <c r="H6" s="566" t="s">
        <v>102</v>
      </c>
      <c r="I6" s="566" t="s">
        <v>105</v>
      </c>
      <c r="J6" s="566" t="s">
        <v>110</v>
      </c>
      <c r="K6" s="566" t="s">
        <v>113</v>
      </c>
      <c r="L6" s="566" t="s">
        <v>117</v>
      </c>
      <c r="M6" s="566" t="s">
        <v>120</v>
      </c>
      <c r="N6" s="568" t="s">
        <v>123</v>
      </c>
      <c r="O6" s="568" t="s">
        <v>290</v>
      </c>
      <c r="P6" s="170">
        <v>15</v>
      </c>
      <c r="Q6" s="568" t="s">
        <v>316</v>
      </c>
      <c r="R6" s="568" t="s">
        <v>1677</v>
      </c>
      <c r="S6" s="569" t="s">
        <v>318</v>
      </c>
      <c r="T6" s="568" t="s">
        <v>1678</v>
      </c>
      <c r="U6" s="566" t="s">
        <v>322</v>
      </c>
      <c r="V6" s="566" t="s">
        <v>382</v>
      </c>
      <c r="W6" s="568" t="s">
        <v>324</v>
      </c>
      <c r="X6" s="568" t="s">
        <v>1679</v>
      </c>
      <c r="Y6" s="568" t="s">
        <v>1195</v>
      </c>
      <c r="Z6" s="566" t="s">
        <v>386</v>
      </c>
      <c r="AA6" s="566" t="s">
        <v>1201</v>
      </c>
      <c r="AB6" s="566" t="s">
        <v>1205</v>
      </c>
      <c r="XEJ6" s="142">
        <f>SUM(A6:XEI6)</f>
        <v>15</v>
      </c>
    </row>
    <row r="7" ht="29" hidden="1" customHeight="1" outlineLevel="1" spans="1:28">
      <c r="A7" s="159">
        <v>1</v>
      </c>
      <c r="B7" s="160">
        <v>43131</v>
      </c>
      <c r="C7" s="161" t="s">
        <v>1680</v>
      </c>
      <c r="D7" s="162" t="s">
        <v>1681</v>
      </c>
      <c r="E7" s="163" t="s">
        <v>1682</v>
      </c>
      <c r="F7" s="164" t="s">
        <v>1683</v>
      </c>
      <c r="G7" s="165" t="s">
        <v>1684</v>
      </c>
      <c r="H7" s="164" t="str">
        <f>IF(G7="","",VLOOKUP(G7,'附表8-合同明细采集底稿'!B:I,2,0))</f>
        <v>巴州建新公路维护有限公司</v>
      </c>
      <c r="I7" s="92" t="str">
        <f>IF(G7="","",VLOOKUP(G7,'附表8-合同明细采集底稿'!B:I,3,0))</f>
        <v>产权转移书据</v>
      </c>
      <c r="J7" s="164" t="str">
        <f>IF(G7="","",VLOOKUP(G7,'附表8-合同明细采集底稿'!B:I,4,0))</f>
        <v>巴州建新公路维护有限公司</v>
      </c>
      <c r="K7" s="164" t="s">
        <v>1685</v>
      </c>
      <c r="L7" s="165"/>
      <c r="M7" s="165"/>
      <c r="N7" s="173">
        <v>500000</v>
      </c>
      <c r="O7" s="173">
        <v>500000</v>
      </c>
      <c r="P7" s="174">
        <v>500000</v>
      </c>
      <c r="Q7" s="173"/>
      <c r="R7" s="173">
        <f>P7+Q7</f>
        <v>500000</v>
      </c>
      <c r="S7" s="177">
        <f>IFERROR(VLOOKUP(G7,'附表8-合同明细采集底稿'!B:M,12,0),100%)</f>
        <v>0.329519901724361</v>
      </c>
      <c r="T7" s="173">
        <f>ROUND(SUM(R7)*SUM(S7),2)</f>
        <v>164759.95</v>
      </c>
      <c r="U7" s="164"/>
      <c r="V7" s="178" t="s">
        <v>336</v>
      </c>
      <c r="W7" s="179">
        <f>IF('附表1-面积统计表'!$D$29=0,"",IF(AND(V7="共同成本费用",Z7="总建筑面积法"),ROUND(T7/'附表1-面积统计表'!$D$29*'附表1-面积统计表'!$D$5,2),IF(AND(V7="共同成本费用",Z7="可售建筑面积法"),ROUND(T7/'附表1-面积统计表'!$F$29*'附表1-面积统计表'!$F$5,2),"请手工填写")))</f>
        <v>60175.18</v>
      </c>
      <c r="X7" s="179">
        <f>IF(SUM('附表1-面积统计表'!$D$6)=0,"",SUM(T7)-SUM(W7)-SUM(Y7))</f>
        <v>74212.48</v>
      </c>
      <c r="Y7" s="179">
        <f>IF(SUM('附表1-面积统计表'!$D$6)=0,SUM(T7)-SUM(W7),IF('附表1-面积统计表'!$D$29=0,"",IF(AND(V7="共同成本费用",Z7="总建筑面积法"),ROUND(T7/'附表1-面积统计表'!$D$29*'附表1-面积统计表'!$D$7,2),IF(AND(V7="共同成本费用",Z7="可售建筑面积法"),ROUND(T7/'附表1-面积统计表'!$F$29*'附表1-面积统计表'!$F$7,2),"请手工填写"))))</f>
        <v>30372.29</v>
      </c>
      <c r="Z7" s="181" t="s">
        <v>311</v>
      </c>
      <c r="AA7" s="164"/>
      <c r="AB7" s="182" t="s">
        <v>1686</v>
      </c>
    </row>
    <row r="8" ht="29" hidden="1" customHeight="1" outlineLevel="1" spans="1:28">
      <c r="A8" s="159">
        <v>2</v>
      </c>
      <c r="B8" s="160">
        <v>43131</v>
      </c>
      <c r="C8" s="161" t="s">
        <v>1680</v>
      </c>
      <c r="D8" s="162" t="s">
        <v>1681</v>
      </c>
      <c r="E8" s="163" t="s">
        <v>1682</v>
      </c>
      <c r="F8" s="164" t="s">
        <v>1687</v>
      </c>
      <c r="G8" s="165"/>
      <c r="H8" s="164" t="str">
        <f>IF(G8="","",VLOOKUP(G8,'附表8-合同明细采集底稿'!B:I,2,0))</f>
        <v/>
      </c>
      <c r="I8" s="92" t="str">
        <f>IF(G8="","",VLOOKUP(G8,'附表8-合同明细采集底稿'!B:I,3,0))</f>
        <v/>
      </c>
      <c r="J8" s="164" t="s">
        <v>1688</v>
      </c>
      <c r="K8" s="164" t="s">
        <v>1685</v>
      </c>
      <c r="L8" s="165"/>
      <c r="M8" s="165"/>
      <c r="N8" s="173">
        <v>200000</v>
      </c>
      <c r="O8" s="173">
        <v>200000</v>
      </c>
      <c r="P8" s="174">
        <v>200000</v>
      </c>
      <c r="Q8" s="173">
        <v>-200000</v>
      </c>
      <c r="R8" s="173">
        <f t="shared" ref="R8:R25" si="0">P8+Q8</f>
        <v>0</v>
      </c>
      <c r="S8" s="177">
        <f>IFERROR(VLOOKUP(G8,'附表8-合同明细采集底稿'!B:M,12,0),100%)</f>
        <v>1</v>
      </c>
      <c r="T8" s="173">
        <f t="shared" ref="T8:T28" si="1">ROUND(SUM(R8)*SUM(S8),2)</f>
        <v>0</v>
      </c>
      <c r="U8" s="164"/>
      <c r="V8" s="178" t="s">
        <v>336</v>
      </c>
      <c r="W8" s="179">
        <f>IF('附表1-面积统计表'!$D$29=0,"",IF(AND(V8="共同成本费用",Z8="总建筑面积法"),ROUND(T8/'附表1-面积统计表'!$D$29*'附表1-面积统计表'!$D$5,2),IF(AND(V8="共同成本费用",Z8="可售建筑面积法"),ROUND(T8/'附表1-面积统计表'!$F$29*'附表1-面积统计表'!$F$5,2),"请手工填写")))</f>
        <v>0</v>
      </c>
      <c r="X8" s="179">
        <f>IF(SUM('附表1-面积统计表'!$D$6)=0,"",SUM(T8)-SUM(W8)-SUM(Y8))</f>
        <v>0</v>
      </c>
      <c r="Y8" s="179">
        <f>IF(SUM('附表1-面积统计表'!$D$6)=0,SUM(T8)-SUM(W8),IF('附表1-面积统计表'!$D$29=0,"",IF(AND(V8="共同成本费用",Z8="总建筑面积法"),ROUND(T8/'附表1-面积统计表'!$D$29*'附表1-面积统计表'!$D$7,2),IF(AND(V8="共同成本费用",Z8="可售建筑面积法"),ROUND(T8/'附表1-面积统计表'!$F$29*'附表1-面积统计表'!$F$7,2),"请手工填写"))))</f>
        <v>0</v>
      </c>
      <c r="Z8" s="181" t="s">
        <v>311</v>
      </c>
      <c r="AA8" s="164"/>
      <c r="AB8" s="182" t="s">
        <v>1686</v>
      </c>
    </row>
    <row r="9" ht="29" hidden="1" customHeight="1" outlineLevel="1" spans="1:28">
      <c r="A9" s="159">
        <v>3</v>
      </c>
      <c r="B9" s="160">
        <v>43131</v>
      </c>
      <c r="C9" s="161" t="s">
        <v>1680</v>
      </c>
      <c r="D9" s="162" t="s">
        <v>1681</v>
      </c>
      <c r="E9" s="163" t="s">
        <v>1682</v>
      </c>
      <c r="F9" s="164" t="s">
        <v>1689</v>
      </c>
      <c r="G9" s="165" t="s">
        <v>1684</v>
      </c>
      <c r="H9" s="164" t="str">
        <f>IF(G9="","",VLOOKUP(G9,'附表8-合同明细采集底稿'!B:I,2,0))</f>
        <v>巴州建新公路维护有限公司</v>
      </c>
      <c r="I9" s="92" t="str">
        <f>IF(G9="","",VLOOKUP(G9,'附表8-合同明细采集底稿'!B:I,3,0))</f>
        <v>产权转移书据</v>
      </c>
      <c r="J9" s="164" t="str">
        <f>IF(G9="","",VLOOKUP(G9,'附表8-合同明细采集底稿'!B:I,4,0))</f>
        <v>巴州建新公路维护有限公司</v>
      </c>
      <c r="K9" s="164" t="s">
        <v>1685</v>
      </c>
      <c r="L9" s="165"/>
      <c r="M9" s="165"/>
      <c r="N9" s="173">
        <v>500000</v>
      </c>
      <c r="O9" s="173">
        <v>500000</v>
      </c>
      <c r="P9" s="174">
        <v>500000</v>
      </c>
      <c r="Q9" s="173"/>
      <c r="R9" s="173">
        <f t="shared" si="0"/>
        <v>500000</v>
      </c>
      <c r="S9" s="177">
        <f>IFERROR(VLOOKUP(G9,'附表8-合同明细采集底稿'!B:M,12,0),100%)</f>
        <v>0.329519901724361</v>
      </c>
      <c r="T9" s="173">
        <f t="shared" si="1"/>
        <v>164759.95</v>
      </c>
      <c r="U9" s="164"/>
      <c r="V9" s="178" t="s">
        <v>336</v>
      </c>
      <c r="W9" s="179">
        <f>IF('附表1-面积统计表'!$D$29=0,"",IF(AND(V9="共同成本费用",Z9="总建筑面积法"),ROUND(T9/'附表1-面积统计表'!$D$29*'附表1-面积统计表'!$D$5,2),IF(AND(V9="共同成本费用",Z9="可售建筑面积法"),ROUND(T9/'附表1-面积统计表'!$F$29*'附表1-面积统计表'!$F$5,2),"请手工填写")))</f>
        <v>60175.18</v>
      </c>
      <c r="X9" s="179">
        <f>IF(SUM('附表1-面积统计表'!$D$6)=0,"",SUM(T9)-SUM(W9)-SUM(Y9))</f>
        <v>74212.48</v>
      </c>
      <c r="Y9" s="179">
        <f>IF(SUM('附表1-面积统计表'!$D$6)=0,SUM(T9)-SUM(W9),IF('附表1-面积统计表'!$D$29=0,"",IF(AND(V9="共同成本费用",Z9="总建筑面积法"),ROUND(T9/'附表1-面积统计表'!$D$29*'附表1-面积统计表'!$D$7,2),IF(AND(V9="共同成本费用",Z9="可售建筑面积法"),ROUND(T9/'附表1-面积统计表'!$F$29*'附表1-面积统计表'!$F$7,2),"请手工填写"))))</f>
        <v>30372.29</v>
      </c>
      <c r="Z9" s="181" t="s">
        <v>311</v>
      </c>
      <c r="AA9" s="164"/>
      <c r="AB9" s="182" t="s">
        <v>1686</v>
      </c>
    </row>
    <row r="10" ht="29" hidden="1" customHeight="1" outlineLevel="1" spans="1:28">
      <c r="A10" s="159">
        <v>4</v>
      </c>
      <c r="B10" s="160">
        <v>43131</v>
      </c>
      <c r="C10" s="161" t="s">
        <v>1680</v>
      </c>
      <c r="D10" s="162" t="s">
        <v>1681</v>
      </c>
      <c r="E10" s="163" t="s">
        <v>1682</v>
      </c>
      <c r="F10" s="164" t="s">
        <v>1690</v>
      </c>
      <c r="G10" s="165"/>
      <c r="H10" s="164" t="str">
        <f>IF(G10="","",VLOOKUP(G10,'附表8-合同明细采集底稿'!B:I,2,0))</f>
        <v/>
      </c>
      <c r="I10" s="92" t="str">
        <f>IF(G10="","",VLOOKUP(G10,'附表8-合同明细采集底稿'!B:I,3,0))</f>
        <v/>
      </c>
      <c r="J10" s="164" t="s">
        <v>1691</v>
      </c>
      <c r="K10" s="164" t="s">
        <v>1685</v>
      </c>
      <c r="L10" s="165"/>
      <c r="M10" s="165"/>
      <c r="N10" s="173">
        <v>100833</v>
      </c>
      <c r="O10" s="173">
        <v>100833</v>
      </c>
      <c r="P10" s="174">
        <v>100833</v>
      </c>
      <c r="Q10" s="173">
        <v>-100833</v>
      </c>
      <c r="R10" s="173">
        <f t="shared" si="0"/>
        <v>0</v>
      </c>
      <c r="S10" s="177">
        <f>IFERROR(VLOOKUP(G10,'附表8-合同明细采集底稿'!B:M,12,0),100%)</f>
        <v>1</v>
      </c>
      <c r="T10" s="173">
        <f t="shared" si="1"/>
        <v>0</v>
      </c>
      <c r="U10" s="164"/>
      <c r="V10" s="178" t="s">
        <v>336</v>
      </c>
      <c r="W10" s="179">
        <f>IF('附表1-面积统计表'!$D$29=0,"",IF(AND(V10="共同成本费用",Z10="总建筑面积法"),ROUND(T10/'附表1-面积统计表'!$D$29*'附表1-面积统计表'!$D$5,2),IF(AND(V10="共同成本费用",Z10="可售建筑面积法"),ROUND(T10/'附表1-面积统计表'!$F$29*'附表1-面积统计表'!$F$5,2),"请手工填写")))</f>
        <v>0</v>
      </c>
      <c r="X10" s="179">
        <f>IF(SUM('附表1-面积统计表'!$D$6)=0,"",SUM(T10)-SUM(W10)-SUM(Y10))</f>
        <v>0</v>
      </c>
      <c r="Y10" s="179">
        <f>IF(SUM('附表1-面积统计表'!$D$6)=0,SUM(T10)-SUM(W10),IF('附表1-面积统计表'!$D$29=0,"",IF(AND(V10="共同成本费用",Z10="总建筑面积法"),ROUND(T10/'附表1-面积统计表'!$D$29*'附表1-面积统计表'!$D$7,2),IF(AND(V10="共同成本费用",Z10="可售建筑面积法"),ROUND(T10/'附表1-面积统计表'!$F$29*'附表1-面积统计表'!$F$7,2),"请手工填写"))))</f>
        <v>0</v>
      </c>
      <c r="Z10" s="181" t="s">
        <v>311</v>
      </c>
      <c r="AA10" s="164"/>
      <c r="AB10" s="182" t="s">
        <v>1686</v>
      </c>
    </row>
    <row r="11" ht="29" hidden="1" customHeight="1" outlineLevel="1" spans="1:28">
      <c r="A11" s="159">
        <v>5</v>
      </c>
      <c r="B11" s="160">
        <v>43131</v>
      </c>
      <c r="C11" s="161" t="s">
        <v>1680</v>
      </c>
      <c r="D11" s="162" t="s">
        <v>1681</v>
      </c>
      <c r="E11" s="163" t="s">
        <v>1682</v>
      </c>
      <c r="F11" s="164" t="s">
        <v>1692</v>
      </c>
      <c r="G11" s="165"/>
      <c r="H11" s="164" t="str">
        <f>IF(G11="","",VLOOKUP(G11,'附表8-合同明细采集底稿'!B:I,2,0))</f>
        <v/>
      </c>
      <c r="I11" s="92" t="str">
        <f>IF(G11="","",VLOOKUP(G11,'附表8-合同明细采集底稿'!B:I,3,0))</f>
        <v/>
      </c>
      <c r="J11" s="164" t="s">
        <v>1688</v>
      </c>
      <c r="K11" s="164" t="s">
        <v>1685</v>
      </c>
      <c r="L11" s="165"/>
      <c r="M11" s="165"/>
      <c r="N11" s="173">
        <v>63894</v>
      </c>
      <c r="O11" s="173">
        <v>63894</v>
      </c>
      <c r="P11" s="174">
        <v>63894</v>
      </c>
      <c r="Q11" s="173">
        <v>-63894</v>
      </c>
      <c r="R11" s="173">
        <f t="shared" si="0"/>
        <v>0</v>
      </c>
      <c r="S11" s="177">
        <f>IFERROR(VLOOKUP(G11,'附表8-合同明细采集底稿'!B:M,12,0),100%)</f>
        <v>1</v>
      </c>
      <c r="T11" s="173">
        <f t="shared" si="1"/>
        <v>0</v>
      </c>
      <c r="U11" s="164"/>
      <c r="V11" s="178" t="s">
        <v>336</v>
      </c>
      <c r="W11" s="179">
        <f>IF('附表1-面积统计表'!$D$29=0,"",IF(AND(V11="共同成本费用",Z11="总建筑面积法"),ROUND(T11/'附表1-面积统计表'!$D$29*'附表1-面积统计表'!$D$5,2),IF(AND(V11="共同成本费用",Z11="可售建筑面积法"),ROUND(T11/'附表1-面积统计表'!$F$29*'附表1-面积统计表'!$F$5,2),"请手工填写")))</f>
        <v>0</v>
      </c>
      <c r="X11" s="179">
        <f>IF(SUM('附表1-面积统计表'!$D$6)=0,"",SUM(T11)-SUM(W11)-SUM(Y11))</f>
        <v>0</v>
      </c>
      <c r="Y11" s="179">
        <f>IF(SUM('附表1-面积统计表'!$D$6)=0,SUM(T11)-SUM(W11),IF('附表1-面积统计表'!$D$29=0,"",IF(AND(V11="共同成本费用",Z11="总建筑面积法"),ROUND(T11/'附表1-面积统计表'!$D$29*'附表1-面积统计表'!$D$7,2),IF(AND(V11="共同成本费用",Z11="可售建筑面积法"),ROUND(T11/'附表1-面积统计表'!$F$29*'附表1-面积统计表'!$F$7,2),"请手工填写"))))</f>
        <v>0</v>
      </c>
      <c r="Z11" s="181" t="s">
        <v>311</v>
      </c>
      <c r="AA11" s="164"/>
      <c r="AB11" s="182" t="s">
        <v>1686</v>
      </c>
    </row>
    <row r="12" ht="29" hidden="1" customHeight="1" outlineLevel="1" spans="1:28">
      <c r="A12" s="159">
        <v>6</v>
      </c>
      <c r="B12" s="160">
        <v>43131</v>
      </c>
      <c r="C12" s="161" t="s">
        <v>1680</v>
      </c>
      <c r="D12" s="162" t="s">
        <v>1681</v>
      </c>
      <c r="E12" s="163" t="s">
        <v>1682</v>
      </c>
      <c r="F12" s="164" t="s">
        <v>1693</v>
      </c>
      <c r="G12" s="165" t="s">
        <v>1684</v>
      </c>
      <c r="H12" s="164" t="str">
        <f>IF(G12="","",VLOOKUP(G12,'附表8-合同明细采集底稿'!B:I,2,0))</f>
        <v>巴州建新公路维护有限公司</v>
      </c>
      <c r="I12" s="92" t="str">
        <f>IF(G12="","",VLOOKUP(G12,'附表8-合同明细采集底稿'!B:I,3,0))</f>
        <v>产权转移书据</v>
      </c>
      <c r="J12" s="164" t="str">
        <f>IF(G12="","",VLOOKUP(G12,'附表8-合同明细采集底稿'!B:I,4,0))</f>
        <v>巴州建新公路维护有限公司</v>
      </c>
      <c r="K12" s="164" t="s">
        <v>1685</v>
      </c>
      <c r="L12" s="165"/>
      <c r="M12" s="165"/>
      <c r="N12" s="173">
        <v>1730000</v>
      </c>
      <c r="O12" s="173">
        <v>1730000</v>
      </c>
      <c r="P12" s="174">
        <v>1730000</v>
      </c>
      <c r="Q12" s="173"/>
      <c r="R12" s="173">
        <f t="shared" si="0"/>
        <v>1730000</v>
      </c>
      <c r="S12" s="177">
        <f>IFERROR(VLOOKUP(G12,'附表8-合同明细采集底稿'!B:M,12,0),100%)</f>
        <v>0.329519901724361</v>
      </c>
      <c r="T12" s="173">
        <f t="shared" si="1"/>
        <v>570069.43</v>
      </c>
      <c r="U12" s="164"/>
      <c r="V12" s="178" t="s">
        <v>336</v>
      </c>
      <c r="W12" s="179">
        <f>IF('附表1-面积统计表'!$D$29=0,"",IF(AND(V12="共同成本费用",Z12="总建筑面积法"),ROUND(T12/'附表1-面积统计表'!$D$29*'附表1-面积统计表'!$D$5,2),IF(AND(V12="共同成本费用",Z12="可售建筑面积法"),ROUND(T12/'附表1-面积统计表'!$F$29*'附表1-面积统计表'!$F$5,2),"请手工填写")))</f>
        <v>208206.12</v>
      </c>
      <c r="X12" s="179">
        <f>IF(SUM('附表1-面积统计表'!$D$6)=0,"",SUM(T12)-SUM(W12)-SUM(Y12))</f>
        <v>256775.18</v>
      </c>
      <c r="Y12" s="179">
        <f>IF(SUM('附表1-面积统计表'!$D$6)=0,SUM(T12)-SUM(W12),IF('附表1-面积统计表'!$D$29=0,"",IF(AND(V12="共同成本费用",Z12="总建筑面积法"),ROUND(T12/'附表1-面积统计表'!$D$29*'附表1-面积统计表'!$D$7,2),IF(AND(V12="共同成本费用",Z12="可售建筑面积法"),ROUND(T12/'附表1-面积统计表'!$F$29*'附表1-面积统计表'!$F$7,2),"请手工填写"))))</f>
        <v>105088.13</v>
      </c>
      <c r="Z12" s="181" t="s">
        <v>311</v>
      </c>
      <c r="AA12" s="164"/>
      <c r="AB12" s="182" t="s">
        <v>1686</v>
      </c>
    </row>
    <row r="13" ht="29" hidden="1" customHeight="1" outlineLevel="1" spans="1:28">
      <c r="A13" s="159">
        <v>7</v>
      </c>
      <c r="B13" s="160">
        <v>43131</v>
      </c>
      <c r="C13" s="161" t="s">
        <v>1680</v>
      </c>
      <c r="D13" s="162" t="s">
        <v>1681</v>
      </c>
      <c r="E13" s="163" t="s">
        <v>1682</v>
      </c>
      <c r="F13" s="164" t="s">
        <v>1694</v>
      </c>
      <c r="G13" s="165" t="s">
        <v>1684</v>
      </c>
      <c r="H13" s="164" t="str">
        <f>IF(G13="","",VLOOKUP(G13,'附表8-合同明细采集底稿'!B:I,2,0))</f>
        <v>巴州建新公路维护有限公司</v>
      </c>
      <c r="I13" s="92" t="str">
        <f>IF(G13="","",VLOOKUP(G13,'附表8-合同明细采集底稿'!B:I,3,0))</f>
        <v>产权转移书据</v>
      </c>
      <c r="J13" s="164" t="str">
        <f>IF(G13="","",VLOOKUP(G13,'附表8-合同明细采集底稿'!B:I,4,0))</f>
        <v>巴州建新公路维护有限公司</v>
      </c>
      <c r="K13" s="164" t="s">
        <v>1685</v>
      </c>
      <c r="L13" s="165"/>
      <c r="M13" s="165"/>
      <c r="N13" s="173">
        <v>1230000</v>
      </c>
      <c r="O13" s="173">
        <v>1230000</v>
      </c>
      <c r="P13" s="174">
        <v>1230000</v>
      </c>
      <c r="Q13" s="173"/>
      <c r="R13" s="173">
        <f t="shared" si="0"/>
        <v>1230000</v>
      </c>
      <c r="S13" s="177">
        <f>IFERROR(VLOOKUP(G13,'附表8-合同明细采集底稿'!B:M,12,0),100%)</f>
        <v>0.329519901724361</v>
      </c>
      <c r="T13" s="173">
        <f t="shared" si="1"/>
        <v>405309.48</v>
      </c>
      <c r="U13" s="164"/>
      <c r="V13" s="178" t="s">
        <v>336</v>
      </c>
      <c r="W13" s="179">
        <f>IF('附表1-面积统计表'!$D$29=0,"",IF(AND(V13="共同成本费用",Z13="总建筑面积法"),ROUND(T13/'附表1-面积统计表'!$D$29*'附表1-面积统计表'!$D$5,2),IF(AND(V13="共同成本费用",Z13="可售建筑面积法"),ROUND(T13/'附表1-面积统计表'!$F$29*'附表1-面积统计表'!$F$5,2),"请手工填写")))</f>
        <v>148030.94</v>
      </c>
      <c r="X13" s="179">
        <f>IF(SUM('附表1-面积统计表'!$D$6)=0,"",SUM(T13)-SUM(W13)-SUM(Y13))</f>
        <v>182562.7</v>
      </c>
      <c r="Y13" s="179">
        <f>IF(SUM('附表1-面积统计表'!$D$6)=0,SUM(T13)-SUM(W13),IF('附表1-面积统计表'!$D$29=0,"",IF(AND(V13="共同成本费用",Z13="总建筑面积法"),ROUND(T13/'附表1-面积统计表'!$D$29*'附表1-面积统计表'!$D$7,2),IF(AND(V13="共同成本费用",Z13="可售建筑面积法"),ROUND(T13/'附表1-面积统计表'!$F$29*'附表1-面积统计表'!$F$7,2),"请手工填写"))))</f>
        <v>74715.84</v>
      </c>
      <c r="Z13" s="181" t="s">
        <v>311</v>
      </c>
      <c r="AA13" s="164"/>
      <c r="AB13" s="182" t="s">
        <v>1686</v>
      </c>
    </row>
    <row r="14" ht="29" hidden="1" customHeight="1" outlineLevel="1" spans="1:28">
      <c r="A14" s="159">
        <v>8</v>
      </c>
      <c r="B14" s="160">
        <v>43131</v>
      </c>
      <c r="C14" s="161" t="s">
        <v>1680</v>
      </c>
      <c r="D14" s="162" t="s">
        <v>1681</v>
      </c>
      <c r="E14" s="163" t="s">
        <v>1695</v>
      </c>
      <c r="F14" s="164" t="s">
        <v>1696</v>
      </c>
      <c r="G14" s="165" t="s">
        <v>1697</v>
      </c>
      <c r="H14" s="164">
        <f>IF(G14="","",VLOOKUP(G14,'附表8-合同明细采集底稿'!B:I,2,0))</f>
        <v>0</v>
      </c>
      <c r="I14" s="92">
        <f>IF(G14="","",VLOOKUP(G14,'附表8-合同明细采集底稿'!B:I,3,0))</f>
        <v>0</v>
      </c>
      <c r="J14" s="164"/>
      <c r="K14" s="164" t="s">
        <v>1698</v>
      </c>
      <c r="L14" s="165"/>
      <c r="M14" s="165"/>
      <c r="N14" s="173">
        <v>215553.55</v>
      </c>
      <c r="O14" s="173">
        <v>215553.55</v>
      </c>
      <c r="P14" s="174">
        <v>215553.55</v>
      </c>
      <c r="Q14" s="173">
        <v>-96753.55</v>
      </c>
      <c r="R14" s="173">
        <f t="shared" si="0"/>
        <v>118800</v>
      </c>
      <c r="S14" s="177">
        <f>IFERROR(VLOOKUP(G14,'附表8-合同明细采集底稿'!B:M,12,0),100%)</f>
        <v>0.329519901724361</v>
      </c>
      <c r="T14" s="173">
        <f t="shared" si="1"/>
        <v>39146.96</v>
      </c>
      <c r="U14" s="164"/>
      <c r="V14" s="178" t="s">
        <v>336</v>
      </c>
      <c r="W14" s="179">
        <f>IF('附表1-面积统计表'!$D$29=0,"",IF(AND(V14="共同成本费用",Z14="总建筑面积法"),ROUND(T14/'附表1-面积统计表'!$D$29*'附表1-面积统计表'!$D$5,2),IF(AND(V14="共同成本费用",Z14="可售建筑面积法"),ROUND(T14/'附表1-面积统计表'!$F$29*'附表1-面积统计表'!$F$5,2),"请手工填写")))</f>
        <v>14297.62</v>
      </c>
      <c r="X14" s="179">
        <f>IF(SUM('附表1-面积统计表'!$D$6)=0,"",SUM(T14)-SUM(W14)-SUM(Y14))</f>
        <v>17632.88</v>
      </c>
      <c r="Y14" s="179">
        <f>IF(SUM('附表1-面积统计表'!$D$6)=0,SUM(T14)-SUM(W14),IF('附表1-面积统计表'!$D$29=0,"",IF(AND(V14="共同成本费用",Z14="总建筑面积法"),ROUND(T14/'附表1-面积统计表'!$D$29*'附表1-面积统计表'!$D$7,2),IF(AND(V14="共同成本费用",Z14="可售建筑面积法"),ROUND(T14/'附表1-面积统计表'!$F$29*'附表1-面积统计表'!$F$7,2),"请手工填写"))))</f>
        <v>7216.46</v>
      </c>
      <c r="Z14" s="181" t="s">
        <v>311</v>
      </c>
      <c r="AA14" s="164"/>
      <c r="AB14" s="182" t="s">
        <v>1686</v>
      </c>
    </row>
    <row r="15" ht="29" hidden="1" customHeight="1" outlineLevel="1" spans="1:28">
      <c r="A15" s="159">
        <v>9</v>
      </c>
      <c r="B15" s="160">
        <v>43283</v>
      </c>
      <c r="C15" s="161" t="s">
        <v>1699</v>
      </c>
      <c r="D15" s="162" t="s">
        <v>1700</v>
      </c>
      <c r="E15" s="163" t="s">
        <v>1701</v>
      </c>
      <c r="F15" s="164" t="s">
        <v>1702</v>
      </c>
      <c r="G15" s="165" t="s">
        <v>1697</v>
      </c>
      <c r="H15" s="164">
        <f>IF(G15="","",VLOOKUP(G15,'附表8-合同明细采集底稿'!B:I,2,0))</f>
        <v>0</v>
      </c>
      <c r="I15" s="92">
        <f>IF(G15="","",VLOOKUP(G15,'附表8-合同明细采集底稿'!B:I,3,0))</f>
        <v>0</v>
      </c>
      <c r="J15" s="164" t="s">
        <v>1703</v>
      </c>
      <c r="K15" s="164" t="s">
        <v>1704</v>
      </c>
      <c r="L15" s="165" t="s">
        <v>1705</v>
      </c>
      <c r="M15" s="165" t="s">
        <v>1706</v>
      </c>
      <c r="N15" s="173">
        <v>20000</v>
      </c>
      <c r="O15" s="173">
        <v>20000</v>
      </c>
      <c r="P15" s="174">
        <v>20000</v>
      </c>
      <c r="Q15" s="173"/>
      <c r="R15" s="173">
        <f t="shared" si="0"/>
        <v>20000</v>
      </c>
      <c r="S15" s="177">
        <f>IFERROR(VLOOKUP(G15,'附表8-合同明细采集底稿'!B:M,12,0),100%)</f>
        <v>0.329519901724361</v>
      </c>
      <c r="T15" s="173">
        <f t="shared" si="1"/>
        <v>6590.4</v>
      </c>
      <c r="U15" s="164"/>
      <c r="V15" s="178" t="s">
        <v>336</v>
      </c>
      <c r="W15" s="179">
        <f>IF('附表1-面积统计表'!$D$29=0,"",IF(AND(V15="共同成本费用",Z15="总建筑面积法"),ROUND(T15/'附表1-面积统计表'!$D$29*'附表1-面积统计表'!$D$5,2),IF(AND(V15="共同成本费用",Z15="可售建筑面积法"),ROUND(T15/'附表1-面积统计表'!$F$29*'附表1-面积统计表'!$F$5,2),"请手工填写")))</f>
        <v>2407.01</v>
      </c>
      <c r="X15" s="179">
        <f>IF(SUM('附表1-面积统计表'!$D$6)=0,"",SUM(T15)-SUM(W15)-SUM(Y15))</f>
        <v>2968.5</v>
      </c>
      <c r="Y15" s="179">
        <f>IF(SUM('附表1-面积统计表'!$D$6)=0,SUM(T15)-SUM(W15),IF('附表1-面积统计表'!$D$29=0,"",IF(AND(V15="共同成本费用",Z15="总建筑面积法"),ROUND(T15/'附表1-面积统计表'!$D$29*'附表1-面积统计表'!$D$7,2),IF(AND(V15="共同成本费用",Z15="可售建筑面积法"),ROUND(T15/'附表1-面积统计表'!$F$29*'附表1-面积统计表'!$F$7,2),"请手工填写"))))</f>
        <v>1214.89</v>
      </c>
      <c r="Z15" s="181" t="s">
        <v>311</v>
      </c>
      <c r="AA15" s="164"/>
      <c r="AB15" s="182" t="s">
        <v>1686</v>
      </c>
    </row>
    <row r="16" ht="29" hidden="1" customHeight="1" outlineLevel="1" spans="1:28">
      <c r="A16" s="159">
        <v>10</v>
      </c>
      <c r="B16" s="160">
        <v>43332</v>
      </c>
      <c r="C16" s="161">
        <v>73</v>
      </c>
      <c r="D16" s="162" t="s">
        <v>1707</v>
      </c>
      <c r="E16" s="163" t="s">
        <v>1708</v>
      </c>
      <c r="F16" s="164" t="s">
        <v>1709</v>
      </c>
      <c r="G16" s="165" t="s">
        <v>1710</v>
      </c>
      <c r="H16" s="164" t="str">
        <f>IF(G16="","",VLOOKUP(G16,'附表8-合同明细采集底稿'!B:I,2,0))</f>
        <v>规划设计合同书</v>
      </c>
      <c r="I16" s="92" t="str">
        <f>IF(G16="","",VLOOKUP(G16,'附表8-合同明细采集底稿'!B:I,3,0))</f>
        <v>技术合同</v>
      </c>
      <c r="J16" s="164" t="str">
        <f>IF(G16="","",VLOOKUP(G16,'附表8-合同明细采集底稿'!B:I,4,0))</f>
        <v>上海联创建筑设计有限公司新疆分公司</v>
      </c>
      <c r="K16" s="164" t="s">
        <v>1711</v>
      </c>
      <c r="L16" s="165">
        <v>6500174130</v>
      </c>
      <c r="M16" s="165" t="s">
        <v>1712</v>
      </c>
      <c r="N16" s="173">
        <v>94245.28</v>
      </c>
      <c r="O16" s="173">
        <v>99900</v>
      </c>
      <c r="P16" s="174">
        <v>94245.28</v>
      </c>
      <c r="Q16" s="173"/>
      <c r="R16" s="173">
        <f t="shared" si="0"/>
        <v>94245.28</v>
      </c>
      <c r="S16" s="177">
        <f>IFERROR(VLOOKUP(G16,'附表8-合同明细采集底稿'!B:M,12,0),100%)</f>
        <v>0.329519901724361</v>
      </c>
      <c r="T16" s="173">
        <f t="shared" si="1"/>
        <v>31055.7</v>
      </c>
      <c r="U16" s="164"/>
      <c r="V16" s="178" t="s">
        <v>336</v>
      </c>
      <c r="W16" s="179">
        <f>IF('附表1-面积统计表'!$D$29=0,"",IF(AND(V16="共同成本费用",Z16="总建筑面积法"),ROUND(T16/'附表1-面积统计表'!$D$29*'附表1-面积统计表'!$D$5,2),IF(AND(V16="共同成本费用",Z16="可售建筑面积法"),ROUND(T16/'附表1-面积统计表'!$F$29*'附表1-面积统计表'!$F$5,2),"请手工填写")))</f>
        <v>11342.46</v>
      </c>
      <c r="X16" s="179">
        <f>IF(SUM('附表1-面积统计表'!$D$6)=0,"",SUM(T16)-SUM(W16)-SUM(Y16))</f>
        <v>13988.35</v>
      </c>
      <c r="Y16" s="179">
        <f>IF(SUM('附表1-面积统计表'!$D$6)=0,SUM(T16)-SUM(W16),IF('附表1-面积统计表'!$D$29=0,"",IF(AND(V16="共同成本费用",Z16="总建筑面积法"),ROUND(T16/'附表1-面积统计表'!$D$29*'附表1-面积统计表'!$D$7,2),IF(AND(V16="共同成本费用",Z16="可售建筑面积法"),ROUND(T16/'附表1-面积统计表'!$F$29*'附表1-面积统计表'!$F$7,2),"请手工填写"))))</f>
        <v>5724.89</v>
      </c>
      <c r="Z16" s="181" t="s">
        <v>311</v>
      </c>
      <c r="AA16" s="164"/>
      <c r="AB16" s="182" t="s">
        <v>1686</v>
      </c>
    </row>
    <row r="17" ht="29" hidden="1" customHeight="1" outlineLevel="1" spans="1:28">
      <c r="A17" s="159">
        <v>11</v>
      </c>
      <c r="B17" s="160">
        <v>43332</v>
      </c>
      <c r="C17" s="161">
        <v>73</v>
      </c>
      <c r="D17" s="162" t="s">
        <v>1707</v>
      </c>
      <c r="E17" s="163" t="s">
        <v>1708</v>
      </c>
      <c r="F17" s="164" t="s">
        <v>1709</v>
      </c>
      <c r="G17" s="165" t="s">
        <v>1710</v>
      </c>
      <c r="H17" s="164" t="str">
        <f>IF(G17="","",VLOOKUP(G17,'附表8-合同明细采集底稿'!B:I,2,0))</f>
        <v>规划设计合同书</v>
      </c>
      <c r="I17" s="92" t="str">
        <f>IF(G17="","",VLOOKUP(G17,'附表8-合同明细采集底稿'!B:I,3,0))</f>
        <v>技术合同</v>
      </c>
      <c r="J17" s="164" t="str">
        <f>IF(G17="","",VLOOKUP(G17,'附表8-合同明细采集底稿'!B:I,4,0))</f>
        <v>上海联创建筑设计有限公司新疆分公司</v>
      </c>
      <c r="K17" s="164" t="s">
        <v>1711</v>
      </c>
      <c r="L17" s="165">
        <v>6500174130</v>
      </c>
      <c r="M17" s="165" t="s">
        <v>1713</v>
      </c>
      <c r="N17" s="173">
        <v>94245.28</v>
      </c>
      <c r="O17" s="173">
        <v>99900</v>
      </c>
      <c r="P17" s="174">
        <v>94245.28</v>
      </c>
      <c r="Q17" s="173"/>
      <c r="R17" s="173">
        <f t="shared" si="0"/>
        <v>94245.28</v>
      </c>
      <c r="S17" s="177">
        <f>IFERROR(VLOOKUP(G17,'附表8-合同明细采集底稿'!B:M,12,0),100%)</f>
        <v>0.329519901724361</v>
      </c>
      <c r="T17" s="173">
        <f t="shared" si="1"/>
        <v>31055.7</v>
      </c>
      <c r="U17" s="164"/>
      <c r="V17" s="178" t="s">
        <v>336</v>
      </c>
      <c r="W17" s="179">
        <f>IF('附表1-面积统计表'!$D$29=0,"",IF(AND(V17="共同成本费用",Z17="总建筑面积法"),ROUND(T17/'附表1-面积统计表'!$D$29*'附表1-面积统计表'!$D$5,2),IF(AND(V17="共同成本费用",Z17="可售建筑面积法"),ROUND(T17/'附表1-面积统计表'!$F$29*'附表1-面积统计表'!$F$5,2),"请手工填写")))</f>
        <v>11342.46</v>
      </c>
      <c r="X17" s="179">
        <f>IF(SUM('附表1-面积统计表'!$D$6)=0,"",SUM(T17)-SUM(W17)-SUM(Y17))</f>
        <v>13988.35</v>
      </c>
      <c r="Y17" s="179">
        <f>IF(SUM('附表1-面积统计表'!$D$6)=0,SUM(T17)-SUM(W17),IF('附表1-面积统计表'!$D$29=0,"",IF(AND(V17="共同成本费用",Z17="总建筑面积法"),ROUND(T17/'附表1-面积统计表'!$D$29*'附表1-面积统计表'!$D$7,2),IF(AND(V17="共同成本费用",Z17="可售建筑面积法"),ROUND(T17/'附表1-面积统计表'!$F$29*'附表1-面积统计表'!$F$7,2),"请手工填写"))))</f>
        <v>5724.89</v>
      </c>
      <c r="Z17" s="181" t="s">
        <v>311</v>
      </c>
      <c r="AA17" s="164"/>
      <c r="AB17" s="182" t="s">
        <v>1686</v>
      </c>
    </row>
    <row r="18" ht="29" hidden="1" customHeight="1" outlineLevel="1" spans="1:28">
      <c r="A18" s="159">
        <v>12</v>
      </c>
      <c r="B18" s="160">
        <v>43332</v>
      </c>
      <c r="C18" s="161">
        <v>73</v>
      </c>
      <c r="D18" s="162" t="s">
        <v>1707</v>
      </c>
      <c r="E18" s="163" t="s">
        <v>1708</v>
      </c>
      <c r="F18" s="164" t="s">
        <v>1709</v>
      </c>
      <c r="G18" s="165" t="s">
        <v>1710</v>
      </c>
      <c r="H18" s="164" t="str">
        <f>IF(G18="","",VLOOKUP(G18,'附表8-合同明细采集底稿'!B:I,2,0))</f>
        <v>规划设计合同书</v>
      </c>
      <c r="I18" s="92" t="str">
        <f>IF(G18="","",VLOOKUP(G18,'附表8-合同明细采集底稿'!B:I,3,0))</f>
        <v>技术合同</v>
      </c>
      <c r="J18" s="164" t="str">
        <f>IF(G18="","",VLOOKUP(G18,'附表8-合同明细采集底稿'!B:I,4,0))</f>
        <v>上海联创建筑设计有限公司新疆分公司</v>
      </c>
      <c r="K18" s="164" t="s">
        <v>1711</v>
      </c>
      <c r="L18" s="165">
        <v>6500174130</v>
      </c>
      <c r="M18" s="165" t="s">
        <v>1714</v>
      </c>
      <c r="N18" s="173">
        <v>94245.28</v>
      </c>
      <c r="O18" s="173">
        <v>99900</v>
      </c>
      <c r="P18" s="174">
        <v>94245.28</v>
      </c>
      <c r="Q18" s="173"/>
      <c r="R18" s="173">
        <f t="shared" si="0"/>
        <v>94245.28</v>
      </c>
      <c r="S18" s="177">
        <f>IFERROR(VLOOKUP(G18,'附表8-合同明细采集底稿'!B:M,12,0),100%)</f>
        <v>0.329519901724361</v>
      </c>
      <c r="T18" s="173">
        <f t="shared" si="1"/>
        <v>31055.7</v>
      </c>
      <c r="U18" s="164"/>
      <c r="V18" s="178" t="s">
        <v>336</v>
      </c>
      <c r="W18" s="179">
        <f>IF('附表1-面积统计表'!$D$29=0,"",IF(AND(V18="共同成本费用",Z18="总建筑面积法"),ROUND(T18/'附表1-面积统计表'!$D$29*'附表1-面积统计表'!$D$5,2),IF(AND(V18="共同成本费用",Z18="可售建筑面积法"),ROUND(T18/'附表1-面积统计表'!$F$29*'附表1-面积统计表'!$F$5,2),"请手工填写")))</f>
        <v>11342.46</v>
      </c>
      <c r="X18" s="179">
        <f>IF(SUM('附表1-面积统计表'!$D$6)=0,"",SUM(T18)-SUM(W18)-SUM(Y18))</f>
        <v>13988.35</v>
      </c>
      <c r="Y18" s="179">
        <f>IF(SUM('附表1-面积统计表'!$D$6)=0,SUM(T18)-SUM(W18),IF('附表1-面积统计表'!$D$29=0,"",IF(AND(V18="共同成本费用",Z18="总建筑面积法"),ROUND(T18/'附表1-面积统计表'!$D$29*'附表1-面积统计表'!$D$7,2),IF(AND(V18="共同成本费用",Z18="可售建筑面积法"),ROUND(T18/'附表1-面积统计表'!$F$29*'附表1-面积统计表'!$F$7,2),"请手工填写"))))</f>
        <v>5724.89</v>
      </c>
      <c r="Z18" s="181" t="s">
        <v>311</v>
      </c>
      <c r="AA18" s="164"/>
      <c r="AB18" s="182" t="s">
        <v>1686</v>
      </c>
    </row>
    <row r="19" ht="29" hidden="1" customHeight="1" outlineLevel="1" spans="1:28">
      <c r="A19" s="159">
        <v>13</v>
      </c>
      <c r="B19" s="160">
        <v>43332</v>
      </c>
      <c r="C19" s="161">
        <v>73</v>
      </c>
      <c r="D19" s="162" t="s">
        <v>1707</v>
      </c>
      <c r="E19" s="163" t="s">
        <v>1708</v>
      </c>
      <c r="F19" s="164" t="s">
        <v>1709</v>
      </c>
      <c r="G19" s="165" t="s">
        <v>1710</v>
      </c>
      <c r="H19" s="164" t="str">
        <f>IF(G19="","",VLOOKUP(G19,'附表8-合同明细采集底稿'!B:I,2,0))</f>
        <v>规划设计合同书</v>
      </c>
      <c r="I19" s="92" t="str">
        <f>IF(G19="","",VLOOKUP(G19,'附表8-合同明细采集底稿'!B:I,3,0))</f>
        <v>技术合同</v>
      </c>
      <c r="J19" s="164" t="str">
        <f>IF(G19="","",VLOOKUP(G19,'附表8-合同明细采集底稿'!B:I,4,0))</f>
        <v>上海联创建筑设计有限公司新疆分公司</v>
      </c>
      <c r="K19" s="164" t="s">
        <v>1711</v>
      </c>
      <c r="L19" s="165">
        <v>6500174130</v>
      </c>
      <c r="M19" s="165" t="s">
        <v>1715</v>
      </c>
      <c r="N19" s="173">
        <v>94245.28</v>
      </c>
      <c r="O19" s="173">
        <v>99900</v>
      </c>
      <c r="P19" s="174">
        <v>94245.28</v>
      </c>
      <c r="Q19" s="173"/>
      <c r="R19" s="173">
        <f t="shared" si="0"/>
        <v>94245.28</v>
      </c>
      <c r="S19" s="177">
        <f>IFERROR(VLOOKUP(G19,'附表8-合同明细采集底稿'!B:M,12,0),100%)</f>
        <v>0.329519901724361</v>
      </c>
      <c r="T19" s="173">
        <f t="shared" si="1"/>
        <v>31055.7</v>
      </c>
      <c r="U19" s="164"/>
      <c r="V19" s="178" t="s">
        <v>336</v>
      </c>
      <c r="W19" s="179">
        <f>IF('附表1-面积统计表'!$D$29=0,"",IF(AND(V19="共同成本费用",Z19="总建筑面积法"),ROUND(T19/'附表1-面积统计表'!$D$29*'附表1-面积统计表'!$D$5,2),IF(AND(V19="共同成本费用",Z19="可售建筑面积法"),ROUND(T19/'附表1-面积统计表'!$F$29*'附表1-面积统计表'!$F$5,2),"请手工填写")))</f>
        <v>11342.46</v>
      </c>
      <c r="X19" s="179">
        <f>IF(SUM('附表1-面积统计表'!$D$6)=0,"",SUM(T19)-SUM(W19)-SUM(Y19))</f>
        <v>13988.35</v>
      </c>
      <c r="Y19" s="179">
        <f>IF(SUM('附表1-面积统计表'!$D$6)=0,SUM(T19)-SUM(W19),IF('附表1-面积统计表'!$D$29=0,"",IF(AND(V19="共同成本费用",Z19="总建筑面积法"),ROUND(T19/'附表1-面积统计表'!$D$29*'附表1-面积统计表'!$D$7,2),IF(AND(V19="共同成本费用",Z19="可售建筑面积法"),ROUND(T19/'附表1-面积统计表'!$F$29*'附表1-面积统计表'!$F$7,2),"请手工填写"))))</f>
        <v>5724.89</v>
      </c>
      <c r="Z19" s="181" t="s">
        <v>311</v>
      </c>
      <c r="AA19" s="164"/>
      <c r="AB19" s="182" t="s">
        <v>1686</v>
      </c>
    </row>
    <row r="20" ht="29" hidden="1" customHeight="1" outlineLevel="1" spans="1:28">
      <c r="A20" s="159">
        <v>14</v>
      </c>
      <c r="B20" s="160">
        <v>43332</v>
      </c>
      <c r="C20" s="161">
        <v>73</v>
      </c>
      <c r="D20" s="162" t="s">
        <v>1707</v>
      </c>
      <c r="E20" s="163" t="s">
        <v>1708</v>
      </c>
      <c r="F20" s="164" t="s">
        <v>1709</v>
      </c>
      <c r="G20" s="165" t="s">
        <v>1710</v>
      </c>
      <c r="H20" s="164" t="str">
        <f>IF(G20="","",VLOOKUP(G20,'附表8-合同明细采集底稿'!B:I,2,0))</f>
        <v>规划设计合同书</v>
      </c>
      <c r="I20" s="92" t="str">
        <f>IF(G20="","",VLOOKUP(G20,'附表8-合同明细采集底稿'!B:I,3,0))</f>
        <v>技术合同</v>
      </c>
      <c r="J20" s="164" t="str">
        <f>IF(G20="","",VLOOKUP(G20,'附表8-合同明细采集底稿'!B:I,4,0))</f>
        <v>上海联创建筑设计有限公司新疆分公司</v>
      </c>
      <c r="K20" s="164" t="s">
        <v>1711</v>
      </c>
      <c r="L20" s="165">
        <v>6500174130</v>
      </c>
      <c r="M20" s="165" t="s">
        <v>1716</v>
      </c>
      <c r="N20" s="173">
        <v>94245.28</v>
      </c>
      <c r="O20" s="173">
        <v>99900</v>
      </c>
      <c r="P20" s="174">
        <v>94245.28</v>
      </c>
      <c r="Q20" s="173"/>
      <c r="R20" s="173">
        <f t="shared" si="0"/>
        <v>94245.28</v>
      </c>
      <c r="S20" s="177">
        <f>IFERROR(VLOOKUP(G20,'附表8-合同明细采集底稿'!B:M,12,0),100%)</f>
        <v>0.329519901724361</v>
      </c>
      <c r="T20" s="173">
        <f t="shared" si="1"/>
        <v>31055.7</v>
      </c>
      <c r="U20" s="164"/>
      <c r="V20" s="178" t="s">
        <v>336</v>
      </c>
      <c r="W20" s="179">
        <f>IF('附表1-面积统计表'!$D$29=0,"",IF(AND(V20="共同成本费用",Z20="总建筑面积法"),ROUND(T20/'附表1-面积统计表'!$D$29*'附表1-面积统计表'!$D$5,2),IF(AND(V20="共同成本费用",Z20="可售建筑面积法"),ROUND(T20/'附表1-面积统计表'!$F$29*'附表1-面积统计表'!$F$5,2),"请手工填写")))</f>
        <v>11342.46</v>
      </c>
      <c r="X20" s="179">
        <f>IF(SUM('附表1-面积统计表'!$D$6)=0,"",SUM(T20)-SUM(W20)-SUM(Y20))</f>
        <v>13988.35</v>
      </c>
      <c r="Y20" s="179">
        <f>IF(SUM('附表1-面积统计表'!$D$6)=0,SUM(T20)-SUM(W20),IF('附表1-面积统计表'!$D$29=0,"",IF(AND(V20="共同成本费用",Z20="总建筑面积法"),ROUND(T20/'附表1-面积统计表'!$D$29*'附表1-面积统计表'!$D$7,2),IF(AND(V20="共同成本费用",Z20="可售建筑面积法"),ROUND(T20/'附表1-面积统计表'!$F$29*'附表1-面积统计表'!$F$7,2),"请手工填写"))))</f>
        <v>5724.89</v>
      </c>
      <c r="Z20" s="181" t="s">
        <v>311</v>
      </c>
      <c r="AA20" s="164"/>
      <c r="AB20" s="182" t="s">
        <v>1686</v>
      </c>
    </row>
    <row r="21" ht="29" hidden="1" customHeight="1" outlineLevel="1" spans="1:28">
      <c r="A21" s="159">
        <v>15</v>
      </c>
      <c r="B21" s="160">
        <v>43332</v>
      </c>
      <c r="C21" s="161">
        <v>73</v>
      </c>
      <c r="D21" s="162" t="s">
        <v>1707</v>
      </c>
      <c r="E21" s="163" t="s">
        <v>1708</v>
      </c>
      <c r="F21" s="164" t="s">
        <v>1709</v>
      </c>
      <c r="G21" s="165" t="s">
        <v>1710</v>
      </c>
      <c r="H21" s="164" t="str">
        <f>IF(G21="","",VLOOKUP(G21,'附表8-合同明细采集底稿'!B:I,2,0))</f>
        <v>规划设计合同书</v>
      </c>
      <c r="I21" s="92" t="str">
        <f>IF(G21="","",VLOOKUP(G21,'附表8-合同明细采集底稿'!B:I,3,0))</f>
        <v>技术合同</v>
      </c>
      <c r="J21" s="164" t="str">
        <f>IF(G21="","",VLOOKUP(G21,'附表8-合同明细采集底稿'!B:I,4,0))</f>
        <v>上海联创建筑设计有限公司新疆分公司</v>
      </c>
      <c r="K21" s="164" t="s">
        <v>1711</v>
      </c>
      <c r="L21" s="165">
        <v>6500174130</v>
      </c>
      <c r="M21" s="165" t="s">
        <v>1717</v>
      </c>
      <c r="N21" s="173">
        <v>70757.74</v>
      </c>
      <c r="O21" s="173">
        <v>75003.2</v>
      </c>
      <c r="P21" s="174">
        <v>70757.74</v>
      </c>
      <c r="Q21" s="173"/>
      <c r="R21" s="173">
        <f t="shared" si="0"/>
        <v>70757.74</v>
      </c>
      <c r="S21" s="177">
        <f>IFERROR(VLOOKUP(G21,'附表8-合同明细采集底稿'!B:M,12,0),100%)</f>
        <v>0.329519901724361</v>
      </c>
      <c r="T21" s="173">
        <f t="shared" si="1"/>
        <v>23316.08</v>
      </c>
      <c r="U21" s="164"/>
      <c r="V21" s="178" t="s">
        <v>336</v>
      </c>
      <c r="W21" s="179">
        <f>IF('附表1-面积统计表'!$D$29=0,"",IF(AND(V21="共同成本费用",Z21="总建筑面积法"),ROUND(T21/'附表1-面积统计表'!$D$29*'附表1-面积统计表'!$D$5,2),IF(AND(V21="共同成本费用",Z21="可售建筑面积法"),ROUND(T21/'附表1-面积统计表'!$F$29*'附表1-面积统计表'!$F$5,2),"请手工填写")))</f>
        <v>8515.72</v>
      </c>
      <c r="X21" s="179">
        <f>IF(SUM('附表1-面积统计表'!$D$6)=0,"",SUM(T21)-SUM(W21)-SUM(Y21))</f>
        <v>10502.21</v>
      </c>
      <c r="Y21" s="179">
        <f>IF(SUM('附表1-面积统计表'!$D$6)=0,SUM(T21)-SUM(W21),IF('附表1-面积统计表'!$D$29=0,"",IF(AND(V21="共同成本费用",Z21="总建筑面积法"),ROUND(T21/'附表1-面积统计表'!$D$29*'附表1-面积统计表'!$D$7,2),IF(AND(V21="共同成本费用",Z21="可售建筑面积法"),ROUND(T21/'附表1-面积统计表'!$F$29*'附表1-面积统计表'!$F$7,2),"请手工填写"))))</f>
        <v>4298.15</v>
      </c>
      <c r="Z21" s="181" t="s">
        <v>311</v>
      </c>
      <c r="AA21" s="164"/>
      <c r="AB21" s="182" t="s">
        <v>1686</v>
      </c>
    </row>
    <row r="22" ht="29" hidden="1" customHeight="1" outlineLevel="1" spans="1:28">
      <c r="A22" s="159">
        <v>16</v>
      </c>
      <c r="B22" s="160">
        <v>43381</v>
      </c>
      <c r="C22" s="161" t="s">
        <v>1718</v>
      </c>
      <c r="D22" s="162" t="s">
        <v>1707</v>
      </c>
      <c r="E22" s="163" t="s">
        <v>1708</v>
      </c>
      <c r="F22" s="164" t="s">
        <v>1719</v>
      </c>
      <c r="G22" s="165" t="s">
        <v>1720</v>
      </c>
      <c r="H22" s="164" t="str">
        <f>IF(G22="","",VLOOKUP(G22,'附表8-合同明细采集底稿'!B:I,2,0))</f>
        <v>建设工程设计合同（专业建设工程）</v>
      </c>
      <c r="I22" s="92" t="str">
        <f>IF(G22="","",VLOOKUP(G22,'附表8-合同明细采集底稿'!B:I,3,0))</f>
        <v>技术合同</v>
      </c>
      <c r="J22" s="164" t="str">
        <f>IF(G22="","",VLOOKUP(G22,'附表8-合同明细采集底稿'!B:I,4,0))</f>
        <v>安徽宏泰交通工程设计研究院有限公司</v>
      </c>
      <c r="K22" s="164" t="s">
        <v>1711</v>
      </c>
      <c r="L22" s="165" t="s">
        <v>1721</v>
      </c>
      <c r="M22" s="165" t="s">
        <v>1722</v>
      </c>
      <c r="N22" s="173">
        <v>18867.92</v>
      </c>
      <c r="O22" s="173">
        <v>1132.08</v>
      </c>
      <c r="P22" s="174">
        <v>18867.92</v>
      </c>
      <c r="Q22" s="173">
        <v>-18867.92</v>
      </c>
      <c r="R22" s="173">
        <f t="shared" si="0"/>
        <v>0</v>
      </c>
      <c r="S22" s="177">
        <f>IFERROR(VLOOKUP(G22,'附表8-合同明细采集底稿'!B:M,12,0),100%)</f>
        <v>0.329519901724361</v>
      </c>
      <c r="T22" s="173">
        <f t="shared" si="1"/>
        <v>0</v>
      </c>
      <c r="U22" s="164"/>
      <c r="V22" s="178" t="s">
        <v>336</v>
      </c>
      <c r="W22" s="179">
        <f>IF('附表1-面积统计表'!$D$29=0,"",IF(AND(V22="共同成本费用",Z22="总建筑面积法"),ROUND(T22/'附表1-面积统计表'!$D$29*'附表1-面积统计表'!$D$5,2),IF(AND(V22="共同成本费用",Z22="可售建筑面积法"),ROUND(T22/'附表1-面积统计表'!$F$29*'附表1-面积统计表'!$F$5,2),"请手工填写")))</f>
        <v>0</v>
      </c>
      <c r="X22" s="179">
        <f>IF(SUM('附表1-面积统计表'!$D$6)=0,"",SUM(T22)-SUM(W22)-SUM(Y22))</f>
        <v>0</v>
      </c>
      <c r="Y22" s="179">
        <f>IF(SUM('附表1-面积统计表'!$D$6)=0,SUM(T22)-SUM(W22),IF('附表1-面积统计表'!$D$29=0,"",IF(AND(V22="共同成本费用",Z22="总建筑面积法"),ROUND(T22/'附表1-面积统计表'!$D$29*'附表1-面积统计表'!$D$7,2),IF(AND(V22="共同成本费用",Z22="可售建筑面积法"),ROUND(T22/'附表1-面积统计表'!$F$29*'附表1-面积统计表'!$F$7,2),"请手工填写"))))</f>
        <v>0</v>
      </c>
      <c r="Z22" s="181" t="s">
        <v>311</v>
      </c>
      <c r="AA22" s="164"/>
      <c r="AB22" s="182" t="s">
        <v>1686</v>
      </c>
    </row>
    <row r="23" ht="29" hidden="1" customHeight="1" outlineLevel="1" spans="1:28">
      <c r="A23" s="159">
        <v>17</v>
      </c>
      <c r="B23" s="160">
        <v>43439</v>
      </c>
      <c r="C23" s="161" t="s">
        <v>1723</v>
      </c>
      <c r="D23" s="162" t="s">
        <v>1707</v>
      </c>
      <c r="E23" s="163" t="s">
        <v>1724</v>
      </c>
      <c r="F23" s="164" t="s">
        <v>1725</v>
      </c>
      <c r="G23" s="165" t="s">
        <v>1726</v>
      </c>
      <c r="H23" s="164" t="str">
        <f>IF(G23="","",VLOOKUP(G23,'附表8-合同明细采集底稿'!B:I,2,0))</f>
        <v>沁春锦苑室外管网设计</v>
      </c>
      <c r="I23" s="92" t="str">
        <f>IF(G23="","",VLOOKUP(G23,'附表8-合同明细采集底稿'!B:I,3,0))</f>
        <v>技术合同</v>
      </c>
      <c r="J23" s="164" t="str">
        <f>IF(G23="","",VLOOKUP(G23,'附表8-合同明细采集底稿'!B:I,4,0))</f>
        <v>库尔勒开拓规划设计研究院</v>
      </c>
      <c r="K23" s="164" t="s">
        <v>1711</v>
      </c>
      <c r="L23" s="165" t="s">
        <v>1727</v>
      </c>
      <c r="M23" s="165" t="s">
        <v>1728</v>
      </c>
      <c r="N23" s="173">
        <v>20407</v>
      </c>
      <c r="O23" s="173">
        <v>20407</v>
      </c>
      <c r="P23" s="174">
        <v>20407</v>
      </c>
      <c r="Q23" s="173"/>
      <c r="R23" s="173">
        <f t="shared" si="0"/>
        <v>20407</v>
      </c>
      <c r="S23" s="177">
        <f>IFERROR(VLOOKUP(G23,'附表8-合同明细采集底稿'!B:M,12,0),100%)</f>
        <v>0.329519901724361</v>
      </c>
      <c r="T23" s="173">
        <f t="shared" si="1"/>
        <v>6724.51</v>
      </c>
      <c r="U23" s="164"/>
      <c r="V23" s="178" t="s">
        <v>336</v>
      </c>
      <c r="W23" s="179">
        <f>IF('附表1-面积统计表'!$D$29=0,"",IF(AND(V23="共同成本费用",Z23="总建筑面积法"),ROUND(T23/'附表1-面积统计表'!$D$29*'附表1-面积统计表'!$D$5,2),IF(AND(V23="共同成本费用",Z23="可售建筑面积法"),ROUND(T23/'附表1-面积统计表'!$F$29*'附表1-面积统计表'!$F$5,2),"请手工填写")))</f>
        <v>2455.99</v>
      </c>
      <c r="X23" s="179">
        <f>IF(SUM('附表1-面积统计表'!$D$6)=0,"",SUM(T23)-SUM(W23)-SUM(Y23))</f>
        <v>3028.91</v>
      </c>
      <c r="Y23" s="179">
        <f>IF(SUM('附表1-面积统计表'!$D$6)=0,SUM(T23)-SUM(W23),IF('附表1-面积统计表'!$D$29=0,"",IF(AND(V23="共同成本费用",Z23="总建筑面积法"),ROUND(T23/'附表1-面积统计表'!$D$29*'附表1-面积统计表'!$D$7,2),IF(AND(V23="共同成本费用",Z23="可售建筑面积法"),ROUND(T23/'附表1-面积统计表'!$F$29*'附表1-面积统计表'!$F$7,2),"请手工填写"))))</f>
        <v>1239.61</v>
      </c>
      <c r="Z23" s="181" t="s">
        <v>311</v>
      </c>
      <c r="AA23" s="164"/>
      <c r="AB23" s="182" t="s">
        <v>1686</v>
      </c>
    </row>
    <row r="24" ht="29" hidden="1" customHeight="1" outlineLevel="1" spans="1:28">
      <c r="A24" s="159">
        <v>18</v>
      </c>
      <c r="B24" s="160">
        <v>43490</v>
      </c>
      <c r="C24" s="161" t="s">
        <v>1729</v>
      </c>
      <c r="D24" s="162" t="s">
        <v>1707</v>
      </c>
      <c r="E24" s="163" t="s">
        <v>1708</v>
      </c>
      <c r="F24" s="164" t="s">
        <v>1709</v>
      </c>
      <c r="G24" s="165" t="s">
        <v>1710</v>
      </c>
      <c r="H24" s="164" t="str">
        <f>IF(G24="","",VLOOKUP(G24,'附表8-合同明细采集底稿'!B:I,2,0))</f>
        <v>规划设计合同书</v>
      </c>
      <c r="I24" s="92" t="str">
        <f>IF(G24="","",VLOOKUP(G24,'附表8-合同明细采集底稿'!B:I,3,0))</f>
        <v>技术合同</v>
      </c>
      <c r="J24" s="164" t="str">
        <f>IF(G24="","",VLOOKUP(G24,'附表8-合同明细采集底稿'!B:I,4,0))</f>
        <v>上海联创建筑设计有限公司新疆分公司</v>
      </c>
      <c r="K24" s="164" t="s">
        <v>1711</v>
      </c>
      <c r="L24" s="165" t="s">
        <v>1730</v>
      </c>
      <c r="M24" s="165" t="s">
        <v>1731</v>
      </c>
      <c r="N24" s="173">
        <v>377358.48</v>
      </c>
      <c r="O24" s="173">
        <v>400000</v>
      </c>
      <c r="P24" s="174">
        <v>377358.48</v>
      </c>
      <c r="Q24" s="173"/>
      <c r="R24" s="173">
        <f t="shared" si="0"/>
        <v>377358.48</v>
      </c>
      <c r="S24" s="177">
        <f>IFERROR(VLOOKUP(G24,'附表8-合同明细采集底稿'!B:M,12,0),100%)</f>
        <v>0.329519901724361</v>
      </c>
      <c r="T24" s="173">
        <f t="shared" si="1"/>
        <v>124347.13</v>
      </c>
      <c r="U24" s="164"/>
      <c r="V24" s="178" t="s">
        <v>336</v>
      </c>
      <c r="W24" s="179">
        <f>IF('附表1-面积统计表'!$D$29=0,"",IF(AND(V24="共同成本费用",Z24="总建筑面积法"),ROUND(T24/'附表1-面积统计表'!$D$29*'附表1-面积统计表'!$D$5,2),IF(AND(V24="共同成本费用",Z24="可售建筑面积法"),ROUND(T24/'附表1-面积统计表'!$F$29*'附表1-面积统计表'!$F$5,2),"请手工填写")))</f>
        <v>45415.23</v>
      </c>
      <c r="X24" s="179">
        <f>IF(SUM('附表1-面积统计表'!$D$6)=0,"",SUM(T24)-SUM(W24)-SUM(Y24))</f>
        <v>56009.42</v>
      </c>
      <c r="Y24" s="179">
        <f>IF(SUM('附表1-面积统计表'!$D$6)=0,SUM(T24)-SUM(W24),IF('附表1-面积统计表'!$D$29=0,"",IF(AND(V24="共同成本费用",Z24="总建筑面积法"),ROUND(T24/'附表1-面积统计表'!$D$29*'附表1-面积统计表'!$D$7,2),IF(AND(V24="共同成本费用",Z24="可售建筑面积法"),ROUND(T24/'附表1-面积统计表'!$F$29*'附表1-面积统计表'!$F$7,2),"请手工填写"))))</f>
        <v>22922.48</v>
      </c>
      <c r="Z24" s="181" t="s">
        <v>311</v>
      </c>
      <c r="AA24" s="164"/>
      <c r="AB24" s="182" t="s">
        <v>1686</v>
      </c>
    </row>
    <row r="25" ht="29" hidden="1" customHeight="1" outlineLevel="1" spans="1:28">
      <c r="A25" s="159">
        <v>19</v>
      </c>
      <c r="B25" s="160">
        <v>43544</v>
      </c>
      <c r="C25" s="161" t="s">
        <v>1732</v>
      </c>
      <c r="D25" s="162" t="s">
        <v>1707</v>
      </c>
      <c r="E25" s="163" t="s">
        <v>1708</v>
      </c>
      <c r="F25" s="164" t="s">
        <v>1709</v>
      </c>
      <c r="G25" s="165" t="s">
        <v>1710</v>
      </c>
      <c r="H25" s="164" t="str">
        <f>IF(G25="","",VLOOKUP(G25,'附表8-合同明细采集底稿'!B:I,2,0))</f>
        <v>规划设计合同书</v>
      </c>
      <c r="I25" s="92" t="str">
        <f>IF(G25="","",VLOOKUP(G25,'附表8-合同明细采集底稿'!B:I,3,0))</f>
        <v>技术合同</v>
      </c>
      <c r="J25" s="164" t="str">
        <f>IF(G25="","",VLOOKUP(G25,'附表8-合同明细采集底稿'!B:I,4,0))</f>
        <v>上海联创建筑设计有限公司新疆分公司</v>
      </c>
      <c r="K25" s="164" t="s">
        <v>1711</v>
      </c>
      <c r="L25" s="165" t="s">
        <v>1727</v>
      </c>
      <c r="M25" s="165" t="s">
        <v>1733</v>
      </c>
      <c r="N25" s="173">
        <v>157831.87</v>
      </c>
      <c r="O25" s="173">
        <v>167301.79</v>
      </c>
      <c r="P25" s="174">
        <v>157831.87</v>
      </c>
      <c r="Q25" s="173"/>
      <c r="R25" s="173">
        <f t="shared" si="0"/>
        <v>157831.87</v>
      </c>
      <c r="S25" s="177">
        <f>IFERROR(VLOOKUP(G25,'附表8-合同明细采集底稿'!B:M,12,0),100%)</f>
        <v>0.329519901724361</v>
      </c>
      <c r="T25" s="173">
        <f t="shared" si="1"/>
        <v>52008.74</v>
      </c>
      <c r="U25" s="164"/>
      <c r="V25" s="178" t="s">
        <v>336</v>
      </c>
      <c r="W25" s="179">
        <f>IF('附表1-面积统计表'!$D$29=0,"",IF(AND(V25="共同成本费用",Z25="总建筑面积法"),ROUND(T25/'附表1-面积统计表'!$D$29*'附表1-面积统计表'!$D$5,2),IF(AND(V25="共同成本费用",Z25="可售建筑面积法"),ROUND(T25/'附表1-面积统计表'!$F$29*'附表1-面积统计表'!$F$5,2),"请手工填写")))</f>
        <v>18995.12</v>
      </c>
      <c r="X25" s="179">
        <f>IF(SUM('附表1-面积统计表'!$D$6)=0,"",SUM(T25)-SUM(W25)-SUM(Y25))</f>
        <v>23426.19</v>
      </c>
      <c r="Y25" s="179">
        <f>IF(SUM('附表1-面积统计表'!$D$6)=0,SUM(T25)-SUM(W25),IF('附表1-面积统计表'!$D$29=0,"",IF(AND(V25="共同成本费用",Z25="总建筑面积法"),ROUND(T25/'附表1-面积统计表'!$D$29*'附表1-面积统计表'!$D$7,2),IF(AND(V25="共同成本费用",Z25="可售建筑面积法"),ROUND(T25/'附表1-面积统计表'!$F$29*'附表1-面积统计表'!$F$7,2),"请手工填写"))))</f>
        <v>9587.43</v>
      </c>
      <c r="Z25" s="181" t="s">
        <v>311</v>
      </c>
      <c r="AA25" s="164"/>
      <c r="AB25" s="182" t="s">
        <v>1686</v>
      </c>
    </row>
    <row r="26" ht="29" hidden="1" customHeight="1" outlineLevel="1" spans="1:28">
      <c r="A26" s="159">
        <v>20</v>
      </c>
      <c r="B26" s="160">
        <v>43590</v>
      </c>
      <c r="C26" s="161" t="s">
        <v>1734</v>
      </c>
      <c r="D26" s="162" t="s">
        <v>1707</v>
      </c>
      <c r="E26" s="163" t="s">
        <v>1724</v>
      </c>
      <c r="F26" s="164" t="s">
        <v>1735</v>
      </c>
      <c r="G26" s="165" t="s">
        <v>1697</v>
      </c>
      <c r="H26" s="164">
        <f>IF(G26="","",VLOOKUP(G26,'附表8-合同明细采集底稿'!B:I,2,0))</f>
        <v>0</v>
      </c>
      <c r="I26" s="92">
        <f>IF(G26="","",VLOOKUP(G26,'附表8-合同明细采集底稿'!B:I,3,0))</f>
        <v>0</v>
      </c>
      <c r="J26" s="164" t="s">
        <v>1736</v>
      </c>
      <c r="K26" s="164" t="s">
        <v>1711</v>
      </c>
      <c r="L26" s="165" t="s">
        <v>1727</v>
      </c>
      <c r="M26" s="570" t="s">
        <v>1737</v>
      </c>
      <c r="N26" s="173">
        <v>97087.38</v>
      </c>
      <c r="O26" s="173">
        <v>100000</v>
      </c>
      <c r="P26" s="174">
        <v>97087.38</v>
      </c>
      <c r="Q26" s="180">
        <f>-P26</f>
        <v>-97087.38</v>
      </c>
      <c r="R26" s="173">
        <f t="shared" ref="R26:R89" si="2">P26+Q26</f>
        <v>0</v>
      </c>
      <c r="S26" s="177">
        <f>IFERROR(VLOOKUP(G26,'附表8-合同明细采集底稿'!B:M,12,0),100%)</f>
        <v>0.329519901724361</v>
      </c>
      <c r="T26" s="173">
        <f t="shared" si="1"/>
        <v>0</v>
      </c>
      <c r="U26" s="164"/>
      <c r="V26" s="178" t="s">
        <v>336</v>
      </c>
      <c r="W26" s="179">
        <f>IF('附表1-面积统计表'!$D$29=0,"",IF(AND(V26="共同成本费用",Z26="总建筑面积法"),ROUND(T26/'附表1-面积统计表'!$D$29*'附表1-面积统计表'!$D$5,2),IF(AND(V26="共同成本费用",Z26="可售建筑面积法"),ROUND(T26/'附表1-面积统计表'!$F$29*'附表1-面积统计表'!$F$5,2),"请手工填写")))</f>
        <v>0</v>
      </c>
      <c r="X26" s="179">
        <f>IF(SUM('附表1-面积统计表'!$D$6)=0,"",SUM(T26)-SUM(W26)-SUM(Y26))</f>
        <v>0</v>
      </c>
      <c r="Y26" s="179">
        <f>IF(SUM('附表1-面积统计表'!$D$6)=0,SUM(T26)-SUM(W26),IF('附表1-面积统计表'!$D$29=0,"",IF(AND(V26="共同成本费用",Z26="总建筑面积法"),ROUND(T26/'附表1-面积统计表'!$D$29*'附表1-面积统计表'!$D$7,2),IF(AND(V26="共同成本费用",Z26="可售建筑面积法"),ROUND(T26/'附表1-面积统计表'!$F$29*'附表1-面积统计表'!$F$7,2),"请手工填写"))))</f>
        <v>0</v>
      </c>
      <c r="Z26" s="181" t="s">
        <v>311</v>
      </c>
      <c r="AA26" s="164"/>
      <c r="AB26" s="182" t="s">
        <v>1686</v>
      </c>
    </row>
    <row r="27" ht="29" hidden="1" customHeight="1" outlineLevel="1" spans="1:28">
      <c r="A27" s="159">
        <v>21</v>
      </c>
      <c r="B27" s="160">
        <v>43640</v>
      </c>
      <c r="C27" s="161" t="s">
        <v>1738</v>
      </c>
      <c r="D27" s="162" t="s">
        <v>1739</v>
      </c>
      <c r="E27" s="163" t="s">
        <v>1740</v>
      </c>
      <c r="F27" s="164" t="s">
        <v>1741</v>
      </c>
      <c r="G27" s="165" t="s">
        <v>1742</v>
      </c>
      <c r="H27" s="164" t="str">
        <f>IF(G27="","",VLOOKUP(G27,'附表8-合同明细采集底稿'!B:I,2,0))</f>
        <v>供水管道安装（自来水接口）</v>
      </c>
      <c r="I27" s="92" t="str">
        <f>IF(G27="","",VLOOKUP(G27,'附表8-合同明细采集底稿'!B:I,3,0))</f>
        <v>建设工程合同</v>
      </c>
      <c r="J27" s="164" t="str">
        <f>IF(G27="","",VLOOKUP(G27,'附表8-合同明细采集底稿'!B:I,4,0))</f>
        <v>新疆昌源水务集团库尔勒银泉供水有限公司工程分公司</v>
      </c>
      <c r="K27" s="164" t="s">
        <v>1711</v>
      </c>
      <c r="L27" s="165" t="s">
        <v>1743</v>
      </c>
      <c r="M27" s="570" t="s">
        <v>1744</v>
      </c>
      <c r="N27" s="173">
        <v>4265.2</v>
      </c>
      <c r="O27" s="173">
        <v>4649.07</v>
      </c>
      <c r="P27" s="174">
        <v>4265.2</v>
      </c>
      <c r="Q27" s="173"/>
      <c r="R27" s="173">
        <f t="shared" si="2"/>
        <v>4265.2</v>
      </c>
      <c r="S27" s="177">
        <f>IFERROR(VLOOKUP(G27,'附表8-合同明细采集底稿'!B:M,12,0),100%)</f>
        <v>0.329519901724361</v>
      </c>
      <c r="T27" s="173">
        <f t="shared" si="1"/>
        <v>1405.47</v>
      </c>
      <c r="U27" s="164"/>
      <c r="V27" s="178" t="s">
        <v>336</v>
      </c>
      <c r="W27" s="179">
        <f>IF('附表1-面积统计表'!$D$29=0,"",IF(AND(V27="共同成本费用",Z27="总建筑面积法"),ROUND(T27/'附表1-面积统计表'!$D$29*'附表1-面积统计表'!$D$5,2),IF(AND(V27="共同成本费用",Z27="可售建筑面积法"),ROUND(T27/'附表1-面积统计表'!$F$29*'附表1-面积统计表'!$F$5,2),"请手工填写")))</f>
        <v>513.32</v>
      </c>
      <c r="X27" s="179">
        <f>IF(SUM('附表1-面积统计表'!$D$6)=0,"",SUM(T27)-SUM(W27)-SUM(Y27))</f>
        <v>633.06</v>
      </c>
      <c r="Y27" s="179">
        <f>IF(SUM('附表1-面积统计表'!$D$6)=0,SUM(T27)-SUM(W27),IF('附表1-面积统计表'!$D$29=0,"",IF(AND(V27="共同成本费用",Z27="总建筑面积法"),ROUND(T27/'附表1-面积统计表'!$D$29*'附表1-面积统计表'!$D$7,2),IF(AND(V27="共同成本费用",Z27="可售建筑面积法"),ROUND(T27/'附表1-面积统计表'!$F$29*'附表1-面积统计表'!$F$7,2),"请手工填写"))))</f>
        <v>259.09</v>
      </c>
      <c r="Z27" s="181" t="s">
        <v>311</v>
      </c>
      <c r="AA27" s="164"/>
      <c r="AB27" s="182" t="s">
        <v>1686</v>
      </c>
    </row>
    <row r="28" ht="29" hidden="1" customHeight="1" outlineLevel="1" spans="1:28">
      <c r="A28" s="159">
        <v>22</v>
      </c>
      <c r="B28" s="160">
        <v>43648</v>
      </c>
      <c r="C28" s="161" t="s">
        <v>1718</v>
      </c>
      <c r="D28" s="162" t="s">
        <v>1739</v>
      </c>
      <c r="E28" s="163" t="s">
        <v>1745</v>
      </c>
      <c r="F28" s="164" t="s">
        <v>1746</v>
      </c>
      <c r="G28" s="165" t="s">
        <v>1747</v>
      </c>
      <c r="H28" s="164" t="str">
        <f>IF(G28="","",VLOOKUP(G28,'附表8-合同明细采集底稿'!B:I,2,0))</f>
        <v>沁春锦苑小区景观廊架工程</v>
      </c>
      <c r="I28" s="92" t="str">
        <f>IF(G28="","",VLOOKUP(G28,'附表8-合同明细采集底稿'!B:I,3,0))</f>
        <v>建设工程合同</v>
      </c>
      <c r="J28" s="164" t="str">
        <f>IF(G28="","",VLOOKUP(G28,'附表8-合同明细采集底稿'!B:I,4,0))</f>
        <v>库尔勒坚乐美建筑工程有限责任公司（郑长银）</v>
      </c>
      <c r="K28" s="164" t="s">
        <v>1711</v>
      </c>
      <c r="L28" s="165" t="s">
        <v>1727</v>
      </c>
      <c r="M28" s="570" t="s">
        <v>1748</v>
      </c>
      <c r="N28" s="173">
        <v>88495.58</v>
      </c>
      <c r="O28" s="173">
        <v>100000</v>
      </c>
      <c r="P28" s="174">
        <v>88495.58</v>
      </c>
      <c r="Q28" s="173"/>
      <c r="R28" s="173">
        <f t="shared" si="2"/>
        <v>88495.58</v>
      </c>
      <c r="S28" s="177">
        <f>IFERROR(VLOOKUP(G28,'附表8-合同明细采集底稿'!B:M,12,0),100%)</f>
        <v>0.329519901724361</v>
      </c>
      <c r="T28" s="173">
        <f t="shared" si="1"/>
        <v>29161.05</v>
      </c>
      <c r="U28" s="164"/>
      <c r="V28" s="178" t="s">
        <v>336</v>
      </c>
      <c r="W28" s="179">
        <f>IF('附表1-面积统计表'!$D$29=0,"",IF(AND(V28="共同成本费用",Z28="总建筑面积法"),ROUND(T28/'附表1-面积统计表'!$D$29*'附表1-面积统计表'!$D$5,2),IF(AND(V28="共同成本费用",Z28="可售建筑面积法"),ROUND(T28/'附表1-面积统计表'!$F$29*'附表1-面积统计表'!$F$5,2),"请手工填写")))</f>
        <v>10650.47</v>
      </c>
      <c r="X28" s="179">
        <f>IF(SUM('附表1-面积统计表'!$D$6)=0,"",SUM(T28)-SUM(W28)-SUM(Y28))</f>
        <v>13134.95</v>
      </c>
      <c r="Y28" s="179">
        <f>IF(SUM('附表1-面积统计表'!$D$6)=0,SUM(T28)-SUM(W28),IF('附表1-面积统计表'!$D$29=0,"",IF(AND(V28="共同成本费用",Z28="总建筑面积法"),ROUND(T28/'附表1-面积统计表'!$D$29*'附表1-面积统计表'!$D$7,2),IF(AND(V28="共同成本费用",Z28="可售建筑面积法"),ROUND(T28/'附表1-面积统计表'!$F$29*'附表1-面积统计表'!$F$7,2),"请手工填写"))))</f>
        <v>5375.63</v>
      </c>
      <c r="Z28" s="181" t="s">
        <v>311</v>
      </c>
      <c r="AA28" s="164"/>
      <c r="AB28" s="182" t="s">
        <v>1686</v>
      </c>
    </row>
    <row r="29" ht="29" hidden="1" customHeight="1" outlineLevel="1" spans="1:28">
      <c r="A29" s="159">
        <v>23</v>
      </c>
      <c r="B29" s="160">
        <v>43668</v>
      </c>
      <c r="C29" s="161" t="s">
        <v>1749</v>
      </c>
      <c r="D29" s="162" t="s">
        <v>1739</v>
      </c>
      <c r="E29" s="163" t="s">
        <v>1745</v>
      </c>
      <c r="F29" s="164" t="s">
        <v>1750</v>
      </c>
      <c r="G29" s="165" t="s">
        <v>1751</v>
      </c>
      <c r="H29" s="164" t="str">
        <f>IF(G29="","",VLOOKUP(G29,'附表8-合同明细采集底稿'!B:I,2,0))</f>
        <v>（石材）材料购销合同</v>
      </c>
      <c r="I29" s="92" t="str">
        <f>IF(G29="","",VLOOKUP(G29,'附表8-合同明细采集底稿'!B:I,3,0))</f>
        <v>建设工程合同</v>
      </c>
      <c r="J29" s="164" t="str">
        <f>IF(G29="","",VLOOKUP(G29,'附表8-合同明细采集底稿'!B:I,4,0))</f>
        <v>托里县天和石业发展有限总公司</v>
      </c>
      <c r="K29" s="164" t="s">
        <v>1711</v>
      </c>
      <c r="L29" s="165" t="s">
        <v>1727</v>
      </c>
      <c r="M29" s="570" t="s">
        <v>1752</v>
      </c>
      <c r="N29" s="173">
        <v>192175.02</v>
      </c>
      <c r="O29" s="173">
        <v>197940.27</v>
      </c>
      <c r="P29" s="174">
        <v>192175.02</v>
      </c>
      <c r="Q29" s="173"/>
      <c r="R29" s="173">
        <f t="shared" si="2"/>
        <v>192175.02</v>
      </c>
      <c r="S29" s="177">
        <f>IFERROR(VLOOKUP(G29,'附表8-合同明细采集底稿'!B:M,12,0),100%)</f>
        <v>0.329519901724361</v>
      </c>
      <c r="T29" s="173">
        <f t="shared" ref="T29:T92" si="3">ROUND(SUM(R29)*SUM(S29),2)</f>
        <v>63325.49</v>
      </c>
      <c r="U29" s="164"/>
      <c r="V29" s="178" t="s">
        <v>336</v>
      </c>
      <c r="W29" s="179">
        <f>IF('附表1-面积统计表'!$D$29=0,"",IF(AND(V29="共同成本费用",Z29="总建筑面积法"),ROUND(T29/'附表1-面积统计表'!$D$29*'附表1-面积统计表'!$D$5,2),IF(AND(V29="共同成本费用",Z29="可售建筑面积法"),ROUND(T29/'附表1-面积统计表'!$F$29*'附表1-面积统计表'!$F$5,2),"请手工填写")))</f>
        <v>23128.33</v>
      </c>
      <c r="X29" s="179">
        <f>IF(SUM('附表1-面积统计表'!$D$6)=0,"",SUM(T29)-SUM(W29)-SUM(Y29))</f>
        <v>28523.57</v>
      </c>
      <c r="Y29" s="179">
        <f>IF(SUM('附表1-面积统计表'!$D$6)=0,SUM(T29)-SUM(W29),IF('附表1-面积统计表'!$D$29=0,"",IF(AND(V29="共同成本费用",Z29="总建筑面积法"),ROUND(T29/'附表1-面积统计表'!$D$29*'附表1-面积统计表'!$D$7,2),IF(AND(V29="共同成本费用",Z29="可售建筑面积法"),ROUND(T29/'附表1-面积统计表'!$F$29*'附表1-面积统计表'!$F$7,2),"请手工填写"))))</f>
        <v>11673.59</v>
      </c>
      <c r="Z29" s="181" t="s">
        <v>311</v>
      </c>
      <c r="AA29" s="164"/>
      <c r="AB29" s="182" t="s">
        <v>1686</v>
      </c>
    </row>
    <row r="30" ht="29" hidden="1" customHeight="1" outlineLevel="1" spans="1:28">
      <c r="A30" s="159">
        <v>24</v>
      </c>
      <c r="B30" s="160">
        <v>43704</v>
      </c>
      <c r="C30" s="161" t="s">
        <v>1753</v>
      </c>
      <c r="D30" s="162" t="s">
        <v>1707</v>
      </c>
      <c r="E30" s="163" t="s">
        <v>1708</v>
      </c>
      <c r="F30" s="164" t="s">
        <v>1754</v>
      </c>
      <c r="G30" s="165" t="s">
        <v>1755</v>
      </c>
      <c r="H30" s="164" t="str">
        <f>IF(G30="","",VLOOKUP(G30,'附表8-合同明细采集底稿'!B:I,2,0))</f>
        <v>专业建设工程设计合同</v>
      </c>
      <c r="I30" s="92" t="str">
        <f>IF(G30="","",VLOOKUP(G30,'附表8-合同明细采集底稿'!B:I,3,0))</f>
        <v>技术合同</v>
      </c>
      <c r="J30" s="164" t="str">
        <f>IF(G30="","",VLOOKUP(G30,'附表8-合同明细采集底稿'!B:I,4,0))</f>
        <v>乌鲁木齐大漠林海绿化有限责任公司（蔚晓芳）</v>
      </c>
      <c r="K30" s="164" t="s">
        <v>1711</v>
      </c>
      <c r="L30" s="165" t="s">
        <v>1756</v>
      </c>
      <c r="M30" s="570" t="s">
        <v>1757</v>
      </c>
      <c r="N30" s="173">
        <v>33786.41</v>
      </c>
      <c r="O30" s="173">
        <v>34800</v>
      </c>
      <c r="P30" s="174">
        <v>33786.41</v>
      </c>
      <c r="Q30" s="173"/>
      <c r="R30" s="173">
        <f t="shared" si="2"/>
        <v>33786.41</v>
      </c>
      <c r="S30" s="177">
        <f>IFERROR(VLOOKUP(G30,'附表8-合同明细采集底稿'!B:M,12,0),100%)</f>
        <v>0.329519901724361</v>
      </c>
      <c r="T30" s="173">
        <f t="shared" si="3"/>
        <v>11133.29</v>
      </c>
      <c r="U30" s="164"/>
      <c r="V30" s="178" t="s">
        <v>336</v>
      </c>
      <c r="W30" s="179">
        <f>IF('附表1-面积统计表'!$D$29=0,"",IF(AND(V30="共同成本费用",Z30="总建筑面积法"),ROUND(T30/'附表1-面积统计表'!$D$29*'附表1-面积统计表'!$D$5,2),IF(AND(V30="共同成本费用",Z30="可售建筑面积法"),ROUND(T30/'附表1-面积统计表'!$F$29*'附表1-面积统计表'!$F$5,2),"请手工填写")))</f>
        <v>4066.2</v>
      </c>
      <c r="X30" s="179">
        <f>IF(SUM('附表1-面积统计表'!$D$6)=0,"",SUM(T30)-SUM(W30)-SUM(Y30))</f>
        <v>5014.75</v>
      </c>
      <c r="Y30" s="179">
        <f>IF(SUM('附表1-面积统计表'!$D$6)=0,SUM(T30)-SUM(W30),IF('附表1-面积统计表'!$D$29=0,"",IF(AND(V30="共同成本费用",Z30="总建筑面积法"),ROUND(T30/'附表1-面积统计表'!$D$29*'附表1-面积统计表'!$D$7,2),IF(AND(V30="共同成本费用",Z30="可售建筑面积法"),ROUND(T30/'附表1-面积统计表'!$F$29*'附表1-面积统计表'!$F$7,2),"请手工填写"))))</f>
        <v>2052.34</v>
      </c>
      <c r="Z30" s="181" t="s">
        <v>311</v>
      </c>
      <c r="AA30" s="164"/>
      <c r="AB30" s="182" t="s">
        <v>1686</v>
      </c>
    </row>
    <row r="31" ht="29" hidden="1" customHeight="1" outlineLevel="1" spans="1:28">
      <c r="A31" s="159">
        <v>25</v>
      </c>
      <c r="B31" s="160">
        <v>43704</v>
      </c>
      <c r="C31" s="161" t="s">
        <v>1753</v>
      </c>
      <c r="D31" s="162" t="s">
        <v>1707</v>
      </c>
      <c r="E31" s="163" t="s">
        <v>1708</v>
      </c>
      <c r="F31" s="164" t="s">
        <v>1754</v>
      </c>
      <c r="G31" s="165" t="s">
        <v>1755</v>
      </c>
      <c r="H31" s="164" t="str">
        <f>IF(G31="","",VLOOKUP(G31,'附表8-合同明细采集底稿'!B:I,2,0))</f>
        <v>专业建设工程设计合同</v>
      </c>
      <c r="I31" s="92" t="str">
        <f>IF(G31="","",VLOOKUP(G31,'附表8-合同明细采集底稿'!B:I,3,0))</f>
        <v>技术合同</v>
      </c>
      <c r="J31" s="164" t="str">
        <f>IF(G31="","",VLOOKUP(G31,'附表8-合同明细采集底稿'!B:I,4,0))</f>
        <v>乌鲁木齐大漠林海绿化有限责任公司（蔚晓芳）</v>
      </c>
      <c r="K31" s="164" t="s">
        <v>1711</v>
      </c>
      <c r="L31" s="165" t="s">
        <v>1756</v>
      </c>
      <c r="M31" s="570" t="s">
        <v>1758</v>
      </c>
      <c r="N31" s="173">
        <v>65000</v>
      </c>
      <c r="O31" s="173">
        <v>66950</v>
      </c>
      <c r="P31" s="174">
        <v>65000</v>
      </c>
      <c r="Q31" s="173"/>
      <c r="R31" s="173">
        <f t="shared" si="2"/>
        <v>65000</v>
      </c>
      <c r="S31" s="177">
        <f>IFERROR(VLOOKUP(G31,'附表8-合同明细采集底稿'!B:M,12,0),100%)</f>
        <v>0.329519901724361</v>
      </c>
      <c r="T31" s="173">
        <f t="shared" si="3"/>
        <v>21418.79</v>
      </c>
      <c r="U31" s="164"/>
      <c r="V31" s="178" t="s">
        <v>336</v>
      </c>
      <c r="W31" s="179">
        <f>IF('附表1-面积统计表'!$D$29=0,"",IF(AND(V31="共同成本费用",Z31="总建筑面积法"),ROUND(T31/'附表1-面积统计表'!$D$29*'附表1-面积统计表'!$D$5,2),IF(AND(V31="共同成本费用",Z31="可售建筑面积法"),ROUND(T31/'附表1-面积统计表'!$F$29*'附表1-面积统计表'!$F$5,2),"请手工填写")))</f>
        <v>7822.77</v>
      </c>
      <c r="X31" s="179">
        <f>IF(SUM('附表1-面积统计表'!$D$6)=0,"",SUM(T31)-SUM(W31)-SUM(Y31))</f>
        <v>9647.62</v>
      </c>
      <c r="Y31" s="179">
        <f>IF(SUM('附表1-面积统计表'!$D$6)=0,SUM(T31)-SUM(W31),IF('附表1-面积统计表'!$D$29=0,"",IF(AND(V31="共同成本费用",Z31="总建筑面积法"),ROUND(T31/'附表1-面积统计表'!$D$29*'附表1-面积统计表'!$D$7,2),IF(AND(V31="共同成本费用",Z31="可售建筑面积法"),ROUND(T31/'附表1-面积统计表'!$F$29*'附表1-面积统计表'!$F$7,2),"请手工填写"))))</f>
        <v>3948.4</v>
      </c>
      <c r="Z31" s="181" t="s">
        <v>311</v>
      </c>
      <c r="AA31" s="164"/>
      <c r="AB31" s="182" t="s">
        <v>1686</v>
      </c>
    </row>
    <row r="32" ht="29" hidden="1" customHeight="1" outlineLevel="1" spans="1:28">
      <c r="A32" s="159">
        <v>26</v>
      </c>
      <c r="B32" s="160">
        <v>43704</v>
      </c>
      <c r="C32" s="161" t="s">
        <v>1753</v>
      </c>
      <c r="D32" s="162" t="s">
        <v>1707</v>
      </c>
      <c r="E32" s="163" t="s">
        <v>1708</v>
      </c>
      <c r="F32" s="164" t="s">
        <v>1754</v>
      </c>
      <c r="G32" s="165" t="s">
        <v>1755</v>
      </c>
      <c r="H32" s="164" t="str">
        <f>IF(G32="","",VLOOKUP(G32,'附表8-合同明细采集底稿'!B:I,2,0))</f>
        <v>专业建设工程设计合同</v>
      </c>
      <c r="I32" s="92" t="str">
        <f>IF(G32="","",VLOOKUP(G32,'附表8-合同明细采集底稿'!B:I,3,0))</f>
        <v>技术合同</v>
      </c>
      <c r="J32" s="164" t="str">
        <f>IF(G32="","",VLOOKUP(G32,'附表8-合同明细采集底稿'!B:I,4,0))</f>
        <v>乌鲁木齐大漠林海绿化有限责任公司（蔚晓芳）</v>
      </c>
      <c r="K32" s="164" t="s">
        <v>1711</v>
      </c>
      <c r="L32" s="165" t="s">
        <v>1756</v>
      </c>
      <c r="M32" s="570" t="s">
        <v>1759</v>
      </c>
      <c r="N32" s="173">
        <v>97087.38</v>
      </c>
      <c r="O32" s="173">
        <v>100000</v>
      </c>
      <c r="P32" s="174">
        <v>97087.38</v>
      </c>
      <c r="Q32" s="173"/>
      <c r="R32" s="173">
        <f t="shared" si="2"/>
        <v>97087.38</v>
      </c>
      <c r="S32" s="177">
        <f>IFERROR(VLOOKUP(G32,'附表8-合同明细采集底稿'!B:M,12,0),100%)</f>
        <v>0.329519901724361</v>
      </c>
      <c r="T32" s="173">
        <f t="shared" si="3"/>
        <v>31992.22</v>
      </c>
      <c r="U32" s="164"/>
      <c r="V32" s="178" t="s">
        <v>336</v>
      </c>
      <c r="W32" s="179">
        <f>IF('附表1-面积统计表'!$D$29=0,"",IF(AND(V32="共同成本费用",Z32="总建筑面积法"),ROUND(T32/'附表1-面积统计表'!$D$29*'附表1-面积统计表'!$D$5,2),IF(AND(V32="共同成本费用",Z32="可售建筑面积法"),ROUND(T32/'附表1-面积统计表'!$F$29*'附表1-面积统计表'!$F$5,2),"请手工填写")))</f>
        <v>11684.5</v>
      </c>
      <c r="X32" s="179">
        <f>IF(SUM('附表1-面积统计表'!$D$6)=0,"",SUM(T32)-SUM(W32)-SUM(Y32))</f>
        <v>14410.19</v>
      </c>
      <c r="Y32" s="179">
        <f>IF(SUM('附表1-面积统计表'!$D$6)=0,SUM(T32)-SUM(W32),IF('附表1-面积统计表'!$D$29=0,"",IF(AND(V32="共同成本费用",Z32="总建筑面积法"),ROUND(T32/'附表1-面积统计表'!$D$29*'附表1-面积统计表'!$D$7,2),IF(AND(V32="共同成本费用",Z32="可售建筑面积法"),ROUND(T32/'附表1-面积统计表'!$F$29*'附表1-面积统计表'!$F$7,2),"请手工填写"))))</f>
        <v>5897.53</v>
      </c>
      <c r="Z32" s="181" t="s">
        <v>311</v>
      </c>
      <c r="AA32" s="164"/>
      <c r="AB32" s="182" t="s">
        <v>1686</v>
      </c>
    </row>
    <row r="33" ht="29" hidden="1" customHeight="1" outlineLevel="1" spans="1:28">
      <c r="A33" s="159">
        <v>27</v>
      </c>
      <c r="B33" s="160">
        <v>43704</v>
      </c>
      <c r="C33" s="161" t="s">
        <v>1753</v>
      </c>
      <c r="D33" s="162" t="s">
        <v>1707</v>
      </c>
      <c r="E33" s="163" t="s">
        <v>1708</v>
      </c>
      <c r="F33" s="164" t="s">
        <v>1754</v>
      </c>
      <c r="G33" s="165" t="s">
        <v>1755</v>
      </c>
      <c r="H33" s="164" t="str">
        <f>IF(G33="","",VLOOKUP(G33,'附表8-合同明细采集底稿'!B:I,2,0))</f>
        <v>专业建设工程设计合同</v>
      </c>
      <c r="I33" s="92" t="str">
        <f>IF(G33="","",VLOOKUP(G33,'附表8-合同明细采集底稿'!B:I,3,0))</f>
        <v>技术合同</v>
      </c>
      <c r="J33" s="164" t="str">
        <f>IF(G33="","",VLOOKUP(G33,'附表8-合同明细采集底稿'!B:I,4,0))</f>
        <v>乌鲁木齐大漠林海绿化有限责任公司（蔚晓芳）</v>
      </c>
      <c r="K33" s="164" t="s">
        <v>1711</v>
      </c>
      <c r="L33" s="165" t="s">
        <v>1743</v>
      </c>
      <c r="M33" s="570" t="s">
        <v>1760</v>
      </c>
      <c r="N33" s="173">
        <v>97087.38</v>
      </c>
      <c r="O33" s="173">
        <v>100000</v>
      </c>
      <c r="P33" s="174">
        <v>97087.38</v>
      </c>
      <c r="Q33" s="173"/>
      <c r="R33" s="173">
        <f t="shared" si="2"/>
        <v>97087.38</v>
      </c>
      <c r="S33" s="177">
        <f>IFERROR(VLOOKUP(G33,'附表8-合同明细采集底稿'!B:M,12,0),100%)</f>
        <v>0.329519901724361</v>
      </c>
      <c r="T33" s="173">
        <f t="shared" si="3"/>
        <v>31992.22</v>
      </c>
      <c r="U33" s="164"/>
      <c r="V33" s="178" t="s">
        <v>336</v>
      </c>
      <c r="W33" s="179">
        <f>IF('附表1-面积统计表'!$D$29=0,"",IF(AND(V33="共同成本费用",Z33="总建筑面积法"),ROUND(T33/'附表1-面积统计表'!$D$29*'附表1-面积统计表'!$D$5,2),IF(AND(V33="共同成本费用",Z33="可售建筑面积法"),ROUND(T33/'附表1-面积统计表'!$F$29*'附表1-面积统计表'!$F$5,2),"请手工填写")))</f>
        <v>11684.5</v>
      </c>
      <c r="X33" s="179">
        <f>IF(SUM('附表1-面积统计表'!$D$6)=0,"",SUM(T33)-SUM(W33)-SUM(Y33))</f>
        <v>14410.19</v>
      </c>
      <c r="Y33" s="179">
        <f>IF(SUM('附表1-面积统计表'!$D$6)=0,SUM(T33)-SUM(W33),IF('附表1-面积统计表'!$D$29=0,"",IF(AND(V33="共同成本费用",Z33="总建筑面积法"),ROUND(T33/'附表1-面积统计表'!$D$29*'附表1-面积统计表'!$D$7,2),IF(AND(V33="共同成本费用",Z33="可售建筑面积法"),ROUND(T33/'附表1-面积统计表'!$F$29*'附表1-面积统计表'!$F$7,2),"请手工填写"))))</f>
        <v>5897.53</v>
      </c>
      <c r="Z33" s="181" t="s">
        <v>311</v>
      </c>
      <c r="AA33" s="164"/>
      <c r="AB33" s="182" t="s">
        <v>1686</v>
      </c>
    </row>
    <row r="34" ht="29" hidden="1" customHeight="1" outlineLevel="1" spans="1:28">
      <c r="A34" s="159">
        <v>28</v>
      </c>
      <c r="B34" s="160">
        <v>43748</v>
      </c>
      <c r="C34" s="161" t="s">
        <v>1761</v>
      </c>
      <c r="D34" s="162" t="s">
        <v>1739</v>
      </c>
      <c r="E34" s="163" t="s">
        <v>1745</v>
      </c>
      <c r="F34" s="164" t="s">
        <v>1762</v>
      </c>
      <c r="G34" s="165" t="s">
        <v>1763</v>
      </c>
      <c r="H34" s="164" t="str">
        <f>IF(G34="","",VLOOKUP(G34,'附表8-合同明细采集底稿'!B:I,2,0))</f>
        <v>沁春锦苑小区景观轴亮化工程合同</v>
      </c>
      <c r="I34" s="92" t="str">
        <f>IF(G34="","",VLOOKUP(G34,'附表8-合同明细采集底稿'!B:I,3,0))</f>
        <v>建设工程合同</v>
      </c>
      <c r="J34" s="164" t="str">
        <f>IF(G34="","",VLOOKUP(G34,'附表8-合同明细采集底稿'!B:I,4,0))</f>
        <v>巴州青橄榄电子科技有限公司（党曌）</v>
      </c>
      <c r="K34" s="164" t="s">
        <v>1711</v>
      </c>
      <c r="L34" s="165">
        <v>6500192130</v>
      </c>
      <c r="M34" s="570" t="s">
        <v>1764</v>
      </c>
      <c r="N34" s="173">
        <v>34951.46</v>
      </c>
      <c r="O34" s="173">
        <v>36000</v>
      </c>
      <c r="P34" s="174">
        <v>34591.46</v>
      </c>
      <c r="Q34" s="173"/>
      <c r="R34" s="173">
        <f t="shared" si="2"/>
        <v>34591.46</v>
      </c>
      <c r="S34" s="177">
        <f>IFERROR(VLOOKUP(G34,'附表8-合同明细采集底稿'!B:M,12,0),100%)</f>
        <v>0.329519901724361</v>
      </c>
      <c r="T34" s="173">
        <f t="shared" si="3"/>
        <v>11398.57</v>
      </c>
      <c r="U34" s="164"/>
      <c r="V34" s="178" t="s">
        <v>336</v>
      </c>
      <c r="W34" s="179">
        <f>IF('附表1-面积统计表'!$D$29=0,"",IF(AND(V34="共同成本费用",Z34="总建筑面积法"),ROUND(T34/'附表1-面积统计表'!$D$29*'附表1-面积统计表'!$D$5,2),IF(AND(V34="共同成本费用",Z34="可售建筑面积法"),ROUND(T34/'附表1-面积统计表'!$F$29*'附表1-面积统计表'!$F$5,2),"请手工填写")))</f>
        <v>4163.09</v>
      </c>
      <c r="X34" s="179">
        <f>IF(SUM('附表1-面积统计表'!$D$6)=0,"",SUM(T34)-SUM(W34)-SUM(Y34))</f>
        <v>5134.24</v>
      </c>
      <c r="Y34" s="179">
        <f>IF(SUM('附表1-面积统计表'!$D$6)=0,SUM(T34)-SUM(W34),IF('附表1-面积统计表'!$D$29=0,"",IF(AND(V34="共同成本费用",Z34="总建筑面积法"),ROUND(T34/'附表1-面积统计表'!$D$29*'附表1-面积统计表'!$D$7,2),IF(AND(V34="共同成本费用",Z34="可售建筑面积法"),ROUND(T34/'附表1-面积统计表'!$F$29*'附表1-面积统计表'!$F$7,2),"请手工填写"))))</f>
        <v>2101.24</v>
      </c>
      <c r="Z34" s="181" t="s">
        <v>311</v>
      </c>
      <c r="AA34" s="164"/>
      <c r="AB34" s="182" t="s">
        <v>1686</v>
      </c>
    </row>
    <row r="35" ht="29" hidden="1" customHeight="1" outlineLevel="1" spans="1:28">
      <c r="A35" s="159">
        <v>29</v>
      </c>
      <c r="B35" s="160">
        <v>43757</v>
      </c>
      <c r="C35" s="161" t="s">
        <v>1765</v>
      </c>
      <c r="D35" s="162" t="s">
        <v>1739</v>
      </c>
      <c r="E35" s="163" t="s">
        <v>1745</v>
      </c>
      <c r="F35" s="164" t="s">
        <v>1766</v>
      </c>
      <c r="G35" s="165" t="s">
        <v>1767</v>
      </c>
      <c r="H35" s="164" t="str">
        <f>IF(G35="","",VLOOKUP(G35,'附表8-合同明细采集底稿'!B:I,2,0))</f>
        <v>雕塑工程合同</v>
      </c>
      <c r="I35" s="92" t="str">
        <f>IF(G35="","",VLOOKUP(G35,'附表8-合同明细采集底稿'!B:I,3,0))</f>
        <v>买卖合同</v>
      </c>
      <c r="J35" s="164" t="str">
        <f>IF(G35="","",VLOOKUP(G35,'附表8-合同明细采集底稿'!B:I,4,0))</f>
        <v>曲阳县石磊石材雕塑有限公司</v>
      </c>
      <c r="K35" s="164" t="s">
        <v>1711</v>
      </c>
      <c r="L35" s="165">
        <v>1300191130</v>
      </c>
      <c r="M35" s="165">
        <v>18370130</v>
      </c>
      <c r="N35" s="173">
        <v>80421.24</v>
      </c>
      <c r="O35" s="173">
        <v>90876</v>
      </c>
      <c r="P35" s="174">
        <v>80421.24</v>
      </c>
      <c r="Q35" s="173"/>
      <c r="R35" s="173">
        <f t="shared" si="2"/>
        <v>80421.24</v>
      </c>
      <c r="S35" s="177">
        <f>IFERROR(VLOOKUP(G35,'附表8-合同明细采集底稿'!B:M,12,0),100%)</f>
        <v>0.329519901724361</v>
      </c>
      <c r="T35" s="173">
        <f t="shared" si="3"/>
        <v>26500.4</v>
      </c>
      <c r="U35" s="164"/>
      <c r="V35" s="178" t="s">
        <v>336</v>
      </c>
      <c r="W35" s="179">
        <f>IF('附表1-面积统计表'!$D$29=0,"",IF(AND(V35="共同成本费用",Z35="总建筑面积法"),ROUND(T35/'附表1-面积统计表'!$D$29*'附表1-面积统计表'!$D$5,2),IF(AND(V35="共同成本费用",Z35="可售建筑面积法"),ROUND(T35/'附表1-面积统计表'!$F$29*'附表1-面积统计表'!$F$5,2),"请手工填写")))</f>
        <v>9678.73</v>
      </c>
      <c r="X35" s="179">
        <f>IF(SUM('附表1-面积统计表'!$D$6)=0,"",SUM(T35)-SUM(W35)-SUM(Y35))</f>
        <v>11936.52</v>
      </c>
      <c r="Y35" s="179">
        <f>IF(SUM('附表1-面积统计表'!$D$6)=0,SUM(T35)-SUM(W35),IF('附表1-面积统计表'!$D$29=0,"",IF(AND(V35="共同成本费用",Z35="总建筑面积法"),ROUND(T35/'附表1-面积统计表'!$D$29*'附表1-面积统计表'!$D$7,2),IF(AND(V35="共同成本费用",Z35="可售建筑面积法"),ROUND(T35/'附表1-面积统计表'!$F$29*'附表1-面积统计表'!$F$7,2),"请手工填写"))))</f>
        <v>4885.15</v>
      </c>
      <c r="Z35" s="181" t="s">
        <v>311</v>
      </c>
      <c r="AA35" s="164"/>
      <c r="AB35" s="182" t="s">
        <v>1686</v>
      </c>
    </row>
    <row r="36" ht="29" hidden="1" customHeight="1" outlineLevel="1" spans="1:28">
      <c r="A36" s="159">
        <v>30</v>
      </c>
      <c r="B36" s="160">
        <v>43757</v>
      </c>
      <c r="C36" s="161" t="s">
        <v>1765</v>
      </c>
      <c r="D36" s="162" t="s">
        <v>1739</v>
      </c>
      <c r="E36" s="163" t="s">
        <v>1745</v>
      </c>
      <c r="F36" s="164" t="s">
        <v>1766</v>
      </c>
      <c r="G36" s="165" t="s">
        <v>1767</v>
      </c>
      <c r="H36" s="164" t="str">
        <f>IF(G36="","",VLOOKUP(G36,'附表8-合同明细采集底稿'!B:I,2,0))</f>
        <v>雕塑工程合同</v>
      </c>
      <c r="I36" s="92" t="str">
        <f>IF(G36="","",VLOOKUP(G36,'附表8-合同明细采集底稿'!B:I,3,0))</f>
        <v>买卖合同</v>
      </c>
      <c r="J36" s="164" t="str">
        <f>IF(G36="","",VLOOKUP(G36,'附表8-合同明细采集底稿'!B:I,4,0))</f>
        <v>曲阳县石磊石材雕塑有限公司</v>
      </c>
      <c r="K36" s="164" t="s">
        <v>1711</v>
      </c>
      <c r="L36" s="165">
        <v>1300191130</v>
      </c>
      <c r="M36" s="165">
        <v>18370131</v>
      </c>
      <c r="N36" s="173">
        <v>80421.24</v>
      </c>
      <c r="O36" s="173">
        <v>90876</v>
      </c>
      <c r="P36" s="174">
        <v>80421.24</v>
      </c>
      <c r="Q36" s="173"/>
      <c r="R36" s="173">
        <f t="shared" si="2"/>
        <v>80421.24</v>
      </c>
      <c r="S36" s="177">
        <f>IFERROR(VLOOKUP(G36,'附表8-合同明细采集底稿'!B:M,12,0),100%)</f>
        <v>0.329519901724361</v>
      </c>
      <c r="T36" s="173">
        <f t="shared" si="3"/>
        <v>26500.4</v>
      </c>
      <c r="U36" s="164"/>
      <c r="V36" s="178" t="s">
        <v>336</v>
      </c>
      <c r="W36" s="179">
        <f>IF('附表1-面积统计表'!$D$29=0,"",IF(AND(V36="共同成本费用",Z36="总建筑面积法"),ROUND(T36/'附表1-面积统计表'!$D$29*'附表1-面积统计表'!$D$5,2),IF(AND(V36="共同成本费用",Z36="可售建筑面积法"),ROUND(T36/'附表1-面积统计表'!$F$29*'附表1-面积统计表'!$F$5,2),"请手工填写")))</f>
        <v>9678.73</v>
      </c>
      <c r="X36" s="179">
        <f>IF(SUM('附表1-面积统计表'!$D$6)=0,"",SUM(T36)-SUM(W36)-SUM(Y36))</f>
        <v>11936.52</v>
      </c>
      <c r="Y36" s="179">
        <f>IF(SUM('附表1-面积统计表'!$D$6)=0,SUM(T36)-SUM(W36),IF('附表1-面积统计表'!$D$29=0,"",IF(AND(V36="共同成本费用",Z36="总建筑面积法"),ROUND(T36/'附表1-面积统计表'!$D$29*'附表1-面积统计表'!$D$7,2),IF(AND(V36="共同成本费用",Z36="可售建筑面积法"),ROUND(T36/'附表1-面积统计表'!$F$29*'附表1-面积统计表'!$F$7,2),"请手工填写"))))</f>
        <v>4885.15</v>
      </c>
      <c r="Z36" s="181" t="s">
        <v>311</v>
      </c>
      <c r="AA36" s="164"/>
      <c r="AB36" s="182" t="s">
        <v>1686</v>
      </c>
    </row>
    <row r="37" ht="29" hidden="1" customHeight="1" outlineLevel="1" spans="1:28">
      <c r="A37" s="159">
        <v>31</v>
      </c>
      <c r="B37" s="160">
        <v>43757</v>
      </c>
      <c r="C37" s="161" t="s">
        <v>1765</v>
      </c>
      <c r="D37" s="162" t="s">
        <v>1739</v>
      </c>
      <c r="E37" s="163" t="s">
        <v>1745</v>
      </c>
      <c r="F37" s="164" t="s">
        <v>1766</v>
      </c>
      <c r="G37" s="165" t="s">
        <v>1767</v>
      </c>
      <c r="H37" s="164" t="str">
        <f>IF(G37="","",VLOOKUP(G37,'附表8-合同明细采集底稿'!B:I,2,0))</f>
        <v>雕塑工程合同</v>
      </c>
      <c r="I37" s="92" t="str">
        <f>IF(G37="","",VLOOKUP(G37,'附表8-合同明细采集底稿'!B:I,3,0))</f>
        <v>买卖合同</v>
      </c>
      <c r="J37" s="164" t="str">
        <f>IF(G37="","",VLOOKUP(G37,'附表8-合同明细采集底稿'!B:I,4,0))</f>
        <v>曲阳县石磊石材雕塑有限公司</v>
      </c>
      <c r="K37" s="164" t="s">
        <v>1711</v>
      </c>
      <c r="L37" s="165">
        <v>1300191130</v>
      </c>
      <c r="M37" s="165">
        <v>18370132</v>
      </c>
      <c r="N37" s="173">
        <v>80421.24</v>
      </c>
      <c r="O37" s="173">
        <v>90876</v>
      </c>
      <c r="P37" s="174">
        <v>80421.24</v>
      </c>
      <c r="Q37" s="173"/>
      <c r="R37" s="173">
        <f t="shared" si="2"/>
        <v>80421.24</v>
      </c>
      <c r="S37" s="177">
        <f>IFERROR(VLOOKUP(G37,'附表8-合同明细采集底稿'!B:M,12,0),100%)</f>
        <v>0.329519901724361</v>
      </c>
      <c r="T37" s="173">
        <f t="shared" si="3"/>
        <v>26500.4</v>
      </c>
      <c r="U37" s="164"/>
      <c r="V37" s="178" t="s">
        <v>336</v>
      </c>
      <c r="W37" s="179">
        <f>IF('附表1-面积统计表'!$D$29=0,"",IF(AND(V37="共同成本费用",Z37="总建筑面积法"),ROUND(T37/'附表1-面积统计表'!$D$29*'附表1-面积统计表'!$D$5,2),IF(AND(V37="共同成本费用",Z37="可售建筑面积法"),ROUND(T37/'附表1-面积统计表'!$F$29*'附表1-面积统计表'!$F$5,2),"请手工填写")))</f>
        <v>9678.73</v>
      </c>
      <c r="X37" s="179">
        <f>IF(SUM('附表1-面积统计表'!$D$6)=0,"",SUM(T37)-SUM(W37)-SUM(Y37))</f>
        <v>11936.52</v>
      </c>
      <c r="Y37" s="179">
        <f>IF(SUM('附表1-面积统计表'!$D$6)=0,SUM(T37)-SUM(W37),IF('附表1-面积统计表'!$D$29=0,"",IF(AND(V37="共同成本费用",Z37="总建筑面积法"),ROUND(T37/'附表1-面积统计表'!$D$29*'附表1-面积统计表'!$D$7,2),IF(AND(V37="共同成本费用",Z37="可售建筑面积法"),ROUND(T37/'附表1-面积统计表'!$F$29*'附表1-面积统计表'!$F$7,2),"请手工填写"))))</f>
        <v>4885.15</v>
      </c>
      <c r="Z37" s="181" t="s">
        <v>311</v>
      </c>
      <c r="AA37" s="164"/>
      <c r="AB37" s="182" t="s">
        <v>1686</v>
      </c>
    </row>
    <row r="38" ht="29" hidden="1" customHeight="1" outlineLevel="1" spans="1:28">
      <c r="A38" s="159">
        <v>32</v>
      </c>
      <c r="B38" s="160">
        <v>43757</v>
      </c>
      <c r="C38" s="161" t="s">
        <v>1765</v>
      </c>
      <c r="D38" s="162" t="s">
        <v>1739</v>
      </c>
      <c r="E38" s="163" t="s">
        <v>1745</v>
      </c>
      <c r="F38" s="164" t="s">
        <v>1766</v>
      </c>
      <c r="G38" s="165" t="s">
        <v>1767</v>
      </c>
      <c r="H38" s="164" t="str">
        <f>IF(G38="","",VLOOKUP(G38,'附表8-合同明细采集底稿'!B:I,2,0))</f>
        <v>雕塑工程合同</v>
      </c>
      <c r="I38" s="92" t="str">
        <f>IF(G38="","",VLOOKUP(G38,'附表8-合同明细采集底稿'!B:I,3,0))</f>
        <v>买卖合同</v>
      </c>
      <c r="J38" s="164" t="str">
        <f>IF(G38="","",VLOOKUP(G38,'附表8-合同明细采集底稿'!B:I,4,0))</f>
        <v>曲阳县石磊石材雕塑有限公司</v>
      </c>
      <c r="K38" s="164" t="s">
        <v>1711</v>
      </c>
      <c r="L38" s="165">
        <v>1300191130</v>
      </c>
      <c r="M38" s="165">
        <v>18370133</v>
      </c>
      <c r="N38" s="173">
        <v>80421.24</v>
      </c>
      <c r="O38" s="173">
        <v>90876</v>
      </c>
      <c r="P38" s="174">
        <v>80421.24</v>
      </c>
      <c r="Q38" s="173"/>
      <c r="R38" s="173">
        <f t="shared" si="2"/>
        <v>80421.24</v>
      </c>
      <c r="S38" s="177">
        <f>IFERROR(VLOOKUP(G38,'附表8-合同明细采集底稿'!B:M,12,0),100%)</f>
        <v>0.329519901724361</v>
      </c>
      <c r="T38" s="173">
        <f t="shared" si="3"/>
        <v>26500.4</v>
      </c>
      <c r="U38" s="164"/>
      <c r="V38" s="178" t="s">
        <v>336</v>
      </c>
      <c r="W38" s="179">
        <f>IF('附表1-面积统计表'!$D$29=0,"",IF(AND(V38="共同成本费用",Z38="总建筑面积法"),ROUND(T38/'附表1-面积统计表'!$D$29*'附表1-面积统计表'!$D$5,2),IF(AND(V38="共同成本费用",Z38="可售建筑面积法"),ROUND(T38/'附表1-面积统计表'!$F$29*'附表1-面积统计表'!$F$5,2),"请手工填写")))</f>
        <v>9678.73</v>
      </c>
      <c r="X38" s="179">
        <f>IF(SUM('附表1-面积统计表'!$D$6)=0,"",SUM(T38)-SUM(W38)-SUM(Y38))</f>
        <v>11936.52</v>
      </c>
      <c r="Y38" s="179">
        <f>IF(SUM('附表1-面积统计表'!$D$6)=0,SUM(T38)-SUM(W38),IF('附表1-面积统计表'!$D$29=0,"",IF(AND(V38="共同成本费用",Z38="总建筑面积法"),ROUND(T38/'附表1-面积统计表'!$D$29*'附表1-面积统计表'!$D$7,2),IF(AND(V38="共同成本费用",Z38="可售建筑面积法"),ROUND(T38/'附表1-面积统计表'!$F$29*'附表1-面积统计表'!$F$7,2),"请手工填写"))))</f>
        <v>4885.15</v>
      </c>
      <c r="Z38" s="181" t="s">
        <v>311</v>
      </c>
      <c r="AA38" s="164"/>
      <c r="AB38" s="182" t="s">
        <v>1686</v>
      </c>
    </row>
    <row r="39" ht="29" hidden="1" customHeight="1" outlineLevel="1" spans="1:28">
      <c r="A39" s="159">
        <v>33</v>
      </c>
      <c r="B39" s="160">
        <v>43757</v>
      </c>
      <c r="C39" s="161" t="s">
        <v>1765</v>
      </c>
      <c r="D39" s="162" t="s">
        <v>1739</v>
      </c>
      <c r="E39" s="163" t="s">
        <v>1745</v>
      </c>
      <c r="F39" s="164" t="s">
        <v>1766</v>
      </c>
      <c r="G39" s="165" t="s">
        <v>1767</v>
      </c>
      <c r="H39" s="164" t="str">
        <f>IF(G39="","",VLOOKUP(G39,'附表8-合同明细采集底稿'!B:I,2,0))</f>
        <v>雕塑工程合同</v>
      </c>
      <c r="I39" s="92" t="str">
        <f>IF(G39="","",VLOOKUP(G39,'附表8-合同明细采集底稿'!B:I,3,0))</f>
        <v>买卖合同</v>
      </c>
      <c r="J39" s="164" t="str">
        <f>IF(G39="","",VLOOKUP(G39,'附表8-合同明细采集底稿'!B:I,4,0))</f>
        <v>曲阳县石磊石材雕塑有限公司</v>
      </c>
      <c r="K39" s="164" t="s">
        <v>1711</v>
      </c>
      <c r="L39" s="165">
        <v>1300191130</v>
      </c>
      <c r="M39" s="165">
        <v>18370134</v>
      </c>
      <c r="N39" s="173">
        <v>80423.89</v>
      </c>
      <c r="O39" s="173">
        <v>90879</v>
      </c>
      <c r="P39" s="174">
        <v>80423.89</v>
      </c>
      <c r="Q39" s="173"/>
      <c r="R39" s="173">
        <f t="shared" si="2"/>
        <v>80423.89</v>
      </c>
      <c r="S39" s="177">
        <f>IFERROR(VLOOKUP(G39,'附表8-合同明细采集底稿'!B:M,12,0),100%)</f>
        <v>0.329519901724361</v>
      </c>
      <c r="T39" s="173">
        <f t="shared" si="3"/>
        <v>26501.27</v>
      </c>
      <c r="U39" s="164"/>
      <c r="V39" s="178" t="s">
        <v>336</v>
      </c>
      <c r="W39" s="179">
        <f>IF('附表1-面积统计表'!$D$29=0,"",IF(AND(V39="共同成本费用",Z39="总建筑面积法"),ROUND(T39/'附表1-面积统计表'!$D$29*'附表1-面积统计表'!$D$5,2),IF(AND(V39="共同成本费用",Z39="可售建筑面积法"),ROUND(T39/'附表1-面积统计表'!$F$29*'附表1-面积统计表'!$F$5,2),"请手工填写")))</f>
        <v>9679.04</v>
      </c>
      <c r="X39" s="179">
        <f>IF(SUM('附表1-面积统计表'!$D$6)=0,"",SUM(T39)-SUM(W39)-SUM(Y39))</f>
        <v>11936.91</v>
      </c>
      <c r="Y39" s="179">
        <f>IF(SUM('附表1-面积统计表'!$D$6)=0,SUM(T39)-SUM(W39),IF('附表1-面积统计表'!$D$29=0,"",IF(AND(V39="共同成本费用",Z39="总建筑面积法"),ROUND(T39/'附表1-面积统计表'!$D$29*'附表1-面积统计表'!$D$7,2),IF(AND(V39="共同成本费用",Z39="可售建筑面积法"),ROUND(T39/'附表1-面积统计表'!$F$29*'附表1-面积统计表'!$F$7,2),"请手工填写"))))</f>
        <v>4885.32</v>
      </c>
      <c r="Z39" s="181" t="s">
        <v>311</v>
      </c>
      <c r="AA39" s="164"/>
      <c r="AB39" s="182" t="s">
        <v>1686</v>
      </c>
    </row>
    <row r="40" ht="29" hidden="1" customHeight="1" outlineLevel="1" spans="1:28">
      <c r="A40" s="159">
        <v>34</v>
      </c>
      <c r="B40" s="160">
        <v>43760</v>
      </c>
      <c r="C40" s="161" t="s">
        <v>1768</v>
      </c>
      <c r="D40" s="162" t="s">
        <v>1739</v>
      </c>
      <c r="E40" s="163" t="s">
        <v>1745</v>
      </c>
      <c r="F40" s="164" t="s">
        <v>1769</v>
      </c>
      <c r="G40" s="165" t="s">
        <v>1697</v>
      </c>
      <c r="H40" s="164">
        <f>IF(G40="","",VLOOKUP(G40,'附表8-合同明细采集底稿'!B:I,2,0))</f>
        <v>0</v>
      </c>
      <c r="I40" s="92">
        <f>IF(G40="","",VLOOKUP(G40,'附表8-合同明细采集底稿'!B:I,3,0))</f>
        <v>0</v>
      </c>
      <c r="J40" s="164" t="s">
        <v>1770</v>
      </c>
      <c r="K40" s="164" t="s">
        <v>1711</v>
      </c>
      <c r="L40" s="165" t="s">
        <v>1756</v>
      </c>
      <c r="M40" s="570" t="s">
        <v>1771</v>
      </c>
      <c r="N40" s="173">
        <v>8038.83</v>
      </c>
      <c r="O40" s="173">
        <v>8280</v>
      </c>
      <c r="P40" s="174">
        <v>8038.83</v>
      </c>
      <c r="Q40" s="173"/>
      <c r="R40" s="173">
        <f t="shared" si="2"/>
        <v>8038.83</v>
      </c>
      <c r="S40" s="177">
        <f>IFERROR(VLOOKUP(G40,'附表8-合同明细采集底稿'!B:M,12,0),100%)</f>
        <v>0.329519901724361</v>
      </c>
      <c r="T40" s="173">
        <f t="shared" si="3"/>
        <v>2648.95</v>
      </c>
      <c r="U40" s="164"/>
      <c r="V40" s="178" t="s">
        <v>336</v>
      </c>
      <c r="W40" s="179">
        <f>IF('附表1-面积统计表'!$D$29=0,"",IF(AND(V40="共同成本费用",Z40="总建筑面积法"),ROUND(T40/'附表1-面积统计表'!$D$29*'附表1-面积统计表'!$D$5,2),IF(AND(V40="共同成本费用",Z40="可售建筑面积法"),ROUND(T40/'附表1-面积统计表'!$F$29*'附表1-面积统计表'!$F$5,2),"请手工填写")))</f>
        <v>967.47</v>
      </c>
      <c r="X40" s="179">
        <f>IF(SUM('附表1-面积统计表'!$D$6)=0,"",SUM(T40)-SUM(W40)-SUM(Y40))</f>
        <v>1193.17</v>
      </c>
      <c r="Y40" s="179">
        <f>IF(SUM('附表1-面积统计表'!$D$6)=0,SUM(T40)-SUM(W40),IF('附表1-面积统计表'!$D$29=0,"",IF(AND(V40="共同成本费用",Z40="总建筑面积法"),ROUND(T40/'附表1-面积统计表'!$D$29*'附表1-面积统计表'!$D$7,2),IF(AND(V40="共同成本费用",Z40="可售建筑面积法"),ROUND(T40/'附表1-面积统计表'!$F$29*'附表1-面积统计表'!$F$7,2),"请手工填写"))))</f>
        <v>488.31</v>
      </c>
      <c r="Z40" s="181" t="s">
        <v>311</v>
      </c>
      <c r="AA40" s="164"/>
      <c r="AB40" s="182" t="s">
        <v>1686</v>
      </c>
    </row>
    <row r="41" ht="29" hidden="1" customHeight="1" outlineLevel="1" spans="1:28">
      <c r="A41" s="159">
        <v>35</v>
      </c>
      <c r="B41" s="160">
        <v>43762</v>
      </c>
      <c r="C41" s="161" t="s">
        <v>1753</v>
      </c>
      <c r="D41" s="162" t="s">
        <v>1739</v>
      </c>
      <c r="E41" s="163" t="s">
        <v>1772</v>
      </c>
      <c r="F41" s="164" t="s">
        <v>1773</v>
      </c>
      <c r="G41" s="165"/>
      <c r="H41" s="164" t="str">
        <f>IF(G41="","",VLOOKUP(G41,'附表8-合同明细采集底稿'!B:I,2,0))</f>
        <v/>
      </c>
      <c r="I41" s="92" t="str">
        <f>IF(G41="","",VLOOKUP(G41,'附表8-合同明细采集底稿'!B:I,3,0))</f>
        <v/>
      </c>
      <c r="J41" s="164" t="s">
        <v>1774</v>
      </c>
      <c r="K41" s="164" t="s">
        <v>1704</v>
      </c>
      <c r="L41" s="165" t="s">
        <v>1705</v>
      </c>
      <c r="M41" s="165">
        <v>37140894</v>
      </c>
      <c r="N41" s="173">
        <v>600</v>
      </c>
      <c r="O41" s="173">
        <v>600</v>
      </c>
      <c r="P41" s="174">
        <v>600</v>
      </c>
      <c r="Q41" s="173">
        <v>-600</v>
      </c>
      <c r="R41" s="173">
        <f t="shared" si="2"/>
        <v>0</v>
      </c>
      <c r="S41" s="177">
        <f>IFERROR(VLOOKUP(G41,'附表8-合同明细采集底稿'!B:M,12,0),100%)</f>
        <v>1</v>
      </c>
      <c r="T41" s="173">
        <f t="shared" si="3"/>
        <v>0</v>
      </c>
      <c r="U41" s="164"/>
      <c r="V41" s="178" t="s">
        <v>336</v>
      </c>
      <c r="W41" s="179">
        <f>IF('附表1-面积统计表'!$D$29=0,"",IF(AND(V41="共同成本费用",Z41="总建筑面积法"),ROUND(T41/'附表1-面积统计表'!$D$29*'附表1-面积统计表'!$D$5,2),IF(AND(V41="共同成本费用",Z41="可售建筑面积法"),ROUND(T41/'附表1-面积统计表'!$F$29*'附表1-面积统计表'!$F$5,2),"请手工填写")))</f>
        <v>0</v>
      </c>
      <c r="X41" s="179">
        <f>IF(SUM('附表1-面积统计表'!$D$6)=0,"",SUM(T41)-SUM(W41)-SUM(Y41))</f>
        <v>0</v>
      </c>
      <c r="Y41" s="179">
        <f>IF(SUM('附表1-面积统计表'!$D$6)=0,SUM(T41)-SUM(W41),IF('附表1-面积统计表'!$D$29=0,"",IF(AND(V41="共同成本费用",Z41="总建筑面积法"),ROUND(T41/'附表1-面积统计表'!$D$29*'附表1-面积统计表'!$D$7,2),IF(AND(V41="共同成本费用",Z41="可售建筑面积法"),ROUND(T41/'附表1-面积统计表'!$F$29*'附表1-面积统计表'!$F$7,2),"请手工填写"))))</f>
        <v>0</v>
      </c>
      <c r="Z41" s="181" t="s">
        <v>311</v>
      </c>
      <c r="AA41" s="164"/>
      <c r="AB41" s="182" t="s">
        <v>1686</v>
      </c>
    </row>
    <row r="42" ht="29" hidden="1" customHeight="1" outlineLevel="1" spans="1:28">
      <c r="A42" s="159">
        <v>36</v>
      </c>
      <c r="B42" s="160">
        <v>43766</v>
      </c>
      <c r="C42" s="161" t="s">
        <v>1775</v>
      </c>
      <c r="D42" s="162" t="s">
        <v>1739</v>
      </c>
      <c r="E42" s="163" t="s">
        <v>1745</v>
      </c>
      <c r="F42" s="164" t="s">
        <v>1776</v>
      </c>
      <c r="G42" s="165"/>
      <c r="H42" s="164" t="str">
        <f>IF(G42="","",VLOOKUP(G42,'附表8-合同明细采集底稿'!B:I,2,0))</f>
        <v/>
      </c>
      <c r="I42" s="92" t="str">
        <f>IF(G42="","",VLOOKUP(G42,'附表8-合同明细采集底稿'!B:I,3,0))</f>
        <v/>
      </c>
      <c r="J42" s="164" t="s">
        <v>1777</v>
      </c>
      <c r="K42" s="164" t="s">
        <v>1704</v>
      </c>
      <c r="L42" s="165" t="s">
        <v>1705</v>
      </c>
      <c r="M42" s="165">
        <v>29976493</v>
      </c>
      <c r="N42" s="173">
        <v>8250</v>
      </c>
      <c r="O42" s="173">
        <v>8250</v>
      </c>
      <c r="P42" s="174">
        <v>8250</v>
      </c>
      <c r="Q42" s="173">
        <v>-8250</v>
      </c>
      <c r="R42" s="173">
        <f t="shared" si="2"/>
        <v>0</v>
      </c>
      <c r="S42" s="177">
        <f>IFERROR(VLOOKUP(G42,'附表8-合同明细采集底稿'!B:M,12,0),100%)</f>
        <v>1</v>
      </c>
      <c r="T42" s="173">
        <f t="shared" si="3"/>
        <v>0</v>
      </c>
      <c r="U42" s="164"/>
      <c r="V42" s="178" t="s">
        <v>336</v>
      </c>
      <c r="W42" s="179">
        <f>IF('附表1-面积统计表'!$D$29=0,"",IF(AND(V42="共同成本费用",Z42="总建筑面积法"),ROUND(T42/'附表1-面积统计表'!$D$29*'附表1-面积统计表'!$D$5,2),IF(AND(V42="共同成本费用",Z42="可售建筑面积法"),ROUND(T42/'附表1-面积统计表'!$F$29*'附表1-面积统计表'!$F$5,2),"请手工填写")))</f>
        <v>0</v>
      </c>
      <c r="X42" s="179">
        <f>IF(SUM('附表1-面积统计表'!$D$6)=0,"",SUM(T42)-SUM(W42)-SUM(Y42))</f>
        <v>0</v>
      </c>
      <c r="Y42" s="179">
        <f>IF(SUM('附表1-面积统计表'!$D$6)=0,SUM(T42)-SUM(W42),IF('附表1-面积统计表'!$D$29=0,"",IF(AND(V42="共同成本费用",Z42="总建筑面积法"),ROUND(T42/'附表1-面积统计表'!$D$29*'附表1-面积统计表'!$D$7,2),IF(AND(V42="共同成本费用",Z42="可售建筑面积法"),ROUND(T42/'附表1-面积统计表'!$F$29*'附表1-面积统计表'!$F$7,2),"请手工填写"))))</f>
        <v>0</v>
      </c>
      <c r="Z42" s="181" t="s">
        <v>311</v>
      </c>
      <c r="AA42" s="164"/>
      <c r="AB42" s="182" t="s">
        <v>1686</v>
      </c>
    </row>
    <row r="43" ht="29" hidden="1" customHeight="1" outlineLevel="1" spans="1:28">
      <c r="A43" s="159">
        <v>37</v>
      </c>
      <c r="B43" s="160">
        <v>43766</v>
      </c>
      <c r="C43" s="161" t="s">
        <v>1775</v>
      </c>
      <c r="D43" s="162" t="s">
        <v>1739</v>
      </c>
      <c r="E43" s="163" t="s">
        <v>1745</v>
      </c>
      <c r="F43" s="164" t="s">
        <v>1776</v>
      </c>
      <c r="G43" s="165"/>
      <c r="H43" s="164" t="str">
        <f>IF(G43="","",VLOOKUP(G43,'附表8-合同明细采集底稿'!B:I,2,0))</f>
        <v/>
      </c>
      <c r="I43" s="92" t="str">
        <f>IF(G43="","",VLOOKUP(G43,'附表8-合同明细采集底稿'!B:I,3,0))</f>
        <v/>
      </c>
      <c r="J43" s="164" t="s">
        <v>1777</v>
      </c>
      <c r="K43" s="164" t="s">
        <v>1704</v>
      </c>
      <c r="L43" s="165" t="s">
        <v>1705</v>
      </c>
      <c r="M43" s="165">
        <v>29976494</v>
      </c>
      <c r="N43" s="173">
        <v>3400</v>
      </c>
      <c r="O43" s="173">
        <v>3400</v>
      </c>
      <c r="P43" s="174">
        <v>3400</v>
      </c>
      <c r="Q43" s="173">
        <v>-3400</v>
      </c>
      <c r="R43" s="173">
        <f t="shared" si="2"/>
        <v>0</v>
      </c>
      <c r="S43" s="177">
        <f>IFERROR(VLOOKUP(G43,'附表8-合同明细采集底稿'!B:M,12,0),100%)</f>
        <v>1</v>
      </c>
      <c r="T43" s="173">
        <f t="shared" si="3"/>
        <v>0</v>
      </c>
      <c r="U43" s="164"/>
      <c r="V43" s="178" t="s">
        <v>336</v>
      </c>
      <c r="W43" s="179">
        <f>IF('附表1-面积统计表'!$D$29=0,"",IF(AND(V43="共同成本费用",Z43="总建筑面积法"),ROUND(T43/'附表1-面积统计表'!$D$29*'附表1-面积统计表'!$D$5,2),IF(AND(V43="共同成本费用",Z43="可售建筑面积法"),ROUND(T43/'附表1-面积统计表'!$F$29*'附表1-面积统计表'!$F$5,2),"请手工填写")))</f>
        <v>0</v>
      </c>
      <c r="X43" s="179">
        <f>IF(SUM('附表1-面积统计表'!$D$6)=0,"",SUM(T43)-SUM(W43)-SUM(Y43))</f>
        <v>0</v>
      </c>
      <c r="Y43" s="179">
        <f>IF(SUM('附表1-面积统计表'!$D$6)=0,SUM(T43)-SUM(W43),IF('附表1-面积统计表'!$D$29=0,"",IF(AND(V43="共同成本费用",Z43="总建筑面积法"),ROUND(T43/'附表1-面积统计表'!$D$29*'附表1-面积统计表'!$D$7,2),IF(AND(V43="共同成本费用",Z43="可售建筑面积法"),ROUND(T43/'附表1-面积统计表'!$F$29*'附表1-面积统计表'!$F$7,2),"请手工填写"))))</f>
        <v>0</v>
      </c>
      <c r="Z43" s="181" t="s">
        <v>311</v>
      </c>
      <c r="AA43" s="164"/>
      <c r="AB43" s="182" t="s">
        <v>1686</v>
      </c>
    </row>
    <row r="44" ht="29" hidden="1" customHeight="1" outlineLevel="1" spans="1:28">
      <c r="A44" s="159">
        <v>38</v>
      </c>
      <c r="B44" s="160">
        <v>43776</v>
      </c>
      <c r="C44" s="161" t="s">
        <v>1778</v>
      </c>
      <c r="D44" s="162" t="s">
        <v>1739</v>
      </c>
      <c r="E44" s="163" t="s">
        <v>1745</v>
      </c>
      <c r="F44" s="164" t="s">
        <v>1779</v>
      </c>
      <c r="G44" s="165" t="s">
        <v>1747</v>
      </c>
      <c r="H44" s="164" t="str">
        <f>IF(G44="","",VLOOKUP(G44,'附表8-合同明细采集底稿'!B:I,2,0))</f>
        <v>沁春锦苑小区景观廊架工程</v>
      </c>
      <c r="I44" s="92" t="str">
        <f>IF(G44="","",VLOOKUP(G44,'附表8-合同明细采集底稿'!B:I,3,0))</f>
        <v>建设工程合同</v>
      </c>
      <c r="J44" s="164" t="str">
        <f>IF(G44="","",VLOOKUP(G44,'附表8-合同明细采集底稿'!B:I,4,0))</f>
        <v>库尔勒坚乐美建筑工程有限责任公司（郑长银）</v>
      </c>
      <c r="K44" s="164" t="s">
        <v>1711</v>
      </c>
      <c r="L44" s="165">
        <v>6500191130</v>
      </c>
      <c r="M44" s="570" t="s">
        <v>1780</v>
      </c>
      <c r="N44" s="173">
        <v>88495.58</v>
      </c>
      <c r="O44" s="173">
        <v>100000</v>
      </c>
      <c r="P44" s="174">
        <v>88495.58</v>
      </c>
      <c r="Q44" s="173"/>
      <c r="R44" s="173">
        <f t="shared" si="2"/>
        <v>88495.58</v>
      </c>
      <c r="S44" s="177">
        <f>IFERROR(VLOOKUP(G44,'附表8-合同明细采集底稿'!B:M,12,0),100%)</f>
        <v>0.329519901724361</v>
      </c>
      <c r="T44" s="173">
        <f t="shared" si="3"/>
        <v>29161.05</v>
      </c>
      <c r="U44" s="164"/>
      <c r="V44" s="178" t="s">
        <v>336</v>
      </c>
      <c r="W44" s="179">
        <f>IF('附表1-面积统计表'!$D$29=0,"",IF(AND(V44="共同成本费用",Z44="总建筑面积法"),ROUND(T44/'附表1-面积统计表'!$D$29*'附表1-面积统计表'!$D$5,2),IF(AND(V44="共同成本费用",Z44="可售建筑面积法"),ROUND(T44/'附表1-面积统计表'!$F$29*'附表1-面积统计表'!$F$5,2),"请手工填写")))</f>
        <v>10650.47</v>
      </c>
      <c r="X44" s="179">
        <f>IF(SUM('附表1-面积统计表'!$D$6)=0,"",SUM(T44)-SUM(W44)-SUM(Y44))</f>
        <v>13134.95</v>
      </c>
      <c r="Y44" s="179">
        <f>IF(SUM('附表1-面积统计表'!$D$6)=0,SUM(T44)-SUM(W44),IF('附表1-面积统计表'!$D$29=0,"",IF(AND(V44="共同成本费用",Z44="总建筑面积法"),ROUND(T44/'附表1-面积统计表'!$D$29*'附表1-面积统计表'!$D$7,2),IF(AND(V44="共同成本费用",Z44="可售建筑面积法"),ROUND(T44/'附表1-面积统计表'!$F$29*'附表1-面积统计表'!$F$7,2),"请手工填写"))))</f>
        <v>5375.63</v>
      </c>
      <c r="Z44" s="181" t="s">
        <v>311</v>
      </c>
      <c r="AA44" s="164"/>
      <c r="AB44" s="182" t="s">
        <v>1686</v>
      </c>
    </row>
    <row r="45" ht="29" hidden="1" customHeight="1" outlineLevel="1" spans="1:28">
      <c r="A45" s="159">
        <v>39</v>
      </c>
      <c r="B45" s="160">
        <v>43777</v>
      </c>
      <c r="C45" s="161" t="s">
        <v>1781</v>
      </c>
      <c r="D45" s="162" t="s">
        <v>1739</v>
      </c>
      <c r="E45" s="163" t="s">
        <v>1745</v>
      </c>
      <c r="F45" s="164" t="s">
        <v>1782</v>
      </c>
      <c r="G45" s="165" t="s">
        <v>1697</v>
      </c>
      <c r="H45" s="164">
        <f>IF(G45="","",VLOOKUP(G45,'附表8-合同明细采集底稿'!B:I,2,0))</f>
        <v>0</v>
      </c>
      <c r="I45" s="92">
        <f>IF(G45="","",VLOOKUP(G45,'附表8-合同明细采集底稿'!B:I,3,0))</f>
        <v>0</v>
      </c>
      <c r="J45" s="164" t="s">
        <v>1783</v>
      </c>
      <c r="K45" s="164" t="s">
        <v>1704</v>
      </c>
      <c r="L45" s="165" t="s">
        <v>1705</v>
      </c>
      <c r="M45" s="570" t="s">
        <v>1784</v>
      </c>
      <c r="N45" s="173">
        <v>50225.35</v>
      </c>
      <c r="O45" s="173">
        <v>50225.35</v>
      </c>
      <c r="P45" s="174">
        <v>50225.35</v>
      </c>
      <c r="Q45" s="173"/>
      <c r="R45" s="173">
        <f t="shared" si="2"/>
        <v>50225.35</v>
      </c>
      <c r="S45" s="177">
        <f>IFERROR(VLOOKUP(G45,'附表8-合同明细采集底稿'!B:M,12,0),100%)</f>
        <v>0.329519901724361</v>
      </c>
      <c r="T45" s="173">
        <f t="shared" si="3"/>
        <v>16550.25</v>
      </c>
      <c r="U45" s="164"/>
      <c r="V45" s="178" t="s">
        <v>336</v>
      </c>
      <c r="W45" s="179">
        <f>IF('附表1-面积统计表'!$D$29=0,"",IF(AND(V45="共同成本费用",Z45="总建筑面积法"),ROUND(T45/'附表1-面积统计表'!$D$29*'附表1-面积统计表'!$D$5,2),IF(AND(V45="共同成本费用",Z45="可售建筑面积法"),ROUND(T45/'附表1-面积统计表'!$F$29*'附表1-面积统计表'!$F$5,2),"请手工填写")))</f>
        <v>6044.64</v>
      </c>
      <c r="X45" s="179">
        <f>IF(SUM('附表1-面积统计表'!$D$6)=0,"",SUM(T45)-SUM(W45)-SUM(Y45))</f>
        <v>7454.69</v>
      </c>
      <c r="Y45" s="179">
        <f>IF(SUM('附表1-面积统计表'!$D$6)=0,SUM(T45)-SUM(W45),IF('附表1-面积统计表'!$D$29=0,"",IF(AND(V45="共同成本费用",Z45="总建筑面积法"),ROUND(T45/'附表1-面积统计表'!$D$29*'附表1-面积统计表'!$D$7,2),IF(AND(V45="共同成本费用",Z45="可售建筑面积法"),ROUND(T45/'附表1-面积统计表'!$F$29*'附表1-面积统计表'!$F$7,2),"请手工填写"))))</f>
        <v>3050.92</v>
      </c>
      <c r="Z45" s="181" t="s">
        <v>311</v>
      </c>
      <c r="AA45" s="164"/>
      <c r="AB45" s="182" t="s">
        <v>1686</v>
      </c>
    </row>
    <row r="46" ht="29" hidden="1" customHeight="1" outlineLevel="1" spans="1:28">
      <c r="A46" s="159">
        <v>40</v>
      </c>
      <c r="B46" s="160">
        <v>43777</v>
      </c>
      <c r="C46" s="161" t="s">
        <v>1785</v>
      </c>
      <c r="D46" s="162" t="s">
        <v>1739</v>
      </c>
      <c r="E46" s="163" t="s">
        <v>1745</v>
      </c>
      <c r="F46" s="164" t="s">
        <v>1786</v>
      </c>
      <c r="G46" s="165" t="s">
        <v>1697</v>
      </c>
      <c r="H46" s="164">
        <f>IF(G46="","",VLOOKUP(G46,'附表8-合同明细采集底稿'!B:I,2,0))</f>
        <v>0</v>
      </c>
      <c r="I46" s="92">
        <f>IF(G46="","",VLOOKUP(G46,'附表8-合同明细采集底稿'!B:I,3,0))</f>
        <v>0</v>
      </c>
      <c r="J46" s="164" t="s">
        <v>1787</v>
      </c>
      <c r="K46" s="164" t="s">
        <v>1704</v>
      </c>
      <c r="L46" s="165" t="s">
        <v>1705</v>
      </c>
      <c r="M46" s="165">
        <v>27342038</v>
      </c>
      <c r="N46" s="173">
        <v>6615</v>
      </c>
      <c r="O46" s="173">
        <v>6615</v>
      </c>
      <c r="P46" s="174">
        <v>6615</v>
      </c>
      <c r="Q46" s="173"/>
      <c r="R46" s="173">
        <f t="shared" si="2"/>
        <v>6615</v>
      </c>
      <c r="S46" s="177">
        <f>IFERROR(VLOOKUP(G46,'附表8-合同明细采集底稿'!B:M,12,0),100%)</f>
        <v>0.329519901724361</v>
      </c>
      <c r="T46" s="173">
        <f t="shared" si="3"/>
        <v>2179.77</v>
      </c>
      <c r="U46" s="164"/>
      <c r="V46" s="178" t="s">
        <v>336</v>
      </c>
      <c r="W46" s="179">
        <f>IF('附表1-面积统计表'!$D$29=0,"",IF(AND(V46="共同成本费用",Z46="总建筑面积法"),ROUND(T46/'附表1-面积统计表'!$D$29*'附表1-面积统计表'!$D$5,2),IF(AND(V46="共同成本费用",Z46="可售建筑面积法"),ROUND(T46/'附表1-面积统计表'!$F$29*'附表1-面积统计表'!$F$5,2),"请手工填写")))</f>
        <v>796.12</v>
      </c>
      <c r="X46" s="179">
        <f>IF(SUM('附表1-面积统计表'!$D$6)=0,"",SUM(T46)-SUM(W46)-SUM(Y46))</f>
        <v>981.83</v>
      </c>
      <c r="Y46" s="179">
        <f>IF(SUM('附表1-面积统计表'!$D$6)=0,SUM(T46)-SUM(W46),IF('附表1-面积统计表'!$D$29=0,"",IF(AND(V46="共同成本费用",Z46="总建筑面积法"),ROUND(T46/'附表1-面积统计表'!$D$29*'附表1-面积统计表'!$D$7,2),IF(AND(V46="共同成本费用",Z46="可售建筑面积法"),ROUND(T46/'附表1-面积统计表'!$F$29*'附表1-面积统计表'!$F$7,2),"请手工填写"))))</f>
        <v>401.82</v>
      </c>
      <c r="Z46" s="181" t="s">
        <v>311</v>
      </c>
      <c r="AA46" s="164"/>
      <c r="AB46" s="182" t="s">
        <v>1686</v>
      </c>
    </row>
    <row r="47" ht="29" hidden="1" customHeight="1" outlineLevel="1" spans="1:28">
      <c r="A47" s="159">
        <v>41</v>
      </c>
      <c r="B47" s="160">
        <v>43777</v>
      </c>
      <c r="C47" s="161" t="s">
        <v>1680</v>
      </c>
      <c r="D47" s="162" t="s">
        <v>1739</v>
      </c>
      <c r="E47" s="163" t="s">
        <v>1788</v>
      </c>
      <c r="F47" s="164" t="s">
        <v>1789</v>
      </c>
      <c r="G47" s="165" t="s">
        <v>1763</v>
      </c>
      <c r="H47" s="164" t="str">
        <f>IF(G47="","",VLOOKUP(G47,'附表8-合同明细采集底稿'!B:I,2,0))</f>
        <v>沁春锦苑小区景观轴亮化工程合同</v>
      </c>
      <c r="I47" s="92" t="str">
        <f>IF(G47="","",VLOOKUP(G47,'附表8-合同明细采集底稿'!B:I,3,0))</f>
        <v>建设工程合同</v>
      </c>
      <c r="J47" s="164" t="str">
        <f>IF(G47="","",VLOOKUP(G47,'附表8-合同明细采集底稿'!B:I,4,0))</f>
        <v>巴州青橄榄电子科技有限公司（党曌）</v>
      </c>
      <c r="K47" s="164" t="s">
        <v>1704</v>
      </c>
      <c r="L47" s="165" t="s">
        <v>1705</v>
      </c>
      <c r="M47" s="165">
        <v>62451348</v>
      </c>
      <c r="N47" s="173">
        <v>17000</v>
      </c>
      <c r="O47" s="173">
        <v>17000</v>
      </c>
      <c r="P47" s="174">
        <v>17000</v>
      </c>
      <c r="Q47" s="173">
        <v>-17000</v>
      </c>
      <c r="R47" s="173">
        <f t="shared" si="2"/>
        <v>0</v>
      </c>
      <c r="S47" s="177">
        <f>IFERROR(VLOOKUP(G47,'附表8-合同明细采集底稿'!B:M,12,0),100%)</f>
        <v>0.329519901724361</v>
      </c>
      <c r="T47" s="173">
        <f t="shared" si="3"/>
        <v>0</v>
      </c>
      <c r="U47" s="164"/>
      <c r="V47" s="178" t="s">
        <v>336</v>
      </c>
      <c r="W47" s="179">
        <f>IF('附表1-面积统计表'!$D$29=0,"",IF(AND(V47="共同成本费用",Z47="总建筑面积法"),ROUND(T47/'附表1-面积统计表'!$D$29*'附表1-面积统计表'!$D$5,2),IF(AND(V47="共同成本费用",Z47="可售建筑面积法"),ROUND(T47/'附表1-面积统计表'!$F$29*'附表1-面积统计表'!$F$5,2),"请手工填写")))</f>
        <v>0</v>
      </c>
      <c r="X47" s="179">
        <f>IF(SUM('附表1-面积统计表'!$D$6)=0,"",SUM(T47)-SUM(W47)-SUM(Y47))</f>
        <v>0</v>
      </c>
      <c r="Y47" s="179">
        <f>IF(SUM('附表1-面积统计表'!$D$6)=0,SUM(T47)-SUM(W47),IF('附表1-面积统计表'!$D$29=0,"",IF(AND(V47="共同成本费用",Z47="总建筑面积法"),ROUND(T47/'附表1-面积统计表'!$D$29*'附表1-面积统计表'!$D$7,2),IF(AND(V47="共同成本费用",Z47="可售建筑面积法"),ROUND(T47/'附表1-面积统计表'!$F$29*'附表1-面积统计表'!$F$7,2),"请手工填写"))))</f>
        <v>0</v>
      </c>
      <c r="Z47" s="181" t="s">
        <v>311</v>
      </c>
      <c r="AA47" s="164"/>
      <c r="AB47" s="182" t="s">
        <v>1686</v>
      </c>
    </row>
    <row r="48" ht="29" hidden="1" customHeight="1" outlineLevel="1" spans="1:28">
      <c r="A48" s="159">
        <v>42</v>
      </c>
      <c r="B48" s="160">
        <v>43781</v>
      </c>
      <c r="C48" s="161" t="s">
        <v>1790</v>
      </c>
      <c r="D48" s="162" t="s">
        <v>1739</v>
      </c>
      <c r="E48" s="163" t="s">
        <v>1745</v>
      </c>
      <c r="F48" s="164" t="s">
        <v>1750</v>
      </c>
      <c r="G48" s="165" t="s">
        <v>1791</v>
      </c>
      <c r="H48" s="164" t="str">
        <f>IF(G48="","",VLOOKUP(G48,'附表8-合同明细采集底稿'!B:I,2,0))</f>
        <v>新增产品合同</v>
      </c>
      <c r="I48" s="92" t="str">
        <f>IF(G48="","",VLOOKUP(G48,'附表8-合同明细采集底稿'!B:I,3,0))</f>
        <v>建设工程合同</v>
      </c>
      <c r="J48" s="164" t="str">
        <f>IF(G48="","",VLOOKUP(G48,'附表8-合同明细采集底稿'!B:I,4,0))</f>
        <v>曲阳县石磊石材雕塑有限公司</v>
      </c>
      <c r="K48" s="164" t="s">
        <v>1711</v>
      </c>
      <c r="L48" s="165">
        <v>1300191130</v>
      </c>
      <c r="M48" s="165">
        <v>18370135</v>
      </c>
      <c r="N48" s="173">
        <v>82300.88</v>
      </c>
      <c r="O48" s="173">
        <v>93000</v>
      </c>
      <c r="P48" s="174">
        <v>82300.88</v>
      </c>
      <c r="Q48" s="173"/>
      <c r="R48" s="173">
        <f t="shared" si="2"/>
        <v>82300.88</v>
      </c>
      <c r="S48" s="177">
        <f>IFERROR(VLOOKUP(G48,'附表8-合同明细采集底稿'!B:M,12,0),100%)</f>
        <v>0.329519901724361</v>
      </c>
      <c r="T48" s="173">
        <f t="shared" si="3"/>
        <v>27119.78</v>
      </c>
      <c r="U48" s="164"/>
      <c r="V48" s="178" t="s">
        <v>336</v>
      </c>
      <c r="W48" s="179">
        <f>IF('附表1-面积统计表'!$D$29=0,"",IF(AND(V48="共同成本费用",Z48="总建筑面积法"),ROUND(T48/'附表1-面积统计表'!$D$29*'附表1-面积统计表'!$D$5,2),IF(AND(V48="共同成本费用",Z48="可售建筑面积法"),ROUND(T48/'附表1-面积统计表'!$F$29*'附表1-面积统计表'!$F$5,2),"请手工填写")))</f>
        <v>9904.94</v>
      </c>
      <c r="X48" s="179">
        <f>IF(SUM('附表1-面积统计表'!$D$6)=0,"",SUM(T48)-SUM(W48)-SUM(Y48))</f>
        <v>12215.51</v>
      </c>
      <c r="Y48" s="179">
        <f>IF(SUM('附表1-面积统计表'!$D$6)=0,SUM(T48)-SUM(W48),IF('附表1-面积统计表'!$D$29=0,"",IF(AND(V48="共同成本费用",Z48="总建筑面积法"),ROUND(T48/'附表1-面积统计表'!$D$29*'附表1-面积统计表'!$D$7,2),IF(AND(V48="共同成本费用",Z48="可售建筑面积法"),ROUND(T48/'附表1-面积统计表'!$F$29*'附表1-面积统计表'!$F$7,2),"请手工填写"))))</f>
        <v>4999.33</v>
      </c>
      <c r="Z48" s="181" t="s">
        <v>311</v>
      </c>
      <c r="AA48" s="164"/>
      <c r="AB48" s="182" t="s">
        <v>1686</v>
      </c>
    </row>
    <row r="49" ht="29" hidden="1" customHeight="1" outlineLevel="1" spans="1:28">
      <c r="A49" s="159">
        <v>43</v>
      </c>
      <c r="B49" s="166" t="s">
        <v>1792</v>
      </c>
      <c r="C49" s="166" t="s">
        <v>1793</v>
      </c>
      <c r="D49" s="162" t="s">
        <v>1739</v>
      </c>
      <c r="E49" s="163" t="s">
        <v>1794</v>
      </c>
      <c r="F49" s="164" t="s">
        <v>1795</v>
      </c>
      <c r="G49" s="165" t="s">
        <v>1763</v>
      </c>
      <c r="H49" s="164" t="str">
        <f>IF(G49="","",VLOOKUP(G49,'附表8-合同明细采集底稿'!B:I,2,0))</f>
        <v>沁春锦苑小区景观轴亮化工程合同</v>
      </c>
      <c r="I49" s="92" t="str">
        <f>IF(G49="","",VLOOKUP(G49,'附表8-合同明细采集底稿'!B:I,3,0))</f>
        <v>建设工程合同</v>
      </c>
      <c r="J49" s="164" t="str">
        <f>IF(G49="","",VLOOKUP(G49,'附表8-合同明细采集底稿'!B:I,4,0))</f>
        <v>巴州青橄榄电子科技有限公司（党曌）</v>
      </c>
      <c r="K49" s="164" t="s">
        <v>1704</v>
      </c>
      <c r="L49" s="165" t="s">
        <v>1705</v>
      </c>
      <c r="M49" s="165">
        <v>62451359</v>
      </c>
      <c r="N49" s="173">
        <v>8500</v>
      </c>
      <c r="O49" s="173">
        <v>8500</v>
      </c>
      <c r="P49" s="174">
        <v>8500</v>
      </c>
      <c r="Q49" s="173">
        <v>-8500</v>
      </c>
      <c r="R49" s="173">
        <f t="shared" si="2"/>
        <v>0</v>
      </c>
      <c r="S49" s="177">
        <f>IFERROR(VLOOKUP(G49,'附表8-合同明细采集底稿'!B:M,12,0),100%)</f>
        <v>0.329519901724361</v>
      </c>
      <c r="T49" s="173">
        <f t="shared" si="3"/>
        <v>0</v>
      </c>
      <c r="U49" s="164"/>
      <c r="V49" s="178" t="s">
        <v>336</v>
      </c>
      <c r="W49" s="179">
        <f>IF('附表1-面积统计表'!$D$29=0,"",IF(AND(V49="共同成本费用",Z49="总建筑面积法"),ROUND(T49/'附表1-面积统计表'!$D$29*'附表1-面积统计表'!$D$5,2),IF(AND(V49="共同成本费用",Z49="可售建筑面积法"),ROUND(T49/'附表1-面积统计表'!$F$29*'附表1-面积统计表'!$F$5,2),"请手工填写")))</f>
        <v>0</v>
      </c>
      <c r="X49" s="179">
        <f>IF(SUM('附表1-面积统计表'!$D$6)=0,"",SUM(T49)-SUM(W49)-SUM(Y49))</f>
        <v>0</v>
      </c>
      <c r="Y49" s="179">
        <f>IF(SUM('附表1-面积统计表'!$D$6)=0,SUM(T49)-SUM(W49),IF('附表1-面积统计表'!$D$29=0,"",IF(AND(V49="共同成本费用",Z49="总建筑面积法"),ROUND(T49/'附表1-面积统计表'!$D$29*'附表1-面积统计表'!$D$7,2),IF(AND(V49="共同成本费用",Z49="可售建筑面积法"),ROUND(T49/'附表1-面积统计表'!$F$29*'附表1-面积统计表'!$F$7,2),"请手工填写"))))</f>
        <v>0</v>
      </c>
      <c r="Z49" s="181" t="s">
        <v>311</v>
      </c>
      <c r="AA49" s="164"/>
      <c r="AB49" s="182" t="s">
        <v>1686</v>
      </c>
    </row>
    <row r="50" ht="29" hidden="1" customHeight="1" outlineLevel="1" spans="1:28">
      <c r="A50" s="159">
        <v>44</v>
      </c>
      <c r="B50" s="166" t="s">
        <v>141</v>
      </c>
      <c r="C50" s="166" t="s">
        <v>1796</v>
      </c>
      <c r="D50" s="162" t="s">
        <v>1707</v>
      </c>
      <c r="E50" s="163" t="s">
        <v>1708</v>
      </c>
      <c r="F50" s="164" t="s">
        <v>1797</v>
      </c>
      <c r="G50" s="165" t="s">
        <v>1755</v>
      </c>
      <c r="H50" s="164" t="str">
        <f>IF(G50="","",VLOOKUP(G50,'附表8-合同明细采集底稿'!B:I,2,0))</f>
        <v>专业建设工程设计合同</v>
      </c>
      <c r="I50" s="92" t="str">
        <f>IF(G50="","",VLOOKUP(G50,'附表8-合同明细采集底稿'!B:I,3,0))</f>
        <v>技术合同</v>
      </c>
      <c r="J50" s="164" t="str">
        <f>IF(G50="","",VLOOKUP(G50,'附表8-合同明细采集底稿'!B:I,4,0))</f>
        <v>乌鲁木齐大漠林海绿化有限责任公司（蔚晓芳）</v>
      </c>
      <c r="K50" s="164" t="s">
        <v>1711</v>
      </c>
      <c r="L50" s="165">
        <v>6500192130</v>
      </c>
      <c r="M50" s="570" t="s">
        <v>1798</v>
      </c>
      <c r="N50" s="173">
        <v>63758.42</v>
      </c>
      <c r="O50" s="173">
        <v>64396</v>
      </c>
      <c r="P50" s="174">
        <v>63758.42</v>
      </c>
      <c r="Q50" s="173"/>
      <c r="R50" s="173">
        <f t="shared" si="2"/>
        <v>63758.42</v>
      </c>
      <c r="S50" s="177">
        <f>IFERROR(VLOOKUP(G50,'附表8-合同明细采集底稿'!B:M,12,0),100%)</f>
        <v>0.329519901724361</v>
      </c>
      <c r="T50" s="173">
        <f t="shared" si="3"/>
        <v>21009.67</v>
      </c>
      <c r="U50" s="164"/>
      <c r="V50" s="178" t="s">
        <v>336</v>
      </c>
      <c r="W50" s="179">
        <f>IF('附表1-面积统计表'!$D$29=0,"",IF(AND(V50="共同成本费用",Z50="总建筑面积法"),ROUND(T50/'附表1-面积统计表'!$D$29*'附表1-面积统计表'!$D$5,2),IF(AND(V50="共同成本费用",Z50="可售建筑面积法"),ROUND(T50/'附表1-面积统计表'!$F$29*'附表1-面积统计表'!$F$5,2),"请手工填写")))</f>
        <v>7673.35</v>
      </c>
      <c r="X50" s="179">
        <f>IF(SUM('附表1-面积统计表'!$D$6)=0,"",SUM(T50)-SUM(W50)-SUM(Y50))</f>
        <v>9463.34</v>
      </c>
      <c r="Y50" s="179">
        <f>IF(SUM('附表1-面积统计表'!$D$6)=0,SUM(T50)-SUM(W50),IF('附表1-面积统计表'!$D$29=0,"",IF(AND(V50="共同成本费用",Z50="总建筑面积法"),ROUND(T50/'附表1-面积统计表'!$D$29*'附表1-面积统计表'!$D$7,2),IF(AND(V50="共同成本费用",Z50="可售建筑面积法"),ROUND(T50/'附表1-面积统计表'!$F$29*'附表1-面积统计表'!$F$7,2),"请手工填写"))))</f>
        <v>3872.98</v>
      </c>
      <c r="Z50" s="181" t="s">
        <v>311</v>
      </c>
      <c r="AA50" s="164"/>
      <c r="AB50" s="182" t="s">
        <v>1686</v>
      </c>
    </row>
    <row r="51" ht="29" hidden="1" customHeight="1" outlineLevel="1" spans="1:28">
      <c r="A51" s="159">
        <v>45</v>
      </c>
      <c r="B51" s="166" t="s">
        <v>1799</v>
      </c>
      <c r="C51" s="166" t="s">
        <v>1800</v>
      </c>
      <c r="D51" s="162" t="s">
        <v>1707</v>
      </c>
      <c r="E51" s="163" t="s">
        <v>1724</v>
      </c>
      <c r="F51" s="164" t="s">
        <v>1801</v>
      </c>
      <c r="G51" s="165" t="s">
        <v>1697</v>
      </c>
      <c r="H51" s="164">
        <f>IF(G51="","",VLOOKUP(G51,'附表8-合同明细采集底稿'!B:I,2,0))</f>
        <v>0</v>
      </c>
      <c r="I51" s="92">
        <f>IF(G51="","",VLOOKUP(G51,'附表8-合同明细采集底稿'!B:I,3,0))</f>
        <v>0</v>
      </c>
      <c r="J51" s="164" t="s">
        <v>1802</v>
      </c>
      <c r="K51" s="164" t="s">
        <v>1711</v>
      </c>
      <c r="L51" s="165">
        <v>6500193130</v>
      </c>
      <c r="M51" s="570" t="s">
        <v>1803</v>
      </c>
      <c r="N51" s="173">
        <v>4716.98</v>
      </c>
      <c r="O51" s="173">
        <v>5000</v>
      </c>
      <c r="P51" s="174">
        <v>4716.98</v>
      </c>
      <c r="Q51" s="173"/>
      <c r="R51" s="173">
        <f t="shared" si="2"/>
        <v>4716.98</v>
      </c>
      <c r="S51" s="177">
        <f>IFERROR(VLOOKUP(G51,'附表8-合同明细采集底稿'!B:M,12,0),100%)</f>
        <v>0.329519901724361</v>
      </c>
      <c r="T51" s="173">
        <f t="shared" si="3"/>
        <v>1554.34</v>
      </c>
      <c r="U51" s="164"/>
      <c r="V51" s="178" t="s">
        <v>336</v>
      </c>
      <c r="W51" s="179">
        <f>IF('附表1-面积统计表'!$D$29=0,"",IF(AND(V51="共同成本费用",Z51="总建筑面积法"),ROUND(T51/'附表1-面积统计表'!$D$29*'附表1-面积统计表'!$D$5,2),IF(AND(V51="共同成本费用",Z51="可售建筑面积法"),ROUND(T51/'附表1-面积统计表'!$F$29*'附表1-面积统计表'!$F$5,2),"请手工填写")))</f>
        <v>567.69</v>
      </c>
      <c r="X51" s="179">
        <f>IF(SUM('附表1-面积统计表'!$D$6)=0,"",SUM(T51)-SUM(W51)-SUM(Y51))</f>
        <v>700.12</v>
      </c>
      <c r="Y51" s="179">
        <f>IF(SUM('附表1-面积统计表'!$D$6)=0,SUM(T51)-SUM(W51),IF('附表1-面积统计表'!$D$29=0,"",IF(AND(V51="共同成本费用",Z51="总建筑面积法"),ROUND(T51/'附表1-面积统计表'!$D$29*'附表1-面积统计表'!$D$7,2),IF(AND(V51="共同成本费用",Z51="可售建筑面积法"),ROUND(T51/'附表1-面积统计表'!$F$29*'附表1-面积统计表'!$F$7,2),"请手工填写"))))</f>
        <v>286.53</v>
      </c>
      <c r="Z51" s="181" t="s">
        <v>311</v>
      </c>
      <c r="AA51" s="164"/>
      <c r="AB51" s="182" t="s">
        <v>1686</v>
      </c>
    </row>
    <row r="52" ht="29" hidden="1" customHeight="1" outlineLevel="1" spans="1:28">
      <c r="A52" s="159">
        <v>46</v>
      </c>
      <c r="B52" s="166" t="s">
        <v>1804</v>
      </c>
      <c r="C52" s="166" t="s">
        <v>1805</v>
      </c>
      <c r="D52" s="162" t="s">
        <v>1707</v>
      </c>
      <c r="E52" s="163" t="s">
        <v>1708</v>
      </c>
      <c r="F52" s="164" t="s">
        <v>1806</v>
      </c>
      <c r="G52" s="165" t="s">
        <v>1720</v>
      </c>
      <c r="H52" s="164" t="str">
        <f>IF(G52="","",VLOOKUP(G52,'附表8-合同明细采集底稿'!B:I,2,0))</f>
        <v>建设工程设计合同（专业建设工程）</v>
      </c>
      <c r="I52" s="92" t="str">
        <f>IF(G52="","",VLOOKUP(G52,'附表8-合同明细采集底稿'!B:I,3,0))</f>
        <v>技术合同</v>
      </c>
      <c r="J52" s="164" t="str">
        <f>IF(G52="","",VLOOKUP(G52,'附表8-合同明细采集底稿'!B:I,4,0))</f>
        <v>安徽宏泰交通工程设计研究院有限公司</v>
      </c>
      <c r="K52" s="164" t="s">
        <v>1711</v>
      </c>
      <c r="L52" s="165">
        <v>3400194130</v>
      </c>
      <c r="M52" s="165">
        <v>15984650</v>
      </c>
      <c r="N52" s="173">
        <v>0</v>
      </c>
      <c r="O52" s="173">
        <v>1698.11</v>
      </c>
      <c r="P52" s="174">
        <v>28301.89</v>
      </c>
      <c r="Q52" s="173">
        <v>-28301.89</v>
      </c>
      <c r="R52" s="173">
        <f t="shared" si="2"/>
        <v>0</v>
      </c>
      <c r="S52" s="177">
        <f>IFERROR(VLOOKUP(G52,'附表8-合同明细采集底稿'!B:M,12,0),100%)</f>
        <v>0.329519901724361</v>
      </c>
      <c r="T52" s="173">
        <f t="shared" si="3"/>
        <v>0</v>
      </c>
      <c r="U52" s="164"/>
      <c r="V52" s="178" t="s">
        <v>336</v>
      </c>
      <c r="W52" s="179">
        <f>IF('附表1-面积统计表'!$D$29=0,"",IF(AND(V52="共同成本费用",Z52="总建筑面积法"),ROUND(T52/'附表1-面积统计表'!$D$29*'附表1-面积统计表'!$D$5,2),IF(AND(V52="共同成本费用",Z52="可售建筑面积法"),ROUND(T52/'附表1-面积统计表'!$F$29*'附表1-面积统计表'!$F$5,2),"请手工填写")))</f>
        <v>0</v>
      </c>
      <c r="X52" s="179">
        <f>IF(SUM('附表1-面积统计表'!$D$6)=0,"",SUM(T52)-SUM(W52)-SUM(Y52))</f>
        <v>0</v>
      </c>
      <c r="Y52" s="179">
        <f>IF(SUM('附表1-面积统计表'!$D$6)=0,SUM(T52)-SUM(W52),IF('附表1-面积统计表'!$D$29=0,"",IF(AND(V52="共同成本费用",Z52="总建筑面积法"),ROUND(T52/'附表1-面积统计表'!$D$29*'附表1-面积统计表'!$D$7,2),IF(AND(V52="共同成本费用",Z52="可售建筑面积法"),ROUND(T52/'附表1-面积统计表'!$F$29*'附表1-面积统计表'!$F$7,2),"请手工填写"))))</f>
        <v>0</v>
      </c>
      <c r="Z52" s="181" t="s">
        <v>311</v>
      </c>
      <c r="AA52" s="164"/>
      <c r="AB52" s="182" t="s">
        <v>1686</v>
      </c>
    </row>
    <row r="53" ht="29" hidden="1" customHeight="1" outlineLevel="1" spans="1:28">
      <c r="A53" s="159">
        <v>47</v>
      </c>
      <c r="B53" s="166" t="s">
        <v>1807</v>
      </c>
      <c r="C53" s="166" t="s">
        <v>1808</v>
      </c>
      <c r="D53" s="162" t="s">
        <v>1739</v>
      </c>
      <c r="E53" s="163" t="s">
        <v>1740</v>
      </c>
      <c r="F53" s="164" t="s">
        <v>1809</v>
      </c>
      <c r="G53" s="165" t="s">
        <v>1742</v>
      </c>
      <c r="H53" s="164" t="str">
        <f>IF(G53="","",VLOOKUP(G53,'附表8-合同明细采集底稿'!B:I,2,0))</f>
        <v>供水管道安装（自来水接口）</v>
      </c>
      <c r="I53" s="92" t="str">
        <f>IF(G53="","",VLOOKUP(G53,'附表8-合同明细采集底稿'!B:I,3,0))</f>
        <v>建设工程合同</v>
      </c>
      <c r="J53" s="164" t="str">
        <f>IF(G53="","",VLOOKUP(G53,'附表8-合同明细采集底稿'!B:I,4,0))</f>
        <v>新疆昌源水务集团库尔勒银泉供水有限公司工程分公司</v>
      </c>
      <c r="K53" s="164" t="s">
        <v>1711</v>
      </c>
      <c r="L53" s="165">
        <v>6500193130</v>
      </c>
      <c r="M53" s="570" t="s">
        <v>1810</v>
      </c>
      <c r="N53" s="173">
        <v>1865.27</v>
      </c>
      <c r="O53" s="173">
        <v>2033.14</v>
      </c>
      <c r="P53" s="174">
        <v>1865.27</v>
      </c>
      <c r="Q53" s="173">
        <v>-1865.27</v>
      </c>
      <c r="R53" s="173">
        <f t="shared" si="2"/>
        <v>0</v>
      </c>
      <c r="S53" s="177">
        <f>IFERROR(VLOOKUP(G53,'附表8-合同明细采集底稿'!B:M,12,0),100%)</f>
        <v>0.329519901724361</v>
      </c>
      <c r="T53" s="173">
        <f t="shared" si="3"/>
        <v>0</v>
      </c>
      <c r="U53" s="164"/>
      <c r="V53" s="178" t="s">
        <v>336</v>
      </c>
      <c r="W53" s="179">
        <f>IF('附表1-面积统计表'!$D$29=0,"",IF(AND(V53="共同成本费用",Z53="总建筑面积法"),ROUND(T53/'附表1-面积统计表'!$D$29*'附表1-面积统计表'!$D$5,2),IF(AND(V53="共同成本费用",Z53="可售建筑面积法"),ROUND(T53/'附表1-面积统计表'!$F$29*'附表1-面积统计表'!$F$5,2),"请手工填写")))</f>
        <v>0</v>
      </c>
      <c r="X53" s="179">
        <f>IF(SUM('附表1-面积统计表'!$D$6)=0,"",SUM(T53)-SUM(W53)-SUM(Y53))</f>
        <v>0</v>
      </c>
      <c r="Y53" s="179">
        <f>IF(SUM('附表1-面积统计表'!$D$6)=0,SUM(T53)-SUM(W53),IF('附表1-面积统计表'!$D$29=0,"",IF(AND(V53="共同成本费用",Z53="总建筑面积法"),ROUND(T53/'附表1-面积统计表'!$D$29*'附表1-面积统计表'!$D$7,2),IF(AND(V53="共同成本费用",Z53="可售建筑面积法"),ROUND(T53/'附表1-面积统计表'!$F$29*'附表1-面积统计表'!$F$7,2),"请手工填写"))))</f>
        <v>0</v>
      </c>
      <c r="Z53" s="181" t="s">
        <v>311</v>
      </c>
      <c r="AA53" s="164"/>
      <c r="AB53" s="182" t="s">
        <v>1686</v>
      </c>
    </row>
    <row r="54" ht="29" hidden="1" customHeight="1" outlineLevel="1" spans="1:28">
      <c r="A54" s="159">
        <v>48</v>
      </c>
      <c r="B54" s="166" t="s">
        <v>1811</v>
      </c>
      <c r="C54" s="166" t="s">
        <v>1812</v>
      </c>
      <c r="D54" s="162" t="s">
        <v>1700</v>
      </c>
      <c r="E54" s="163" t="s">
        <v>1813</v>
      </c>
      <c r="F54" s="164" t="s">
        <v>1814</v>
      </c>
      <c r="G54" s="165" t="s">
        <v>1815</v>
      </c>
      <c r="H54" s="164" t="str">
        <f>IF(G54="","",VLOOKUP(G54,'附表8-合同明细采集底稿'!B:I,2,0))</f>
        <v>建设工程设计合同（民用建设工程设计合同）</v>
      </c>
      <c r="I54" s="92" t="str">
        <f>IF(G54="","",VLOOKUP(G54,'附表8-合同明细采集底稿'!B:I,3,0))</f>
        <v>技术合同</v>
      </c>
      <c r="J54" s="164" t="str">
        <f>IF(G54="","",VLOOKUP(G54,'附表8-合同明细采集底稿'!B:I,4,0))</f>
        <v>河南省人防建筑设计院有限公司新疆分公司</v>
      </c>
      <c r="K54" s="164" t="s">
        <v>1711</v>
      </c>
      <c r="L54" s="165">
        <v>6500193130</v>
      </c>
      <c r="M54" s="570" t="s">
        <v>1816</v>
      </c>
      <c r="N54" s="173">
        <v>49900.99</v>
      </c>
      <c r="O54" s="173">
        <v>50400</v>
      </c>
      <c r="P54" s="174">
        <v>49900.99</v>
      </c>
      <c r="Q54" s="173"/>
      <c r="R54" s="173">
        <f t="shared" si="2"/>
        <v>49900.99</v>
      </c>
      <c r="S54" s="177">
        <f>IFERROR(VLOOKUP(G54,'附表8-合同明细采集底稿'!B:M,12,0),100%)</f>
        <v>0.318696696324277</v>
      </c>
      <c r="T54" s="173">
        <f t="shared" si="3"/>
        <v>15903.28</v>
      </c>
      <c r="U54" s="164"/>
      <c r="V54" s="178" t="s">
        <v>336</v>
      </c>
      <c r="W54" s="179">
        <f>IF('附表1-面积统计表'!$D$29=0,"",IF(AND(V54="共同成本费用",Z54="总建筑面积法"),ROUND(T54/'附表1-面积统计表'!$D$29*'附表1-面积统计表'!$D$5,2),IF(AND(V54="共同成本费用",Z54="可售建筑面积法"),ROUND(T54/'附表1-面积统计表'!$F$29*'附表1-面积统计表'!$F$5,2),"请手工填写")))</f>
        <v>5808.35</v>
      </c>
      <c r="X54" s="179">
        <f>IF(SUM('附表1-面积统计表'!$D$6)=0,"",SUM(T54)-SUM(W54)-SUM(Y54))</f>
        <v>7163.28</v>
      </c>
      <c r="Y54" s="179">
        <f>IF(SUM('附表1-面积统计表'!$D$6)=0,SUM(T54)-SUM(W54),IF('附表1-面积统计表'!$D$29=0,"",IF(AND(V54="共同成本费用",Z54="总建筑面积法"),ROUND(T54/'附表1-面积统计表'!$D$29*'附表1-面积统计表'!$D$7,2),IF(AND(V54="共同成本费用",Z54="可售建筑面积法"),ROUND(T54/'附表1-面积统计表'!$F$29*'附表1-面积统计表'!$F$7,2),"请手工填写"))))</f>
        <v>2931.65</v>
      </c>
      <c r="Z54" s="181" t="s">
        <v>311</v>
      </c>
      <c r="AA54" s="164"/>
      <c r="AB54" s="182" t="s">
        <v>1686</v>
      </c>
    </row>
    <row r="55" ht="29" hidden="1" customHeight="1" outlineLevel="1" spans="1:28">
      <c r="A55" s="159">
        <v>49</v>
      </c>
      <c r="B55" s="166" t="s">
        <v>1817</v>
      </c>
      <c r="C55" s="166" t="s">
        <v>1818</v>
      </c>
      <c r="D55" s="162" t="s">
        <v>1739</v>
      </c>
      <c r="E55" s="163" t="s">
        <v>1819</v>
      </c>
      <c r="F55" s="164" t="s">
        <v>1820</v>
      </c>
      <c r="G55" s="165" t="s">
        <v>1821</v>
      </c>
      <c r="H55" s="164" t="str">
        <f>IF(G55="","",VLOOKUP(G55,'附表8-合同明细采集底稿'!B:I,2,0))</f>
        <v>一体化预制泵站加工定作合同</v>
      </c>
      <c r="I55" s="92" t="str">
        <f>IF(G55="","",VLOOKUP(G55,'附表8-合同明细采集底稿'!B:I,3,0))</f>
        <v>承揽合同</v>
      </c>
      <c r="J55" s="164" t="str">
        <f>IF(G55="","",VLOOKUP(G55,'附表8-合同明细采集底稿'!B:I,4,0))</f>
        <v>河北阔龙环保设备有限公司</v>
      </c>
      <c r="K55" s="164" t="s">
        <v>1711</v>
      </c>
      <c r="L55" s="165">
        <v>1300193130</v>
      </c>
      <c r="M55" s="165">
        <v>16879747</v>
      </c>
      <c r="N55" s="173">
        <v>88495.58</v>
      </c>
      <c r="O55" s="173">
        <v>100000</v>
      </c>
      <c r="P55" s="174">
        <v>88495.58</v>
      </c>
      <c r="Q55" s="173"/>
      <c r="R55" s="173">
        <f t="shared" si="2"/>
        <v>88495.58</v>
      </c>
      <c r="S55" s="177">
        <f>IFERROR(VLOOKUP(G55,'附表8-合同明细采集底稿'!B:M,12,0),100%)</f>
        <v>0.329519901724361</v>
      </c>
      <c r="T55" s="173">
        <f t="shared" si="3"/>
        <v>29161.05</v>
      </c>
      <c r="U55" s="164"/>
      <c r="V55" s="178" t="s">
        <v>336</v>
      </c>
      <c r="W55" s="179">
        <f>IF('附表1-面积统计表'!$D$29=0,"",IF(AND(V55="共同成本费用",Z55="总建筑面积法"),ROUND(T55/'附表1-面积统计表'!$D$29*'附表1-面积统计表'!$D$5,2),IF(AND(V55="共同成本费用",Z55="可售建筑面积法"),ROUND(T55/'附表1-面积统计表'!$F$29*'附表1-面积统计表'!$F$5,2),"请手工填写")))</f>
        <v>10650.47</v>
      </c>
      <c r="X55" s="179">
        <f>IF(SUM('附表1-面积统计表'!$D$6)=0,"",SUM(T55)-SUM(W55)-SUM(Y55))</f>
        <v>13134.95</v>
      </c>
      <c r="Y55" s="179">
        <f>IF(SUM('附表1-面积统计表'!$D$6)=0,SUM(T55)-SUM(W55),IF('附表1-面积统计表'!$D$29=0,"",IF(AND(V55="共同成本费用",Z55="总建筑面积法"),ROUND(T55/'附表1-面积统计表'!$D$29*'附表1-面积统计表'!$D$7,2),IF(AND(V55="共同成本费用",Z55="可售建筑面积法"),ROUND(T55/'附表1-面积统计表'!$F$29*'附表1-面积统计表'!$F$7,2),"请手工填写"))))</f>
        <v>5375.63</v>
      </c>
      <c r="Z55" s="181" t="s">
        <v>311</v>
      </c>
      <c r="AA55" s="164"/>
      <c r="AB55" s="182" t="s">
        <v>1686</v>
      </c>
    </row>
    <row r="56" ht="29" hidden="1" customHeight="1" outlineLevel="1" spans="1:28">
      <c r="A56" s="159">
        <v>50</v>
      </c>
      <c r="B56" s="166" t="s">
        <v>1822</v>
      </c>
      <c r="C56" s="166" t="s">
        <v>1823</v>
      </c>
      <c r="D56" s="162" t="s">
        <v>1739</v>
      </c>
      <c r="E56" s="163" t="s">
        <v>1745</v>
      </c>
      <c r="F56" s="164" t="s">
        <v>1824</v>
      </c>
      <c r="G56" s="165" t="s">
        <v>1825</v>
      </c>
      <c r="H56" s="164" t="str">
        <f>IF(G56="","",VLOOKUP(G56,'附表8-合同明细采集底稿'!B:I,2,0))</f>
        <v>沁春景苑喷雾造景采购合同</v>
      </c>
      <c r="I56" s="92" t="str">
        <f>IF(G56="","",VLOOKUP(G56,'附表8-合同明细采集底稿'!B:I,3,0))</f>
        <v>承揽合同</v>
      </c>
      <c r="J56" s="164" t="str">
        <f>IF(G56="","",VLOOKUP(G56,'附表8-合同明细采集底稿'!B:I,4,0))</f>
        <v>成都锦胜雾森环保科技有限公司</v>
      </c>
      <c r="K56" s="164" t="s">
        <v>1711</v>
      </c>
      <c r="L56" s="165">
        <v>5100194130</v>
      </c>
      <c r="M56" s="570" t="s">
        <v>1826</v>
      </c>
      <c r="N56" s="173">
        <v>58407.08</v>
      </c>
      <c r="O56" s="173">
        <v>66000</v>
      </c>
      <c r="P56" s="174">
        <v>58407.08</v>
      </c>
      <c r="Q56" s="173"/>
      <c r="R56" s="173">
        <f t="shared" si="2"/>
        <v>58407.08</v>
      </c>
      <c r="S56" s="177">
        <f>IFERROR(VLOOKUP(G56,'附表8-合同明细采集底稿'!B:M,12,0),100%)</f>
        <v>0.329519901724361</v>
      </c>
      <c r="T56" s="173">
        <f t="shared" si="3"/>
        <v>19246.3</v>
      </c>
      <c r="U56" s="164"/>
      <c r="V56" s="178" t="s">
        <v>336</v>
      </c>
      <c r="W56" s="179">
        <f>IF('附表1-面积统计表'!$D$29=0,"",IF(AND(V56="共同成本费用",Z56="总建筑面积法"),ROUND(T56/'附表1-面积统计表'!$D$29*'附表1-面积统计表'!$D$5,2),IF(AND(V56="共同成本费用",Z56="可售建筑面积法"),ROUND(T56/'附表1-面积统计表'!$F$29*'附表1-面积统计表'!$F$5,2),"请手工填写")))</f>
        <v>7029.31</v>
      </c>
      <c r="X56" s="179">
        <f>IF(SUM('附表1-面积统计表'!$D$6)=0,"",SUM(T56)-SUM(W56)-SUM(Y56))</f>
        <v>8669.08</v>
      </c>
      <c r="Y56" s="179">
        <f>IF(SUM('附表1-面积统计表'!$D$6)=0,SUM(T56)-SUM(W56),IF('附表1-面积统计表'!$D$29=0,"",IF(AND(V56="共同成本费用",Z56="总建筑面积法"),ROUND(T56/'附表1-面积统计表'!$D$29*'附表1-面积统计表'!$D$7,2),IF(AND(V56="共同成本费用",Z56="可售建筑面积法"),ROUND(T56/'附表1-面积统计表'!$F$29*'附表1-面积统计表'!$F$7,2),"请手工填写"))))</f>
        <v>3547.91</v>
      </c>
      <c r="Z56" s="181" t="s">
        <v>311</v>
      </c>
      <c r="AA56" s="164"/>
      <c r="AB56" s="182" t="s">
        <v>1686</v>
      </c>
    </row>
    <row r="57" ht="29" hidden="1" customHeight="1" outlineLevel="1" spans="1:28">
      <c r="A57" s="159">
        <v>51</v>
      </c>
      <c r="B57" s="166" t="s">
        <v>1822</v>
      </c>
      <c r="C57" s="166" t="s">
        <v>1827</v>
      </c>
      <c r="D57" s="162" t="s">
        <v>1739</v>
      </c>
      <c r="E57" s="163" t="s">
        <v>1788</v>
      </c>
      <c r="F57" s="164" t="s">
        <v>1828</v>
      </c>
      <c r="G57" s="165" t="s">
        <v>1829</v>
      </c>
      <c r="H57" s="164" t="str">
        <f>IF(G57="","",VLOOKUP(G57,'附表8-合同明细采集底稿'!B:I,2,0))</f>
        <v>沁春锦苑大门钢结构工程</v>
      </c>
      <c r="I57" s="92" t="str">
        <f>IF(G57="","",VLOOKUP(G57,'附表8-合同明细采集底稿'!B:I,3,0))</f>
        <v>买卖合同</v>
      </c>
      <c r="J57" s="164" t="str">
        <f>IF(G57="","",VLOOKUP(G57,'附表8-合同明细采集底稿'!B:I,4,0))</f>
        <v>库尔勒坚乐美建筑工程有限责任公司（郑长银）</v>
      </c>
      <c r="K57" s="164" t="s">
        <v>1711</v>
      </c>
      <c r="L57" s="165">
        <v>6500193130</v>
      </c>
      <c r="M57" s="570" t="s">
        <v>1830</v>
      </c>
      <c r="N57" s="173">
        <v>106194.7</v>
      </c>
      <c r="O57" s="173">
        <v>120000</v>
      </c>
      <c r="P57" s="174">
        <v>106194.7</v>
      </c>
      <c r="Q57" s="173"/>
      <c r="R57" s="173">
        <f t="shared" si="2"/>
        <v>106194.7</v>
      </c>
      <c r="S57" s="177">
        <f>IFERROR(VLOOKUP(G57,'附表8-合同明细采集底稿'!B:M,12,0),100%)</f>
        <v>0.329519901724361</v>
      </c>
      <c r="T57" s="173">
        <f t="shared" si="3"/>
        <v>34993.27</v>
      </c>
      <c r="U57" s="164"/>
      <c r="V57" s="178" t="s">
        <v>336</v>
      </c>
      <c r="W57" s="179">
        <f>IF('附表1-面积统计表'!$D$29=0,"",IF(AND(V57="共同成本费用",Z57="总建筑面积法"),ROUND(T57/'附表1-面积统计表'!$D$29*'附表1-面积统计表'!$D$5,2),IF(AND(V57="共同成本费用",Z57="可售建筑面积法"),ROUND(T57/'附表1-面积统计表'!$F$29*'附表1-面积统计表'!$F$5,2),"请手工填写")))</f>
        <v>12780.57</v>
      </c>
      <c r="X57" s="179">
        <f>IF(SUM('附表1-面积统计表'!$D$6)=0,"",SUM(T57)-SUM(W57)-SUM(Y57))</f>
        <v>15761.95</v>
      </c>
      <c r="Y57" s="179">
        <f>IF(SUM('附表1-面积统计表'!$D$6)=0,SUM(T57)-SUM(W57),IF('附表1-面积统计表'!$D$29=0,"",IF(AND(V57="共同成本费用",Z57="总建筑面积法"),ROUND(T57/'附表1-面积统计表'!$D$29*'附表1-面积统计表'!$D$7,2),IF(AND(V57="共同成本费用",Z57="可售建筑面积法"),ROUND(T57/'附表1-面积统计表'!$F$29*'附表1-面积统计表'!$F$7,2),"请手工填写"))))</f>
        <v>6450.75</v>
      </c>
      <c r="Z57" s="181" t="s">
        <v>311</v>
      </c>
      <c r="AA57" s="164"/>
      <c r="AB57" s="182" t="s">
        <v>1686</v>
      </c>
    </row>
    <row r="58" ht="29" hidden="1" customHeight="1" outlineLevel="1" spans="1:28">
      <c r="A58" s="159">
        <v>52</v>
      </c>
      <c r="B58" s="166" t="s">
        <v>160</v>
      </c>
      <c r="C58" s="166" t="s">
        <v>1831</v>
      </c>
      <c r="D58" s="162" t="s">
        <v>1739</v>
      </c>
      <c r="E58" s="163" t="s">
        <v>1745</v>
      </c>
      <c r="F58" s="164" t="s">
        <v>1832</v>
      </c>
      <c r="G58" s="165" t="s">
        <v>1833</v>
      </c>
      <c r="H58" s="164" t="str">
        <f>IF(G58="","",VLOOKUP(G58,'附表8-合同明细采集底稿'!B:I,2,0))</f>
        <v>沁春锦苑塑木条</v>
      </c>
      <c r="I58" s="92" t="str">
        <f>IF(G58="","",VLOOKUP(G58,'附表8-合同明细采集底稿'!B:I,3,0))</f>
        <v>建设工程合同</v>
      </c>
      <c r="J58" s="164" t="str">
        <f>IF(G58="","",VLOOKUP(G58,'附表8-合同明细采集底稿'!B:I,4,0))</f>
        <v>库尔勒诚鑫远建材经销部</v>
      </c>
      <c r="K58" s="164" t="s">
        <v>1711</v>
      </c>
      <c r="L58" s="165" t="s">
        <v>1756</v>
      </c>
      <c r="M58" s="165">
        <v>14885917</v>
      </c>
      <c r="N58" s="173">
        <v>1188</v>
      </c>
      <c r="O58" s="173">
        <v>1188</v>
      </c>
      <c r="P58" s="174">
        <v>1188</v>
      </c>
      <c r="Q58" s="173">
        <v>-1188</v>
      </c>
      <c r="R58" s="173">
        <f t="shared" si="2"/>
        <v>0</v>
      </c>
      <c r="S58" s="177">
        <f>IFERROR(VLOOKUP(G58,'附表8-合同明细采集底稿'!B:M,12,0),100%)</f>
        <v>0.329519901724361</v>
      </c>
      <c r="T58" s="173">
        <f t="shared" si="3"/>
        <v>0</v>
      </c>
      <c r="U58" s="164"/>
      <c r="V58" s="178" t="s">
        <v>336</v>
      </c>
      <c r="W58" s="179">
        <f>IF('附表1-面积统计表'!$D$29=0,"",IF(AND(V58="共同成本费用",Z58="总建筑面积法"),ROUND(T58/'附表1-面积统计表'!$D$29*'附表1-面积统计表'!$D$5,2),IF(AND(V58="共同成本费用",Z58="可售建筑面积法"),ROUND(T58/'附表1-面积统计表'!$F$29*'附表1-面积统计表'!$F$5,2),"请手工填写")))</f>
        <v>0</v>
      </c>
      <c r="X58" s="179">
        <f>IF(SUM('附表1-面积统计表'!$D$6)=0,"",SUM(T58)-SUM(W58)-SUM(Y58))</f>
        <v>0</v>
      </c>
      <c r="Y58" s="179">
        <f>IF(SUM('附表1-面积统计表'!$D$6)=0,SUM(T58)-SUM(W58),IF('附表1-面积统计表'!$D$29=0,"",IF(AND(V58="共同成本费用",Z58="总建筑面积法"),ROUND(T58/'附表1-面积统计表'!$D$29*'附表1-面积统计表'!$D$7,2),IF(AND(V58="共同成本费用",Z58="可售建筑面积法"),ROUND(T58/'附表1-面积统计表'!$F$29*'附表1-面积统计表'!$F$7,2),"请手工填写"))))</f>
        <v>0</v>
      </c>
      <c r="Z58" s="181" t="s">
        <v>311</v>
      </c>
      <c r="AA58" s="164"/>
      <c r="AB58" s="182" t="s">
        <v>1686</v>
      </c>
    </row>
    <row r="59" ht="29" hidden="1" customHeight="1" outlineLevel="1" spans="1:28">
      <c r="A59" s="159">
        <v>53</v>
      </c>
      <c r="B59" s="166" t="s">
        <v>1834</v>
      </c>
      <c r="C59" s="166" t="s">
        <v>1835</v>
      </c>
      <c r="D59" s="162" t="s">
        <v>1739</v>
      </c>
      <c r="E59" s="163" t="s">
        <v>1788</v>
      </c>
      <c r="F59" s="164" t="s">
        <v>1836</v>
      </c>
      <c r="G59" s="165" t="s">
        <v>1837</v>
      </c>
      <c r="H59" s="164" t="str">
        <f>IF(G59="","",VLOOKUP(G59,'附表8-合同明细采集底稿'!B:I,2,0))</f>
        <v>一期大门两侧人员通行系统</v>
      </c>
      <c r="I59" s="92" t="str">
        <f>IF(G59="","",VLOOKUP(G59,'附表8-合同明细采集底稿'!B:I,3,0))</f>
        <v>买卖合同</v>
      </c>
      <c r="J59" s="164" t="str">
        <f>IF(G59="","",VLOOKUP(G59,'附表8-合同明细采集底稿'!B:I,4,0))</f>
        <v>巴州四通电子科技有限公司</v>
      </c>
      <c r="K59" s="164" t="s">
        <v>1711</v>
      </c>
      <c r="L59" s="165">
        <v>6500191130</v>
      </c>
      <c r="M59" s="570" t="s">
        <v>1838</v>
      </c>
      <c r="N59" s="173">
        <v>32300.88</v>
      </c>
      <c r="O59" s="173">
        <v>36500</v>
      </c>
      <c r="P59" s="174">
        <v>32300.88</v>
      </c>
      <c r="Q59" s="173">
        <v>-1615.04</v>
      </c>
      <c r="R59" s="173">
        <f t="shared" si="2"/>
        <v>30685.84</v>
      </c>
      <c r="S59" s="177">
        <f>IFERROR(VLOOKUP(G59,'附表8-合同明细采集底稿'!B:M,12,0),100%)</f>
        <v>0.329519901724361</v>
      </c>
      <c r="T59" s="173">
        <f t="shared" si="3"/>
        <v>10111.59</v>
      </c>
      <c r="U59" s="164"/>
      <c r="V59" s="178" t="s">
        <v>336</v>
      </c>
      <c r="W59" s="179">
        <f>IF('附表1-面积统计表'!$D$29=0,"",IF(AND(V59="共同成本费用",Z59="总建筑面积法"),ROUND(T59/'附表1-面积统计表'!$D$29*'附表1-面积统计表'!$D$5,2),IF(AND(V59="共同成本费用",Z59="可售建筑面积法"),ROUND(T59/'附表1-面积统计表'!$F$29*'附表1-面积统计表'!$F$5,2),"请手工填写")))</f>
        <v>3693.05</v>
      </c>
      <c r="X59" s="179">
        <f>IF(SUM('附表1-面积统计表'!$D$6)=0,"",SUM(T59)-SUM(W59)-SUM(Y59))</f>
        <v>4554.54</v>
      </c>
      <c r="Y59" s="179">
        <f>IF(SUM('附表1-面积统计表'!$D$6)=0,SUM(T59)-SUM(W59),IF('附表1-面积统计表'!$D$29=0,"",IF(AND(V59="共同成本费用",Z59="总建筑面积法"),ROUND(T59/'附表1-面积统计表'!$D$29*'附表1-面积统计表'!$D$7,2),IF(AND(V59="共同成本费用",Z59="可售建筑面积法"),ROUND(T59/'附表1-面积统计表'!$F$29*'附表1-面积统计表'!$F$7,2),"请手工填写"))))</f>
        <v>1864</v>
      </c>
      <c r="Z59" s="181" t="s">
        <v>311</v>
      </c>
      <c r="AA59" s="164"/>
      <c r="AB59" s="182" t="s">
        <v>1686</v>
      </c>
    </row>
    <row r="60" ht="29" hidden="1" customHeight="1" outlineLevel="1" spans="1:28">
      <c r="A60" s="159">
        <v>54</v>
      </c>
      <c r="B60" s="166" t="s">
        <v>1291</v>
      </c>
      <c r="C60" s="166" t="s">
        <v>1839</v>
      </c>
      <c r="D60" s="162" t="s">
        <v>1700</v>
      </c>
      <c r="E60" s="163" t="s">
        <v>1813</v>
      </c>
      <c r="F60" s="164" t="s">
        <v>1840</v>
      </c>
      <c r="G60" s="165" t="s">
        <v>1841</v>
      </c>
      <c r="H60" s="164" t="str">
        <f>IF(G60="","",VLOOKUP(G60,'附表8-合同明细采集底稿'!B:I,2,0))</f>
        <v>沁春锦苑三期人防工程审图费</v>
      </c>
      <c r="I60" s="92" t="str">
        <f>IF(G60="","",VLOOKUP(G60,'附表8-合同明细采集底稿'!B:I,3,0))</f>
        <v>其他合同</v>
      </c>
      <c r="J60" s="164" t="str">
        <f>IF(G60="","",VLOOKUP(G60,'附表8-合同明细采集底稿'!B:I,4,0))</f>
        <v>新疆新城建工程设计审查有限公司</v>
      </c>
      <c r="K60" s="164" t="s">
        <v>1711</v>
      </c>
      <c r="L60" s="165">
        <v>6500193130</v>
      </c>
      <c r="M60" s="570" t="s">
        <v>1842</v>
      </c>
      <c r="N60" s="173">
        <v>12852.83</v>
      </c>
      <c r="O60" s="173">
        <v>13624</v>
      </c>
      <c r="P60" s="174">
        <v>12852.83</v>
      </c>
      <c r="Q60" s="173"/>
      <c r="R60" s="173">
        <f t="shared" si="2"/>
        <v>12852.83</v>
      </c>
      <c r="S60" s="177">
        <f>IFERROR(VLOOKUP(G60,'附表8-合同明细采集底稿'!B:M,12,0),100%)</f>
        <v>0.318696696324277</v>
      </c>
      <c r="T60" s="173">
        <f t="shared" si="3"/>
        <v>4096.15</v>
      </c>
      <c r="U60" s="164"/>
      <c r="V60" s="178" t="s">
        <v>336</v>
      </c>
      <c r="W60" s="179">
        <f>IF('附表1-面积统计表'!$D$29=0,"",IF(AND(V60="共同成本费用",Z60="总建筑面积法"),ROUND(T60/'附表1-面积统计表'!$D$29*'附表1-面积统计表'!$D$5,2),IF(AND(V60="共同成本费用",Z60="可售建筑面积法"),ROUND(T60/'附表1-面积统计表'!$F$29*'附表1-面积统计表'!$F$5,2),"请手工填写")))</f>
        <v>1496.03</v>
      </c>
      <c r="X60" s="179">
        <f>IF(SUM('附表1-面积统计表'!$D$6)=0,"",SUM(T60)-SUM(W60)-SUM(Y60))</f>
        <v>1845.02</v>
      </c>
      <c r="Y60" s="179">
        <f>IF(SUM('附表1-面积统计表'!$D$6)=0,SUM(T60)-SUM(W60),IF('附表1-面积统计表'!$D$29=0,"",IF(AND(V60="共同成本费用",Z60="总建筑面积法"),ROUND(T60/'附表1-面积统计表'!$D$29*'附表1-面积统计表'!$D$7,2),IF(AND(V60="共同成本费用",Z60="可售建筑面积法"),ROUND(T60/'附表1-面积统计表'!$F$29*'附表1-面积统计表'!$F$7,2),"请手工填写"))))</f>
        <v>755.1</v>
      </c>
      <c r="Z60" s="181" t="s">
        <v>311</v>
      </c>
      <c r="AA60" s="164"/>
      <c r="AB60" s="182" t="s">
        <v>1686</v>
      </c>
    </row>
    <row r="61" ht="29" hidden="1" customHeight="1" outlineLevel="1" spans="1:28">
      <c r="A61" s="159">
        <v>55</v>
      </c>
      <c r="B61" s="166" t="s">
        <v>431</v>
      </c>
      <c r="C61" s="166" t="s">
        <v>1843</v>
      </c>
      <c r="D61" s="162" t="s">
        <v>1739</v>
      </c>
      <c r="E61" s="163" t="s">
        <v>1745</v>
      </c>
      <c r="F61" s="164" t="s">
        <v>1844</v>
      </c>
      <c r="G61" s="165" t="s">
        <v>1697</v>
      </c>
      <c r="H61" s="164">
        <f>IF(G61="","",VLOOKUP(G61,'附表8-合同明细采集底稿'!B:I,2,0))</f>
        <v>0</v>
      </c>
      <c r="I61" s="92">
        <f>IF(G61="","",VLOOKUP(G61,'附表8-合同明细采集底稿'!B:I,3,0))</f>
        <v>0</v>
      </c>
      <c r="J61" s="164" t="s">
        <v>1845</v>
      </c>
      <c r="K61" s="164" t="s">
        <v>1704</v>
      </c>
      <c r="L61" s="165" t="s">
        <v>1705</v>
      </c>
      <c r="M61" s="165">
        <v>62410982</v>
      </c>
      <c r="N61" s="173">
        <v>6200</v>
      </c>
      <c r="O61" s="173">
        <v>6200</v>
      </c>
      <c r="P61" s="174">
        <v>6200</v>
      </c>
      <c r="Q61" s="173">
        <v>-6200</v>
      </c>
      <c r="R61" s="173">
        <f t="shared" si="2"/>
        <v>0</v>
      </c>
      <c r="S61" s="177">
        <f>IFERROR(VLOOKUP(G61,'附表8-合同明细采集底稿'!B:M,12,0),100%)</f>
        <v>0.329519901724361</v>
      </c>
      <c r="T61" s="173">
        <f t="shared" si="3"/>
        <v>0</v>
      </c>
      <c r="U61" s="164"/>
      <c r="V61" s="178" t="s">
        <v>336</v>
      </c>
      <c r="W61" s="179">
        <f>IF('附表1-面积统计表'!$D$29=0,"",IF(AND(V61="共同成本费用",Z61="总建筑面积法"),ROUND(T61/'附表1-面积统计表'!$D$29*'附表1-面积统计表'!$D$5,2),IF(AND(V61="共同成本费用",Z61="可售建筑面积法"),ROUND(T61/'附表1-面积统计表'!$F$29*'附表1-面积统计表'!$F$5,2),"请手工填写")))</f>
        <v>0</v>
      </c>
      <c r="X61" s="179">
        <f>IF(SUM('附表1-面积统计表'!$D$6)=0,"",SUM(T61)-SUM(W61)-SUM(Y61))</f>
        <v>0</v>
      </c>
      <c r="Y61" s="179">
        <f>IF(SUM('附表1-面积统计表'!$D$6)=0,SUM(T61)-SUM(W61),IF('附表1-面积统计表'!$D$29=0,"",IF(AND(V61="共同成本费用",Z61="总建筑面积法"),ROUND(T61/'附表1-面积统计表'!$D$29*'附表1-面积统计表'!$D$7,2),IF(AND(V61="共同成本费用",Z61="可售建筑面积法"),ROUND(T61/'附表1-面积统计表'!$F$29*'附表1-面积统计表'!$F$7,2),"请手工填写"))))</f>
        <v>0</v>
      </c>
      <c r="Z61" s="181" t="s">
        <v>311</v>
      </c>
      <c r="AA61" s="164"/>
      <c r="AB61" s="182" t="s">
        <v>1686</v>
      </c>
    </row>
    <row r="62" ht="29" hidden="1" customHeight="1" outlineLevel="1" spans="1:28">
      <c r="A62" s="159">
        <v>56</v>
      </c>
      <c r="B62" s="166" t="s">
        <v>996</v>
      </c>
      <c r="C62" s="166" t="s">
        <v>1846</v>
      </c>
      <c r="D62" s="162" t="s">
        <v>1739</v>
      </c>
      <c r="E62" s="163" t="s">
        <v>1745</v>
      </c>
      <c r="F62" s="164" t="s">
        <v>1847</v>
      </c>
      <c r="G62" s="165" t="s">
        <v>1697</v>
      </c>
      <c r="H62" s="164">
        <f>IF(G62="","",VLOOKUP(G62,'附表8-合同明细采集底稿'!B:I,2,0))</f>
        <v>0</v>
      </c>
      <c r="I62" s="92">
        <f>IF(G62="","",VLOOKUP(G62,'附表8-合同明细采集底稿'!B:I,3,0))</f>
        <v>0</v>
      </c>
      <c r="J62" s="164" t="s">
        <v>1845</v>
      </c>
      <c r="K62" s="164" t="s">
        <v>1704</v>
      </c>
      <c r="L62" s="165" t="s">
        <v>1705</v>
      </c>
      <c r="M62" s="165">
        <v>62410894</v>
      </c>
      <c r="N62" s="173">
        <v>15000</v>
      </c>
      <c r="O62" s="173">
        <v>15000</v>
      </c>
      <c r="P62" s="174">
        <v>15000</v>
      </c>
      <c r="Q62" s="173"/>
      <c r="R62" s="173">
        <f t="shared" si="2"/>
        <v>15000</v>
      </c>
      <c r="S62" s="177">
        <f>IFERROR(VLOOKUP(G62,'附表8-合同明细采集底稿'!B:M,12,0),100%)</f>
        <v>0.329519901724361</v>
      </c>
      <c r="T62" s="173">
        <f t="shared" si="3"/>
        <v>4942.8</v>
      </c>
      <c r="U62" s="164"/>
      <c r="V62" s="178" t="s">
        <v>336</v>
      </c>
      <c r="W62" s="179">
        <f>IF('附表1-面积统计表'!$D$29=0,"",IF(AND(V62="共同成本费用",Z62="总建筑面积法"),ROUND(T62/'附表1-面积统计表'!$D$29*'附表1-面积统计表'!$D$5,2),IF(AND(V62="共同成本费用",Z62="可售建筑面积法"),ROUND(T62/'附表1-面积统计表'!$F$29*'附表1-面积统计表'!$F$5,2),"请手工填写")))</f>
        <v>1805.26</v>
      </c>
      <c r="X62" s="179">
        <f>IF(SUM('附表1-面积统计表'!$D$6)=0,"",SUM(T62)-SUM(W62)-SUM(Y62))</f>
        <v>2226.37</v>
      </c>
      <c r="Y62" s="179">
        <f>IF(SUM('附表1-面积统计表'!$D$6)=0,SUM(T62)-SUM(W62),IF('附表1-面积统计表'!$D$29=0,"",IF(AND(V62="共同成本费用",Z62="总建筑面积法"),ROUND(T62/'附表1-面积统计表'!$D$29*'附表1-面积统计表'!$D$7,2),IF(AND(V62="共同成本费用",Z62="可售建筑面积法"),ROUND(T62/'附表1-面积统计表'!$F$29*'附表1-面积统计表'!$F$7,2),"请手工填写"))))</f>
        <v>911.17</v>
      </c>
      <c r="Z62" s="181" t="s">
        <v>311</v>
      </c>
      <c r="AA62" s="164"/>
      <c r="AB62" s="182" t="s">
        <v>1686</v>
      </c>
    </row>
    <row r="63" ht="29" hidden="1" customHeight="1" outlineLevel="1" spans="1:28">
      <c r="A63" s="159">
        <v>57</v>
      </c>
      <c r="B63" s="166" t="s">
        <v>1071</v>
      </c>
      <c r="C63" s="166" t="s">
        <v>1848</v>
      </c>
      <c r="D63" s="162" t="s">
        <v>1739</v>
      </c>
      <c r="E63" s="163" t="s">
        <v>1745</v>
      </c>
      <c r="F63" s="164" t="s">
        <v>1849</v>
      </c>
      <c r="G63" s="165" t="s">
        <v>1850</v>
      </c>
      <c r="H63" s="164" t="str">
        <f>IF(G63="","",VLOOKUP(G63,'附表8-合同明细采集底稿'!B:I,2,0))</f>
        <v>水土保持方案编制合同</v>
      </c>
      <c r="I63" s="92" t="str">
        <f>IF(G63="","",VLOOKUP(G63,'附表8-合同明细采集底稿'!B:I,3,0))</f>
        <v>技术合同</v>
      </c>
      <c r="J63" s="164" t="str">
        <f>IF(G63="","",VLOOKUP(G63,'附表8-合同明细采集底稿'!B:I,4,0))</f>
        <v>新疆和禹源生态工程咨询有限公司</v>
      </c>
      <c r="K63" s="164" t="s">
        <v>1711</v>
      </c>
      <c r="L63" s="165">
        <v>6500193130</v>
      </c>
      <c r="M63" s="570" t="s">
        <v>1851</v>
      </c>
      <c r="N63" s="173">
        <v>42079.21</v>
      </c>
      <c r="O63" s="173">
        <v>42500</v>
      </c>
      <c r="P63" s="174">
        <v>42079.21</v>
      </c>
      <c r="Q63" s="173"/>
      <c r="R63" s="173">
        <f t="shared" si="2"/>
        <v>42079.21</v>
      </c>
      <c r="S63" s="177">
        <f>IFERROR(VLOOKUP(G63,'附表8-合同明细采集底稿'!B:M,12,0),100%)</f>
        <v>0.329519901724361</v>
      </c>
      <c r="T63" s="173">
        <f t="shared" si="3"/>
        <v>13865.94</v>
      </c>
      <c r="U63" s="164"/>
      <c r="V63" s="178" t="s">
        <v>336</v>
      </c>
      <c r="W63" s="179">
        <f>IF('附表1-面积统计表'!$D$29=0,"",IF(AND(V63="共同成本费用",Z63="总建筑面积法"),ROUND(T63/'附表1-面积统计表'!$D$29*'附表1-面积统计表'!$D$5,2),IF(AND(V63="共同成本费用",Z63="可售建筑面积法"),ROUND(T63/'附表1-面积统计表'!$F$29*'附表1-面积统计表'!$F$5,2),"请手工填写")))</f>
        <v>5064.25</v>
      </c>
      <c r="X63" s="179">
        <f>IF(SUM('附表1-面积统计表'!$D$6)=0,"",SUM(T63)-SUM(W63)-SUM(Y63))</f>
        <v>6245.61</v>
      </c>
      <c r="Y63" s="179">
        <f>IF(SUM('附表1-面积统计表'!$D$6)=0,SUM(T63)-SUM(W63),IF('附表1-面积统计表'!$D$29=0,"",IF(AND(V63="共同成本费用",Z63="总建筑面积法"),ROUND(T63/'附表1-面积统计表'!$D$29*'附表1-面积统计表'!$D$7,2),IF(AND(V63="共同成本费用",Z63="可售建筑面积法"),ROUND(T63/'附表1-面积统计表'!$F$29*'附表1-面积统计表'!$F$7,2),"请手工填写"))))</f>
        <v>2556.08</v>
      </c>
      <c r="Z63" s="181" t="s">
        <v>311</v>
      </c>
      <c r="AA63" s="164"/>
      <c r="AB63" s="182" t="s">
        <v>1686</v>
      </c>
    </row>
    <row r="64" ht="29" hidden="1" customHeight="1" outlineLevel="1" spans="1:28">
      <c r="A64" s="159">
        <v>58</v>
      </c>
      <c r="B64" s="166" t="s">
        <v>782</v>
      </c>
      <c r="C64" s="166" t="s">
        <v>1852</v>
      </c>
      <c r="D64" s="162" t="s">
        <v>1739</v>
      </c>
      <c r="E64" s="163" t="s">
        <v>1745</v>
      </c>
      <c r="F64" s="164" t="s">
        <v>1853</v>
      </c>
      <c r="G64" s="165" t="s">
        <v>1697</v>
      </c>
      <c r="H64" s="164">
        <f>IF(G64="","",VLOOKUP(G64,'附表8-合同明细采集底稿'!B:I,2,0))</f>
        <v>0</v>
      </c>
      <c r="I64" s="92">
        <f>IF(G64="","",VLOOKUP(G64,'附表8-合同明细采集底稿'!B:I,3,0))</f>
        <v>0</v>
      </c>
      <c r="J64" s="164" t="s">
        <v>1845</v>
      </c>
      <c r="K64" s="164" t="s">
        <v>1704</v>
      </c>
      <c r="L64" s="165" t="s">
        <v>1705</v>
      </c>
      <c r="M64" s="165">
        <v>62410897</v>
      </c>
      <c r="N64" s="173">
        <v>17000</v>
      </c>
      <c r="O64" s="173">
        <v>17000</v>
      </c>
      <c r="P64" s="174">
        <v>17000</v>
      </c>
      <c r="Q64" s="173"/>
      <c r="R64" s="173">
        <f t="shared" si="2"/>
        <v>17000</v>
      </c>
      <c r="S64" s="177">
        <f>IFERROR(VLOOKUP(G64,'附表8-合同明细采集底稿'!B:M,12,0),100%)</f>
        <v>0.329519901724361</v>
      </c>
      <c r="T64" s="173">
        <f t="shared" si="3"/>
        <v>5601.84</v>
      </c>
      <c r="U64" s="164"/>
      <c r="V64" s="178" t="s">
        <v>336</v>
      </c>
      <c r="W64" s="179">
        <f>IF('附表1-面积统计表'!$D$29=0,"",IF(AND(V64="共同成本费用",Z64="总建筑面积法"),ROUND(T64/'附表1-面积统计表'!$D$29*'附表1-面积统计表'!$D$5,2),IF(AND(V64="共同成本费用",Z64="可售建筑面积法"),ROUND(T64/'附表1-面积统计表'!$F$29*'附表1-面积统计表'!$F$5,2),"请手工填写")))</f>
        <v>2045.96</v>
      </c>
      <c r="X64" s="179">
        <f>IF(SUM('附表1-面积统计表'!$D$6)=0,"",SUM(T64)-SUM(W64)-SUM(Y64))</f>
        <v>2523.22</v>
      </c>
      <c r="Y64" s="179">
        <f>IF(SUM('附表1-面积统计表'!$D$6)=0,SUM(T64)-SUM(W64),IF('附表1-面积统计表'!$D$29=0,"",IF(AND(V64="共同成本费用",Z64="总建筑面积法"),ROUND(T64/'附表1-面积统计表'!$D$29*'附表1-面积统计表'!$D$7,2),IF(AND(V64="共同成本费用",Z64="可售建筑面积法"),ROUND(T64/'附表1-面积统计表'!$F$29*'附表1-面积统计表'!$F$7,2),"请手工填写"))))</f>
        <v>1032.66</v>
      </c>
      <c r="Z64" s="181" t="s">
        <v>311</v>
      </c>
      <c r="AA64" s="164"/>
      <c r="AB64" s="182" t="s">
        <v>1686</v>
      </c>
    </row>
    <row r="65" ht="29" hidden="1" customHeight="1" outlineLevel="1" spans="1:28">
      <c r="A65" s="159">
        <v>59</v>
      </c>
      <c r="B65" s="166" t="s">
        <v>1854</v>
      </c>
      <c r="C65" s="166" t="s">
        <v>1855</v>
      </c>
      <c r="D65" s="162" t="s">
        <v>1700</v>
      </c>
      <c r="E65" s="163" t="s">
        <v>1813</v>
      </c>
      <c r="F65" s="164" t="s">
        <v>1856</v>
      </c>
      <c r="G65" s="165" t="s">
        <v>1815</v>
      </c>
      <c r="H65" s="164" t="str">
        <f>IF(G65="","",VLOOKUP(G65,'附表8-合同明细采集底稿'!B:I,2,0))</f>
        <v>建设工程设计合同（民用建设工程设计合同）</v>
      </c>
      <c r="I65" s="92" t="str">
        <f>IF(G65="","",VLOOKUP(G65,'附表8-合同明细采集底稿'!B:I,3,0))</f>
        <v>技术合同</v>
      </c>
      <c r="J65" s="164" t="str">
        <f>IF(G65="","",VLOOKUP(G65,'附表8-合同明细采集底稿'!B:I,4,0))</f>
        <v>河南省人防建筑设计院有限公司新疆分公司</v>
      </c>
      <c r="K65" s="164" t="s">
        <v>1711</v>
      </c>
      <c r="L65" s="165">
        <v>6500201130</v>
      </c>
      <c r="M65" s="570" t="s">
        <v>1857</v>
      </c>
      <c r="N65" s="173">
        <v>49900.99</v>
      </c>
      <c r="O65" s="173">
        <v>50400</v>
      </c>
      <c r="P65" s="174">
        <v>49900.99</v>
      </c>
      <c r="Q65" s="173"/>
      <c r="R65" s="173">
        <f t="shared" si="2"/>
        <v>49900.99</v>
      </c>
      <c r="S65" s="177">
        <f>IFERROR(VLOOKUP(G65,'附表8-合同明细采集底稿'!B:M,12,0),100%)</f>
        <v>0.318696696324277</v>
      </c>
      <c r="T65" s="173">
        <f t="shared" si="3"/>
        <v>15903.28</v>
      </c>
      <c r="U65" s="164"/>
      <c r="V65" s="178" t="s">
        <v>336</v>
      </c>
      <c r="W65" s="179">
        <f>IF('附表1-面积统计表'!$D$29=0,"",IF(AND(V65="共同成本费用",Z65="总建筑面积法"),ROUND(T65/'附表1-面积统计表'!$D$29*'附表1-面积统计表'!$D$5,2),IF(AND(V65="共同成本费用",Z65="可售建筑面积法"),ROUND(T65/'附表1-面积统计表'!$F$29*'附表1-面积统计表'!$F$5,2),"请手工填写")))</f>
        <v>5808.35</v>
      </c>
      <c r="X65" s="179">
        <f>IF(SUM('附表1-面积统计表'!$D$6)=0,"",SUM(T65)-SUM(W65)-SUM(Y65))</f>
        <v>7163.28</v>
      </c>
      <c r="Y65" s="179">
        <f>IF(SUM('附表1-面积统计表'!$D$6)=0,SUM(T65)-SUM(W65),IF('附表1-面积统计表'!$D$29=0,"",IF(AND(V65="共同成本费用",Z65="总建筑面积法"),ROUND(T65/'附表1-面积统计表'!$D$29*'附表1-面积统计表'!$D$7,2),IF(AND(V65="共同成本费用",Z65="可售建筑面积法"),ROUND(T65/'附表1-面积统计表'!$F$29*'附表1-面积统计表'!$F$7,2),"请手工填写"))))</f>
        <v>2931.65</v>
      </c>
      <c r="Z65" s="181" t="s">
        <v>311</v>
      </c>
      <c r="AA65" s="164"/>
      <c r="AB65" s="182" t="s">
        <v>1686</v>
      </c>
    </row>
    <row r="66" ht="29" hidden="1" customHeight="1" outlineLevel="1" spans="1:28">
      <c r="A66" s="159">
        <v>60</v>
      </c>
      <c r="B66" s="166" t="s">
        <v>1858</v>
      </c>
      <c r="C66" s="166" t="s">
        <v>1859</v>
      </c>
      <c r="D66" s="162" t="s">
        <v>1707</v>
      </c>
      <c r="E66" s="163" t="s">
        <v>1860</v>
      </c>
      <c r="F66" s="164" t="s">
        <v>1861</v>
      </c>
      <c r="G66" s="165" t="s">
        <v>1862</v>
      </c>
      <c r="H66" s="164" t="str">
        <f>IF(G66="","",VLOOKUP(G66,'附表8-合同明细采集底稿'!B:I,2,0))</f>
        <v>沁春锦苑绿色建筑环评噪音监测费</v>
      </c>
      <c r="I66" s="92" t="str">
        <f>IF(G66="","",VLOOKUP(G66,'附表8-合同明细采集底稿'!B:I,3,0))</f>
        <v>技术合同</v>
      </c>
      <c r="J66" s="164" t="str">
        <f>IF(G66="","",VLOOKUP(G66,'附表8-合同明细采集底稿'!B:I,4,0))</f>
        <v>巴州永诚环境检测技术服务有限公司</v>
      </c>
      <c r="K66" s="164" t="s">
        <v>1704</v>
      </c>
      <c r="L66" s="165" t="s">
        <v>1705</v>
      </c>
      <c r="M66" s="165">
        <v>38207364</v>
      </c>
      <c r="N66" s="173">
        <v>5000</v>
      </c>
      <c r="O66" s="173">
        <v>5000</v>
      </c>
      <c r="P66" s="174">
        <v>5000</v>
      </c>
      <c r="Q66" s="173"/>
      <c r="R66" s="173">
        <f t="shared" si="2"/>
        <v>5000</v>
      </c>
      <c r="S66" s="177">
        <f>IFERROR(VLOOKUP(G66,'附表8-合同明细采集底稿'!B:M,12,0),100%)</f>
        <v>0.313614973484672</v>
      </c>
      <c r="T66" s="173">
        <f t="shared" si="3"/>
        <v>1568.07</v>
      </c>
      <c r="U66" s="164"/>
      <c r="V66" s="178" t="s">
        <v>336</v>
      </c>
      <c r="W66" s="179">
        <f>IF('附表1-面积统计表'!$D$29=0,"",IF(AND(V66="共同成本费用",Z66="总建筑面积法"),ROUND(T66/'附表1-面积统计表'!$D$29*'附表1-面积统计表'!$D$5,2),IF(AND(V66="共同成本费用",Z66="可售建筑面积法"),ROUND(T66/'附表1-面积统计表'!$F$29*'附表1-面积统计表'!$F$5,2),"请手工填写")))</f>
        <v>572.71</v>
      </c>
      <c r="X66" s="179">
        <f>IF(SUM('附表1-面积统计表'!$D$6)=0,"",SUM(T66)-SUM(W66)-SUM(Y66))</f>
        <v>706.3</v>
      </c>
      <c r="Y66" s="179">
        <f>IF(SUM('附表1-面积统计表'!$D$6)=0,SUM(T66)-SUM(W66),IF('附表1-面积统计表'!$D$29=0,"",IF(AND(V66="共同成本费用",Z66="总建筑面积法"),ROUND(T66/'附表1-面积统计表'!$D$29*'附表1-面积统计表'!$D$7,2),IF(AND(V66="共同成本费用",Z66="可售建筑面积法"),ROUND(T66/'附表1-面积统计表'!$F$29*'附表1-面积统计表'!$F$7,2),"请手工填写"))))</f>
        <v>289.06</v>
      </c>
      <c r="Z66" s="181" t="s">
        <v>311</v>
      </c>
      <c r="AA66" s="164"/>
      <c r="AB66" s="182" t="s">
        <v>1686</v>
      </c>
    </row>
    <row r="67" ht="29" hidden="1" customHeight="1" outlineLevel="1" spans="1:28">
      <c r="A67" s="159">
        <v>61</v>
      </c>
      <c r="B67" s="166" t="s">
        <v>1407</v>
      </c>
      <c r="C67" s="166" t="s">
        <v>1863</v>
      </c>
      <c r="D67" s="162" t="s">
        <v>1707</v>
      </c>
      <c r="E67" s="163" t="s">
        <v>1864</v>
      </c>
      <c r="F67" s="164" t="s">
        <v>1865</v>
      </c>
      <c r="G67" s="165" t="s">
        <v>1866</v>
      </c>
      <c r="H67" s="164" t="str">
        <f>IF(G67="","",VLOOKUP(G67,'附表8-合同明细采集底稿'!B:I,2,0))</f>
        <v>沁园春锦建设用地土壤氡水平检测</v>
      </c>
      <c r="I67" s="92" t="str">
        <f>IF(G67="","",VLOOKUP(G67,'附表8-合同明细采集底稿'!B:I,3,0))</f>
        <v>技术合同</v>
      </c>
      <c r="J67" s="164" t="str">
        <f>IF(G67="","",VLOOKUP(G67,'附表8-合同明细采集底稿'!B:I,4,0))</f>
        <v>核工业二一六大队</v>
      </c>
      <c r="K67" s="164" t="s">
        <v>1711</v>
      </c>
      <c r="L67" s="165">
        <v>6500193130</v>
      </c>
      <c r="M67" s="570" t="s">
        <v>1867</v>
      </c>
      <c r="N67" s="173">
        <v>33018.87</v>
      </c>
      <c r="O67" s="173">
        <v>35000</v>
      </c>
      <c r="P67" s="174">
        <v>33018.87</v>
      </c>
      <c r="Q67" s="173"/>
      <c r="R67" s="173">
        <f t="shared" si="2"/>
        <v>33018.87</v>
      </c>
      <c r="S67" s="177">
        <f>IFERROR(VLOOKUP(G67,'附表8-合同明细采集底稿'!B:M,12,0),100%)</f>
        <v>0.329519901724361</v>
      </c>
      <c r="T67" s="173">
        <f t="shared" si="3"/>
        <v>10880.37</v>
      </c>
      <c r="U67" s="164"/>
      <c r="V67" s="178" t="s">
        <v>336</v>
      </c>
      <c r="W67" s="179">
        <f>IF('附表1-面积统计表'!$D$29=0,"",IF(AND(V67="共同成本费用",Z67="总建筑面积法"),ROUND(T67/'附表1-面积统计表'!$D$29*'附表1-面积统计表'!$D$5,2),IF(AND(V67="共同成本费用",Z67="可售建筑面积法"),ROUND(T67/'附表1-面积统计表'!$F$29*'附表1-面积统计表'!$F$5,2),"请手工填写")))</f>
        <v>3973.83</v>
      </c>
      <c r="X67" s="179">
        <f>IF(SUM('附表1-面积统计表'!$D$6)=0,"",SUM(T67)-SUM(W67)-SUM(Y67))</f>
        <v>4900.82</v>
      </c>
      <c r="Y67" s="179">
        <f>IF(SUM('附表1-面积统计表'!$D$6)=0,SUM(T67)-SUM(W67),IF('附表1-面积统计表'!$D$29=0,"",IF(AND(V67="共同成本费用",Z67="总建筑面积法"),ROUND(T67/'附表1-面积统计表'!$D$29*'附表1-面积统计表'!$D$7,2),IF(AND(V67="共同成本费用",Z67="可售建筑面积法"),ROUND(T67/'附表1-面积统计表'!$F$29*'附表1-面积统计表'!$F$7,2),"请手工填写"))))</f>
        <v>2005.72</v>
      </c>
      <c r="Z67" s="181" t="s">
        <v>311</v>
      </c>
      <c r="AA67" s="164"/>
      <c r="AB67" s="182" t="s">
        <v>1686</v>
      </c>
    </row>
    <row r="68" ht="29" hidden="1" customHeight="1" outlineLevel="1" spans="1:28">
      <c r="A68" s="159">
        <v>62</v>
      </c>
      <c r="B68" s="166" t="s">
        <v>1868</v>
      </c>
      <c r="C68" s="166" t="s">
        <v>1869</v>
      </c>
      <c r="D68" s="162" t="s">
        <v>1707</v>
      </c>
      <c r="E68" s="163" t="s">
        <v>1860</v>
      </c>
      <c r="F68" s="164" t="s">
        <v>1870</v>
      </c>
      <c r="G68" s="165" t="s">
        <v>1871</v>
      </c>
      <c r="H68" s="164" t="str">
        <f>IF(G68="","",VLOOKUP(G68,'附表8-合同明细采集底稿'!B:I,2,0))</f>
        <v>沁春锦苑（住宅部分）技术服务合同书</v>
      </c>
      <c r="I68" s="92" t="str">
        <f>IF(G68="","",VLOOKUP(G68,'附表8-合同明细采集底稿'!B:I,3,0))</f>
        <v>建设工程合同</v>
      </c>
      <c r="J68" s="164" t="str">
        <f>IF(G68="","",VLOOKUP(G68,'附表8-合同明细采集底稿'!B:I,4,0))</f>
        <v>上海坤喆企业管理中心</v>
      </c>
      <c r="K68" s="164" t="s">
        <v>1711</v>
      </c>
      <c r="L68" s="165" t="s">
        <v>1756</v>
      </c>
      <c r="M68" s="165" t="s">
        <v>1872</v>
      </c>
      <c r="N68" s="173">
        <v>600000</v>
      </c>
      <c r="O68" s="173">
        <v>600000</v>
      </c>
      <c r="P68" s="174">
        <v>600000</v>
      </c>
      <c r="Q68" s="173"/>
      <c r="R68" s="173">
        <f t="shared" si="2"/>
        <v>600000</v>
      </c>
      <c r="S68" s="177">
        <f>IFERROR(VLOOKUP(G68,'附表8-合同明细采集底稿'!B:M,12,0),100%)</f>
        <v>0.313614973484672</v>
      </c>
      <c r="T68" s="173">
        <f t="shared" si="3"/>
        <v>188168.98</v>
      </c>
      <c r="U68" s="164" t="s">
        <v>1873</v>
      </c>
      <c r="V68" s="178" t="s">
        <v>336</v>
      </c>
      <c r="W68" s="179">
        <f>IF('附表1-面积统计表'!$D$29=0,"",IF(AND(V68="共同成本费用",Z68="总建筑面积法"),ROUND(T68/'附表1-面积统计表'!$D$29*'附表1-面积统计表'!$D$5,2),IF(AND(V68="共同成本费用",Z68="可售建筑面积法"),ROUND(T68/'附表1-面积统计表'!$F$29*'附表1-面积统计表'!$F$5,2),"请手工填写")))</f>
        <v>68724.85</v>
      </c>
      <c r="X68" s="179">
        <f>IF(SUM('附表1-面积统计表'!$D$6)=0,"",SUM(T68)-SUM(W68)-SUM(Y68))</f>
        <v>84756.55</v>
      </c>
      <c r="Y68" s="179">
        <f>IF(SUM('附表1-面积统计表'!$D$6)=0,SUM(T68)-SUM(W68),IF('附表1-面积统计表'!$D$29=0,"",IF(AND(V68="共同成本费用",Z68="总建筑面积法"),ROUND(T68/'附表1-面积统计表'!$D$29*'附表1-面积统计表'!$D$7,2),IF(AND(V68="共同成本费用",Z68="可售建筑面积法"),ROUND(T68/'附表1-面积统计表'!$F$29*'附表1-面积统计表'!$F$7,2),"请手工填写"))))</f>
        <v>34687.58</v>
      </c>
      <c r="Z68" s="181" t="s">
        <v>311</v>
      </c>
      <c r="AA68" s="164"/>
      <c r="AB68" s="182" t="s">
        <v>1686</v>
      </c>
    </row>
    <row r="69" s="140" customFormat="1" ht="29" customHeight="1" outlineLevel="1" spans="1:16384">
      <c r="A69" s="183">
        <v>63</v>
      </c>
      <c r="B69" s="184" t="s">
        <v>1868</v>
      </c>
      <c r="C69" s="184" t="s">
        <v>1874</v>
      </c>
      <c r="D69" s="185" t="s">
        <v>1700</v>
      </c>
      <c r="E69" s="186" t="s">
        <v>1875</v>
      </c>
      <c r="F69" s="187" t="s">
        <v>1876</v>
      </c>
      <c r="G69" s="188" t="s">
        <v>1877</v>
      </c>
      <c r="H69" s="187" t="str">
        <f>IF(G69="","",VLOOKUP(G69,'附表8-合同明细采集底稿'!B:I,2,0))</f>
        <v>沁园春锦BIM咨询服务协议</v>
      </c>
      <c r="I69" s="199" t="str">
        <f>IF(G69="","",VLOOKUP(G69,'附表8-合同明细采集底稿'!B:I,3,0))</f>
        <v>技术合同</v>
      </c>
      <c r="J69" s="187" t="str">
        <f>IF(G69="","",VLOOKUP(G69,'附表8-合同明细采集底稿'!B:I,4,0))</f>
        <v>新疆佳联筑创建筑科技有限公司</v>
      </c>
      <c r="K69" s="187" t="s">
        <v>1711</v>
      </c>
      <c r="L69" s="188">
        <v>6500193160</v>
      </c>
      <c r="M69" s="571" t="s">
        <v>1878</v>
      </c>
      <c r="N69" s="200">
        <v>99009.9</v>
      </c>
      <c r="O69" s="200">
        <v>100000</v>
      </c>
      <c r="P69" s="201">
        <v>99009.9</v>
      </c>
      <c r="Q69" s="200"/>
      <c r="R69" s="200">
        <f t="shared" si="2"/>
        <v>99009.9</v>
      </c>
      <c r="S69" s="205">
        <f>IFERROR(VLOOKUP(G69,'附表8-合同明细采集底稿'!B:M,12,0),100%)</f>
        <v>0.329519901724361</v>
      </c>
      <c r="T69" s="200">
        <f t="shared" si="3"/>
        <v>32625.73</v>
      </c>
      <c r="U69" s="187"/>
      <c r="V69" s="206" t="s">
        <v>336</v>
      </c>
      <c r="W69" s="207">
        <f>IF('附表1-面积统计表'!$D$29=0,"",IF(AND(V69="共同成本费用",Z69="总建筑面积法"),ROUND(T69/'附表1-面积统计表'!$D$29*'附表1-面积统计表'!$D$5,2),IF(AND(V69="共同成本费用",Z69="可售建筑面积法"),ROUND(T69/'附表1-面积统计表'!$F$29*'附表1-面积统计表'!$F$5,2),"请手工填写")))</f>
        <v>11915.88</v>
      </c>
      <c r="X69" s="207">
        <f>IF(SUM('附表1-面积统计表'!$D$6)=0,"",SUM(T69)-SUM(W69)-SUM(Y69))</f>
        <v>14695.54</v>
      </c>
      <c r="Y69" s="207">
        <f>IF(SUM('附表1-面积统计表'!$D$6)=0,SUM(T69)-SUM(W69),IF('附表1-面积统计表'!$D$29=0,"",IF(AND(V69="共同成本费用",Z69="总建筑面积法"),ROUND(T69/'附表1-面积统计表'!$D$29*'附表1-面积统计表'!$D$7,2),IF(AND(V69="共同成本费用",Z69="可售建筑面积法"),ROUND(T69/'附表1-面积统计表'!$F$29*'附表1-面积统计表'!$F$7,2),"请手工填写"))))</f>
        <v>6014.31</v>
      </c>
      <c r="Z69" s="213" t="s">
        <v>311</v>
      </c>
      <c r="AA69" s="187"/>
      <c r="AB69" s="214" t="s">
        <v>1686</v>
      </c>
      <c r="XEO69" s="217"/>
      <c r="XEP69" s="217"/>
      <c r="XEQ69" s="217"/>
      <c r="XER69" s="217"/>
      <c r="XES69" s="217"/>
      <c r="XET69" s="217"/>
      <c r="XEU69" s="217"/>
      <c r="XEV69" s="217"/>
      <c r="XEW69" s="217"/>
      <c r="XEX69" s="217"/>
      <c r="XEY69" s="217"/>
      <c r="XEZ69" s="217"/>
      <c r="XFA69" s="217"/>
      <c r="XFB69" s="217"/>
      <c r="XFC69" s="217"/>
      <c r="XFD69" s="217"/>
    </row>
    <row r="70" ht="29" hidden="1" customHeight="1" outlineLevel="1" spans="1:28">
      <c r="A70" s="159">
        <v>64</v>
      </c>
      <c r="B70" s="166" t="s">
        <v>416</v>
      </c>
      <c r="C70" s="166" t="s">
        <v>1879</v>
      </c>
      <c r="D70" s="162" t="s">
        <v>1700</v>
      </c>
      <c r="E70" s="163" t="s">
        <v>1880</v>
      </c>
      <c r="F70" s="164" t="s">
        <v>1881</v>
      </c>
      <c r="G70" s="165" t="s">
        <v>1882</v>
      </c>
      <c r="H70" s="164" t="str">
        <f>IF(G70="","",VLOOKUP(G70,'附表8-合同明细采集底稿'!B:I,2,0))</f>
        <v>沁春锦苑35#楼东侧停车棚安装合同</v>
      </c>
      <c r="I70" s="92" t="str">
        <f>IF(G70="","",VLOOKUP(G70,'附表8-合同明细采集底稿'!B:I,3,0))</f>
        <v>建设工程合同</v>
      </c>
      <c r="J70" s="164" t="str">
        <f>IF(G70="","",VLOOKUP(G70,'附表8-合同明细采集底稿'!B:I,4,0))</f>
        <v>库尔勒天业钢结构制造有限公司</v>
      </c>
      <c r="K70" s="164" t="s">
        <v>1711</v>
      </c>
      <c r="L70" s="165">
        <v>6500201130</v>
      </c>
      <c r="M70" s="570" t="s">
        <v>1883</v>
      </c>
      <c r="N70" s="173">
        <v>45465.49</v>
      </c>
      <c r="O70" s="173">
        <v>51376</v>
      </c>
      <c r="P70" s="174">
        <v>45465.49</v>
      </c>
      <c r="Q70" s="173">
        <v>-2273.28</v>
      </c>
      <c r="R70" s="173">
        <f t="shared" si="2"/>
        <v>43192.21</v>
      </c>
      <c r="S70" s="177">
        <f>IFERROR(VLOOKUP(G70,'附表8-合同明细采集底稿'!B:M,12,0),100%)</f>
        <v>0.329519901724361</v>
      </c>
      <c r="T70" s="173">
        <f t="shared" si="3"/>
        <v>14232.69</v>
      </c>
      <c r="U70" s="164"/>
      <c r="V70" s="178" t="s">
        <v>336</v>
      </c>
      <c r="W70" s="179">
        <f>IF('附表1-面积统计表'!$D$29=0,"",IF(AND(V70="共同成本费用",Z70="总建筑面积法"),ROUND(T70/'附表1-面积统计表'!$D$29*'附表1-面积统计表'!$D$5,2),IF(AND(V70="共同成本费用",Z70="可售建筑面积法"),ROUND(T70/'附表1-面积统计表'!$F$29*'附表1-面积统计表'!$F$5,2),"请手工填写")))</f>
        <v>5198.2</v>
      </c>
      <c r="X70" s="179">
        <f>IF(SUM('附表1-面积统计表'!$D$6)=0,"",SUM(T70)-SUM(W70)-SUM(Y70))</f>
        <v>6410.8</v>
      </c>
      <c r="Y70" s="179">
        <f>IF(SUM('附表1-面积统计表'!$D$6)=0,SUM(T70)-SUM(W70),IF('附表1-面积统计表'!$D$29=0,"",IF(AND(V70="共同成本费用",Z70="总建筑面积法"),ROUND(T70/'附表1-面积统计表'!$D$29*'附表1-面积统计表'!$D$7,2),IF(AND(V70="共同成本费用",Z70="可售建筑面积法"),ROUND(T70/'附表1-面积统计表'!$F$29*'附表1-面积统计表'!$F$7,2),"请手工填写"))))</f>
        <v>2623.69</v>
      </c>
      <c r="Z70" s="181" t="s">
        <v>311</v>
      </c>
      <c r="AA70" s="164"/>
      <c r="AB70" s="182" t="s">
        <v>1686</v>
      </c>
    </row>
    <row r="71" ht="29" hidden="1" customHeight="1" outlineLevel="1" spans="1:28">
      <c r="A71" s="159">
        <v>65</v>
      </c>
      <c r="B71" s="166" t="s">
        <v>1884</v>
      </c>
      <c r="C71" s="166" t="s">
        <v>1885</v>
      </c>
      <c r="D71" s="162" t="s">
        <v>1700</v>
      </c>
      <c r="E71" s="163" t="s">
        <v>1875</v>
      </c>
      <c r="F71" s="164" t="s">
        <v>1886</v>
      </c>
      <c r="G71" s="165" t="s">
        <v>1887</v>
      </c>
      <c r="H71" s="164" t="str">
        <f>IF(G71="","",VLOOKUP(G71,'附表8-合同明细采集底稿'!B:I,2,0))</f>
        <v>建设工程施工合同12-15#楼38#楼、31#楼幼儿园（幼儿园—）</v>
      </c>
      <c r="I71" s="92" t="str">
        <f>IF(G71="","",VLOOKUP(G71,'附表8-合同明细采集底稿'!B:I,3,0))</f>
        <v>建设工程合同</v>
      </c>
      <c r="J71" s="164" t="str">
        <f>IF(G71="","",VLOOKUP(G71,'附表8-合同明细采集底稿'!B:I,4,0))</f>
        <v>新疆通力建设集团股份有限公司（顾）</v>
      </c>
      <c r="K71" s="164" t="s">
        <v>1711</v>
      </c>
      <c r="L71" s="165">
        <v>6500193130</v>
      </c>
      <c r="M71" s="570" t="s">
        <v>1888</v>
      </c>
      <c r="N71" s="173">
        <v>807687.15</v>
      </c>
      <c r="O71" s="173">
        <v>880378.99</v>
      </c>
      <c r="P71" s="174">
        <v>807687.15</v>
      </c>
      <c r="Q71" s="173">
        <v>26950</v>
      </c>
      <c r="R71" s="173">
        <f t="shared" si="2"/>
        <v>834637.15</v>
      </c>
      <c r="S71" s="177">
        <f>IFERROR(VLOOKUP(G71,'附表8-合同明细采集底稿'!B:M,12,0),100%)</f>
        <v>0.329519901724361</v>
      </c>
      <c r="T71" s="173">
        <f t="shared" si="3"/>
        <v>275029.55</v>
      </c>
      <c r="U71" s="208" t="s">
        <v>1889</v>
      </c>
      <c r="V71" s="178" t="s">
        <v>336</v>
      </c>
      <c r="W71" s="179">
        <f>IF('附表1-面积统计表'!$D$29=0,"",IF(AND(V71="共同成本费用",Z71="总建筑面积法"),ROUND(T71/'附表1-面积统计表'!$D$29*'附表1-面积统计表'!$D$5,2),IF(AND(V71="共同成本费用",Z71="可售建筑面积法"),ROUND(T71/'附表1-面积统计表'!$F$29*'附表1-面积统计表'!$F$5,2),"请手工填写")))</f>
        <v>100448.88</v>
      </c>
      <c r="X71" s="179">
        <f>IF(SUM('附表1-面积统计表'!$D$6)=0,"",SUM(T71)-SUM(W71)-SUM(Y71))</f>
        <v>123880.98</v>
      </c>
      <c r="Y71" s="179">
        <f>IF(SUM('附表1-面积统计表'!$D$6)=0,SUM(T71)-SUM(W71),IF('附表1-面积统计表'!$D$29=0,"",IF(AND(V71="共同成本费用",Z71="总建筑面积法"),ROUND(T71/'附表1-面积统计表'!$D$29*'附表1-面积统计表'!$D$7,2),IF(AND(V71="共同成本费用",Z71="可售建筑面积法"),ROUND(T71/'附表1-面积统计表'!$F$29*'附表1-面积统计表'!$F$7,2),"请手工填写"))))</f>
        <v>50699.69</v>
      </c>
      <c r="Z71" s="181" t="s">
        <v>311</v>
      </c>
      <c r="AA71" s="164"/>
      <c r="AB71" s="182" t="s">
        <v>1686</v>
      </c>
    </row>
    <row r="72" ht="29" hidden="1" customHeight="1" outlineLevel="1" spans="1:28">
      <c r="A72" s="159">
        <v>66</v>
      </c>
      <c r="B72" s="166" t="s">
        <v>1890</v>
      </c>
      <c r="C72" s="166" t="s">
        <v>1891</v>
      </c>
      <c r="D72" s="162" t="s">
        <v>1707</v>
      </c>
      <c r="E72" s="163" t="s">
        <v>1892</v>
      </c>
      <c r="F72" s="164" t="s">
        <v>1893</v>
      </c>
      <c r="G72" s="165" t="s">
        <v>1894</v>
      </c>
      <c r="H72" s="164" t="str">
        <f>IF(G72="","",VLOOKUP(G72,'附表8-合同明细采集底稿'!B:I,2,0))</f>
        <v>沁春锦苑沁春景苑绿色建筑心机指标申报材料</v>
      </c>
      <c r="I72" s="92" t="str">
        <f>IF(G72="","",VLOOKUP(G72,'附表8-合同明细采集底稿'!B:I,3,0))</f>
        <v>技术合同</v>
      </c>
      <c r="J72" s="164" t="str">
        <f>IF(G72="","",VLOOKUP(G72,'附表8-合同明细采集底稿'!B:I,4,0))</f>
        <v>北京中城科绿色建筑科技有限公司</v>
      </c>
      <c r="K72" s="164" t="s">
        <v>1711</v>
      </c>
      <c r="L72" s="165">
        <v>1100202130</v>
      </c>
      <c r="M72" s="165">
        <v>15601734</v>
      </c>
      <c r="N72" s="173">
        <v>94339.62</v>
      </c>
      <c r="O72" s="173">
        <v>100000</v>
      </c>
      <c r="P72" s="174">
        <v>94339.62</v>
      </c>
      <c r="Q72" s="173"/>
      <c r="R72" s="173">
        <f t="shared" si="2"/>
        <v>94339.62</v>
      </c>
      <c r="S72" s="177">
        <f>IFERROR(VLOOKUP(G72,'附表8-合同明细采集底稿'!B:M,12,0),100%)</f>
        <v>0.313614973484672</v>
      </c>
      <c r="T72" s="173">
        <f t="shared" si="3"/>
        <v>29586.32</v>
      </c>
      <c r="U72" s="164"/>
      <c r="V72" s="178" t="s">
        <v>336</v>
      </c>
      <c r="W72" s="179">
        <f>IF('附表1-面积统计表'!$D$29=0,"",IF(AND(V72="共同成本费用",Z72="总建筑面积法"),ROUND(T72/'附表1-面积统计表'!$D$29*'附表1-面积统计表'!$D$5,2),IF(AND(V72="共同成本费用",Z72="可售建筑面积法"),ROUND(T72/'附表1-面积统计表'!$F$29*'附表1-面积统计表'!$F$5,2),"请手工填写")))</f>
        <v>10805.79</v>
      </c>
      <c r="X72" s="179">
        <f>IF(SUM('附表1-面积统计表'!$D$6)=0,"",SUM(T72)-SUM(W72)-SUM(Y72))</f>
        <v>13326.51</v>
      </c>
      <c r="Y72" s="179">
        <f>IF(SUM('附表1-面积统计表'!$D$6)=0,SUM(T72)-SUM(W72),IF('附表1-面积统计表'!$D$29=0,"",IF(AND(V72="共同成本费用",Z72="总建筑面积法"),ROUND(T72/'附表1-面积统计表'!$D$29*'附表1-面积统计表'!$D$7,2),IF(AND(V72="共同成本费用",Z72="可售建筑面积法"),ROUND(T72/'附表1-面积统计表'!$F$29*'附表1-面积统计表'!$F$7,2),"请手工填写"))))</f>
        <v>5454.02</v>
      </c>
      <c r="Z72" s="181" t="s">
        <v>311</v>
      </c>
      <c r="AA72" s="164"/>
      <c r="AB72" s="182" t="s">
        <v>1686</v>
      </c>
    </row>
    <row r="73" ht="29" hidden="1" customHeight="1" outlineLevel="1" spans="1:28">
      <c r="A73" s="159">
        <v>67</v>
      </c>
      <c r="B73" s="166" t="s">
        <v>1895</v>
      </c>
      <c r="C73" s="166" t="s">
        <v>1896</v>
      </c>
      <c r="D73" s="162" t="s">
        <v>1700</v>
      </c>
      <c r="E73" s="163" t="s">
        <v>1813</v>
      </c>
      <c r="F73" s="164" t="s">
        <v>1897</v>
      </c>
      <c r="G73" s="165" t="s">
        <v>1898</v>
      </c>
      <c r="H73" s="164" t="str">
        <f>IF(G73="","",VLOOKUP(G73,'附表8-合同明细采集底稿'!B:I,2,0))</f>
        <v>沁春锦苑项目人防门购置18#-21#</v>
      </c>
      <c r="I73" s="92" t="str">
        <f>IF(G73="","",VLOOKUP(G73,'附表8-合同明细采集底稿'!B:I,3,0))</f>
        <v>买卖合同</v>
      </c>
      <c r="J73" s="164" t="str">
        <f>IF(G73="","",VLOOKUP(G73,'附表8-合同明细采集底稿'!B:I,4,0))</f>
        <v>新疆巨安新粤防护设备有限公司（张照平18167948637）</v>
      </c>
      <c r="K73" s="164" t="s">
        <v>1711</v>
      </c>
      <c r="L73" s="165">
        <v>6500203130</v>
      </c>
      <c r="M73" s="570" t="s">
        <v>1899</v>
      </c>
      <c r="N73" s="173">
        <v>328228.33</v>
      </c>
      <c r="O73" s="173">
        <v>370898</v>
      </c>
      <c r="P73" s="174">
        <v>328228.33</v>
      </c>
      <c r="Q73" s="173">
        <v>-2313.1</v>
      </c>
      <c r="R73" s="173">
        <f t="shared" si="2"/>
        <v>325915.23</v>
      </c>
      <c r="S73" s="177">
        <f>IFERROR(VLOOKUP(G73,'附表8-合同明细采集底稿'!B:M,12,0),100%)</f>
        <v>0.318696696324277</v>
      </c>
      <c r="T73" s="173">
        <f t="shared" si="3"/>
        <v>103868.11</v>
      </c>
      <c r="U73" s="164"/>
      <c r="V73" s="178" t="s">
        <v>336</v>
      </c>
      <c r="W73" s="179">
        <f>IF('附表1-面积统计表'!$D$29=0,"",IF(AND(V73="共同成本费用",Z73="总建筑面积法"),ROUND(T73/'附表1-面积统计表'!$D$29*'附表1-面积统计表'!$D$5,2),IF(AND(V73="共同成本费用",Z73="可售建筑面积法"),ROUND(T73/'附表1-面积统计表'!$F$29*'附表1-面积统计表'!$F$5,2),"请手工填写")))</f>
        <v>37935.69</v>
      </c>
      <c r="X73" s="179">
        <f>IF(SUM('附表1-面积统计表'!$D$6)=0,"",SUM(T73)-SUM(W73)-SUM(Y73))</f>
        <v>46785.09</v>
      </c>
      <c r="Y73" s="179">
        <f>IF(SUM('附表1-面积统计表'!$D$6)=0,SUM(T73)-SUM(W73),IF('附表1-面积统计表'!$D$29=0,"",IF(AND(V73="共同成本费用",Z73="总建筑面积法"),ROUND(T73/'附表1-面积统计表'!$D$29*'附表1-面积统计表'!$D$7,2),IF(AND(V73="共同成本费用",Z73="可售建筑面积法"),ROUND(T73/'附表1-面积统计表'!$F$29*'附表1-面积统计表'!$F$7,2),"请手工填写"))))</f>
        <v>19147.33</v>
      </c>
      <c r="Z73" s="181" t="s">
        <v>311</v>
      </c>
      <c r="AA73" s="164"/>
      <c r="AB73" s="182" t="s">
        <v>1686</v>
      </c>
    </row>
    <row r="74" ht="29" hidden="1" customHeight="1" outlineLevel="1" spans="1:28">
      <c r="A74" s="159">
        <v>68</v>
      </c>
      <c r="B74" s="189" t="s">
        <v>1900</v>
      </c>
      <c r="C74" s="166" t="s">
        <v>1901</v>
      </c>
      <c r="D74" s="162" t="s">
        <v>1700</v>
      </c>
      <c r="E74" s="163" t="s">
        <v>1875</v>
      </c>
      <c r="F74" s="164" t="s">
        <v>1902</v>
      </c>
      <c r="G74" s="165" t="s">
        <v>1887</v>
      </c>
      <c r="H74" s="164" t="str">
        <f>IF(G74="","",VLOOKUP(G74,'附表8-合同明细采集底稿'!B:I,2,0))</f>
        <v>建设工程施工合同12-15#楼38#楼、31#楼幼儿园（幼儿园—）</v>
      </c>
      <c r="I74" s="92" t="str">
        <f>IF(G74="","",VLOOKUP(G74,'附表8-合同明细采集底稿'!B:I,3,0))</f>
        <v>建设工程合同</v>
      </c>
      <c r="J74" s="164" t="str">
        <f>IF(G74="","",VLOOKUP(G74,'附表8-合同明细采集底稿'!B:I,4,0))</f>
        <v>新疆通力建设集团股份有限公司（顾）</v>
      </c>
      <c r="K74" s="164" t="s">
        <v>1711</v>
      </c>
      <c r="L74" s="165">
        <v>6500203130</v>
      </c>
      <c r="M74" s="165" t="s">
        <v>1903</v>
      </c>
      <c r="N74" s="173">
        <v>565413.76</v>
      </c>
      <c r="O74" s="173">
        <v>616301</v>
      </c>
      <c r="P74" s="174">
        <v>565413.76</v>
      </c>
      <c r="Q74" s="173"/>
      <c r="R74" s="173">
        <f t="shared" si="2"/>
        <v>565413.76</v>
      </c>
      <c r="S74" s="177">
        <f>IFERROR(VLOOKUP(G74,'附表8-合同明细采集底稿'!B:M,12,0),100%)</f>
        <v>0.329519901724361</v>
      </c>
      <c r="T74" s="173">
        <f t="shared" si="3"/>
        <v>186315.09</v>
      </c>
      <c r="U74" s="208" t="s">
        <v>1889</v>
      </c>
      <c r="V74" s="178" t="s">
        <v>336</v>
      </c>
      <c r="W74" s="179">
        <f>IF('附表1-面积统计表'!$D$29=0,"",IF(AND(V74="共同成本费用",Z74="总建筑面积法"),ROUND(T74/'附表1-面积统计表'!$D$29*'附表1-面积统计表'!$D$5,2),IF(AND(V74="共同成本费用",Z74="可售建筑面积法"),ROUND(T74/'附表1-面积统计表'!$F$29*'附表1-面积统计表'!$F$5,2),"请手工填写")))</f>
        <v>68047.75</v>
      </c>
      <c r="X74" s="179">
        <f>IF(SUM('附表1-面积统计表'!$D$6)=0,"",SUM(T74)-SUM(W74)-SUM(Y74))</f>
        <v>83921.52</v>
      </c>
      <c r="Y74" s="179">
        <f>IF(SUM('附表1-面积统计表'!$D$6)=0,SUM(T74)-SUM(W74),IF('附表1-面积统计表'!$D$29=0,"",IF(AND(V74="共同成本费用",Z74="总建筑面积法"),ROUND(T74/'附表1-面积统计表'!$D$29*'附表1-面积统计表'!$D$7,2),IF(AND(V74="共同成本费用",Z74="可售建筑面积法"),ROUND(T74/'附表1-面积统计表'!$F$29*'附表1-面积统计表'!$F$7,2),"请手工填写"))))</f>
        <v>34345.82</v>
      </c>
      <c r="Z74" s="181" t="s">
        <v>311</v>
      </c>
      <c r="AA74" s="164"/>
      <c r="AB74" s="182" t="s">
        <v>1686</v>
      </c>
    </row>
    <row r="75" ht="29" hidden="1" customHeight="1" outlineLevel="1" spans="1:28">
      <c r="A75" s="159">
        <v>69</v>
      </c>
      <c r="B75" s="166" t="s">
        <v>1904</v>
      </c>
      <c r="C75" s="166" t="s">
        <v>1905</v>
      </c>
      <c r="D75" s="162" t="s">
        <v>1707</v>
      </c>
      <c r="E75" s="163" t="s">
        <v>1708</v>
      </c>
      <c r="F75" s="164" t="s">
        <v>1906</v>
      </c>
      <c r="G75" s="165" t="s">
        <v>1726</v>
      </c>
      <c r="H75" s="164" t="str">
        <f>IF(G75="","",VLOOKUP(G75,'附表8-合同明细采集底稿'!B:I,2,0))</f>
        <v>沁春锦苑室外管网设计</v>
      </c>
      <c r="I75" s="92" t="str">
        <f>IF(G75="","",VLOOKUP(G75,'附表8-合同明细采集底稿'!B:I,3,0))</f>
        <v>技术合同</v>
      </c>
      <c r="J75" s="164" t="str">
        <f>IF(G75="","",VLOOKUP(G75,'附表8-合同明细采集底稿'!B:I,4,0))</f>
        <v>库尔勒开拓规划设计研究院</v>
      </c>
      <c r="K75" s="164" t="s">
        <v>1704</v>
      </c>
      <c r="L75" s="165" t="s">
        <v>1705</v>
      </c>
      <c r="M75" s="165" t="s">
        <v>1907</v>
      </c>
      <c r="N75" s="173">
        <v>33578.3</v>
      </c>
      <c r="O75" s="173">
        <v>35593</v>
      </c>
      <c r="P75" s="174">
        <v>33578.3</v>
      </c>
      <c r="Q75" s="173"/>
      <c r="R75" s="173">
        <f t="shared" si="2"/>
        <v>33578.3</v>
      </c>
      <c r="S75" s="177">
        <f>IFERROR(VLOOKUP(G75,'附表8-合同明细采集底稿'!B:M,12,0),100%)</f>
        <v>0.329519901724361</v>
      </c>
      <c r="T75" s="173">
        <f t="shared" si="3"/>
        <v>11064.72</v>
      </c>
      <c r="U75" s="164"/>
      <c r="V75" s="178" t="s">
        <v>336</v>
      </c>
      <c r="W75" s="179">
        <f>IF('附表1-面积统计表'!$D$29=0,"",IF(AND(V75="共同成本费用",Z75="总建筑面积法"),ROUND(T75/'附表1-面积统计表'!$D$29*'附表1-面积统计表'!$D$5,2),IF(AND(V75="共同成本费用",Z75="可售建筑面积法"),ROUND(T75/'附表1-面积统计表'!$F$29*'附表1-面积统计表'!$F$5,2),"请手工填写")))</f>
        <v>4041.16</v>
      </c>
      <c r="X75" s="179">
        <f>IF(SUM('附表1-面积统计表'!$D$6)=0,"",SUM(T75)-SUM(W75)-SUM(Y75))</f>
        <v>4983.86</v>
      </c>
      <c r="Y75" s="179">
        <f>IF(SUM('附表1-面积统计表'!$D$6)=0,SUM(T75)-SUM(W75),IF('附表1-面积统计表'!$D$29=0,"",IF(AND(V75="共同成本费用",Z75="总建筑面积法"),ROUND(T75/'附表1-面积统计表'!$D$29*'附表1-面积统计表'!$D$7,2),IF(AND(V75="共同成本费用",Z75="可售建筑面积法"),ROUND(T75/'附表1-面积统计表'!$F$29*'附表1-面积统计表'!$F$7,2),"请手工填写"))))</f>
        <v>2039.7</v>
      </c>
      <c r="Z75" s="181" t="s">
        <v>311</v>
      </c>
      <c r="AA75" s="164"/>
      <c r="AB75" s="182" t="s">
        <v>1686</v>
      </c>
    </row>
    <row r="76" ht="29" hidden="1" customHeight="1" outlineLevel="1" spans="1:28">
      <c r="A76" s="159">
        <v>70</v>
      </c>
      <c r="B76" s="166" t="s">
        <v>1908</v>
      </c>
      <c r="C76" s="166" t="s">
        <v>1909</v>
      </c>
      <c r="D76" s="162" t="s">
        <v>1739</v>
      </c>
      <c r="E76" s="163" t="s">
        <v>1772</v>
      </c>
      <c r="F76" s="164" t="s">
        <v>1910</v>
      </c>
      <c r="G76" s="165" t="s">
        <v>1911</v>
      </c>
      <c r="H76" s="164" t="str">
        <f>IF(G76="","",VLOOKUP(G76,'附表8-合同明细采集底稿'!B:I,2,0))</f>
        <v>（石材）材料购销合同</v>
      </c>
      <c r="I76" s="92" t="str">
        <f>IF(G76="","",VLOOKUP(G76,'附表8-合同明细采集底稿'!B:I,3,0))</f>
        <v>买卖合同</v>
      </c>
      <c r="J76" s="164" t="str">
        <f>IF(G76="","",VLOOKUP(G76,'附表8-合同明细采集底稿'!B:I,4,0))</f>
        <v>和硕县兴隆石材工艺有限责任公司（黄金烁）</v>
      </c>
      <c r="K76" s="164" t="s">
        <v>1711</v>
      </c>
      <c r="L76" s="165" t="s">
        <v>1756</v>
      </c>
      <c r="M76" s="165" t="s">
        <v>1912</v>
      </c>
      <c r="N76" s="173">
        <v>339180.2</v>
      </c>
      <c r="O76" s="173">
        <v>342572</v>
      </c>
      <c r="P76" s="174">
        <v>339180.2</v>
      </c>
      <c r="Q76" s="173"/>
      <c r="R76" s="173">
        <f t="shared" si="2"/>
        <v>339180.2</v>
      </c>
      <c r="S76" s="177">
        <f>IFERROR(VLOOKUP(G76,'附表8-合同明细采集底稿'!B:M,12,0),100%)</f>
        <v>0.329519901724361</v>
      </c>
      <c r="T76" s="173">
        <f t="shared" si="3"/>
        <v>111766.63</v>
      </c>
      <c r="U76" s="164"/>
      <c r="V76" s="178" t="s">
        <v>336</v>
      </c>
      <c r="W76" s="179">
        <f>IF('附表1-面积统计表'!$D$29=0,"",IF(AND(V76="共同成本费用",Z76="总建筑面积法"),ROUND(T76/'附表1-面积统计表'!$D$29*'附表1-面积统计表'!$D$5,2),IF(AND(V76="共同成本费用",Z76="可售建筑面积法"),ROUND(T76/'附表1-面积统计表'!$F$29*'附表1-面积统计表'!$F$5,2),"请手工填写")))</f>
        <v>40820.46</v>
      </c>
      <c r="X76" s="179">
        <f>IF(SUM('附表1-面积统计表'!$D$6)=0,"",SUM(T76)-SUM(W76)-SUM(Y76))</f>
        <v>50342.81</v>
      </c>
      <c r="Y76" s="179">
        <f>IF(SUM('附表1-面积统计表'!$D$6)=0,SUM(T76)-SUM(W76),IF('附表1-面积统计表'!$D$29=0,"",IF(AND(V76="共同成本费用",Z76="总建筑面积法"),ROUND(T76/'附表1-面积统计表'!$D$29*'附表1-面积统计表'!$D$7,2),IF(AND(V76="共同成本费用",Z76="可售建筑面积法"),ROUND(T76/'附表1-面积统计表'!$F$29*'附表1-面积统计表'!$F$7,2),"请手工填写"))))</f>
        <v>20603.36</v>
      </c>
      <c r="Z76" s="181" t="s">
        <v>311</v>
      </c>
      <c r="AA76" s="164"/>
      <c r="AB76" s="182" t="s">
        <v>1686</v>
      </c>
    </row>
    <row r="77" ht="29" hidden="1" customHeight="1" outlineLevel="1" spans="1:28">
      <c r="A77" s="159">
        <v>71</v>
      </c>
      <c r="B77" s="166" t="s">
        <v>1908</v>
      </c>
      <c r="C77" s="166" t="s">
        <v>1909</v>
      </c>
      <c r="D77" s="162" t="s">
        <v>1739</v>
      </c>
      <c r="E77" s="163" t="s">
        <v>1772</v>
      </c>
      <c r="F77" s="164" t="s">
        <v>1910</v>
      </c>
      <c r="G77" s="165" t="s">
        <v>1911</v>
      </c>
      <c r="H77" s="164" t="str">
        <f>IF(G77="","",VLOOKUP(G77,'附表8-合同明细采集底稿'!B:I,2,0))</f>
        <v>（石材）材料购销合同</v>
      </c>
      <c r="I77" s="92" t="str">
        <f>IF(G77="","",VLOOKUP(G77,'附表8-合同明细采集底稿'!B:I,3,0))</f>
        <v>买卖合同</v>
      </c>
      <c r="J77" s="164" t="str">
        <f>IF(G77="","",VLOOKUP(G77,'附表8-合同明细采集底稿'!B:I,4,0))</f>
        <v>和硕县兴隆石材工艺有限责任公司（黄金烁）</v>
      </c>
      <c r="K77" s="164" t="s">
        <v>1711</v>
      </c>
      <c r="L77" s="165" t="s">
        <v>1756</v>
      </c>
      <c r="M77" s="165" t="s">
        <v>1912</v>
      </c>
      <c r="N77" s="173">
        <v>3451.48</v>
      </c>
      <c r="O77" s="173">
        <v>3486</v>
      </c>
      <c r="P77" s="174">
        <v>3451.48</v>
      </c>
      <c r="Q77" s="173">
        <v>172219.801980198</v>
      </c>
      <c r="R77" s="173">
        <f t="shared" si="2"/>
        <v>175671.281980198</v>
      </c>
      <c r="S77" s="177">
        <f>IFERROR(VLOOKUP(G77,'附表8-合同明细采集底稿'!B:M,12,0),100%)</f>
        <v>0.329519901724361</v>
      </c>
      <c r="T77" s="173">
        <f t="shared" si="3"/>
        <v>57887.18</v>
      </c>
      <c r="U77" s="164"/>
      <c r="V77" s="178" t="s">
        <v>336</v>
      </c>
      <c r="W77" s="179">
        <f>IF('附表1-面积统计表'!$D$29=0,"",IF(AND(V77="共同成本费用",Z77="总建筑面积法"),ROUND(T77/'附表1-面积统计表'!$D$29*'附表1-面积统计表'!$D$5,2),IF(AND(V77="共同成本费用",Z77="可售建筑面积法"),ROUND(T77/'附表1-面积统计表'!$F$29*'附表1-面积统计表'!$F$5,2),"请手工填写")))</f>
        <v>21142.1</v>
      </c>
      <c r="X77" s="179">
        <f>IF(SUM('附表1-面积统计表'!$D$6)=0,"",SUM(T77)-SUM(W77)-SUM(Y77))</f>
        <v>26074</v>
      </c>
      <c r="Y77" s="179">
        <f>IF(SUM('附表1-面积统计表'!$D$6)=0,SUM(T77)-SUM(W77),IF('附表1-面积统计表'!$D$29=0,"",IF(AND(V77="共同成本费用",Z77="总建筑面积法"),ROUND(T77/'附表1-面积统计表'!$D$29*'附表1-面积统计表'!$D$7,2),IF(AND(V77="共同成本费用",Z77="可售建筑面积法"),ROUND(T77/'附表1-面积统计表'!$F$29*'附表1-面积统计表'!$F$7,2),"请手工填写"))))</f>
        <v>10671.08</v>
      </c>
      <c r="Z77" s="181" t="s">
        <v>311</v>
      </c>
      <c r="AA77" s="164"/>
      <c r="AB77" s="182" t="s">
        <v>1686</v>
      </c>
    </row>
    <row r="78" ht="29" hidden="1" customHeight="1" outlineLevel="1" spans="1:28">
      <c r="A78" s="159">
        <v>72</v>
      </c>
      <c r="B78" s="166" t="s">
        <v>1913</v>
      </c>
      <c r="C78" s="166" t="s">
        <v>1914</v>
      </c>
      <c r="D78" s="162" t="s">
        <v>1739</v>
      </c>
      <c r="E78" s="163" t="s">
        <v>1745</v>
      </c>
      <c r="F78" s="164" t="s">
        <v>1915</v>
      </c>
      <c r="G78" s="165" t="s">
        <v>1747</v>
      </c>
      <c r="H78" s="164" t="str">
        <f>IF(G78="","",VLOOKUP(G78,'附表8-合同明细采集底稿'!B:I,2,0))</f>
        <v>沁春锦苑小区景观廊架工程</v>
      </c>
      <c r="I78" s="92" t="str">
        <f>IF(G78="","",VLOOKUP(G78,'附表8-合同明细采集底稿'!B:I,3,0))</f>
        <v>建设工程合同</v>
      </c>
      <c r="J78" s="164" t="str">
        <f>IF(G78="","",VLOOKUP(G78,'附表8-合同明细采集底稿'!B:I,4,0))</f>
        <v>库尔勒坚乐美建筑工程有限责任公司（郑长银）</v>
      </c>
      <c r="K78" s="164" t="s">
        <v>1711</v>
      </c>
      <c r="L78" s="165">
        <v>6500203130</v>
      </c>
      <c r="M78" s="165" t="s">
        <v>1916</v>
      </c>
      <c r="N78" s="173">
        <v>176991.16</v>
      </c>
      <c r="O78" s="173">
        <v>200000</v>
      </c>
      <c r="P78" s="174">
        <v>176991.16</v>
      </c>
      <c r="Q78" s="173"/>
      <c r="R78" s="173">
        <f t="shared" si="2"/>
        <v>176991.16</v>
      </c>
      <c r="S78" s="177">
        <f>IFERROR(VLOOKUP(G78,'附表8-合同明细采集底稿'!B:M,12,0),100%)</f>
        <v>0.329519901724361</v>
      </c>
      <c r="T78" s="173">
        <f t="shared" si="3"/>
        <v>58322.11</v>
      </c>
      <c r="U78" s="164"/>
      <c r="V78" s="178" t="s">
        <v>336</v>
      </c>
      <c r="W78" s="179">
        <f>IF('附表1-面积统计表'!$D$29=0,"",IF(AND(V78="共同成本费用",Z78="总建筑面积法"),ROUND(T78/'附表1-面积统计表'!$D$29*'附表1-面积统计表'!$D$5,2),IF(AND(V78="共同成本费用",Z78="可售建筑面积法"),ROUND(T78/'附表1-面积统计表'!$F$29*'附表1-面积统计表'!$F$5,2),"请手工填写")))</f>
        <v>21300.95</v>
      </c>
      <c r="X78" s="179">
        <f>IF(SUM('附表1-面积统计表'!$D$6)=0,"",SUM(T78)-SUM(W78)-SUM(Y78))</f>
        <v>26269.91</v>
      </c>
      <c r="Y78" s="179">
        <f>IF(SUM('附表1-面积统计表'!$D$6)=0,SUM(T78)-SUM(W78),IF('附表1-面积统计表'!$D$29=0,"",IF(AND(V78="共同成本费用",Z78="总建筑面积法"),ROUND(T78/'附表1-面积统计表'!$D$29*'附表1-面积统计表'!$D$7,2),IF(AND(V78="共同成本费用",Z78="可售建筑面积法"),ROUND(T78/'附表1-面积统计表'!$F$29*'附表1-面积统计表'!$F$7,2),"请手工填写"))))</f>
        <v>10751.25</v>
      </c>
      <c r="Z78" s="181" t="s">
        <v>311</v>
      </c>
      <c r="AA78" s="164"/>
      <c r="AB78" s="182" t="s">
        <v>1686</v>
      </c>
    </row>
    <row r="79" ht="29" hidden="1" customHeight="1" outlineLevel="1" spans="1:28">
      <c r="A79" s="159">
        <v>73</v>
      </c>
      <c r="B79" s="166" t="s">
        <v>1202</v>
      </c>
      <c r="C79" s="166" t="s">
        <v>1917</v>
      </c>
      <c r="D79" s="162" t="s">
        <v>1700</v>
      </c>
      <c r="E79" s="163" t="s">
        <v>1918</v>
      </c>
      <c r="F79" s="164" t="s">
        <v>1919</v>
      </c>
      <c r="G79" s="165" t="s">
        <v>1920</v>
      </c>
      <c r="H79" s="164" t="str">
        <f>IF(G79="","",VLOOKUP(G79,'附表8-合同明细采集底稿'!B:I,2,0))</f>
        <v>沁春锦苑35#楼东侧停车棚安装合同</v>
      </c>
      <c r="I79" s="92" t="str">
        <f>IF(G79="","",VLOOKUP(G79,'附表8-合同明细采集底稿'!B:I,3,0))</f>
        <v>建设工程合同</v>
      </c>
      <c r="J79" s="164" t="str">
        <f>IF(G79="","",VLOOKUP(G79,'附表8-合同明细采集底稿'!B:I,4,0))</f>
        <v>库尔勒坚乐美建筑工程有限责任公司（郑长银）</v>
      </c>
      <c r="K79" s="164" t="s">
        <v>1711</v>
      </c>
      <c r="L79" s="165">
        <v>6500203130</v>
      </c>
      <c r="M79" s="165" t="s">
        <v>1921</v>
      </c>
      <c r="N79" s="173">
        <v>26902.65</v>
      </c>
      <c r="O79" s="173">
        <v>30400</v>
      </c>
      <c r="P79" s="174">
        <v>26902.65</v>
      </c>
      <c r="Q79" s="173"/>
      <c r="R79" s="173">
        <f t="shared" si="2"/>
        <v>26902.65</v>
      </c>
      <c r="S79" s="177">
        <f>IFERROR(VLOOKUP(G79,'附表8-合同明细采集底稿'!B:M,12,0),100%)</f>
        <v>0.329519901724361</v>
      </c>
      <c r="T79" s="173">
        <f t="shared" si="3"/>
        <v>8864.96</v>
      </c>
      <c r="U79" s="164"/>
      <c r="V79" s="178" t="s">
        <v>336</v>
      </c>
      <c r="W79" s="179">
        <f>IF('附表1-面积统计表'!$D$29=0,"",IF(AND(V79="共同成本费用",Z79="总建筑面积法"),ROUND(T79/'附表1-面积统计表'!$D$29*'附表1-面积统计表'!$D$5,2),IF(AND(V79="共同成本费用",Z79="可售建筑面积法"),ROUND(T79/'附表1-面积统计表'!$F$29*'附表1-面积统计表'!$F$5,2),"请手工填写")))</f>
        <v>3237.74</v>
      </c>
      <c r="X79" s="179">
        <f>IF(SUM('附表1-面积统计表'!$D$6)=0,"",SUM(T79)-SUM(W79)-SUM(Y79))</f>
        <v>3993.03</v>
      </c>
      <c r="Y79" s="179">
        <f>IF(SUM('附表1-面积统计表'!$D$6)=0,SUM(T79)-SUM(W79),IF('附表1-面积统计表'!$D$29=0,"",IF(AND(V79="共同成本费用",Z79="总建筑面积法"),ROUND(T79/'附表1-面积统计表'!$D$29*'附表1-面积统计表'!$D$7,2),IF(AND(V79="共同成本费用",Z79="可售建筑面积法"),ROUND(T79/'附表1-面积统计表'!$F$29*'附表1-面积统计表'!$F$7,2),"请手工填写"))))</f>
        <v>1634.19</v>
      </c>
      <c r="Z79" s="181" t="s">
        <v>311</v>
      </c>
      <c r="AA79" s="164"/>
      <c r="AB79" s="182" t="s">
        <v>1686</v>
      </c>
    </row>
    <row r="80" ht="29" hidden="1" customHeight="1" outlineLevel="1" spans="1:28">
      <c r="A80" s="159">
        <v>74</v>
      </c>
      <c r="B80" s="166" t="s">
        <v>1922</v>
      </c>
      <c r="C80" s="166" t="s">
        <v>1923</v>
      </c>
      <c r="D80" s="162" t="s">
        <v>1739</v>
      </c>
      <c r="E80" s="163" t="s">
        <v>1745</v>
      </c>
      <c r="F80" s="164" t="s">
        <v>1924</v>
      </c>
      <c r="G80" s="165" t="s">
        <v>1755</v>
      </c>
      <c r="H80" s="164" t="str">
        <f>IF(G80="","",VLOOKUP(G80,'附表8-合同明细采集底稿'!B:I,2,0))</f>
        <v>专业建设工程设计合同</v>
      </c>
      <c r="I80" s="92" t="str">
        <f>IF(G80="","",VLOOKUP(G80,'附表8-合同明细采集底稿'!B:I,3,0))</f>
        <v>技术合同</v>
      </c>
      <c r="J80" s="164" t="str">
        <f>IF(G80="","",VLOOKUP(G80,'附表8-合同明细采集底稿'!B:I,4,0))</f>
        <v>乌鲁木齐大漠林海绿化有限责任公司（蔚晓芳）</v>
      </c>
      <c r="K80" s="164" t="s">
        <v>1711</v>
      </c>
      <c r="L80" s="165">
        <v>6500203130</v>
      </c>
      <c r="M80" s="165" t="s">
        <v>1925</v>
      </c>
      <c r="N80" s="173">
        <v>94339.62</v>
      </c>
      <c r="O80" s="173">
        <v>100000</v>
      </c>
      <c r="P80" s="174">
        <v>94339.62</v>
      </c>
      <c r="Q80" s="173"/>
      <c r="R80" s="173">
        <f t="shared" si="2"/>
        <v>94339.62</v>
      </c>
      <c r="S80" s="177">
        <f>IFERROR(VLOOKUP(G80,'附表8-合同明细采集底稿'!B:M,12,0),100%)</f>
        <v>0.329519901724361</v>
      </c>
      <c r="T80" s="173">
        <f t="shared" si="3"/>
        <v>31086.78</v>
      </c>
      <c r="U80" s="164"/>
      <c r="V80" s="178" t="s">
        <v>336</v>
      </c>
      <c r="W80" s="179">
        <f>IF('附表1-面积统计表'!$D$29=0,"",IF(AND(V80="共同成本费用",Z80="总建筑面积法"),ROUND(T80/'附表1-面积统计表'!$D$29*'附表1-面积统计表'!$D$5,2),IF(AND(V80="共同成本费用",Z80="可售建筑面积法"),ROUND(T80/'附表1-面积统计表'!$F$29*'附表1-面积统计表'!$F$5,2),"请手工填写")))</f>
        <v>11353.81</v>
      </c>
      <c r="X80" s="179">
        <f>IF(SUM('附表1-面积统计表'!$D$6)=0,"",SUM(T80)-SUM(W80)-SUM(Y80))</f>
        <v>14002.35</v>
      </c>
      <c r="Y80" s="179">
        <f>IF(SUM('附表1-面积统计表'!$D$6)=0,SUM(T80)-SUM(W80),IF('附表1-面积统计表'!$D$29=0,"",IF(AND(V80="共同成本费用",Z80="总建筑面积法"),ROUND(T80/'附表1-面积统计表'!$D$29*'附表1-面积统计表'!$D$7,2),IF(AND(V80="共同成本费用",Z80="可售建筑面积法"),ROUND(T80/'附表1-面积统计表'!$F$29*'附表1-面积统计表'!$F$7,2),"请手工填写"))))</f>
        <v>5730.62</v>
      </c>
      <c r="Z80" s="181" t="s">
        <v>311</v>
      </c>
      <c r="AA80" s="164"/>
      <c r="AB80" s="182" t="s">
        <v>1686</v>
      </c>
    </row>
    <row r="81" ht="29" hidden="1" customHeight="1" outlineLevel="1" spans="1:28">
      <c r="A81" s="159">
        <v>75</v>
      </c>
      <c r="B81" s="189" t="s">
        <v>1926</v>
      </c>
      <c r="C81" s="166" t="s">
        <v>1927</v>
      </c>
      <c r="D81" s="162" t="s">
        <v>1700</v>
      </c>
      <c r="E81" s="163" t="s">
        <v>1928</v>
      </c>
      <c r="F81" s="164" t="s">
        <v>1929</v>
      </c>
      <c r="G81" s="165" t="s">
        <v>1930</v>
      </c>
      <c r="H81" s="164" t="str">
        <f>IF(G81="","",VLOOKUP(G81,'附表8-合同明细采集底稿'!B:I,2,0))</f>
        <v>电缆采购合同-公共社区、幼儿园</v>
      </c>
      <c r="I81" s="92" t="str">
        <f>IF(G81="","",VLOOKUP(G81,'附表8-合同明细采集底稿'!B:I,3,0))</f>
        <v>买卖合同</v>
      </c>
      <c r="J81" s="164" t="str">
        <f>IF(G81="","",VLOOKUP(G81,'附表8-合同明细采集底稿'!B:I,4,0))</f>
        <v>泰丰线缆有限公司</v>
      </c>
      <c r="K81" s="164" t="s">
        <v>1711</v>
      </c>
      <c r="L81" s="165" t="s">
        <v>1931</v>
      </c>
      <c r="M81" s="165" t="s">
        <v>1932</v>
      </c>
      <c r="N81" s="173">
        <v>34434.51</v>
      </c>
      <c r="O81" s="173">
        <v>38911</v>
      </c>
      <c r="P81" s="174">
        <v>34434.51</v>
      </c>
      <c r="Q81" s="173"/>
      <c r="R81" s="173">
        <f t="shared" si="2"/>
        <v>34434.51</v>
      </c>
      <c r="S81" s="177">
        <f>IFERROR(VLOOKUP(G81,'附表8-合同明细采集底稿'!B:M,12,0),100%)</f>
        <v>0.329519901724361</v>
      </c>
      <c r="T81" s="173">
        <f t="shared" si="3"/>
        <v>11346.86</v>
      </c>
      <c r="U81" s="164"/>
      <c r="V81" s="178" t="s">
        <v>336</v>
      </c>
      <c r="W81" s="179">
        <f>IF('附表1-面积统计表'!$D$29=0,"",IF(AND(V81="共同成本费用",Z81="总建筑面积法"),ROUND(T81/'附表1-面积统计表'!$D$29*'附表1-面积统计表'!$D$5,2),IF(AND(V81="共同成本费用",Z81="可售建筑面积法"),ROUND(T81/'附表1-面积统计表'!$F$29*'附表1-面积统计表'!$F$5,2),"请手工填写")))</f>
        <v>4144.21</v>
      </c>
      <c r="X81" s="179">
        <f>IF(SUM('附表1-面积统计表'!$D$6)=0,"",SUM(T81)-SUM(W81)-SUM(Y81))</f>
        <v>5110.94</v>
      </c>
      <c r="Y81" s="179">
        <f>IF(SUM('附表1-面积统计表'!$D$6)=0,SUM(T81)-SUM(W81),IF('附表1-面积统计表'!$D$29=0,"",IF(AND(V81="共同成本费用",Z81="总建筑面积法"),ROUND(T81/'附表1-面积统计表'!$D$29*'附表1-面积统计表'!$D$7,2),IF(AND(V81="共同成本费用",Z81="可售建筑面积法"),ROUND(T81/'附表1-面积统计表'!$F$29*'附表1-面积统计表'!$F$7,2),"请手工填写"))))</f>
        <v>2091.71</v>
      </c>
      <c r="Z81" s="181" t="s">
        <v>311</v>
      </c>
      <c r="AA81" s="164"/>
      <c r="AB81" s="182" t="s">
        <v>1686</v>
      </c>
    </row>
    <row r="82" ht="29" hidden="1" customHeight="1" outlineLevel="1" spans="1:28">
      <c r="A82" s="159">
        <v>76</v>
      </c>
      <c r="B82" s="189" t="s">
        <v>1933</v>
      </c>
      <c r="C82" s="166" t="s">
        <v>1934</v>
      </c>
      <c r="D82" s="162" t="s">
        <v>1700</v>
      </c>
      <c r="E82" s="163" t="s">
        <v>1875</v>
      </c>
      <c r="F82" s="164" t="s">
        <v>1935</v>
      </c>
      <c r="G82" s="165" t="s">
        <v>1936</v>
      </c>
      <c r="H82" s="164" t="str">
        <f>IF(G82="","",VLOOKUP(G82,'附表8-合同明细采集底稿'!B:I,2,0))</f>
        <v>31#36#楼天然气安装工程</v>
      </c>
      <c r="I82" s="92" t="str">
        <f>IF(G82="","",VLOOKUP(G82,'附表8-合同明细采集底稿'!B:I,3,0))</f>
        <v>建设工程合同</v>
      </c>
      <c r="J82" s="164" t="str">
        <f>IF(G82="","",VLOOKUP(G82,'附表8-合同明细采集底稿'!B:I,4,0))</f>
        <v>新疆南天城建（集团）股份有限公司</v>
      </c>
      <c r="K82" s="164" t="s">
        <v>1711</v>
      </c>
      <c r="L82" s="165">
        <v>6500203130</v>
      </c>
      <c r="M82" s="165" t="s">
        <v>1937</v>
      </c>
      <c r="N82" s="173">
        <v>58966.86</v>
      </c>
      <c r="O82" s="173">
        <v>64273.88</v>
      </c>
      <c r="P82" s="174">
        <v>58966.86</v>
      </c>
      <c r="Q82" s="173"/>
      <c r="R82" s="173">
        <f t="shared" si="2"/>
        <v>58966.86</v>
      </c>
      <c r="S82" s="177">
        <f>IFERROR(VLOOKUP(G82,'附表8-合同明细采集底稿'!B:M,12,0),100%)</f>
        <v>0.329519901724361</v>
      </c>
      <c r="T82" s="173">
        <f t="shared" si="3"/>
        <v>19430.75</v>
      </c>
      <c r="U82" s="164"/>
      <c r="V82" s="178" t="s">
        <v>336</v>
      </c>
      <c r="W82" s="179">
        <f>IF('附表1-面积统计表'!$D$29=0,"",IF(AND(V82="共同成本费用",Z82="总建筑面积法"),ROUND(T82/'附表1-面积统计表'!$D$29*'附表1-面积统计表'!$D$5,2),IF(AND(V82="共同成本费用",Z82="可售建筑面积法"),ROUND(T82/'附表1-面积统计表'!$F$29*'附表1-面积统计表'!$F$5,2),"请手工填写")))</f>
        <v>7096.68</v>
      </c>
      <c r="X82" s="179">
        <f>IF(SUM('附表1-面积统计表'!$D$6)=0,"",SUM(T82)-SUM(W82)-SUM(Y82))</f>
        <v>8752.15</v>
      </c>
      <c r="Y82" s="179">
        <f>IF(SUM('附表1-面积统计表'!$D$6)=0,SUM(T82)-SUM(W82),IF('附表1-面积统计表'!$D$29=0,"",IF(AND(V82="共同成本费用",Z82="总建筑面积法"),ROUND(T82/'附表1-面积统计表'!$D$29*'附表1-面积统计表'!$D$7,2),IF(AND(V82="共同成本费用",Z82="可售建筑面积法"),ROUND(T82/'附表1-面积统计表'!$F$29*'附表1-面积统计表'!$F$7,2),"请手工填写"))))</f>
        <v>3581.92</v>
      </c>
      <c r="Z82" s="181" t="s">
        <v>311</v>
      </c>
      <c r="AA82" s="164"/>
      <c r="AB82" s="182" t="s">
        <v>1686</v>
      </c>
    </row>
    <row r="83" ht="29" customHeight="1" outlineLevel="1" spans="1:28">
      <c r="A83" s="159">
        <v>77</v>
      </c>
      <c r="B83" s="166" t="s">
        <v>1938</v>
      </c>
      <c r="C83" s="166" t="s">
        <v>1939</v>
      </c>
      <c r="D83" s="162" t="s">
        <v>1707</v>
      </c>
      <c r="E83" s="163" t="s">
        <v>1724</v>
      </c>
      <c r="F83" s="164" t="s">
        <v>1940</v>
      </c>
      <c r="G83" s="165" t="s">
        <v>1877</v>
      </c>
      <c r="H83" s="164" t="str">
        <f>IF(G83="","",VLOOKUP(G83,'附表8-合同明细采集底稿'!B:I,2,0))</f>
        <v>沁园春锦BIM咨询服务协议</v>
      </c>
      <c r="I83" s="92" t="str">
        <f>IF(G83="","",VLOOKUP(G83,'附表8-合同明细采集底稿'!B:I,3,0))</f>
        <v>技术合同</v>
      </c>
      <c r="J83" s="164" t="str">
        <f>IF(G83="","",VLOOKUP(G83,'附表8-合同明细采集底稿'!B:I,4,0))</f>
        <v>新疆佳联筑创建筑科技有限公司</v>
      </c>
      <c r="K83" s="164" t="s">
        <v>1711</v>
      </c>
      <c r="L83" s="165" t="s">
        <v>1941</v>
      </c>
      <c r="M83" s="165" t="s">
        <v>1942</v>
      </c>
      <c r="N83" s="173">
        <v>20792.08</v>
      </c>
      <c r="O83" s="173">
        <v>21000</v>
      </c>
      <c r="P83" s="174">
        <v>20792.08</v>
      </c>
      <c r="Q83" s="180"/>
      <c r="R83" s="173">
        <f t="shared" si="2"/>
        <v>20792.08</v>
      </c>
      <c r="S83" s="177">
        <f>IFERROR(VLOOKUP(G83,'附表8-合同明细采集底稿'!B:M,12,0),100%)</f>
        <v>0.329519901724361</v>
      </c>
      <c r="T83" s="173">
        <f t="shared" si="3"/>
        <v>6851.4</v>
      </c>
      <c r="U83" s="164"/>
      <c r="V83" s="178" t="s">
        <v>336</v>
      </c>
      <c r="W83" s="179">
        <f>IF('附表1-面积统计表'!$D$29=0,"",IF(AND(V83="共同成本费用",Z83="总建筑面积法"),ROUND(T83/'附表1-面积统计表'!$D$29*'附表1-面积统计表'!$D$5,2),IF(AND(V83="共同成本费用",Z83="可售建筑面积法"),ROUND(T83/'附表1-面积统计表'!$F$29*'附表1-面积统计表'!$F$5,2),"请手工填写")))</f>
        <v>2502.33</v>
      </c>
      <c r="X83" s="179">
        <f>IF(SUM('附表1-面积统计表'!$D$6)=0,"",SUM(T83)-SUM(W83)-SUM(Y83))</f>
        <v>3086.06</v>
      </c>
      <c r="Y83" s="179">
        <f>IF(SUM('附表1-面积统计表'!$D$6)=0,SUM(T83)-SUM(W83),IF('附表1-面积统计表'!$D$29=0,"",IF(AND(V83="共同成本费用",Z83="总建筑面积法"),ROUND(T83/'附表1-面积统计表'!$D$29*'附表1-面积统计表'!$D$7,2),IF(AND(V83="共同成本费用",Z83="可售建筑面积法"),ROUND(T83/'附表1-面积统计表'!$F$29*'附表1-面积统计表'!$F$7,2),"请手工填写"))))</f>
        <v>1263.01</v>
      </c>
      <c r="Z83" s="181" t="s">
        <v>311</v>
      </c>
      <c r="AA83" s="164"/>
      <c r="AB83" s="182" t="s">
        <v>1686</v>
      </c>
    </row>
    <row r="84" ht="29" hidden="1" customHeight="1" outlineLevel="1" spans="1:28">
      <c r="A84" s="159">
        <v>78</v>
      </c>
      <c r="B84" s="189" t="s">
        <v>1943</v>
      </c>
      <c r="C84" s="166" t="s">
        <v>1944</v>
      </c>
      <c r="D84" s="162" t="s">
        <v>1700</v>
      </c>
      <c r="E84" s="163" t="s">
        <v>1928</v>
      </c>
      <c r="F84" s="164" t="s">
        <v>1945</v>
      </c>
      <c r="G84" s="165" t="s">
        <v>1930</v>
      </c>
      <c r="H84" s="164" t="str">
        <f>IF(G84="","",VLOOKUP(G84,'附表8-合同明细采集底稿'!B:I,2,0))</f>
        <v>电缆采购合同-公共社区、幼儿园</v>
      </c>
      <c r="I84" s="92" t="str">
        <f>IF(G84="","",VLOOKUP(G84,'附表8-合同明细采集底稿'!B:I,3,0))</f>
        <v>买卖合同</v>
      </c>
      <c r="J84" s="164" t="str">
        <f>IF(G84="","",VLOOKUP(G84,'附表8-合同明细采集底稿'!B:I,4,0))</f>
        <v>泰丰线缆有限公司</v>
      </c>
      <c r="K84" s="164" t="s">
        <v>1711</v>
      </c>
      <c r="L84" s="165" t="s">
        <v>1931</v>
      </c>
      <c r="M84" s="165" t="s">
        <v>1946</v>
      </c>
      <c r="N84" s="173">
        <v>101615.05</v>
      </c>
      <c r="O84" s="173">
        <v>114825.01</v>
      </c>
      <c r="P84" s="174">
        <v>101615.05</v>
      </c>
      <c r="Q84" s="173"/>
      <c r="R84" s="173">
        <f t="shared" si="2"/>
        <v>101615.05</v>
      </c>
      <c r="S84" s="177">
        <f>IFERROR(VLOOKUP(G84,'附表8-合同明细采集底稿'!B:M,12,0),100%)</f>
        <v>0.329519901724361</v>
      </c>
      <c r="T84" s="173">
        <f t="shared" si="3"/>
        <v>33484.18</v>
      </c>
      <c r="U84" s="164"/>
      <c r="V84" s="178" t="s">
        <v>336</v>
      </c>
      <c r="W84" s="179">
        <f>IF('附表1-面积统计表'!$D$29=0,"",IF(AND(V84="共同成本费用",Z84="总建筑面积法"),ROUND(T84/'附表1-面积统计表'!$D$29*'附表1-面积统计表'!$D$5,2),IF(AND(V84="共同成本费用",Z84="可售建筑面积法"),ROUND(T84/'附表1-面积统计表'!$F$29*'附表1-面积统计表'!$F$5,2),"请手工填写")))</f>
        <v>12229.41</v>
      </c>
      <c r="X84" s="179">
        <f>IF(SUM('附表1-面积统计表'!$D$6)=0,"",SUM(T84)-SUM(W84)-SUM(Y84))</f>
        <v>15082.21</v>
      </c>
      <c r="Y84" s="179">
        <f>IF(SUM('附表1-面积统计表'!$D$6)=0,SUM(T84)-SUM(W84),IF('附表1-面积统计表'!$D$29=0,"",IF(AND(V84="共同成本费用",Z84="总建筑面积法"),ROUND(T84/'附表1-面积统计表'!$D$29*'附表1-面积统计表'!$D$7,2),IF(AND(V84="共同成本费用",Z84="可售建筑面积法"),ROUND(T84/'附表1-面积统计表'!$F$29*'附表1-面积统计表'!$F$7,2),"请手工填写"))))</f>
        <v>6172.56</v>
      </c>
      <c r="Z84" s="181" t="s">
        <v>311</v>
      </c>
      <c r="AA84" s="164"/>
      <c r="AB84" s="182" t="s">
        <v>1686</v>
      </c>
    </row>
    <row r="85" ht="29" hidden="1" customHeight="1" outlineLevel="1" spans="1:28">
      <c r="A85" s="159">
        <v>79</v>
      </c>
      <c r="B85" s="189" t="s">
        <v>1947</v>
      </c>
      <c r="C85" s="166" t="s">
        <v>1948</v>
      </c>
      <c r="D85" s="162" t="s">
        <v>1700</v>
      </c>
      <c r="E85" s="163" t="s">
        <v>1875</v>
      </c>
      <c r="F85" s="164" t="s">
        <v>1949</v>
      </c>
      <c r="G85" s="165" t="s">
        <v>1950</v>
      </c>
      <c r="H85" s="164" t="str">
        <f>IF(G85="","",VLOOKUP(G85,'附表8-合同明细采集底稿'!B:I,2,0))</f>
        <v>4-11、16、17#楼31#楼景观绿化（幼儿园）</v>
      </c>
      <c r="I85" s="92" t="str">
        <f>IF(G85="","",VLOOKUP(G85,'附表8-合同明细采集底稿'!B:I,3,0))</f>
        <v>建设工程合同</v>
      </c>
      <c r="J85" s="164" t="str">
        <f>IF(G85="","",VLOOKUP(G85,'附表8-合同明细采集底稿'!B:I,4,0))</f>
        <v>新疆通力建设集团股份有限公司（蔚晓芳）</v>
      </c>
      <c r="K85" s="164" t="s">
        <v>1711</v>
      </c>
      <c r="L85" s="165">
        <v>6500203130</v>
      </c>
      <c r="M85" s="165" t="s">
        <v>1951</v>
      </c>
      <c r="N85" s="173">
        <v>91743.12</v>
      </c>
      <c r="O85" s="173">
        <v>100000</v>
      </c>
      <c r="P85" s="174">
        <v>91743.12</v>
      </c>
      <c r="Q85" s="173"/>
      <c r="R85" s="173">
        <f t="shared" si="2"/>
        <v>91743.12</v>
      </c>
      <c r="S85" s="177">
        <f>IFERROR(VLOOKUP(G85,'附表8-合同明细采集底稿'!B:M,12,0),100%)</f>
        <v>0.329519901724361</v>
      </c>
      <c r="T85" s="173">
        <f t="shared" si="3"/>
        <v>30231.18</v>
      </c>
      <c r="U85" s="164"/>
      <c r="V85" s="178" t="s">
        <v>336</v>
      </c>
      <c r="W85" s="179">
        <f>IF('附表1-面积统计表'!$D$29=0,"",IF(AND(V85="共同成本费用",Z85="总建筑面积法"),ROUND(T85/'附表1-面积统计表'!$D$29*'附表1-面积统计表'!$D$5,2),IF(AND(V85="共同成本费用",Z85="可售建筑面积法"),ROUND(T85/'附表1-面积统计表'!$F$29*'附表1-面积统计表'!$F$5,2),"请手工填写")))</f>
        <v>11041.32</v>
      </c>
      <c r="X85" s="179">
        <f>IF(SUM('附表1-面积统计表'!$D$6)=0,"",SUM(T85)-SUM(W85)-SUM(Y85))</f>
        <v>13616.96</v>
      </c>
      <c r="Y85" s="179">
        <f>IF(SUM('附表1-面积统计表'!$D$6)=0,SUM(T85)-SUM(W85),IF('附表1-面积统计表'!$D$29=0,"",IF(AND(V85="共同成本费用",Z85="总建筑面积法"),ROUND(T85/'附表1-面积统计表'!$D$29*'附表1-面积统计表'!$D$7,2),IF(AND(V85="共同成本费用",Z85="可售建筑面积法"),ROUND(T85/'附表1-面积统计表'!$F$29*'附表1-面积统计表'!$F$7,2),"请手工填写"))))</f>
        <v>5572.9</v>
      </c>
      <c r="Z85" s="181" t="s">
        <v>311</v>
      </c>
      <c r="AA85" s="164"/>
      <c r="AB85" s="182" t="s">
        <v>1686</v>
      </c>
    </row>
    <row r="86" ht="29" hidden="1" customHeight="1" outlineLevel="1" spans="1:28">
      <c r="A86" s="159">
        <v>80</v>
      </c>
      <c r="B86" s="166" t="s">
        <v>1952</v>
      </c>
      <c r="C86" s="166" t="s">
        <v>1953</v>
      </c>
      <c r="D86" s="162" t="s">
        <v>1700</v>
      </c>
      <c r="E86" s="163" t="s">
        <v>1875</v>
      </c>
      <c r="F86" s="164" t="s">
        <v>1954</v>
      </c>
      <c r="G86" s="165" t="s">
        <v>1955</v>
      </c>
      <c r="H86" s="164" t="str">
        <f>IF(G86="","",VLOOKUP(G86,'附表8-合同明细采集底稿'!B:I,2,0))</f>
        <v>幼儿园电梯销售安装合同（31#楼）</v>
      </c>
      <c r="I86" s="92" t="str">
        <f>IF(G86="","",VLOOKUP(G86,'附表8-合同明细采集底稿'!B:I,3,0))</f>
        <v>买卖合同</v>
      </c>
      <c r="J86" s="164" t="str">
        <f>IF(G86="","",VLOOKUP(G86,'附表8-合同明细采集底稿'!B:I,4,0))</f>
        <v>新疆华汇建安机械设备有限公司（许林）</v>
      </c>
      <c r="K86" s="164" t="s">
        <v>1711</v>
      </c>
      <c r="L86" s="165">
        <v>6500203130</v>
      </c>
      <c r="M86" s="165" t="s">
        <v>1956</v>
      </c>
      <c r="N86" s="173">
        <v>22330.1</v>
      </c>
      <c r="O86" s="173">
        <v>23000</v>
      </c>
      <c r="P86" s="174">
        <v>22330.1</v>
      </c>
      <c r="Q86" s="173"/>
      <c r="R86" s="173">
        <f t="shared" si="2"/>
        <v>22330.1</v>
      </c>
      <c r="S86" s="177">
        <f>IFERROR(VLOOKUP(G86,'附表8-合同明细采集底稿'!B:M,12,0),100%)</f>
        <v>0.329519901724361</v>
      </c>
      <c r="T86" s="173">
        <f t="shared" si="3"/>
        <v>7358.21</v>
      </c>
      <c r="U86" s="164"/>
      <c r="V86" s="178" t="s">
        <v>336</v>
      </c>
      <c r="W86" s="179">
        <f>IF('附表1-面积统计表'!$D$29=0,"",IF(AND(V86="共同成本费用",Z86="总建筑面积法"),ROUND(T86/'附表1-面积统计表'!$D$29*'附表1-面积统计表'!$D$5,2),IF(AND(V86="共同成本费用",Z86="可售建筑面积法"),ROUND(T86/'附表1-面积统计表'!$F$29*'附表1-面积统计表'!$F$5,2),"请手工填写")))</f>
        <v>2687.43</v>
      </c>
      <c r="X86" s="179">
        <f>IF(SUM('附表1-面积统计表'!$D$6)=0,"",SUM(T86)-SUM(W86)-SUM(Y86))</f>
        <v>3314.35</v>
      </c>
      <c r="Y86" s="179">
        <f>IF(SUM('附表1-面积统计表'!$D$6)=0,SUM(T86)-SUM(W86),IF('附表1-面积统计表'!$D$29=0,"",IF(AND(V86="共同成本费用",Z86="总建筑面积法"),ROUND(T86/'附表1-面积统计表'!$D$29*'附表1-面积统计表'!$D$7,2),IF(AND(V86="共同成本费用",Z86="可售建筑面积法"),ROUND(T86/'附表1-面积统计表'!$F$29*'附表1-面积统计表'!$F$7,2),"请手工填写"))))</f>
        <v>1356.43</v>
      </c>
      <c r="Z86" s="181" t="s">
        <v>311</v>
      </c>
      <c r="AA86" s="164"/>
      <c r="AB86" s="182" t="s">
        <v>1686</v>
      </c>
    </row>
    <row r="87" ht="29" hidden="1" customHeight="1" outlineLevel="1" spans="1:28">
      <c r="A87" s="159">
        <v>81</v>
      </c>
      <c r="B87" s="166" t="s">
        <v>1345</v>
      </c>
      <c r="C87" s="166" t="s">
        <v>1957</v>
      </c>
      <c r="D87" s="162" t="s">
        <v>1707</v>
      </c>
      <c r="E87" s="163" t="s">
        <v>1708</v>
      </c>
      <c r="F87" s="164" t="s">
        <v>1958</v>
      </c>
      <c r="G87" s="165" t="s">
        <v>1755</v>
      </c>
      <c r="H87" s="164" t="str">
        <f>IF(G87="","",VLOOKUP(G87,'附表8-合同明细采集底稿'!B:I,2,0))</f>
        <v>专业建设工程设计合同</v>
      </c>
      <c r="I87" s="92" t="str">
        <f>IF(G87="","",VLOOKUP(G87,'附表8-合同明细采集底稿'!B:I,3,0))</f>
        <v>技术合同</v>
      </c>
      <c r="J87" s="164" t="str">
        <f>IF(G87="","",VLOOKUP(G87,'附表8-合同明细采集底稿'!B:I,4,0))</f>
        <v>乌鲁木齐大漠林海绿化有限责任公司（蔚晓芳）</v>
      </c>
      <c r="K87" s="164" t="s">
        <v>1711</v>
      </c>
      <c r="L87" s="165">
        <v>6500212130</v>
      </c>
      <c r="M87" s="165" t="s">
        <v>1959</v>
      </c>
      <c r="N87" s="173">
        <v>58989.62</v>
      </c>
      <c r="O87" s="173">
        <v>62529</v>
      </c>
      <c r="P87" s="174">
        <v>58989.62</v>
      </c>
      <c r="Q87" s="173"/>
      <c r="R87" s="173">
        <f t="shared" si="2"/>
        <v>58989.62</v>
      </c>
      <c r="S87" s="177">
        <f>IFERROR(VLOOKUP(G87,'附表8-合同明细采集底稿'!B:M,12,0),100%)</f>
        <v>0.329519901724361</v>
      </c>
      <c r="T87" s="173">
        <f t="shared" si="3"/>
        <v>19438.25</v>
      </c>
      <c r="U87" s="164"/>
      <c r="V87" s="178" t="s">
        <v>336</v>
      </c>
      <c r="W87" s="179">
        <f>IF('附表1-面积统计表'!$D$29=0,"",IF(AND(V87="共同成本费用",Z87="总建筑面积法"),ROUND(T87/'附表1-面积统计表'!$D$29*'附表1-面积统计表'!$D$5,2),IF(AND(V87="共同成本费用",Z87="可售建筑面积法"),ROUND(T87/'附表1-面积统计表'!$F$29*'附表1-面积统计表'!$F$5,2),"请手工填写")))</f>
        <v>7099.42</v>
      </c>
      <c r="X87" s="179">
        <f>IF(SUM('附表1-面积统计表'!$D$6)=0,"",SUM(T87)-SUM(W87)-SUM(Y87))</f>
        <v>8755.53</v>
      </c>
      <c r="Y87" s="179">
        <f>IF(SUM('附表1-面积统计表'!$D$6)=0,SUM(T87)-SUM(W87),IF('附表1-面积统计表'!$D$29=0,"",IF(AND(V87="共同成本费用",Z87="总建筑面积法"),ROUND(T87/'附表1-面积统计表'!$D$29*'附表1-面积统计表'!$D$7,2),IF(AND(V87="共同成本费用",Z87="可售建筑面积法"),ROUND(T87/'附表1-面积统计表'!$F$29*'附表1-面积统计表'!$F$7,2),"请手工填写"))))</f>
        <v>3583.3</v>
      </c>
      <c r="Z87" s="181" t="s">
        <v>311</v>
      </c>
      <c r="AA87" s="164"/>
      <c r="AB87" s="182" t="s">
        <v>1686</v>
      </c>
    </row>
    <row r="88" ht="29" hidden="1" customHeight="1" outlineLevel="1" spans="1:28">
      <c r="A88" s="159">
        <v>82</v>
      </c>
      <c r="B88" s="166" t="s">
        <v>1960</v>
      </c>
      <c r="C88" s="166" t="s">
        <v>1961</v>
      </c>
      <c r="D88" s="162" t="s">
        <v>1739</v>
      </c>
      <c r="E88" s="163" t="s">
        <v>1740</v>
      </c>
      <c r="F88" s="164" t="s">
        <v>1962</v>
      </c>
      <c r="G88" s="165" t="s">
        <v>1742</v>
      </c>
      <c r="H88" s="164" t="str">
        <f>IF(G88="","",VLOOKUP(G88,'附表8-合同明细采集底稿'!B:I,2,0))</f>
        <v>供水管道安装（自来水接口）</v>
      </c>
      <c r="I88" s="92" t="str">
        <f>IF(G88="","",VLOOKUP(G88,'附表8-合同明细采集底稿'!B:I,3,0))</f>
        <v>建设工程合同</v>
      </c>
      <c r="J88" s="164" t="str">
        <f>IF(G88="","",VLOOKUP(G88,'附表8-合同明细采集底稿'!B:I,4,0))</f>
        <v>新疆昌源水务集团库尔勒银泉供水有限公司工程分公司</v>
      </c>
      <c r="K88" s="164" t="s">
        <v>1711</v>
      </c>
      <c r="L88" s="165">
        <v>6500203130</v>
      </c>
      <c r="M88" s="165" t="s">
        <v>1963</v>
      </c>
      <c r="N88" s="173">
        <v>5413.08</v>
      </c>
      <c r="O88" s="173">
        <v>5901.88</v>
      </c>
      <c r="P88" s="174">
        <v>5431.08</v>
      </c>
      <c r="Q88" s="173"/>
      <c r="R88" s="173">
        <f t="shared" si="2"/>
        <v>5431.08</v>
      </c>
      <c r="S88" s="177">
        <f>IFERROR(VLOOKUP(G88,'附表8-合同明细采集底稿'!B:M,12,0),100%)</f>
        <v>0.329519901724361</v>
      </c>
      <c r="T88" s="173">
        <f t="shared" si="3"/>
        <v>1789.65</v>
      </c>
      <c r="U88" s="164"/>
      <c r="V88" s="178" t="s">
        <v>336</v>
      </c>
      <c r="W88" s="179">
        <f>IF('附表1-面积统计表'!$D$29=0,"",IF(AND(V88="共同成本费用",Z88="总建筑面积法"),ROUND(T88/'附表1-面积统计表'!$D$29*'附表1-面积统计表'!$D$5,2),IF(AND(V88="共同成本费用",Z88="可售建筑面积法"),ROUND(T88/'附表1-面积统计表'!$F$29*'附表1-面积统计表'!$F$5,2),"请手工填写")))</f>
        <v>653.63</v>
      </c>
      <c r="X88" s="179">
        <f>IF(SUM('附表1-面积统计表'!$D$6)=0,"",SUM(T88)-SUM(W88)-SUM(Y88))</f>
        <v>806.11</v>
      </c>
      <c r="Y88" s="179">
        <f>IF(SUM('附表1-面积统计表'!$D$6)=0,SUM(T88)-SUM(W88),IF('附表1-面积统计表'!$D$29=0,"",IF(AND(V88="共同成本费用",Z88="总建筑面积法"),ROUND(T88/'附表1-面积统计表'!$D$29*'附表1-面积统计表'!$D$7,2),IF(AND(V88="共同成本费用",Z88="可售建筑面积法"),ROUND(T88/'附表1-面积统计表'!$F$29*'附表1-面积统计表'!$F$7,2),"请手工填写"))))</f>
        <v>329.91</v>
      </c>
      <c r="Z88" s="181" t="s">
        <v>311</v>
      </c>
      <c r="AA88" s="164"/>
      <c r="AB88" s="182" t="s">
        <v>1686</v>
      </c>
    </row>
    <row r="89" ht="29" hidden="1" customHeight="1" outlineLevel="1" spans="1:28">
      <c r="A89" s="159">
        <v>83</v>
      </c>
      <c r="B89" s="166" t="s">
        <v>1964</v>
      </c>
      <c r="C89" s="166" t="s">
        <v>1965</v>
      </c>
      <c r="D89" s="162" t="s">
        <v>1739</v>
      </c>
      <c r="E89" s="163" t="s">
        <v>1788</v>
      </c>
      <c r="F89" s="164" t="s">
        <v>1966</v>
      </c>
      <c r="G89" s="165" t="s">
        <v>1697</v>
      </c>
      <c r="H89" s="164">
        <f>IF(G89="","",VLOOKUP(G89,'附表8-合同明细采集底稿'!B:I,2,0))</f>
        <v>0</v>
      </c>
      <c r="I89" s="92">
        <f>IF(G89="","",VLOOKUP(G89,'附表8-合同明细采集底稿'!B:I,3,0))</f>
        <v>0</v>
      </c>
      <c r="J89" s="164" t="s">
        <v>1967</v>
      </c>
      <c r="K89" s="164" t="s">
        <v>1704</v>
      </c>
      <c r="L89" s="165" t="s">
        <v>1705</v>
      </c>
      <c r="M89" s="165" t="s">
        <v>1968</v>
      </c>
      <c r="N89" s="173">
        <v>15000</v>
      </c>
      <c r="O89" s="173">
        <v>15000</v>
      </c>
      <c r="P89" s="174">
        <v>15000</v>
      </c>
      <c r="Q89" s="173"/>
      <c r="R89" s="173">
        <f t="shared" si="2"/>
        <v>15000</v>
      </c>
      <c r="S89" s="177">
        <f>IFERROR(VLOOKUP(G89,'附表8-合同明细采集底稿'!B:M,12,0),100%)</f>
        <v>0.329519901724361</v>
      </c>
      <c r="T89" s="173">
        <f t="shared" si="3"/>
        <v>4942.8</v>
      </c>
      <c r="U89" s="164"/>
      <c r="V89" s="178" t="s">
        <v>336</v>
      </c>
      <c r="W89" s="179">
        <f>IF('附表1-面积统计表'!$D$29=0,"",IF(AND(V89="共同成本费用",Z89="总建筑面积法"),ROUND(T89/'附表1-面积统计表'!$D$29*'附表1-面积统计表'!$D$5,2),IF(AND(V89="共同成本费用",Z89="可售建筑面积法"),ROUND(T89/'附表1-面积统计表'!$F$29*'附表1-面积统计表'!$F$5,2),"请手工填写")))</f>
        <v>1805.26</v>
      </c>
      <c r="X89" s="179">
        <f>IF(SUM('附表1-面积统计表'!$D$6)=0,"",SUM(T89)-SUM(W89)-SUM(Y89))</f>
        <v>2226.37</v>
      </c>
      <c r="Y89" s="179">
        <f>IF(SUM('附表1-面积统计表'!$D$6)=0,SUM(T89)-SUM(W89),IF('附表1-面积统计表'!$D$29=0,"",IF(AND(V89="共同成本费用",Z89="总建筑面积法"),ROUND(T89/'附表1-面积统计表'!$D$29*'附表1-面积统计表'!$D$7,2),IF(AND(V89="共同成本费用",Z89="可售建筑面积法"),ROUND(T89/'附表1-面积统计表'!$F$29*'附表1-面积统计表'!$F$7,2),"请手工填写"))))</f>
        <v>911.17</v>
      </c>
      <c r="Z89" s="181" t="s">
        <v>311</v>
      </c>
      <c r="AA89" s="164"/>
      <c r="AB89" s="182" t="s">
        <v>1686</v>
      </c>
    </row>
    <row r="90" ht="29" hidden="1" customHeight="1" outlineLevel="1" spans="1:28">
      <c r="A90" s="159">
        <v>84</v>
      </c>
      <c r="B90" s="166" t="s">
        <v>1969</v>
      </c>
      <c r="C90" s="166" t="s">
        <v>1843</v>
      </c>
      <c r="D90" s="162" t="s">
        <v>1739</v>
      </c>
      <c r="E90" s="163" t="s">
        <v>1794</v>
      </c>
      <c r="F90" s="164" t="s">
        <v>1970</v>
      </c>
      <c r="G90" s="165"/>
      <c r="H90" s="164" t="str">
        <f>IF(G90="","",VLOOKUP(G90,'附表8-合同明细采集底稿'!B:I,2,0))</f>
        <v/>
      </c>
      <c r="I90" s="92" t="str">
        <f>IF(G90="","",VLOOKUP(G90,'附表8-合同明细采集底稿'!B:I,3,0))</f>
        <v/>
      </c>
      <c r="J90" s="164" t="str">
        <f>IF(G90="","",VLOOKUP(G90,'附表8-合同明细采集底稿'!B:I,4,0))</f>
        <v/>
      </c>
      <c r="K90" s="164" t="s">
        <v>1711</v>
      </c>
      <c r="L90" s="165">
        <v>6500193160</v>
      </c>
      <c r="M90" s="165" t="s">
        <v>1971</v>
      </c>
      <c r="N90" s="173">
        <v>91089.11</v>
      </c>
      <c r="O90" s="173">
        <v>92000</v>
      </c>
      <c r="P90" s="174">
        <v>91089.11</v>
      </c>
      <c r="Q90" s="173"/>
      <c r="R90" s="173">
        <f t="shared" ref="R90:R153" si="4">P90+Q90</f>
        <v>91089.11</v>
      </c>
      <c r="S90" s="177">
        <f>IFERROR(VLOOKUP(G90,'附表8-合同明细采集底稿'!B:M,12,0),100%)</f>
        <v>1</v>
      </c>
      <c r="T90" s="173">
        <f t="shared" si="3"/>
        <v>91089.11</v>
      </c>
      <c r="U90" s="164"/>
      <c r="V90" s="178" t="s">
        <v>336</v>
      </c>
      <c r="W90" s="179">
        <f>IF('附表1-面积统计表'!$D$29=0,"",IF(AND(V90="共同成本费用",Z90="总建筑面积法"),ROUND(T90/'附表1-面积统计表'!$D$29*'附表1-面积统计表'!$D$5,2),IF(AND(V90="共同成本费用",Z90="可售建筑面积法"),ROUND(T90/'附表1-面积统计表'!$F$29*'附表1-面积统计表'!$F$5,2),"请手工填写")))</f>
        <v>33268.42</v>
      </c>
      <c r="X90" s="179">
        <f>IF(SUM('附表1-面积统计表'!$D$6)=0,"",SUM(T90)-SUM(W90)-SUM(Y90))</f>
        <v>41029.08</v>
      </c>
      <c r="Y90" s="179">
        <f>IF(SUM('附表1-面积统计表'!$D$6)=0,SUM(T90)-SUM(W90),IF('附表1-面积统计表'!$D$29=0,"",IF(AND(V90="共同成本费用",Z90="总建筑面积法"),ROUND(T90/'附表1-面积统计表'!$D$29*'附表1-面积统计表'!$D$7,2),IF(AND(V90="共同成本费用",Z90="可售建筑面积法"),ROUND(T90/'附表1-面积统计表'!$F$29*'附表1-面积统计表'!$F$7,2),"请手工填写"))))</f>
        <v>16791.61</v>
      </c>
      <c r="Z90" s="181" t="s">
        <v>311</v>
      </c>
      <c r="AA90" s="164"/>
      <c r="AB90" s="182" t="s">
        <v>1686</v>
      </c>
    </row>
    <row r="91" ht="29" hidden="1" customHeight="1" outlineLevel="1" spans="1:28">
      <c r="A91" s="159">
        <v>85</v>
      </c>
      <c r="B91" s="189" t="s">
        <v>1393</v>
      </c>
      <c r="C91" s="166" t="s">
        <v>1972</v>
      </c>
      <c r="D91" s="162" t="s">
        <v>1739</v>
      </c>
      <c r="E91" s="163" t="s">
        <v>1788</v>
      </c>
      <c r="F91" s="164" t="s">
        <v>1973</v>
      </c>
      <c r="G91" s="165" t="s">
        <v>1974</v>
      </c>
      <c r="H91" s="164" t="str">
        <f>IF(G91="","",VLOOKUP(G91,'附表8-合同明细采集底稿'!B:I,2,0))</f>
        <v>消防通道大门制作安装</v>
      </c>
      <c r="I91" s="92" t="str">
        <f>IF(G91="","",VLOOKUP(G91,'附表8-合同明细采集底稿'!B:I,3,0))</f>
        <v>买卖合同</v>
      </c>
      <c r="J91" s="164" t="str">
        <f>IF(G91="","",VLOOKUP(G91,'附表8-合同明细采集底稿'!B:I,4,0))</f>
        <v>巴州冠华商贸有限公司</v>
      </c>
      <c r="K91" s="164" t="s">
        <v>1711</v>
      </c>
      <c r="L91" s="165">
        <v>6500213130</v>
      </c>
      <c r="M91" s="165" t="s">
        <v>1975</v>
      </c>
      <c r="N91" s="173">
        <v>55752.21</v>
      </c>
      <c r="O91" s="173">
        <v>63000</v>
      </c>
      <c r="P91" s="174">
        <v>55752.21</v>
      </c>
      <c r="Q91" s="173"/>
      <c r="R91" s="173">
        <f t="shared" si="4"/>
        <v>55752.21</v>
      </c>
      <c r="S91" s="177">
        <f>IFERROR(VLOOKUP(G91,'附表8-合同明细采集底稿'!B:M,12,0),100%)</f>
        <v>0.329519901724361</v>
      </c>
      <c r="T91" s="173">
        <f t="shared" si="3"/>
        <v>18371.46</v>
      </c>
      <c r="U91" s="164"/>
      <c r="V91" s="178" t="s">
        <v>336</v>
      </c>
      <c r="W91" s="179">
        <f>IF('附表1-面积统计表'!$D$29=0,"",IF(AND(V91="共同成本费用",Z91="总建筑面积法"),ROUND(T91/'附表1-面积统计表'!$D$29*'附表1-面积统计表'!$D$5,2),IF(AND(V91="共同成本费用",Z91="可售建筑面积法"),ROUND(T91/'附表1-面积统计表'!$F$29*'附表1-面积统计表'!$F$5,2),"请手工填写")))</f>
        <v>6709.8</v>
      </c>
      <c r="X91" s="179">
        <f>IF(SUM('附表1-面积统计表'!$D$6)=0,"",SUM(T91)-SUM(W91)-SUM(Y91))</f>
        <v>8275.02</v>
      </c>
      <c r="Y91" s="179">
        <f>IF(SUM('附表1-面积统计表'!$D$6)=0,SUM(T91)-SUM(W91),IF('附表1-面积统计表'!$D$29=0,"",IF(AND(V91="共同成本费用",Z91="总建筑面积法"),ROUND(T91/'附表1-面积统计表'!$D$29*'附表1-面积统计表'!$D$7,2),IF(AND(V91="共同成本费用",Z91="可售建筑面积法"),ROUND(T91/'附表1-面积统计表'!$F$29*'附表1-面积统计表'!$F$7,2),"请手工填写"))))</f>
        <v>3386.64</v>
      </c>
      <c r="Z91" s="181" t="s">
        <v>311</v>
      </c>
      <c r="AA91" s="164"/>
      <c r="AB91" s="182" t="s">
        <v>1686</v>
      </c>
    </row>
    <row r="92" ht="29" hidden="1" customHeight="1" outlineLevel="1" spans="1:28">
      <c r="A92" s="159">
        <v>86</v>
      </c>
      <c r="B92" s="189" t="s">
        <v>141</v>
      </c>
      <c r="C92" s="166" t="s">
        <v>1976</v>
      </c>
      <c r="D92" s="162" t="s">
        <v>1700</v>
      </c>
      <c r="E92" s="163" t="s">
        <v>1875</v>
      </c>
      <c r="F92" s="164" t="s">
        <v>1977</v>
      </c>
      <c r="G92" s="165" t="s">
        <v>1978</v>
      </c>
      <c r="H92" s="164" t="str">
        <f>IF(G92="","",VLOOKUP(G92,'附表8-合同明细采集底稿'!B:I,2,0))</f>
        <v>沁春锦苑幼儿园审图费</v>
      </c>
      <c r="I92" s="92" t="str">
        <f>IF(G92="","",VLOOKUP(G92,'附表8-合同明细采集底稿'!B:I,3,0))</f>
        <v>技术合同</v>
      </c>
      <c r="J92" s="164" t="str">
        <f>IF(G92="","",VLOOKUP(G92,'附表8-合同明细采集底稿'!B:I,4,0))</f>
        <v>巴州建筑工程施工图设计文件审查中心</v>
      </c>
      <c r="K92" s="164" t="s">
        <v>1711</v>
      </c>
      <c r="L92" s="165">
        <v>6500193130</v>
      </c>
      <c r="M92" s="165" t="s">
        <v>1979</v>
      </c>
      <c r="N92" s="173">
        <v>2687.74</v>
      </c>
      <c r="O92" s="173">
        <v>2849</v>
      </c>
      <c r="P92" s="174">
        <v>2687.74</v>
      </c>
      <c r="Q92" s="173"/>
      <c r="R92" s="173">
        <f t="shared" si="4"/>
        <v>2687.74</v>
      </c>
      <c r="S92" s="177">
        <f>IFERROR(VLOOKUP(G92,'附表8-合同明细采集底稿'!B:M,12,0),100%)</f>
        <v>0.329519901724361</v>
      </c>
      <c r="T92" s="173">
        <f t="shared" si="3"/>
        <v>885.66</v>
      </c>
      <c r="U92" s="164"/>
      <c r="V92" s="178" t="s">
        <v>336</v>
      </c>
      <c r="W92" s="179">
        <f>IF('附表1-面积统计表'!$D$29=0,"",IF(AND(V92="共同成本费用",Z92="总建筑面积法"),ROUND(T92/'附表1-面积统计表'!$D$29*'附表1-面积统计表'!$D$5,2),IF(AND(V92="共同成本费用",Z92="可售建筑面积法"),ROUND(T92/'附表1-面积统计表'!$F$29*'附表1-面积统计表'!$F$5,2),"请手工填写")))</f>
        <v>323.47</v>
      </c>
      <c r="X92" s="179">
        <f>IF(SUM('附表1-面积统计表'!$D$6)=0,"",SUM(T92)-SUM(W92)-SUM(Y92))</f>
        <v>398.93</v>
      </c>
      <c r="Y92" s="179">
        <f>IF(SUM('附表1-面积统计表'!$D$6)=0,SUM(T92)-SUM(W92),IF('附表1-面积统计表'!$D$29=0,"",IF(AND(V92="共同成本费用",Z92="总建筑面积法"),ROUND(T92/'附表1-面积统计表'!$D$29*'附表1-面积统计表'!$D$7,2),IF(AND(V92="共同成本费用",Z92="可售建筑面积法"),ROUND(T92/'附表1-面积统计表'!$F$29*'附表1-面积统计表'!$F$7,2),"请手工填写"))))</f>
        <v>163.26</v>
      </c>
      <c r="Z92" s="181" t="s">
        <v>311</v>
      </c>
      <c r="AA92" s="164"/>
      <c r="AB92" s="182" t="s">
        <v>1686</v>
      </c>
    </row>
    <row r="93" ht="29" hidden="1" customHeight="1" outlineLevel="1" spans="1:28">
      <c r="A93" s="159">
        <v>87</v>
      </c>
      <c r="B93" s="189" t="s">
        <v>141</v>
      </c>
      <c r="C93" s="166" t="s">
        <v>1980</v>
      </c>
      <c r="D93" s="162" t="s">
        <v>1700</v>
      </c>
      <c r="E93" s="163" t="s">
        <v>1875</v>
      </c>
      <c r="F93" s="164" t="s">
        <v>1981</v>
      </c>
      <c r="G93" s="165" t="s">
        <v>1697</v>
      </c>
      <c r="H93" s="164">
        <f>IF(G93="","",VLOOKUP(G93,'附表8-合同明细采集底稿'!B:I,2,0))</f>
        <v>0</v>
      </c>
      <c r="I93" s="92">
        <f>IF(G93="","",VLOOKUP(G93,'附表8-合同明细采集底稿'!B:I,3,0))</f>
        <v>0</v>
      </c>
      <c r="J93" s="164" t="s">
        <v>1982</v>
      </c>
      <c r="K93" s="164" t="s">
        <v>1711</v>
      </c>
      <c r="L93" s="165">
        <v>6500193130</v>
      </c>
      <c r="M93" s="165" t="s">
        <v>1983</v>
      </c>
      <c r="N93" s="173">
        <v>2600</v>
      </c>
      <c r="O93" s="173">
        <v>2756</v>
      </c>
      <c r="P93" s="174">
        <v>2600</v>
      </c>
      <c r="Q93" s="173"/>
      <c r="R93" s="173">
        <f t="shared" si="4"/>
        <v>2600</v>
      </c>
      <c r="S93" s="177">
        <f>IFERROR(VLOOKUP(G93,'附表8-合同明细采集底稿'!B:M,12,0),100%)</f>
        <v>0.329519901724361</v>
      </c>
      <c r="T93" s="173">
        <f t="shared" ref="T93:T156" si="5">ROUND(SUM(R93)*SUM(S93),2)</f>
        <v>856.75</v>
      </c>
      <c r="U93" s="164"/>
      <c r="V93" s="178" t="s">
        <v>336</v>
      </c>
      <c r="W93" s="179">
        <f>IF('附表1-面积统计表'!$D$29=0,"",IF(AND(V93="共同成本费用",Z93="总建筑面积法"),ROUND(T93/'附表1-面积统计表'!$D$29*'附表1-面积统计表'!$D$5,2),IF(AND(V93="共同成本费用",Z93="可售建筑面积法"),ROUND(T93/'附表1-面积统计表'!$F$29*'附表1-面积统计表'!$F$5,2),"请手工填写")))</f>
        <v>312.91</v>
      </c>
      <c r="X93" s="179">
        <f>IF(SUM('附表1-面积统计表'!$D$6)=0,"",SUM(T93)-SUM(W93)-SUM(Y93))</f>
        <v>385.9</v>
      </c>
      <c r="Y93" s="179">
        <f>IF(SUM('附表1-面积统计表'!$D$6)=0,SUM(T93)-SUM(W93),IF('附表1-面积统计表'!$D$29=0,"",IF(AND(V93="共同成本费用",Z93="总建筑面积法"),ROUND(T93/'附表1-面积统计表'!$D$29*'附表1-面积统计表'!$D$7,2),IF(AND(V93="共同成本费用",Z93="可售建筑面积法"),ROUND(T93/'附表1-面积统计表'!$F$29*'附表1-面积统计表'!$F$7,2),"请手工填写"))))</f>
        <v>157.94</v>
      </c>
      <c r="Z93" s="181" t="s">
        <v>311</v>
      </c>
      <c r="AA93" s="164"/>
      <c r="AB93" s="182" t="s">
        <v>1686</v>
      </c>
    </row>
    <row r="94" ht="29" hidden="1" customHeight="1" outlineLevel="1" spans="1:28">
      <c r="A94" s="159">
        <v>88</v>
      </c>
      <c r="B94" s="189" t="s">
        <v>1858</v>
      </c>
      <c r="C94" s="166" t="s">
        <v>1984</v>
      </c>
      <c r="D94" s="162" t="s">
        <v>1700</v>
      </c>
      <c r="E94" s="163" t="s">
        <v>1875</v>
      </c>
      <c r="F94" s="164" t="s">
        <v>1985</v>
      </c>
      <c r="G94" s="165" t="s">
        <v>1887</v>
      </c>
      <c r="H94" s="164" t="str">
        <f>IF(G94="","",VLOOKUP(G94,'附表8-合同明细采集底稿'!B:I,2,0))</f>
        <v>建设工程施工合同12-15#楼38#楼、31#楼幼儿园（幼儿园—）</v>
      </c>
      <c r="I94" s="92" t="str">
        <f>IF(G94="","",VLOOKUP(G94,'附表8-合同明细采集底稿'!B:I,3,0))</f>
        <v>建设工程合同</v>
      </c>
      <c r="J94" s="164" t="str">
        <f>IF(G94="","",VLOOKUP(G94,'附表8-合同明细采集底稿'!B:I,4,0))</f>
        <v>新疆通力建设集团股份有限公司（顾）</v>
      </c>
      <c r="K94" s="164" t="s">
        <v>1711</v>
      </c>
      <c r="L94" s="165">
        <v>6500193130</v>
      </c>
      <c r="M94" s="165" t="s">
        <v>1986</v>
      </c>
      <c r="N94" s="173">
        <v>646149.54</v>
      </c>
      <c r="O94" s="173">
        <v>646149.54</v>
      </c>
      <c r="P94" s="174">
        <v>646149.54</v>
      </c>
      <c r="Q94" s="173"/>
      <c r="R94" s="173">
        <f t="shared" si="4"/>
        <v>646149.54</v>
      </c>
      <c r="S94" s="177">
        <f>IFERROR(VLOOKUP(G94,'附表8-合同明细采集底稿'!B:M,12,0),100%)</f>
        <v>0.329519901724361</v>
      </c>
      <c r="T94" s="173">
        <f t="shared" si="5"/>
        <v>212919.13</v>
      </c>
      <c r="U94" s="208" t="s">
        <v>1889</v>
      </c>
      <c r="V94" s="178" t="s">
        <v>336</v>
      </c>
      <c r="W94" s="179">
        <f>IF('附表1-面积统计表'!$D$29=0,"",IF(AND(V94="共同成本费用",Z94="总建筑面积法"),ROUND(T94/'附表1-面积统计表'!$D$29*'附表1-面积统计表'!$D$5,2),IF(AND(V94="共同成本费用",Z94="可售建筑面积法"),ROUND(T94/'附表1-面积统计表'!$F$29*'附表1-面积统计表'!$F$5,2),"请手工填写")))</f>
        <v>77764.33</v>
      </c>
      <c r="X94" s="179">
        <f>IF(SUM('附表1-面积统计表'!$D$6)=0,"",SUM(T94)-SUM(W94)-SUM(Y94))</f>
        <v>95904.72</v>
      </c>
      <c r="Y94" s="179">
        <f>IF(SUM('附表1-面积统计表'!$D$6)=0,SUM(T94)-SUM(W94),IF('附表1-面积统计表'!$D$29=0,"",IF(AND(V94="共同成本费用",Z94="总建筑面积法"),ROUND(T94/'附表1-面积统计表'!$D$29*'附表1-面积统计表'!$D$7,2),IF(AND(V94="共同成本费用",Z94="可售建筑面积法"),ROUND(T94/'附表1-面积统计表'!$F$29*'附表1-面积统计表'!$F$7,2),"请手工填写"))))</f>
        <v>39250.08</v>
      </c>
      <c r="Z94" s="181" t="s">
        <v>311</v>
      </c>
      <c r="AA94" s="164"/>
      <c r="AB94" s="182" t="s">
        <v>1686</v>
      </c>
    </row>
    <row r="95" ht="29" hidden="1" customHeight="1" outlineLevel="1" spans="1:28">
      <c r="A95" s="159">
        <v>89</v>
      </c>
      <c r="B95" s="189" t="s">
        <v>1987</v>
      </c>
      <c r="C95" s="166" t="s">
        <v>1988</v>
      </c>
      <c r="D95" s="162" t="s">
        <v>1700</v>
      </c>
      <c r="E95" s="163" t="s">
        <v>1875</v>
      </c>
      <c r="F95" s="164" t="s">
        <v>1989</v>
      </c>
      <c r="G95" s="165" t="s">
        <v>1697</v>
      </c>
      <c r="H95" s="164">
        <f>IF(G95="","",VLOOKUP(G95,'附表8-合同明细采集底稿'!B:I,2,0))</f>
        <v>0</v>
      </c>
      <c r="I95" s="92">
        <f>IF(G95="","",VLOOKUP(G95,'附表8-合同明细采集底稿'!B:I,3,0))</f>
        <v>0</v>
      </c>
      <c r="J95" s="164" t="s">
        <v>1982</v>
      </c>
      <c r="K95" s="164" t="s">
        <v>1711</v>
      </c>
      <c r="L95" s="165">
        <v>6500203130</v>
      </c>
      <c r="M95" s="165" t="s">
        <v>1990</v>
      </c>
      <c r="N95" s="173">
        <v>2526.42</v>
      </c>
      <c r="O95" s="173">
        <v>2678.0052</v>
      </c>
      <c r="P95" s="174">
        <v>2526.42</v>
      </c>
      <c r="Q95" s="173"/>
      <c r="R95" s="173">
        <f t="shared" si="4"/>
        <v>2526.42</v>
      </c>
      <c r="S95" s="177">
        <f>IFERROR(VLOOKUP(G95,'附表8-合同明细采集底稿'!B:M,12,0),100%)</f>
        <v>0.329519901724361</v>
      </c>
      <c r="T95" s="173">
        <f t="shared" si="5"/>
        <v>832.51</v>
      </c>
      <c r="U95" s="164"/>
      <c r="V95" s="178" t="s">
        <v>336</v>
      </c>
      <c r="W95" s="179">
        <f>IF('附表1-面积统计表'!$D$29=0,"",IF(AND(V95="共同成本费用",Z95="总建筑面积法"),ROUND(T95/'附表1-面积统计表'!$D$29*'附表1-面积统计表'!$D$5,2),IF(AND(V95="共同成本费用",Z95="可售建筑面积法"),ROUND(T95/'附表1-面积统计表'!$F$29*'附表1-面积统计表'!$F$5,2),"请手工填写")))</f>
        <v>304.06</v>
      </c>
      <c r="X95" s="179">
        <f>IF(SUM('附表1-面积统计表'!$D$6)=0,"",SUM(T95)-SUM(W95)-SUM(Y95))</f>
        <v>374.98</v>
      </c>
      <c r="Y95" s="179">
        <f>IF(SUM('附表1-面积统计表'!$D$6)=0,SUM(T95)-SUM(W95),IF('附表1-面积统计表'!$D$29=0,"",IF(AND(V95="共同成本费用",Z95="总建筑面积法"),ROUND(T95/'附表1-面积统计表'!$D$29*'附表1-面积统计表'!$D$7,2),IF(AND(V95="共同成本费用",Z95="可售建筑面积法"),ROUND(T95/'附表1-面积统计表'!$F$29*'附表1-面积统计表'!$F$7,2),"请手工填写"))))</f>
        <v>153.47</v>
      </c>
      <c r="Z95" s="181" t="s">
        <v>311</v>
      </c>
      <c r="AA95" s="164"/>
      <c r="AB95" s="182" t="s">
        <v>1686</v>
      </c>
    </row>
    <row r="96" ht="29" hidden="1" customHeight="1" outlineLevel="1" spans="1:28">
      <c r="A96" s="159">
        <v>90</v>
      </c>
      <c r="B96" s="189" t="s">
        <v>1991</v>
      </c>
      <c r="C96" s="166" t="s">
        <v>1992</v>
      </c>
      <c r="D96" s="162" t="s">
        <v>1700</v>
      </c>
      <c r="E96" s="163" t="s">
        <v>1875</v>
      </c>
      <c r="F96" s="164" t="s">
        <v>1993</v>
      </c>
      <c r="G96" s="165" t="s">
        <v>1955</v>
      </c>
      <c r="H96" s="164" t="str">
        <f>IF(G96="","",VLOOKUP(G96,'附表8-合同明细采集底稿'!B:I,2,0))</f>
        <v>幼儿园电梯销售安装合同（31#楼）</v>
      </c>
      <c r="I96" s="92" t="str">
        <f>IF(G96="","",VLOOKUP(G96,'附表8-合同明细采集底稿'!B:I,3,0))</f>
        <v>买卖合同</v>
      </c>
      <c r="J96" s="164" t="str">
        <f>IF(G96="","",VLOOKUP(G96,'附表8-合同明细采集底稿'!B:I,4,0))</f>
        <v>新疆华汇建安机械设备有限公司（许林）</v>
      </c>
      <c r="K96" s="164" t="s">
        <v>1711</v>
      </c>
      <c r="L96" s="165">
        <v>6500203130</v>
      </c>
      <c r="M96" s="570" t="s">
        <v>1994</v>
      </c>
      <c r="N96" s="173">
        <v>59292.04</v>
      </c>
      <c r="O96" s="173">
        <v>67000</v>
      </c>
      <c r="P96" s="174">
        <v>59292.04</v>
      </c>
      <c r="Q96" s="173"/>
      <c r="R96" s="173">
        <f t="shared" si="4"/>
        <v>59292.04</v>
      </c>
      <c r="S96" s="177">
        <f>IFERROR(VLOOKUP(G96,'附表8-合同明细采集底稿'!B:M,12,0),100%)</f>
        <v>0.329519901724361</v>
      </c>
      <c r="T96" s="173">
        <f t="shared" si="5"/>
        <v>19537.91</v>
      </c>
      <c r="U96" s="164"/>
      <c r="V96" s="178" t="s">
        <v>336</v>
      </c>
      <c r="W96" s="179">
        <f>IF('附表1-面积统计表'!$D$29=0,"",IF(AND(V96="共同成本费用",Z96="总建筑面积法"),ROUND(T96/'附表1-面积统计表'!$D$29*'附表1-面积统计表'!$D$5,2),IF(AND(V96="共同成本费用",Z96="可售建筑面积法"),ROUND(T96/'附表1-面积统计表'!$F$29*'附表1-面积统计表'!$F$5,2),"请手工填写")))</f>
        <v>7135.82</v>
      </c>
      <c r="X96" s="179">
        <f>IF(SUM('附表1-面积统计表'!$D$6)=0,"",SUM(T96)-SUM(W96)-SUM(Y96))</f>
        <v>8800.42</v>
      </c>
      <c r="Y96" s="179">
        <f>IF(SUM('附表1-面积统计表'!$D$6)=0,SUM(T96)-SUM(W96),IF('附表1-面积统计表'!$D$29=0,"",IF(AND(V96="共同成本费用",Z96="总建筑面积法"),ROUND(T96/'附表1-面积统计表'!$D$29*'附表1-面积统计表'!$D$7,2),IF(AND(V96="共同成本费用",Z96="可售建筑面积法"),ROUND(T96/'附表1-面积统计表'!$F$29*'附表1-面积统计表'!$F$7,2),"请手工填写"))))</f>
        <v>3601.67</v>
      </c>
      <c r="Z96" s="181" t="s">
        <v>311</v>
      </c>
      <c r="AA96" s="164"/>
      <c r="AB96" s="182" t="s">
        <v>1686</v>
      </c>
    </row>
    <row r="97" ht="29" hidden="1" customHeight="1" outlineLevel="1" spans="1:28">
      <c r="A97" s="159">
        <v>91</v>
      </c>
      <c r="B97" s="189" t="s">
        <v>1904</v>
      </c>
      <c r="C97" s="166" t="s">
        <v>1995</v>
      </c>
      <c r="D97" s="162" t="s">
        <v>1739</v>
      </c>
      <c r="E97" s="163" t="s">
        <v>1819</v>
      </c>
      <c r="F97" s="164" t="s">
        <v>1996</v>
      </c>
      <c r="G97" s="165" t="s">
        <v>1997</v>
      </c>
      <c r="H97" s="164" t="str">
        <f>IF(G97="","",VLOOKUP(G97,'附表8-合同明细采集底稿'!B:I,2,0))</f>
        <v>沁春锦苑小区一体化污水处理设备购销</v>
      </c>
      <c r="I97" s="92" t="str">
        <f>IF(G97="","",VLOOKUP(G97,'附表8-合同明细采集底稿'!B:I,3,0))</f>
        <v>买卖合同</v>
      </c>
      <c r="J97" s="164" t="str">
        <f>IF(G97="","",VLOOKUP(G97,'附表8-合同明细采集底稿'!B:I,4,0))</f>
        <v>新疆明德竟业工程有限公司</v>
      </c>
      <c r="K97" s="164" t="s">
        <v>1711</v>
      </c>
      <c r="L97" s="165">
        <v>6500201130</v>
      </c>
      <c r="M97" s="165" t="s">
        <v>1998</v>
      </c>
      <c r="N97" s="173">
        <v>447823</v>
      </c>
      <c r="O97" s="173">
        <v>506040</v>
      </c>
      <c r="P97" s="174">
        <v>447823</v>
      </c>
      <c r="Q97" s="173"/>
      <c r="R97" s="173">
        <f t="shared" si="4"/>
        <v>447823</v>
      </c>
      <c r="S97" s="177">
        <f>IFERROR(VLOOKUP(G97,'附表8-合同明细采集底稿'!B:M,12,0),100%)</f>
        <v>0.329519901724361</v>
      </c>
      <c r="T97" s="173">
        <f t="shared" si="5"/>
        <v>147566.59</v>
      </c>
      <c r="U97" s="164"/>
      <c r="V97" s="178" t="s">
        <v>336</v>
      </c>
      <c r="W97" s="179">
        <f>IF('附表1-面积统计表'!$D$29=0,"",IF(AND(V97="共同成本费用",Z97="总建筑面积法"),ROUND(T97/'附表1-面积统计表'!$D$29*'附表1-面积统计表'!$D$5,2),IF(AND(V97="共同成本费用",Z97="可售建筑面积法"),ROUND(T97/'附表1-面积统计表'!$F$29*'附表1-面积统计表'!$F$5,2),"请手工填写")))</f>
        <v>53895.66</v>
      </c>
      <c r="X97" s="179">
        <f>IF(SUM('附表1-面积统计表'!$D$6)=0,"",SUM(T97)-SUM(W97)-SUM(Y97))</f>
        <v>66468.11</v>
      </c>
      <c r="Y97" s="179">
        <f>IF(SUM('附表1-面积统计表'!$D$6)=0,SUM(T97)-SUM(W97),IF('附表1-面积统计表'!$D$29=0,"",IF(AND(V97="共同成本费用",Z97="总建筑面积法"),ROUND(T97/'附表1-面积统计表'!$D$29*'附表1-面积统计表'!$D$7,2),IF(AND(V97="共同成本费用",Z97="可售建筑面积法"),ROUND(T97/'附表1-面积统计表'!$F$29*'附表1-面积统计表'!$F$7,2),"请手工填写"))))</f>
        <v>27202.82</v>
      </c>
      <c r="Z97" s="181" t="s">
        <v>311</v>
      </c>
      <c r="AA97" s="164"/>
      <c r="AB97" s="182" t="s">
        <v>1686</v>
      </c>
    </row>
    <row r="98" ht="29" hidden="1" customHeight="1" outlineLevel="1" spans="1:28">
      <c r="A98" s="159">
        <v>92</v>
      </c>
      <c r="B98" s="189" t="s">
        <v>1904</v>
      </c>
      <c r="C98" s="166" t="s">
        <v>1905</v>
      </c>
      <c r="D98" s="162" t="s">
        <v>1700</v>
      </c>
      <c r="E98" s="163" t="s">
        <v>1875</v>
      </c>
      <c r="F98" s="164" t="s">
        <v>1906</v>
      </c>
      <c r="G98" s="165" t="s">
        <v>1999</v>
      </c>
      <c r="H98" s="164" t="str">
        <f>IF(G98="","",VLOOKUP(G98,'附表8-合同明细采集底稿'!B:I,2,0))</f>
        <v>幼儿园建设工程设计合同（民用建设工程设计合同）</v>
      </c>
      <c r="I98" s="92" t="str">
        <f>IF(G98="","",VLOOKUP(G98,'附表8-合同明细采集底稿'!B:I,3,0))</f>
        <v>技术合同</v>
      </c>
      <c r="J98" s="164" t="str">
        <f>IF(G98="","",VLOOKUP(G98,'附表8-合同明细采集底稿'!B:I,4,0))</f>
        <v>新疆益诚开拓空间规划建筑设计研究院有限公司</v>
      </c>
      <c r="K98" s="164" t="s">
        <v>1711</v>
      </c>
      <c r="L98" s="165">
        <v>6500203130</v>
      </c>
      <c r="M98" s="165" t="s">
        <v>2000</v>
      </c>
      <c r="N98" s="173">
        <v>15518.87</v>
      </c>
      <c r="O98" s="173">
        <v>16450</v>
      </c>
      <c r="P98" s="174">
        <v>15518.87</v>
      </c>
      <c r="Q98" s="173"/>
      <c r="R98" s="173">
        <f t="shared" si="4"/>
        <v>15518.87</v>
      </c>
      <c r="S98" s="177">
        <f>IFERROR(VLOOKUP(G98,'附表8-合同明细采集底稿'!B:M,12,0),100%)</f>
        <v>0.329519901724361</v>
      </c>
      <c r="T98" s="173">
        <f t="shared" si="5"/>
        <v>5113.78</v>
      </c>
      <c r="U98" s="164"/>
      <c r="V98" s="178" t="s">
        <v>336</v>
      </c>
      <c r="W98" s="179">
        <f>IF('附表1-面积统计表'!$D$29=0,"",IF(AND(V98="共同成本费用",Z98="总建筑面积法"),ROUND(T98/'附表1-面积统计表'!$D$29*'附表1-面积统计表'!$D$5,2),IF(AND(V98="共同成本费用",Z98="可售建筑面积法"),ROUND(T98/'附表1-面积统计表'!$F$29*'附表1-面积统计表'!$F$5,2),"请手工填写")))</f>
        <v>1867.7</v>
      </c>
      <c r="X98" s="179">
        <f>IF(SUM('附表1-面积统计表'!$D$6)=0,"",SUM(T98)-SUM(W98)-SUM(Y98))</f>
        <v>2303.39</v>
      </c>
      <c r="Y98" s="179">
        <f>IF(SUM('附表1-面积统计表'!$D$6)=0,SUM(T98)-SUM(W98),IF('附表1-面积统计表'!$D$29=0,"",IF(AND(V98="共同成本费用",Z98="总建筑面积法"),ROUND(T98/'附表1-面积统计表'!$D$29*'附表1-面积统计表'!$D$7,2),IF(AND(V98="共同成本费用",Z98="可售建筑面积法"),ROUND(T98/'附表1-面积统计表'!$F$29*'附表1-面积统计表'!$F$7,2),"请手工填写"))))</f>
        <v>942.69</v>
      </c>
      <c r="Z98" s="181" t="s">
        <v>311</v>
      </c>
      <c r="AA98" s="164"/>
      <c r="AB98" s="182" t="s">
        <v>1686</v>
      </c>
    </row>
    <row r="99" ht="29" hidden="1" customHeight="1" outlineLevel="1" spans="1:28">
      <c r="A99" s="159">
        <v>93</v>
      </c>
      <c r="B99" s="189" t="s">
        <v>2001</v>
      </c>
      <c r="C99" s="166" t="s">
        <v>2002</v>
      </c>
      <c r="D99" s="162" t="s">
        <v>1700</v>
      </c>
      <c r="E99" s="163" t="s">
        <v>1875</v>
      </c>
      <c r="F99" s="164" t="s">
        <v>2003</v>
      </c>
      <c r="G99" s="165" t="s">
        <v>2004</v>
      </c>
      <c r="H99" s="164" t="str">
        <f>IF(G99="","",VLOOKUP(G99,'附表8-合同明细采集底稿'!B:I,2,0))</f>
        <v>二期、三期给排水、消防工程施工合同-幼儿园</v>
      </c>
      <c r="I99" s="92" t="str">
        <f>IF(G99="","",VLOOKUP(G99,'附表8-合同明细采集底稿'!B:I,3,0))</f>
        <v>建设工程合同</v>
      </c>
      <c r="J99" s="164" t="str">
        <f>IF(G99="","",VLOOKUP(G99,'附表8-合同明细采集底稿'!B:I,4,0))</f>
        <v>江苏中义消防工程有限公司巴州分公司（巩红卫）</v>
      </c>
      <c r="K99" s="164" t="s">
        <v>1711</v>
      </c>
      <c r="L99" s="165">
        <v>6500203130</v>
      </c>
      <c r="M99" s="165" t="s">
        <v>2005</v>
      </c>
      <c r="N99" s="173">
        <v>91743.12</v>
      </c>
      <c r="O99" s="173">
        <v>100000</v>
      </c>
      <c r="P99" s="174">
        <v>91743.12</v>
      </c>
      <c r="Q99" s="173"/>
      <c r="R99" s="173">
        <f t="shared" si="4"/>
        <v>91743.12</v>
      </c>
      <c r="S99" s="177">
        <f>IFERROR(VLOOKUP(G99,'附表8-合同明细采集底稿'!B:M,12,0),100%)</f>
        <v>0.329519901724361</v>
      </c>
      <c r="T99" s="173">
        <f t="shared" si="5"/>
        <v>30231.18</v>
      </c>
      <c r="U99" s="164"/>
      <c r="V99" s="178" t="s">
        <v>336</v>
      </c>
      <c r="W99" s="179">
        <f>IF('附表1-面积统计表'!$D$29=0,"",IF(AND(V99="共同成本费用",Z99="总建筑面积法"),ROUND(T99/'附表1-面积统计表'!$D$29*'附表1-面积统计表'!$D$5,2),IF(AND(V99="共同成本费用",Z99="可售建筑面积法"),ROUND(T99/'附表1-面积统计表'!$F$29*'附表1-面积统计表'!$F$5,2),"请手工填写")))</f>
        <v>11041.32</v>
      </c>
      <c r="X99" s="179">
        <f>IF(SUM('附表1-面积统计表'!$D$6)=0,"",SUM(T99)-SUM(W99)-SUM(Y99))</f>
        <v>13616.96</v>
      </c>
      <c r="Y99" s="179">
        <f>IF(SUM('附表1-面积统计表'!$D$6)=0,SUM(T99)-SUM(W99),IF('附表1-面积统计表'!$D$29=0,"",IF(AND(V99="共同成本费用",Z99="总建筑面积法"),ROUND(T99/'附表1-面积统计表'!$D$29*'附表1-面积统计表'!$D$7,2),IF(AND(V99="共同成本费用",Z99="可售建筑面积法"),ROUND(T99/'附表1-面积统计表'!$F$29*'附表1-面积统计表'!$F$7,2),"请手工填写"))))</f>
        <v>5572.9</v>
      </c>
      <c r="Z99" s="181" t="s">
        <v>311</v>
      </c>
      <c r="AA99" s="164"/>
      <c r="AB99" s="182" t="s">
        <v>1686</v>
      </c>
    </row>
    <row r="100" ht="29" hidden="1" customHeight="1" outlineLevel="1" spans="1:28">
      <c r="A100" s="159">
        <v>94</v>
      </c>
      <c r="B100" s="189" t="s">
        <v>2006</v>
      </c>
      <c r="C100" s="166" t="s">
        <v>2007</v>
      </c>
      <c r="D100" s="162" t="s">
        <v>1739</v>
      </c>
      <c r="E100" s="163" t="s">
        <v>1819</v>
      </c>
      <c r="F100" s="164" t="s">
        <v>2008</v>
      </c>
      <c r="G100" s="165" t="s">
        <v>2009</v>
      </c>
      <c r="H100" s="164" t="str">
        <f>IF(G100="","",VLOOKUP(G100,'附表8-合同明细采集底稿'!B:I,2,0))</f>
        <v>沁春锦苑中水处理土建、挡墙、警卫室‘铺装工程</v>
      </c>
      <c r="I100" s="92" t="str">
        <f>IF(G100="","",VLOOKUP(G100,'附表8-合同明细采集底稿'!B:I,3,0))</f>
        <v>建设工程合同</v>
      </c>
      <c r="J100" s="164" t="str">
        <f>IF(G100="","",VLOOKUP(G100,'附表8-合同明细采集底稿'!B:I,4,0))</f>
        <v>新疆通力建设集团股份有限公司（曾建国）</v>
      </c>
      <c r="K100" s="164" t="s">
        <v>1711</v>
      </c>
      <c r="L100" s="165">
        <v>6500203130</v>
      </c>
      <c r="M100" s="165" t="s">
        <v>2010</v>
      </c>
      <c r="N100" s="173">
        <v>348623.85</v>
      </c>
      <c r="O100" s="173">
        <v>380000</v>
      </c>
      <c r="P100" s="174">
        <v>348623.85</v>
      </c>
      <c r="Q100" s="173"/>
      <c r="R100" s="173">
        <f t="shared" si="4"/>
        <v>348623.85</v>
      </c>
      <c r="S100" s="177">
        <f>IFERROR(VLOOKUP(G100,'附表8-合同明细采集底稿'!B:M,12,0),100%)</f>
        <v>0.329519901724361</v>
      </c>
      <c r="T100" s="173">
        <f t="shared" si="5"/>
        <v>114878.5</v>
      </c>
      <c r="U100" s="164"/>
      <c r="V100" s="178" t="s">
        <v>336</v>
      </c>
      <c r="W100" s="179">
        <f>IF('附表1-面积统计表'!$D$29=0,"",IF(AND(V100="共同成本费用",Z100="总建筑面积法"),ROUND(T100/'附表1-面积统计表'!$D$29*'附表1-面积统计表'!$D$5,2),IF(AND(V100="共同成本费用",Z100="可售建筑面积法"),ROUND(T100/'附表1-面积统计表'!$F$29*'附表1-面积统计表'!$F$5,2),"请手工填写")))</f>
        <v>41957.01</v>
      </c>
      <c r="X100" s="179">
        <f>IF(SUM('附表1-面积统计表'!$D$6)=0,"",SUM(T100)-SUM(W100)-SUM(Y100))</f>
        <v>51744.48</v>
      </c>
      <c r="Y100" s="179">
        <f>IF(SUM('附表1-面积统计表'!$D$6)=0,SUM(T100)-SUM(W100),IF('附表1-面积统计表'!$D$29=0,"",IF(AND(V100="共同成本费用",Z100="总建筑面积法"),ROUND(T100/'附表1-面积统计表'!$D$29*'附表1-面积统计表'!$D$7,2),IF(AND(V100="共同成本费用",Z100="可售建筑面积法"),ROUND(T100/'附表1-面积统计表'!$F$29*'附表1-面积统计表'!$F$7,2),"请手工填写"))))</f>
        <v>21177.01</v>
      </c>
      <c r="Z100" s="181" t="s">
        <v>311</v>
      </c>
      <c r="AA100" s="164"/>
      <c r="AB100" s="182" t="s">
        <v>1686</v>
      </c>
    </row>
    <row r="101" ht="29" hidden="1" customHeight="1" outlineLevel="1" spans="1:28">
      <c r="A101" s="159">
        <v>95</v>
      </c>
      <c r="B101" s="189" t="s">
        <v>2011</v>
      </c>
      <c r="C101" s="166" t="s">
        <v>2012</v>
      </c>
      <c r="D101" s="162" t="s">
        <v>1739</v>
      </c>
      <c r="E101" s="163" t="s">
        <v>1819</v>
      </c>
      <c r="F101" s="164" t="s">
        <v>2013</v>
      </c>
      <c r="G101" s="165" t="s">
        <v>1997</v>
      </c>
      <c r="H101" s="164" t="str">
        <f>IF(G101="","",VLOOKUP(G101,'附表8-合同明细采集底稿'!B:I,2,0))</f>
        <v>沁春锦苑小区一体化污水处理设备购销</v>
      </c>
      <c r="I101" s="92" t="str">
        <f>IF(G101="","",VLOOKUP(G101,'附表8-合同明细采集底稿'!B:I,3,0))</f>
        <v>买卖合同</v>
      </c>
      <c r="J101" s="164" t="str">
        <f>IF(G101="","",VLOOKUP(G101,'附表8-合同明细采集底稿'!B:I,4,0))</f>
        <v>新疆明德竟业工程有限公司</v>
      </c>
      <c r="K101" s="164" t="s">
        <v>1711</v>
      </c>
      <c r="L101" s="165">
        <v>6500203130</v>
      </c>
      <c r="M101" s="165" t="s">
        <v>2014</v>
      </c>
      <c r="N101" s="173">
        <v>597097.33</v>
      </c>
      <c r="O101" s="173">
        <v>674720</v>
      </c>
      <c r="P101" s="174">
        <v>597097.33</v>
      </c>
      <c r="Q101" s="173">
        <v>447823.008849558</v>
      </c>
      <c r="R101" s="173">
        <f t="shared" si="4"/>
        <v>1044920.33884956</v>
      </c>
      <c r="S101" s="177">
        <f>IFERROR(VLOOKUP(G101,'附表8-合同明细采集底稿'!B:M,12,0),100%)</f>
        <v>0.329519901724361</v>
      </c>
      <c r="T101" s="173">
        <f t="shared" si="5"/>
        <v>344322.05</v>
      </c>
      <c r="U101" s="164"/>
      <c r="V101" s="178" t="s">
        <v>336</v>
      </c>
      <c r="W101" s="179">
        <f>IF('附表1-面积统计表'!$D$29=0,"",IF(AND(V101="共同成本费用",Z101="总建筑面积法"),ROUND(T101/'附表1-面积统计表'!$D$29*'附表1-面积统计表'!$D$5,2),IF(AND(V101="共同成本费用",Z101="可售建筑面积法"),ROUND(T101/'附表1-面积统计表'!$F$29*'附表1-面积统计表'!$F$5,2),"请手工填写")))</f>
        <v>125756.54</v>
      </c>
      <c r="X101" s="179">
        <f>IF(SUM('附表1-面积统计表'!$D$6)=0,"",SUM(T101)-SUM(W101)-SUM(Y101))</f>
        <v>155092.26</v>
      </c>
      <c r="Y101" s="179">
        <f>IF(SUM('附表1-面积统计表'!$D$6)=0,SUM(T101)-SUM(W101),IF('附表1-面积统计表'!$D$29=0,"",IF(AND(V101="共同成本费用",Z101="总建筑面积法"),ROUND(T101/'附表1-面积统计表'!$D$29*'附表1-面积统计表'!$D$7,2),IF(AND(V101="共同成本费用",Z101="可售建筑面积法"),ROUND(T101/'附表1-面积统计表'!$F$29*'附表1-面积统计表'!$F$7,2),"请手工填写"))))</f>
        <v>63473.25</v>
      </c>
      <c r="Z101" s="181" t="s">
        <v>311</v>
      </c>
      <c r="AA101" s="164"/>
      <c r="AB101" s="182" t="s">
        <v>1686</v>
      </c>
    </row>
    <row r="102" ht="29" hidden="1" customHeight="1" outlineLevel="1" spans="1:28">
      <c r="A102" s="159">
        <v>96</v>
      </c>
      <c r="B102" s="189" t="s">
        <v>2015</v>
      </c>
      <c r="C102" s="166" t="s">
        <v>2016</v>
      </c>
      <c r="D102" s="162" t="s">
        <v>1700</v>
      </c>
      <c r="E102" s="163" t="s">
        <v>1875</v>
      </c>
      <c r="F102" s="164" t="s">
        <v>2017</v>
      </c>
      <c r="G102" s="165" t="s">
        <v>1887</v>
      </c>
      <c r="H102" s="164" t="str">
        <f>IF(G102="","",VLOOKUP(G102,'附表8-合同明细采集底稿'!B:I,2,0))</f>
        <v>建设工程施工合同12-15#楼38#楼、31#楼幼儿园（幼儿园—）</v>
      </c>
      <c r="I102" s="92" t="str">
        <f>IF(G102="","",VLOOKUP(G102,'附表8-合同明细采集底稿'!B:I,3,0))</f>
        <v>建设工程合同</v>
      </c>
      <c r="J102" s="164" t="str">
        <f>IF(G102="","",VLOOKUP(G102,'附表8-合同明细采集底稿'!B:I,4,0))</f>
        <v>新疆通力建设集团股份有限公司（顾）</v>
      </c>
      <c r="K102" s="164" t="s">
        <v>1711</v>
      </c>
      <c r="L102" s="165">
        <v>6500203130</v>
      </c>
      <c r="M102" s="165" t="s">
        <v>2018</v>
      </c>
      <c r="N102" s="173">
        <v>632142.14</v>
      </c>
      <c r="O102" s="173">
        <v>689034.93</v>
      </c>
      <c r="P102" s="174">
        <v>632142.14</v>
      </c>
      <c r="Q102" s="173"/>
      <c r="R102" s="173">
        <f t="shared" si="4"/>
        <v>632142.14</v>
      </c>
      <c r="S102" s="177">
        <f>IFERROR(VLOOKUP(G102,'附表8-合同明细采集底稿'!B:M,12,0),100%)</f>
        <v>0.329519901724361</v>
      </c>
      <c r="T102" s="173">
        <f t="shared" si="5"/>
        <v>208303.42</v>
      </c>
      <c r="U102" s="208" t="s">
        <v>1889</v>
      </c>
      <c r="V102" s="178" t="s">
        <v>336</v>
      </c>
      <c r="W102" s="179">
        <f>IF('附表1-面积统计表'!$D$29=0,"",IF(AND(V102="共同成本费用",Z102="总建筑面积法"),ROUND(T102/'附表1-面积统计表'!$D$29*'附表1-面积统计表'!$D$5,2),IF(AND(V102="共同成本费用",Z102="可售建筑面积法"),ROUND(T102/'附表1-面积统计表'!$F$29*'附表1-面积统计表'!$F$5,2),"请手工填写")))</f>
        <v>76078.54</v>
      </c>
      <c r="X102" s="179">
        <f>IF(SUM('附表1-面积统计表'!$D$6)=0,"",SUM(T102)-SUM(W102)-SUM(Y102))</f>
        <v>93825.67</v>
      </c>
      <c r="Y102" s="179">
        <f>IF(SUM('附表1-面积统计表'!$D$6)=0,SUM(T102)-SUM(W102),IF('附表1-面积统计表'!$D$29=0,"",IF(AND(V102="共同成本费用",Z102="总建筑面积法"),ROUND(T102/'附表1-面积统计表'!$D$29*'附表1-面积统计表'!$D$7,2),IF(AND(V102="共同成本费用",Z102="可售建筑面积法"),ROUND(T102/'附表1-面积统计表'!$F$29*'附表1-面积统计表'!$F$7,2),"请手工填写"))))</f>
        <v>38399.21</v>
      </c>
      <c r="Z102" s="181" t="s">
        <v>311</v>
      </c>
      <c r="AA102" s="164"/>
      <c r="AB102" s="182" t="s">
        <v>1686</v>
      </c>
    </row>
    <row r="103" ht="29" hidden="1" customHeight="1" outlineLevel="1" spans="1:28">
      <c r="A103" s="159">
        <v>97</v>
      </c>
      <c r="B103" s="189" t="s">
        <v>2019</v>
      </c>
      <c r="C103" s="166" t="s">
        <v>2020</v>
      </c>
      <c r="D103" s="162" t="s">
        <v>1739</v>
      </c>
      <c r="E103" s="163" t="s">
        <v>1819</v>
      </c>
      <c r="F103" s="164" t="s">
        <v>2021</v>
      </c>
      <c r="G103" s="165" t="s">
        <v>2009</v>
      </c>
      <c r="H103" s="164" t="str">
        <f>IF(G103="","",VLOOKUP(G103,'附表8-合同明细采集底稿'!B:I,2,0))</f>
        <v>沁春锦苑中水处理土建、挡墙、警卫室‘铺装工程</v>
      </c>
      <c r="I103" s="92" t="str">
        <f>IF(G103="","",VLOOKUP(G103,'附表8-合同明细采集底稿'!B:I,3,0))</f>
        <v>建设工程合同</v>
      </c>
      <c r="J103" s="164" t="str">
        <f>IF(G103="","",VLOOKUP(G103,'附表8-合同明细采集底稿'!B:I,4,0))</f>
        <v>新疆通力建设集团股份有限公司（曾建国）</v>
      </c>
      <c r="K103" s="164" t="s">
        <v>1711</v>
      </c>
      <c r="L103" s="165">
        <v>6500203130</v>
      </c>
      <c r="M103" s="165" t="s">
        <v>2022</v>
      </c>
      <c r="N103" s="173">
        <v>697247.71</v>
      </c>
      <c r="O103" s="173">
        <v>760000</v>
      </c>
      <c r="P103" s="174">
        <v>697247.71</v>
      </c>
      <c r="Q103" s="173"/>
      <c r="R103" s="173">
        <f t="shared" si="4"/>
        <v>697247.71</v>
      </c>
      <c r="S103" s="177">
        <f>IFERROR(VLOOKUP(G103,'附表8-合同明细采集底稿'!B:M,12,0),100%)</f>
        <v>0.329519901724361</v>
      </c>
      <c r="T103" s="173">
        <f t="shared" si="5"/>
        <v>229757</v>
      </c>
      <c r="U103" s="164"/>
      <c r="V103" s="178" t="s">
        <v>336</v>
      </c>
      <c r="W103" s="179">
        <f>IF('附表1-面积统计表'!$D$29=0,"",IF(AND(V103="共同成本费用",Z103="总建筑面积法"),ROUND(T103/'附表1-面积统计表'!$D$29*'附表1-面积统计表'!$D$5,2),IF(AND(V103="共同成本费用",Z103="可售建筑面积法"),ROUND(T103/'附表1-面积统计表'!$F$29*'附表1-面积统计表'!$F$5,2),"请手工填写")))</f>
        <v>83914.01</v>
      </c>
      <c r="X103" s="179">
        <f>IF(SUM('附表1-面积统计表'!$D$6)=0,"",SUM(T103)-SUM(W103)-SUM(Y103))</f>
        <v>103488.97</v>
      </c>
      <c r="Y103" s="179">
        <f>IF(SUM('附表1-面积统计表'!$D$6)=0,SUM(T103)-SUM(W103),IF('附表1-面积统计表'!$D$29=0,"",IF(AND(V103="共同成本费用",Z103="总建筑面积法"),ROUND(T103/'附表1-面积统计表'!$D$29*'附表1-面积统计表'!$D$7,2),IF(AND(V103="共同成本费用",Z103="可售建筑面积法"),ROUND(T103/'附表1-面积统计表'!$F$29*'附表1-面积统计表'!$F$7,2),"请手工填写"))))</f>
        <v>42354.02</v>
      </c>
      <c r="Z103" s="181" t="s">
        <v>311</v>
      </c>
      <c r="AA103" s="164"/>
      <c r="AB103" s="182" t="s">
        <v>1686</v>
      </c>
    </row>
    <row r="104" ht="29" hidden="1" customHeight="1" outlineLevel="1" spans="1:28">
      <c r="A104" s="159">
        <v>98</v>
      </c>
      <c r="B104" s="189" t="s">
        <v>2023</v>
      </c>
      <c r="C104" s="166" t="s">
        <v>1976</v>
      </c>
      <c r="D104" s="162" t="s">
        <v>1700</v>
      </c>
      <c r="E104" s="163" t="s">
        <v>1875</v>
      </c>
      <c r="F104" s="164" t="s">
        <v>2024</v>
      </c>
      <c r="G104" s="165" t="s">
        <v>2025</v>
      </c>
      <c r="H104" s="164" t="str">
        <f>IF(G104="","",VLOOKUP(G104,'附表8-合同明细采集底稿'!B:I,2,0))</f>
        <v>31#楼竣工测</v>
      </c>
      <c r="I104" s="92" t="str">
        <f>IF(G104="","",VLOOKUP(G104,'附表8-合同明细采集底稿'!B:I,3,0))</f>
        <v>技术合同</v>
      </c>
      <c r="J104" s="164" t="str">
        <f>IF(G104="","",VLOOKUP(G104,'附表8-合同明细采集底稿'!B:I,4,0))</f>
        <v>新疆天拓空间信息测绘院有限公司</v>
      </c>
      <c r="K104" s="164" t="s">
        <v>1711</v>
      </c>
      <c r="L104" s="165">
        <v>6500203130</v>
      </c>
      <c r="M104" s="165" t="s">
        <v>2026</v>
      </c>
      <c r="N104" s="173">
        <v>8172.89</v>
      </c>
      <c r="O104" s="173">
        <v>8663.26</v>
      </c>
      <c r="P104" s="174">
        <v>8172.89</v>
      </c>
      <c r="Q104" s="173"/>
      <c r="R104" s="173">
        <f t="shared" si="4"/>
        <v>8172.89</v>
      </c>
      <c r="S104" s="177">
        <f>IFERROR(VLOOKUP(G104,'附表8-合同明细采集底稿'!B:M,12,0),100%)</f>
        <v>0.329519901724361</v>
      </c>
      <c r="T104" s="173">
        <f t="shared" si="5"/>
        <v>2693.13</v>
      </c>
      <c r="U104" s="164"/>
      <c r="V104" s="178" t="s">
        <v>336</v>
      </c>
      <c r="W104" s="179">
        <f>IF('附表1-面积统计表'!$D$29=0,"",IF(AND(V104="共同成本费用",Z104="总建筑面积法"),ROUND(T104/'附表1-面积统计表'!$D$29*'附表1-面积统计表'!$D$5,2),IF(AND(V104="共同成本费用",Z104="可售建筑面积法"),ROUND(T104/'附表1-面积统计表'!$F$29*'附表1-面积统计表'!$F$5,2),"请手工填写")))</f>
        <v>983.61</v>
      </c>
      <c r="X104" s="179">
        <f>IF(SUM('附表1-面积统计表'!$D$6)=0,"",SUM(T104)-SUM(W104)-SUM(Y104))</f>
        <v>1213.06</v>
      </c>
      <c r="Y104" s="179">
        <f>IF(SUM('附表1-面积统计表'!$D$6)=0,SUM(T104)-SUM(W104),IF('附表1-面积统计表'!$D$29=0,"",IF(AND(V104="共同成本费用",Z104="总建筑面积法"),ROUND(T104/'附表1-面积统计表'!$D$29*'附表1-面积统计表'!$D$7,2),IF(AND(V104="共同成本费用",Z104="可售建筑面积法"),ROUND(T104/'附表1-面积统计表'!$F$29*'附表1-面积统计表'!$F$7,2),"请手工填写"))))</f>
        <v>496.46</v>
      </c>
      <c r="Z104" s="181" t="s">
        <v>311</v>
      </c>
      <c r="AA104" s="164"/>
      <c r="AB104" s="182" t="s">
        <v>1686</v>
      </c>
    </row>
    <row r="105" ht="29" hidden="1" customHeight="1" outlineLevel="1" spans="1:28">
      <c r="A105" s="159">
        <v>99</v>
      </c>
      <c r="B105" s="189" t="s">
        <v>1005</v>
      </c>
      <c r="C105" s="166" t="s">
        <v>2027</v>
      </c>
      <c r="D105" s="162" t="s">
        <v>1700</v>
      </c>
      <c r="E105" s="163" t="s">
        <v>1813</v>
      </c>
      <c r="F105" s="164" t="s">
        <v>2028</v>
      </c>
      <c r="G105" s="165" t="s">
        <v>2029</v>
      </c>
      <c r="H105" s="164" t="str">
        <f>IF(G105="","",VLOOKUP(G105,'附表8-合同明细采集底稿'!B:I,2,0))</f>
        <v>沁春锦苑18#、21#、22#楼、37#社区、地下车库及人防部分建设工程（地下人防）</v>
      </c>
      <c r="I105" s="92" t="str">
        <f>IF(G105="","",VLOOKUP(G105,'附表8-合同明细采集底稿'!B:I,3,0))</f>
        <v>建设工程合同</v>
      </c>
      <c r="J105" s="164" t="str">
        <f>IF(G105="","",VLOOKUP(G105,'附表8-合同明细采集底稿'!B:I,4,0))</f>
        <v>新疆通力建设集团股份有限公司（高）</v>
      </c>
      <c r="K105" s="164" t="s">
        <v>1711</v>
      </c>
      <c r="L105" s="165">
        <v>6500203130</v>
      </c>
      <c r="M105" s="165" t="s">
        <v>2030</v>
      </c>
      <c r="N105" s="173">
        <v>7853211.01</v>
      </c>
      <c r="O105" s="173">
        <v>8560000</v>
      </c>
      <c r="P105" s="174">
        <v>7853211.01</v>
      </c>
      <c r="Q105" s="173"/>
      <c r="R105" s="173">
        <f t="shared" si="4"/>
        <v>7853211.01</v>
      </c>
      <c r="S105" s="177">
        <f>IFERROR(VLOOKUP(G105,'附表8-合同明细采集底稿'!B:M,12,0),100%)</f>
        <v>0.318696696324277</v>
      </c>
      <c r="T105" s="173">
        <f t="shared" si="5"/>
        <v>2502792.4</v>
      </c>
      <c r="U105" s="208" t="s">
        <v>2031</v>
      </c>
      <c r="V105" s="178" t="s">
        <v>336</v>
      </c>
      <c r="W105" s="179">
        <f>IF('附表1-面积统计表'!$D$29=0,"",IF(AND(V105="共同成本费用",Z105="总建筑面积法"),ROUND(T105/'附表1-面积统计表'!$D$29*'附表1-面积统计表'!$D$5,2),IF(AND(V105="共同成本费用",Z105="可售建筑面积法"),ROUND(T105/'附表1-面积统计表'!$F$29*'附表1-面积统计表'!$F$5,2),"请手工填写")))</f>
        <v>914093.4</v>
      </c>
      <c r="X105" s="179">
        <f>IF(SUM('附表1-面积统计表'!$D$6)=0,"",SUM(T105)-SUM(W105)-SUM(Y105))</f>
        <v>1127327.53</v>
      </c>
      <c r="Y105" s="179">
        <f>IF(SUM('附表1-面积统计表'!$D$6)=0,SUM(T105)-SUM(W105),IF('附表1-面积统计表'!$D$29=0,"",IF(AND(V105="共同成本费用",Z105="总建筑面积法"),ROUND(T105/'附表1-面积统计表'!$D$29*'附表1-面积统计表'!$D$7,2),IF(AND(V105="共同成本费用",Z105="可售建筑面积法"),ROUND(T105/'附表1-面积统计表'!$F$29*'附表1-面积统计表'!$F$7,2),"请手工填写"))))</f>
        <v>461371.47</v>
      </c>
      <c r="Z105" s="181" t="s">
        <v>311</v>
      </c>
      <c r="AA105" s="164"/>
      <c r="AB105" s="182" t="s">
        <v>1686</v>
      </c>
    </row>
    <row r="106" ht="29" hidden="1" customHeight="1" outlineLevel="1" spans="1:28">
      <c r="A106" s="159">
        <v>100</v>
      </c>
      <c r="B106" s="189" t="s">
        <v>2032</v>
      </c>
      <c r="C106" s="166" t="s">
        <v>2033</v>
      </c>
      <c r="D106" s="162" t="s">
        <v>1700</v>
      </c>
      <c r="E106" s="163" t="s">
        <v>1875</v>
      </c>
      <c r="F106" s="164" t="s">
        <v>2034</v>
      </c>
      <c r="G106" s="165" t="s">
        <v>2035</v>
      </c>
      <c r="H106" s="164" t="str">
        <f>IF(G106="","",VLOOKUP(G106,'附表8-合同明细采集底稿'!B:I,2,0))</f>
        <v>沁春锦苑幼儿园大门、亮化、自行车棚工程合同</v>
      </c>
      <c r="I106" s="92" t="str">
        <f>IF(G106="","",VLOOKUP(G106,'附表8-合同明细采集底稿'!B:I,3,0))</f>
        <v>买卖合同</v>
      </c>
      <c r="J106" s="164" t="str">
        <f>IF(G106="","",VLOOKUP(G106,'附表8-合同明细采集底稿'!B:I,4,0))</f>
        <v>新疆智明建设工程有限公司</v>
      </c>
      <c r="K106" s="164" t="s">
        <v>1711</v>
      </c>
      <c r="L106" s="165">
        <v>6500203130</v>
      </c>
      <c r="M106" s="165" t="s">
        <v>2036</v>
      </c>
      <c r="N106" s="173">
        <v>321100.92</v>
      </c>
      <c r="O106" s="173">
        <v>350000</v>
      </c>
      <c r="P106" s="174">
        <v>321100.92</v>
      </c>
      <c r="Q106" s="173"/>
      <c r="R106" s="173">
        <f t="shared" si="4"/>
        <v>321100.92</v>
      </c>
      <c r="S106" s="177">
        <f>IFERROR(VLOOKUP(G106,'附表8-合同明细采集底稿'!B:M,12,0),100%)</f>
        <v>0.329519901724361</v>
      </c>
      <c r="T106" s="173">
        <f t="shared" si="5"/>
        <v>105809.14</v>
      </c>
      <c r="U106" s="164"/>
      <c r="V106" s="178" t="s">
        <v>336</v>
      </c>
      <c r="W106" s="179">
        <f>IF('附表1-面积统计表'!$D$29=0,"",IF(AND(V106="共同成本费用",Z106="总建筑面积法"),ROUND(T106/'附表1-面积统计表'!$D$29*'附表1-面积统计表'!$D$5,2),IF(AND(V106="共同成本费用",Z106="可售建筑面积法"),ROUND(T106/'附表1-面积统计表'!$F$29*'附表1-面积统计表'!$F$5,2),"请手工填写")))</f>
        <v>38644.61</v>
      </c>
      <c r="X106" s="179">
        <f>IF(SUM('附表1-面积统计表'!$D$6)=0,"",SUM(T106)-SUM(W106)-SUM(Y106))</f>
        <v>47659.39</v>
      </c>
      <c r="Y106" s="179">
        <f>IF(SUM('附表1-面积统计表'!$D$6)=0,SUM(T106)-SUM(W106),IF('附表1-面积统计表'!$D$29=0,"",IF(AND(V106="共同成本费用",Z106="总建筑面积法"),ROUND(T106/'附表1-面积统计表'!$D$29*'附表1-面积统计表'!$D$7,2),IF(AND(V106="共同成本费用",Z106="可售建筑面积法"),ROUND(T106/'附表1-面积统计表'!$F$29*'附表1-面积统计表'!$F$7,2),"请手工填写"))))</f>
        <v>19505.14</v>
      </c>
      <c r="Z106" s="181" t="s">
        <v>311</v>
      </c>
      <c r="AA106" s="164"/>
      <c r="AB106" s="182" t="s">
        <v>1686</v>
      </c>
    </row>
    <row r="107" ht="29" hidden="1" customHeight="1" outlineLevel="1" spans="1:28">
      <c r="A107" s="159">
        <v>101</v>
      </c>
      <c r="B107" s="189" t="s">
        <v>2037</v>
      </c>
      <c r="C107" s="166" t="s">
        <v>2038</v>
      </c>
      <c r="D107" s="162" t="s">
        <v>1700</v>
      </c>
      <c r="E107" s="163" t="s">
        <v>1813</v>
      </c>
      <c r="F107" s="164" t="s">
        <v>2039</v>
      </c>
      <c r="G107" s="165" t="s">
        <v>1898</v>
      </c>
      <c r="H107" s="164" t="str">
        <f>IF(G107="","",VLOOKUP(G107,'附表8-合同明细采集底稿'!B:I,2,0))</f>
        <v>沁春锦苑项目人防门购置18#-21#</v>
      </c>
      <c r="I107" s="92" t="str">
        <f>IF(G107="","",VLOOKUP(G107,'附表8-合同明细采集底稿'!B:I,3,0))</f>
        <v>买卖合同</v>
      </c>
      <c r="J107" s="164" t="str">
        <f>IF(G107="","",VLOOKUP(G107,'附表8-合同明细采集底稿'!B:I,4,0))</f>
        <v>新疆巨安新粤防护设备有限公司（张照平18167948637）</v>
      </c>
      <c r="K107" s="164" t="s">
        <v>1711</v>
      </c>
      <c r="L107" s="165">
        <v>6500212130</v>
      </c>
      <c r="M107" s="165" t="s">
        <v>2040</v>
      </c>
      <c r="N107" s="173">
        <v>492668.85</v>
      </c>
      <c r="O107" s="173">
        <v>556715.8</v>
      </c>
      <c r="P107" s="174">
        <v>492668.85</v>
      </c>
      <c r="Q107" s="173"/>
      <c r="R107" s="173">
        <f t="shared" si="4"/>
        <v>492668.85</v>
      </c>
      <c r="S107" s="177">
        <f>IFERROR(VLOOKUP(G107,'附表8-合同明细采集底稿'!B:M,12,0),100%)</f>
        <v>0.318696696324277</v>
      </c>
      <c r="T107" s="173">
        <f t="shared" si="5"/>
        <v>157011.93</v>
      </c>
      <c r="U107" s="164"/>
      <c r="V107" s="178" t="s">
        <v>336</v>
      </c>
      <c r="W107" s="179">
        <f>IF('附表1-面积统计表'!$D$29=0,"",IF(AND(V107="共同成本费用",Z107="总建筑面积法"),ROUND(T107/'附表1-面积统计表'!$D$29*'附表1-面积统计表'!$D$5,2),IF(AND(V107="共同成本费用",Z107="可售建筑面积法"),ROUND(T107/'附表1-面积统计表'!$F$29*'附表1-面积统计表'!$F$5,2),"请手工填写")))</f>
        <v>57345.37</v>
      </c>
      <c r="X107" s="179">
        <f>IF(SUM('附表1-面积统计表'!$D$6)=0,"",SUM(T107)-SUM(W107)-SUM(Y107))</f>
        <v>70722.56</v>
      </c>
      <c r="Y107" s="179">
        <f>IF(SUM('附表1-面积统计表'!$D$6)=0,SUM(T107)-SUM(W107),IF('附表1-面积统计表'!$D$29=0,"",IF(AND(V107="共同成本费用",Z107="总建筑面积法"),ROUND(T107/'附表1-面积统计表'!$D$29*'附表1-面积统计表'!$D$7,2),IF(AND(V107="共同成本费用",Z107="可售建筑面积法"),ROUND(T107/'附表1-面积统计表'!$F$29*'附表1-面积统计表'!$F$7,2),"请手工填写"))))</f>
        <v>28944</v>
      </c>
      <c r="Z107" s="181" t="s">
        <v>311</v>
      </c>
      <c r="AA107" s="164"/>
      <c r="AB107" s="182" t="s">
        <v>1686</v>
      </c>
    </row>
    <row r="108" ht="29" hidden="1" customHeight="1" outlineLevel="1" spans="1:28">
      <c r="A108" s="159">
        <v>102</v>
      </c>
      <c r="B108" s="189" t="s">
        <v>2041</v>
      </c>
      <c r="C108" s="166" t="s">
        <v>2042</v>
      </c>
      <c r="D108" s="162" t="s">
        <v>1700</v>
      </c>
      <c r="E108" s="163" t="s">
        <v>1813</v>
      </c>
      <c r="F108" s="164" t="s">
        <v>2043</v>
      </c>
      <c r="G108" s="165" t="s">
        <v>2029</v>
      </c>
      <c r="H108" s="164" t="str">
        <f>IF(G108="","",VLOOKUP(G108,'附表8-合同明细采集底稿'!B:I,2,0))</f>
        <v>沁春锦苑18#、21#、22#楼、37#社区、地下车库及人防部分建设工程（地下人防）</v>
      </c>
      <c r="I108" s="92" t="str">
        <f>IF(G108="","",VLOOKUP(G108,'附表8-合同明细采集底稿'!B:I,3,0))</f>
        <v>建设工程合同</v>
      </c>
      <c r="J108" s="164" t="str">
        <f>IF(G108="","",VLOOKUP(G108,'附表8-合同明细采集底稿'!B:I,4,0))</f>
        <v>新疆通力建设集团股份有限公司（高）</v>
      </c>
      <c r="K108" s="164" t="s">
        <v>1711</v>
      </c>
      <c r="L108" s="165">
        <v>6500203130</v>
      </c>
      <c r="M108" s="165" t="s">
        <v>2044</v>
      </c>
      <c r="N108" s="173">
        <v>3944954.13</v>
      </c>
      <c r="O108" s="173">
        <v>4300000</v>
      </c>
      <c r="P108" s="174">
        <v>3944954.13</v>
      </c>
      <c r="Q108" s="173"/>
      <c r="R108" s="173">
        <f t="shared" si="4"/>
        <v>3944954.13</v>
      </c>
      <c r="S108" s="177">
        <f>IFERROR(VLOOKUP(G108,'附表8-合同明细采集底稿'!B:M,12,0),100%)</f>
        <v>0.318696696324277</v>
      </c>
      <c r="T108" s="173">
        <f t="shared" si="5"/>
        <v>1257243.85</v>
      </c>
      <c r="U108" s="208" t="s">
        <v>2031</v>
      </c>
      <c r="V108" s="178" t="s">
        <v>336</v>
      </c>
      <c r="W108" s="179">
        <f>IF('附表1-面积统计表'!$D$29=0,"",IF(AND(V108="共同成本费用",Z108="总建筑面积法"),ROUND(T108/'附表1-面积统计表'!$D$29*'附表1-面积统计表'!$D$5,2),IF(AND(V108="共同成本费用",Z108="可售建筑面积法"),ROUND(T108/'附表1-面积统计表'!$F$29*'附表1-面积统计表'!$F$5,2),"请手工填写")))</f>
        <v>459182.43</v>
      </c>
      <c r="X108" s="179">
        <f>IF(SUM('附表1-面积统计表'!$D$6)=0,"",SUM(T108)-SUM(W108)-SUM(Y108))</f>
        <v>566297.71</v>
      </c>
      <c r="Y108" s="179">
        <f>IF(SUM('附表1-面积统计表'!$D$6)=0,SUM(T108)-SUM(W108),IF('附表1-面积统计表'!$D$29=0,"",IF(AND(V108="共同成本费用",Z108="总建筑面积法"),ROUND(T108/'附表1-面积统计表'!$D$29*'附表1-面积统计表'!$D$7,2),IF(AND(V108="共同成本费用",Z108="可售建筑面积法"),ROUND(T108/'附表1-面积统计表'!$F$29*'附表1-面积统计表'!$F$7,2),"请手工填写"))))</f>
        <v>231763.71</v>
      </c>
      <c r="Z108" s="181" t="s">
        <v>311</v>
      </c>
      <c r="AA108" s="164"/>
      <c r="AB108" s="182" t="s">
        <v>1686</v>
      </c>
    </row>
    <row r="109" ht="29" hidden="1" customHeight="1" outlineLevel="1" spans="1:28">
      <c r="A109" s="159">
        <v>103</v>
      </c>
      <c r="B109" s="189" t="s">
        <v>2045</v>
      </c>
      <c r="C109" s="166" t="s">
        <v>2046</v>
      </c>
      <c r="D109" s="162" t="s">
        <v>1700</v>
      </c>
      <c r="E109" s="163" t="s">
        <v>1875</v>
      </c>
      <c r="F109" s="164" t="s">
        <v>2047</v>
      </c>
      <c r="G109" s="165" t="s">
        <v>2035</v>
      </c>
      <c r="H109" s="164" t="str">
        <f>IF(G109="","",VLOOKUP(G109,'附表8-合同明细采集底稿'!B:I,2,0))</f>
        <v>沁春锦苑幼儿园大门、亮化、自行车棚工程合同</v>
      </c>
      <c r="I109" s="92" t="str">
        <f>IF(G109="","",VLOOKUP(G109,'附表8-合同明细采集底稿'!B:I,3,0))</f>
        <v>买卖合同</v>
      </c>
      <c r="J109" s="164" t="str">
        <f>IF(G109="","",VLOOKUP(G109,'附表8-合同明细采集底稿'!B:I,4,0))</f>
        <v>新疆智明建设工程有限公司</v>
      </c>
      <c r="K109" s="164" t="s">
        <v>1711</v>
      </c>
      <c r="L109" s="165">
        <v>6500203130</v>
      </c>
      <c r="M109" s="165" t="s">
        <v>2048</v>
      </c>
      <c r="N109" s="173">
        <v>37064.22</v>
      </c>
      <c r="O109" s="173">
        <v>40400</v>
      </c>
      <c r="P109" s="174">
        <v>37064.22</v>
      </c>
      <c r="Q109" s="173"/>
      <c r="R109" s="173">
        <f t="shared" si="4"/>
        <v>37064.22</v>
      </c>
      <c r="S109" s="177">
        <f>IFERROR(VLOOKUP(G109,'附表8-合同明细采集底稿'!B:M,12,0),100%)</f>
        <v>0.329519901724361</v>
      </c>
      <c r="T109" s="173">
        <f t="shared" si="5"/>
        <v>12213.4</v>
      </c>
      <c r="U109" s="164"/>
      <c r="V109" s="178" t="s">
        <v>336</v>
      </c>
      <c r="W109" s="179">
        <f>IF('附表1-面积统计表'!$D$29=0,"",IF(AND(V109="共同成本费用",Z109="总建筑面积法"),ROUND(T109/'附表1-面积统计表'!$D$29*'附表1-面积统计表'!$D$5,2),IF(AND(V109="共同成本费用",Z109="可售建筑面积法"),ROUND(T109/'附表1-面积统计表'!$F$29*'附表1-面积统计表'!$F$5,2),"请手工填写")))</f>
        <v>4460.69</v>
      </c>
      <c r="X109" s="179">
        <f>IF(SUM('附表1-面积统计表'!$D$6)=0,"",SUM(T109)-SUM(W109)-SUM(Y109))</f>
        <v>5501.26</v>
      </c>
      <c r="Y109" s="179">
        <f>IF(SUM('附表1-面积统计表'!$D$6)=0,SUM(T109)-SUM(W109),IF('附表1-面积统计表'!$D$29=0,"",IF(AND(V109="共同成本费用",Z109="总建筑面积法"),ROUND(T109/'附表1-面积统计表'!$D$29*'附表1-面积统计表'!$D$7,2),IF(AND(V109="共同成本费用",Z109="可售建筑面积法"),ROUND(T109/'附表1-面积统计表'!$F$29*'附表1-面积统计表'!$F$7,2),"请手工填写"))))</f>
        <v>2251.45</v>
      </c>
      <c r="Z109" s="181" t="s">
        <v>311</v>
      </c>
      <c r="AA109" s="164"/>
      <c r="AB109" s="182" t="s">
        <v>1686</v>
      </c>
    </row>
    <row r="110" ht="29" hidden="1" customHeight="1" outlineLevel="1" spans="1:28">
      <c r="A110" s="159">
        <v>104</v>
      </c>
      <c r="B110" s="189" t="s">
        <v>1943</v>
      </c>
      <c r="C110" s="166" t="s">
        <v>2049</v>
      </c>
      <c r="D110" s="162" t="s">
        <v>1700</v>
      </c>
      <c r="E110" s="163" t="s">
        <v>1875</v>
      </c>
      <c r="F110" s="164" t="s">
        <v>2050</v>
      </c>
      <c r="G110" s="165" t="s">
        <v>2035</v>
      </c>
      <c r="H110" s="164" t="str">
        <f>IF(G110="","",VLOOKUP(G110,'附表8-合同明细采集底稿'!B:I,2,0))</f>
        <v>沁春锦苑幼儿园大门、亮化、自行车棚工程合同</v>
      </c>
      <c r="I110" s="92" t="str">
        <f>IF(G110="","",VLOOKUP(G110,'附表8-合同明细采集底稿'!B:I,3,0))</f>
        <v>买卖合同</v>
      </c>
      <c r="J110" s="164" t="str">
        <f>IF(G110="","",VLOOKUP(G110,'附表8-合同明细采集底稿'!B:I,4,0))</f>
        <v>新疆智明建设工程有限公司</v>
      </c>
      <c r="K110" s="164" t="s">
        <v>1711</v>
      </c>
      <c r="L110" s="165">
        <v>6500213130</v>
      </c>
      <c r="M110" s="165" t="s">
        <v>2051</v>
      </c>
      <c r="N110" s="173">
        <v>103302.75</v>
      </c>
      <c r="O110" s="173">
        <v>112600</v>
      </c>
      <c r="P110" s="174">
        <v>103302.75</v>
      </c>
      <c r="Q110" s="173"/>
      <c r="R110" s="173">
        <f t="shared" si="4"/>
        <v>103302.75</v>
      </c>
      <c r="S110" s="177">
        <f>IFERROR(VLOOKUP(G110,'附表8-合同明细采集底稿'!B:M,12,0),100%)</f>
        <v>0.329519901724361</v>
      </c>
      <c r="T110" s="173">
        <f t="shared" si="5"/>
        <v>34040.31</v>
      </c>
      <c r="U110" s="164"/>
      <c r="V110" s="178" t="s">
        <v>336</v>
      </c>
      <c r="W110" s="179">
        <f>IF('附表1-面积统计表'!$D$29=0,"",IF(AND(V110="共同成本费用",Z110="总建筑面积法"),ROUND(T110/'附表1-面积统计表'!$D$29*'附表1-面积统计表'!$D$5,2),IF(AND(V110="共同成本费用",Z110="可售建筑面积法"),ROUND(T110/'附表1-面积统计表'!$F$29*'附表1-面积统计表'!$F$5,2),"请手工填写")))</f>
        <v>12432.52</v>
      </c>
      <c r="X110" s="179">
        <f>IF(SUM('附表1-面积统计表'!$D$6)=0,"",SUM(T110)-SUM(W110)-SUM(Y110))</f>
        <v>15332.71</v>
      </c>
      <c r="Y110" s="179">
        <f>IF(SUM('附表1-面积统计表'!$D$6)=0,SUM(T110)-SUM(W110),IF('附表1-面积统计表'!$D$29=0,"",IF(AND(V110="共同成本费用",Z110="总建筑面积法"),ROUND(T110/'附表1-面积统计表'!$D$29*'附表1-面积统计表'!$D$7,2),IF(AND(V110="共同成本费用",Z110="可售建筑面积法"),ROUND(T110/'附表1-面积统计表'!$F$29*'附表1-面积统计表'!$F$7,2),"请手工填写"))))</f>
        <v>6275.08</v>
      </c>
      <c r="Z110" s="181" t="s">
        <v>311</v>
      </c>
      <c r="AA110" s="164"/>
      <c r="AB110" s="182" t="s">
        <v>1686</v>
      </c>
    </row>
    <row r="111" ht="29" hidden="1" customHeight="1" outlineLevel="1" spans="1:28">
      <c r="A111" s="159">
        <v>105</v>
      </c>
      <c r="B111" s="189" t="s">
        <v>1947</v>
      </c>
      <c r="C111" s="166" t="s">
        <v>2052</v>
      </c>
      <c r="D111" s="162" t="s">
        <v>1700</v>
      </c>
      <c r="E111" s="163" t="s">
        <v>1813</v>
      </c>
      <c r="F111" s="164" t="s">
        <v>2053</v>
      </c>
      <c r="G111" s="165" t="s">
        <v>2029</v>
      </c>
      <c r="H111" s="164" t="str">
        <f>IF(G111="","",VLOOKUP(G111,'附表8-合同明细采集底稿'!B:I,2,0))</f>
        <v>沁春锦苑18#、21#、22#楼、37#社区、地下车库及人防部分建设工程（地下人防）</v>
      </c>
      <c r="I111" s="92" t="str">
        <f>IF(G111="","",VLOOKUP(G111,'附表8-合同明细采集底稿'!B:I,3,0))</f>
        <v>建设工程合同</v>
      </c>
      <c r="J111" s="164" t="str">
        <f>IF(G111="","",VLOOKUP(G111,'附表8-合同明细采集底稿'!B:I,4,0))</f>
        <v>新疆通力建设集团股份有限公司（高）</v>
      </c>
      <c r="K111" s="164" t="s">
        <v>1711</v>
      </c>
      <c r="L111" s="165">
        <v>6500203130</v>
      </c>
      <c r="M111" s="165" t="s">
        <v>2054</v>
      </c>
      <c r="N111" s="173">
        <v>4669842.2</v>
      </c>
      <c r="O111" s="173">
        <v>5090128</v>
      </c>
      <c r="P111" s="174">
        <v>4669842.2</v>
      </c>
      <c r="Q111" s="173"/>
      <c r="R111" s="173">
        <f t="shared" si="4"/>
        <v>4669842.2</v>
      </c>
      <c r="S111" s="177">
        <f>IFERROR(VLOOKUP(G111,'附表8-合同明细采集底稿'!B:M,12,0),100%)</f>
        <v>0.318696696324277</v>
      </c>
      <c r="T111" s="173">
        <f t="shared" si="5"/>
        <v>1488263.28</v>
      </c>
      <c r="U111" s="208" t="s">
        <v>2031</v>
      </c>
      <c r="V111" s="178" t="s">
        <v>336</v>
      </c>
      <c r="W111" s="179">
        <f>IF('附表1-面积统计表'!$D$29=0,"",IF(AND(V111="共同成本费用",Z111="总建筑面积法"),ROUND(T111/'附表1-面积统计表'!$D$29*'附表1-面积统计表'!$D$5,2),IF(AND(V111="共同成本费用",Z111="可售建筑面积法"),ROUND(T111/'附表1-面积统计表'!$F$29*'附表1-面积统计表'!$F$5,2),"请手工填写")))</f>
        <v>543557.52</v>
      </c>
      <c r="X111" s="179">
        <f>IF(SUM('附表1-面积统计表'!$D$6)=0,"",SUM(T111)-SUM(W111)-SUM(Y111))</f>
        <v>670355.31</v>
      </c>
      <c r="Y111" s="179">
        <f>IF(SUM('附表1-面积统计表'!$D$6)=0,SUM(T111)-SUM(W111),IF('附表1-面积统计表'!$D$29=0,"",IF(AND(V111="共同成本费用",Z111="总建筑面积法"),ROUND(T111/'附表1-面积统计表'!$D$29*'附表1-面积统计表'!$D$7,2),IF(AND(V111="共同成本费用",Z111="可售建筑面积法"),ROUND(T111/'附表1-面积统计表'!$F$29*'附表1-面积统计表'!$F$7,2),"请手工填写"))))</f>
        <v>274350.45</v>
      </c>
      <c r="Z111" s="181" t="s">
        <v>311</v>
      </c>
      <c r="AA111" s="164"/>
      <c r="AB111" s="182" t="s">
        <v>1686</v>
      </c>
    </row>
    <row r="112" ht="29" hidden="1" customHeight="1" outlineLevel="1" spans="1:28">
      <c r="A112" s="159">
        <v>106</v>
      </c>
      <c r="B112" s="189" t="s">
        <v>1947</v>
      </c>
      <c r="C112" s="166" t="s">
        <v>2055</v>
      </c>
      <c r="D112" s="162" t="s">
        <v>1739</v>
      </c>
      <c r="E112" s="163" t="s">
        <v>1819</v>
      </c>
      <c r="F112" s="164" t="s">
        <v>2056</v>
      </c>
      <c r="G112" s="165" t="s">
        <v>2009</v>
      </c>
      <c r="H112" s="164" t="str">
        <f>IF(G112="","",VLOOKUP(G112,'附表8-合同明细采集底稿'!B:I,2,0))</f>
        <v>沁春锦苑中水处理土建、挡墙、警卫室‘铺装工程</v>
      </c>
      <c r="I112" s="92" t="str">
        <f>IF(G112="","",VLOOKUP(G112,'附表8-合同明细采集底稿'!B:I,3,0))</f>
        <v>建设工程合同</v>
      </c>
      <c r="J112" s="164" t="str">
        <f>IF(G112="","",VLOOKUP(G112,'附表8-合同明细采集底稿'!B:I,4,0))</f>
        <v>新疆通力建设集团股份有限公司（曾建国）</v>
      </c>
      <c r="K112" s="164" t="s">
        <v>1711</v>
      </c>
      <c r="L112" s="165">
        <v>6500203130</v>
      </c>
      <c r="M112" s="165" t="s">
        <v>2057</v>
      </c>
      <c r="N112" s="173">
        <v>137614.68</v>
      </c>
      <c r="O112" s="173">
        <v>150000</v>
      </c>
      <c r="P112" s="174">
        <v>137614.68</v>
      </c>
      <c r="Q112" s="173"/>
      <c r="R112" s="173">
        <f t="shared" si="4"/>
        <v>137614.68</v>
      </c>
      <c r="S112" s="177">
        <f>IFERROR(VLOOKUP(G112,'附表8-合同明细采集底稿'!B:M,12,0),100%)</f>
        <v>0.329519901724361</v>
      </c>
      <c r="T112" s="173">
        <f t="shared" si="5"/>
        <v>45346.78</v>
      </c>
      <c r="U112" s="164"/>
      <c r="V112" s="178" t="s">
        <v>336</v>
      </c>
      <c r="W112" s="179">
        <f>IF('附表1-面积统计表'!$D$29=0,"",IF(AND(V112="共同成本费用",Z112="总建筑面积法"),ROUND(T112/'附表1-面积统计表'!$D$29*'附表1-面积统计表'!$D$5,2),IF(AND(V112="共同成本费用",Z112="可售建筑面积法"),ROUND(T112/'附表1-面积统计表'!$F$29*'附表1-面积统计表'!$F$5,2),"请手工填写")))</f>
        <v>16561.98</v>
      </c>
      <c r="X112" s="179">
        <f>IF(SUM('附表1-面积统计表'!$D$6)=0,"",SUM(T112)-SUM(W112)-SUM(Y112))</f>
        <v>20425.45</v>
      </c>
      <c r="Y112" s="179">
        <f>IF(SUM('附表1-面积统计表'!$D$6)=0,SUM(T112)-SUM(W112),IF('附表1-面积统计表'!$D$29=0,"",IF(AND(V112="共同成本费用",Z112="总建筑面积法"),ROUND(T112/'附表1-面积统计表'!$D$29*'附表1-面积统计表'!$D$7,2),IF(AND(V112="共同成本费用",Z112="可售建筑面积法"),ROUND(T112/'附表1-面积统计表'!$F$29*'附表1-面积统计表'!$F$7,2),"请手工填写"))))</f>
        <v>8359.35</v>
      </c>
      <c r="Z112" s="181" t="s">
        <v>311</v>
      </c>
      <c r="AA112" s="164"/>
      <c r="AB112" s="182" t="s">
        <v>1686</v>
      </c>
    </row>
    <row r="113" ht="29" hidden="1" customHeight="1" outlineLevel="1" spans="1:28">
      <c r="A113" s="159">
        <v>107</v>
      </c>
      <c r="B113" s="189" t="s">
        <v>2058</v>
      </c>
      <c r="C113" s="166" t="s">
        <v>2059</v>
      </c>
      <c r="D113" s="162" t="s">
        <v>1739</v>
      </c>
      <c r="E113" s="163" t="s">
        <v>1819</v>
      </c>
      <c r="F113" s="164" t="s">
        <v>2060</v>
      </c>
      <c r="G113" s="165" t="s">
        <v>2061</v>
      </c>
      <c r="H113" s="164" t="str">
        <f>IF(G113="","",VLOOKUP(G113,'附表8-合同明细采集底稿'!B:I,2,0))</f>
        <v>电缆（景观雾化使用）</v>
      </c>
      <c r="I113" s="92" t="str">
        <f>IF(G113="","",VLOOKUP(G113,'附表8-合同明细采集底稿'!B:I,3,0))</f>
        <v>建设工程合同</v>
      </c>
      <c r="J113" s="164" t="str">
        <f>IF(G113="","",VLOOKUP(G113,'附表8-合同明细采集底稿'!B:I,4,0))</f>
        <v>新疆云景环保科技有限公司(13999983055)</v>
      </c>
      <c r="K113" s="164" t="s">
        <v>1711</v>
      </c>
      <c r="L113" s="165">
        <v>6500212130</v>
      </c>
      <c r="M113" s="165" t="s">
        <v>2062</v>
      </c>
      <c r="N113" s="173">
        <v>193805.31</v>
      </c>
      <c r="O113" s="173">
        <v>219000</v>
      </c>
      <c r="P113" s="174">
        <v>193805.31</v>
      </c>
      <c r="Q113" s="173"/>
      <c r="R113" s="173">
        <f t="shared" si="4"/>
        <v>193805.31</v>
      </c>
      <c r="S113" s="177">
        <f>IFERROR(VLOOKUP(G113,'附表8-合同明细采集底稿'!B:M,12,0),100%)</f>
        <v>0.329519901724361</v>
      </c>
      <c r="T113" s="173">
        <f t="shared" si="5"/>
        <v>63862.71</v>
      </c>
      <c r="U113" s="164"/>
      <c r="V113" s="178" t="s">
        <v>336</v>
      </c>
      <c r="W113" s="179">
        <f>IF('附表1-面积统计表'!$D$29=0,"",IF(AND(V113="共同成本费用",Z113="总建筑面积法"),ROUND(T113/'附表1-面积统计表'!$D$29*'附表1-面积统计表'!$D$5,2),IF(AND(V113="共同成本费用",Z113="可售建筑面积法"),ROUND(T113/'附表1-面积统计表'!$F$29*'附表1-面积统计表'!$F$5,2),"请手工填写")))</f>
        <v>23324.54</v>
      </c>
      <c r="X113" s="179">
        <f>IF(SUM('附表1-面积统计表'!$D$6)=0,"",SUM(T113)-SUM(W113)-SUM(Y113))</f>
        <v>28765.55</v>
      </c>
      <c r="Y113" s="179">
        <f>IF(SUM('附表1-面积统计表'!$D$6)=0,SUM(T113)-SUM(W113),IF('附表1-面积统计表'!$D$29=0,"",IF(AND(V113="共同成本费用",Z113="总建筑面积法"),ROUND(T113/'附表1-面积统计表'!$D$29*'附表1-面积统计表'!$D$7,2),IF(AND(V113="共同成本费用",Z113="可售建筑面积法"),ROUND(T113/'附表1-面积统计表'!$F$29*'附表1-面积统计表'!$F$7,2),"请手工填写"))))</f>
        <v>11772.62</v>
      </c>
      <c r="Z113" s="181" t="s">
        <v>311</v>
      </c>
      <c r="AA113" s="164"/>
      <c r="AB113" s="182" t="s">
        <v>1686</v>
      </c>
    </row>
    <row r="114" ht="29" hidden="1" customHeight="1" outlineLevel="1" spans="1:28">
      <c r="A114" s="159">
        <v>108</v>
      </c>
      <c r="B114" s="189" t="s">
        <v>2063</v>
      </c>
      <c r="C114" s="166" t="s">
        <v>1827</v>
      </c>
      <c r="D114" s="162" t="s">
        <v>1700</v>
      </c>
      <c r="E114" s="163" t="s">
        <v>1875</v>
      </c>
      <c r="F114" s="164" t="s">
        <v>2064</v>
      </c>
      <c r="G114" s="165" t="s">
        <v>2035</v>
      </c>
      <c r="H114" s="164" t="str">
        <f>IF(G114="","",VLOOKUP(G114,'附表8-合同明细采集底稿'!B:I,2,0))</f>
        <v>沁春锦苑幼儿园大门、亮化、自行车棚工程合同</v>
      </c>
      <c r="I114" s="92" t="str">
        <f>IF(G114="","",VLOOKUP(G114,'附表8-合同明细采集底稿'!B:I,3,0))</f>
        <v>买卖合同</v>
      </c>
      <c r="J114" s="164" t="str">
        <f>IF(G114="","",VLOOKUP(G114,'附表8-合同明细采集底稿'!B:I,4,0))</f>
        <v>新疆智明建设工程有限公司</v>
      </c>
      <c r="K114" s="164" t="s">
        <v>1711</v>
      </c>
      <c r="L114" s="165">
        <v>6500213130</v>
      </c>
      <c r="M114" s="165" t="s">
        <v>2065</v>
      </c>
      <c r="N114" s="173">
        <v>17084.4</v>
      </c>
      <c r="O114" s="173">
        <v>18622</v>
      </c>
      <c r="P114" s="174">
        <v>17084.4</v>
      </c>
      <c r="Q114" s="173"/>
      <c r="R114" s="173">
        <f t="shared" si="4"/>
        <v>17084.4</v>
      </c>
      <c r="S114" s="177">
        <f>IFERROR(VLOOKUP(G114,'附表8-合同明细采集底稿'!B:M,12,0),100%)</f>
        <v>0.329519901724361</v>
      </c>
      <c r="T114" s="173">
        <f t="shared" si="5"/>
        <v>5629.65</v>
      </c>
      <c r="U114" s="164"/>
      <c r="V114" s="178" t="s">
        <v>336</v>
      </c>
      <c r="W114" s="179">
        <f>IF('附表1-面积统计表'!$D$29=0,"",IF(AND(V114="共同成本费用",Z114="总建筑面积法"),ROUND(T114/'附表1-面积统计表'!$D$29*'附表1-面积统计表'!$D$5,2),IF(AND(V114="共同成本费用",Z114="可售建筑面积法"),ROUND(T114/'附表1-面积统计表'!$F$29*'附表1-面积统计表'!$F$5,2),"请手工填写")))</f>
        <v>2056.11</v>
      </c>
      <c r="X114" s="179">
        <f>IF(SUM('附表1-面积统计表'!$D$6)=0,"",SUM(T114)-SUM(W114)-SUM(Y114))</f>
        <v>2535.76</v>
      </c>
      <c r="Y114" s="179">
        <f>IF(SUM('附表1-面积统计表'!$D$6)=0,SUM(T114)-SUM(W114),IF('附表1-面积统计表'!$D$29=0,"",IF(AND(V114="共同成本费用",Z114="总建筑面积法"),ROUND(T114/'附表1-面积统计表'!$D$29*'附表1-面积统计表'!$D$7,2),IF(AND(V114="共同成本费用",Z114="可售建筑面积法"),ROUND(T114/'附表1-面积统计表'!$F$29*'附表1-面积统计表'!$F$7,2),"请手工填写"))))</f>
        <v>1037.78</v>
      </c>
      <c r="Z114" s="181" t="s">
        <v>311</v>
      </c>
      <c r="AA114" s="164"/>
      <c r="AB114" s="182" t="s">
        <v>1686</v>
      </c>
    </row>
    <row r="115" ht="29" hidden="1" customHeight="1" outlineLevel="1" spans="1:28">
      <c r="A115" s="159">
        <v>109</v>
      </c>
      <c r="B115" s="189" t="s">
        <v>2066</v>
      </c>
      <c r="C115" s="166" t="s">
        <v>1863</v>
      </c>
      <c r="D115" s="162" t="s">
        <v>1739</v>
      </c>
      <c r="E115" s="163" t="s">
        <v>1819</v>
      </c>
      <c r="F115" s="164" t="s">
        <v>2067</v>
      </c>
      <c r="G115" s="165" t="s">
        <v>2009</v>
      </c>
      <c r="H115" s="164" t="str">
        <f>IF(G115="","",VLOOKUP(G115,'附表8-合同明细采集底稿'!B:I,2,0))</f>
        <v>沁春锦苑中水处理土建、挡墙、警卫室‘铺装工程</v>
      </c>
      <c r="I115" s="92" t="str">
        <f>IF(G115="","",VLOOKUP(G115,'附表8-合同明细采集底稿'!B:I,3,0))</f>
        <v>建设工程合同</v>
      </c>
      <c r="J115" s="164" t="str">
        <f>IF(G115="","",VLOOKUP(G115,'附表8-合同明细采集底稿'!B:I,4,0))</f>
        <v>新疆通力建设集团股份有限公司（曾建国）</v>
      </c>
      <c r="K115" s="164" t="s">
        <v>1711</v>
      </c>
      <c r="L115" s="165">
        <v>6500221130</v>
      </c>
      <c r="M115" s="165" t="s">
        <v>2068</v>
      </c>
      <c r="N115" s="173">
        <v>211009.17</v>
      </c>
      <c r="O115" s="173">
        <v>230000</v>
      </c>
      <c r="P115" s="174">
        <v>211009.17</v>
      </c>
      <c r="Q115" s="173"/>
      <c r="R115" s="173">
        <f t="shared" si="4"/>
        <v>211009.17</v>
      </c>
      <c r="S115" s="177">
        <f>IFERROR(VLOOKUP(G115,'附表8-合同明细采集底稿'!B:M,12,0),100%)</f>
        <v>0.329519901724361</v>
      </c>
      <c r="T115" s="173">
        <f t="shared" si="5"/>
        <v>69531.72</v>
      </c>
      <c r="U115" s="164"/>
      <c r="V115" s="178" t="s">
        <v>336</v>
      </c>
      <c r="W115" s="179">
        <f>IF('附表1-面积统计表'!$D$29=0,"",IF(AND(V115="共同成本费用",Z115="总建筑面积法"),ROUND(T115/'附表1-面积统计表'!$D$29*'附表1-面积统计表'!$D$5,2),IF(AND(V115="共同成本费用",Z115="可售建筑面积法"),ROUND(T115/'附表1-面积统计表'!$F$29*'附表1-面积统计表'!$F$5,2),"请手工填写")))</f>
        <v>25395.03</v>
      </c>
      <c r="X115" s="179">
        <f>IF(SUM('附表1-面积统计表'!$D$6)=0,"",SUM(T115)-SUM(W115)-SUM(Y115))</f>
        <v>31319.03</v>
      </c>
      <c r="Y115" s="179">
        <f>IF(SUM('附表1-面积统计表'!$D$6)=0,SUM(T115)-SUM(W115),IF('附表1-面积统计表'!$D$29=0,"",IF(AND(V115="共同成本费用",Z115="总建筑面积法"),ROUND(T115/'附表1-面积统计表'!$D$29*'附表1-面积统计表'!$D$7,2),IF(AND(V115="共同成本费用",Z115="可售建筑面积法"),ROUND(T115/'附表1-面积统计表'!$F$29*'附表1-面积统计表'!$F$7,2),"请手工填写"))))</f>
        <v>12817.66</v>
      </c>
      <c r="Z115" s="181" t="s">
        <v>311</v>
      </c>
      <c r="AA115" s="164"/>
      <c r="AB115" s="182" t="s">
        <v>1686</v>
      </c>
    </row>
    <row r="116" ht="29" hidden="1" customHeight="1" outlineLevel="1" spans="1:28">
      <c r="A116" s="159">
        <v>110</v>
      </c>
      <c r="B116" s="189" t="s">
        <v>2066</v>
      </c>
      <c r="C116" s="166" t="s">
        <v>2069</v>
      </c>
      <c r="D116" s="162" t="s">
        <v>1700</v>
      </c>
      <c r="E116" s="163" t="s">
        <v>1813</v>
      </c>
      <c r="F116" s="164" t="s">
        <v>2070</v>
      </c>
      <c r="G116" s="165" t="s">
        <v>2029</v>
      </c>
      <c r="H116" s="164" t="str">
        <f>IF(G116="","",VLOOKUP(G116,'附表8-合同明细采集底稿'!B:I,2,0))</f>
        <v>沁春锦苑18#、21#、22#楼、37#社区、地下车库及人防部分建设工程（地下人防）</v>
      </c>
      <c r="I116" s="92" t="str">
        <f>IF(G116="","",VLOOKUP(G116,'附表8-合同明细采集底稿'!B:I,3,0))</f>
        <v>建设工程合同</v>
      </c>
      <c r="J116" s="164" t="str">
        <f>IF(G116="","",VLOOKUP(G116,'附表8-合同明细采集底稿'!B:I,4,0))</f>
        <v>新疆通力建设集团股份有限公司（高）</v>
      </c>
      <c r="K116" s="164" t="s">
        <v>1711</v>
      </c>
      <c r="L116" s="165">
        <v>6500221130</v>
      </c>
      <c r="M116" s="165" t="s">
        <v>2071</v>
      </c>
      <c r="N116" s="173">
        <v>1893110.09</v>
      </c>
      <c r="O116" s="173">
        <v>2063490</v>
      </c>
      <c r="P116" s="174">
        <v>1893110.09</v>
      </c>
      <c r="Q116" s="173"/>
      <c r="R116" s="173">
        <f t="shared" si="4"/>
        <v>1893110.09</v>
      </c>
      <c r="S116" s="177">
        <f>IFERROR(VLOOKUP(G116,'附表8-合同明细采集底稿'!B:M,12,0),100%)</f>
        <v>0.318696696324277</v>
      </c>
      <c r="T116" s="173">
        <f t="shared" si="5"/>
        <v>603327.93</v>
      </c>
      <c r="U116" s="208" t="s">
        <v>2031</v>
      </c>
      <c r="V116" s="178" t="s">
        <v>336</v>
      </c>
      <c r="W116" s="179">
        <f>IF('附表1-面积统计表'!$D$29=0,"",IF(AND(V116="共同成本费用",Z116="总建筑面积法"),ROUND(T116/'附表1-面积统计表'!$D$29*'附表1-面积统计表'!$D$5,2),IF(AND(V116="共同成本费用",Z116="可售建筑面积法"),ROUND(T116/'附表1-面积统计表'!$F$29*'附表1-面积统计表'!$F$5,2),"请手工填写")))</f>
        <v>220353.11</v>
      </c>
      <c r="X116" s="179">
        <f>IF(SUM('附表1-面积统计表'!$D$6)=0,"",SUM(T116)-SUM(W116)-SUM(Y116))</f>
        <v>271755.73</v>
      </c>
      <c r="Y116" s="179">
        <f>IF(SUM('附表1-面积统计表'!$D$6)=0,SUM(T116)-SUM(W116),IF('附表1-面积统计表'!$D$29=0,"",IF(AND(V116="共同成本费用",Z116="总建筑面积法"),ROUND(T116/'附表1-面积统计表'!$D$29*'附表1-面积统计表'!$D$7,2),IF(AND(V116="共同成本费用",Z116="可售建筑面积法"),ROUND(T116/'附表1-面积统计表'!$F$29*'附表1-面积统计表'!$F$7,2),"请手工填写"))))</f>
        <v>111219.09</v>
      </c>
      <c r="Z116" s="181" t="s">
        <v>311</v>
      </c>
      <c r="AA116" s="164"/>
      <c r="AB116" s="182" t="s">
        <v>1686</v>
      </c>
    </row>
    <row r="117" ht="29" hidden="1" customHeight="1" outlineLevel="1" spans="1:28">
      <c r="A117" s="159">
        <v>111</v>
      </c>
      <c r="B117" s="189" t="s">
        <v>2066</v>
      </c>
      <c r="C117" s="166" t="s">
        <v>2072</v>
      </c>
      <c r="D117" s="162" t="s">
        <v>1700</v>
      </c>
      <c r="E117" s="163" t="s">
        <v>1875</v>
      </c>
      <c r="F117" s="164" t="s">
        <v>2073</v>
      </c>
      <c r="G117" s="165" t="s">
        <v>1887</v>
      </c>
      <c r="H117" s="164" t="str">
        <f>IF(G117="","",VLOOKUP(G117,'附表8-合同明细采集底稿'!B:I,2,0))</f>
        <v>建设工程施工合同12-15#楼38#楼、31#楼幼儿园（幼儿园—）</v>
      </c>
      <c r="I117" s="92" t="str">
        <f>IF(G117="","",VLOOKUP(G117,'附表8-合同明细采集底稿'!B:I,3,0))</f>
        <v>建设工程合同</v>
      </c>
      <c r="J117" s="164" t="str">
        <f>IF(G117="","",VLOOKUP(G117,'附表8-合同明细采集底稿'!B:I,4,0))</f>
        <v>新疆通力建设集团股份有限公司（顾）</v>
      </c>
      <c r="K117" s="164" t="s">
        <v>1711</v>
      </c>
      <c r="L117" s="165">
        <v>6500221130</v>
      </c>
      <c r="M117" s="165" t="s">
        <v>2074</v>
      </c>
      <c r="N117" s="173">
        <v>1174193.38</v>
      </c>
      <c r="O117" s="173">
        <v>1279870.78</v>
      </c>
      <c r="P117" s="174">
        <v>1174193.38</v>
      </c>
      <c r="Q117" s="173"/>
      <c r="R117" s="173">
        <f t="shared" si="4"/>
        <v>1174193.38</v>
      </c>
      <c r="S117" s="177">
        <f>IFERROR(VLOOKUP(G117,'附表8-合同明细采集底稿'!B:M,12,0),100%)</f>
        <v>0.329519901724361</v>
      </c>
      <c r="T117" s="173">
        <f t="shared" si="5"/>
        <v>386920.09</v>
      </c>
      <c r="U117" s="208" t="s">
        <v>1889</v>
      </c>
      <c r="V117" s="178" t="s">
        <v>336</v>
      </c>
      <c r="W117" s="179">
        <f>IF('附表1-面积统计表'!$D$29=0,"",IF(AND(V117="共同成本费用",Z117="总建筑面积法"),ROUND(T117/'附表1-面积统计表'!$D$29*'附表1-面积统计表'!$D$5,2),IF(AND(V117="共同成本费用",Z117="可售建筑面积法"),ROUND(T117/'附表1-面积统计表'!$F$29*'附表1-面积统计表'!$F$5,2),"请手工填写")))</f>
        <v>141314.6</v>
      </c>
      <c r="X117" s="179">
        <f>IF(SUM('附表1-面积统计表'!$D$6)=0,"",SUM(T117)-SUM(W117)-SUM(Y117))</f>
        <v>174279.6</v>
      </c>
      <c r="Y117" s="179">
        <f>IF(SUM('附表1-面积统计表'!$D$6)=0,SUM(T117)-SUM(W117),IF('附表1-面积统计表'!$D$29=0,"",IF(AND(V117="共同成本费用",Z117="总建筑面积法"),ROUND(T117/'附表1-面积统计表'!$D$29*'附表1-面积统计表'!$D$7,2),IF(AND(V117="共同成本费用",Z117="可售建筑面积法"),ROUND(T117/'附表1-面积统计表'!$F$29*'附表1-面积统计表'!$F$7,2),"请手工填写"))))</f>
        <v>71325.89</v>
      </c>
      <c r="Z117" s="181" t="s">
        <v>311</v>
      </c>
      <c r="AA117" s="164"/>
      <c r="AB117" s="182" t="s">
        <v>1686</v>
      </c>
    </row>
    <row r="118" ht="29" hidden="1" customHeight="1" outlineLevel="1" spans="1:28">
      <c r="A118" s="159">
        <v>112</v>
      </c>
      <c r="B118" s="189" t="s">
        <v>2075</v>
      </c>
      <c r="C118" s="166" t="s">
        <v>1914</v>
      </c>
      <c r="D118" s="162" t="s">
        <v>1700</v>
      </c>
      <c r="E118" s="163" t="s">
        <v>1880</v>
      </c>
      <c r="F118" s="164" t="s">
        <v>2076</v>
      </c>
      <c r="G118" s="165" t="s">
        <v>2077</v>
      </c>
      <c r="H118" s="164" t="str">
        <f>IF(G118="","",VLOOKUP(G118,'附表8-合同明细采集底稿'!B:I,2,0))</f>
        <v>沁春锦苑升降横移类机械式停车设备销售合同</v>
      </c>
      <c r="I118" s="92" t="str">
        <f>IF(G118="","",VLOOKUP(G118,'附表8-合同明细采集底稿'!B:I,3,0))</f>
        <v>买卖合同</v>
      </c>
      <c r="J118" s="164" t="str">
        <f>IF(G118="","",VLOOKUP(G118,'附表8-合同明细采集底稿'!B:I,4,0))</f>
        <v>唐山通宝停车设备有限公司</v>
      </c>
      <c r="K118" s="164" t="s">
        <v>1711</v>
      </c>
      <c r="L118" s="165">
        <v>1300214130</v>
      </c>
      <c r="M118" s="165" t="s">
        <v>2078</v>
      </c>
      <c r="N118" s="173">
        <v>175324.95</v>
      </c>
      <c r="O118" s="173">
        <v>198117.19</v>
      </c>
      <c r="P118" s="174">
        <v>175324.95</v>
      </c>
      <c r="Q118" s="173"/>
      <c r="R118" s="173">
        <f t="shared" si="4"/>
        <v>175324.95</v>
      </c>
      <c r="S118" s="177">
        <f>IFERROR(VLOOKUP(G118,'附表8-合同明细采集底稿'!B:M,12,0),100%)</f>
        <v>0.329519901724361</v>
      </c>
      <c r="T118" s="173">
        <f t="shared" si="5"/>
        <v>57773.06</v>
      </c>
      <c r="U118" s="164"/>
      <c r="V118" s="178" t="s">
        <v>336</v>
      </c>
      <c r="W118" s="179">
        <f>IF('附表1-面积统计表'!$D$29=0,"",IF(AND(V118="共同成本费用",Z118="总建筑面积法"),ROUND(T118/'附表1-面积统计表'!$D$29*'附表1-面积统计表'!$D$5,2),IF(AND(V118="共同成本费用",Z118="可售建筑面积法"),ROUND(T118/'附表1-面积统计表'!$F$29*'附表1-面积统计表'!$F$5,2),"请手工填写")))</f>
        <v>21100.42</v>
      </c>
      <c r="X118" s="179">
        <f>IF(SUM('附表1-面积统计表'!$D$6)=0,"",SUM(T118)-SUM(W118)-SUM(Y118))</f>
        <v>26022.6</v>
      </c>
      <c r="Y118" s="179">
        <f>IF(SUM('附表1-面积统计表'!$D$6)=0,SUM(T118)-SUM(W118),IF('附表1-面积统计表'!$D$29=0,"",IF(AND(V118="共同成本费用",Z118="总建筑面积法"),ROUND(T118/'附表1-面积统计表'!$D$29*'附表1-面积统计表'!$D$7,2),IF(AND(V118="共同成本费用",Z118="可售建筑面积法"),ROUND(T118/'附表1-面积统计表'!$F$29*'附表1-面积统计表'!$F$7,2),"请手工填写"))))</f>
        <v>10650.04</v>
      </c>
      <c r="Z118" s="181" t="s">
        <v>311</v>
      </c>
      <c r="AA118" s="164"/>
      <c r="AB118" s="182" t="s">
        <v>1686</v>
      </c>
    </row>
    <row r="119" ht="29" hidden="1" customHeight="1" outlineLevel="1" spans="1:28">
      <c r="A119" s="159">
        <v>113</v>
      </c>
      <c r="B119" s="189" t="s">
        <v>2079</v>
      </c>
      <c r="C119" s="166" t="s">
        <v>2080</v>
      </c>
      <c r="D119" s="162" t="s">
        <v>1700</v>
      </c>
      <c r="E119" s="163" t="s">
        <v>1813</v>
      </c>
      <c r="F119" s="164" t="s">
        <v>2081</v>
      </c>
      <c r="G119" s="165" t="s">
        <v>2029</v>
      </c>
      <c r="H119" s="164" t="str">
        <f>IF(G119="","",VLOOKUP(G119,'附表8-合同明细采集底稿'!B:I,2,0))</f>
        <v>沁春锦苑18#、21#、22#楼、37#社区、地下车库及人防部分建设工程（地下人防）</v>
      </c>
      <c r="I119" s="92" t="str">
        <f>IF(G119="","",VLOOKUP(G119,'附表8-合同明细采集底稿'!B:I,3,0))</f>
        <v>建设工程合同</v>
      </c>
      <c r="J119" s="164" t="str">
        <f>IF(G119="","",VLOOKUP(G119,'附表8-合同明细采集底稿'!B:I,4,0))</f>
        <v>新疆通力建设集团股份有限公司（高）</v>
      </c>
      <c r="K119" s="164" t="s">
        <v>1711</v>
      </c>
      <c r="L119" s="165">
        <v>6500221130</v>
      </c>
      <c r="M119" s="165" t="s">
        <v>2082</v>
      </c>
      <c r="N119" s="173">
        <v>2092529.36</v>
      </c>
      <c r="O119" s="173">
        <v>2280857</v>
      </c>
      <c r="P119" s="174">
        <v>2092529.36</v>
      </c>
      <c r="Q119" s="173"/>
      <c r="R119" s="173">
        <f t="shared" si="4"/>
        <v>2092529.36</v>
      </c>
      <c r="S119" s="177">
        <f>IFERROR(VLOOKUP(G119,'附表8-合同明细采集底稿'!B:M,12,0),100%)</f>
        <v>0.318696696324277</v>
      </c>
      <c r="T119" s="173">
        <f t="shared" si="5"/>
        <v>666882.19</v>
      </c>
      <c r="U119" s="208" t="s">
        <v>2031</v>
      </c>
      <c r="V119" s="178" t="s">
        <v>336</v>
      </c>
      <c r="W119" s="179">
        <f>IF('附表1-面积统计表'!$D$29=0,"",IF(AND(V119="共同成本费用",Z119="总建筑面积法"),ROUND(T119/'附表1-面积统计表'!$D$29*'附表1-面积统计表'!$D$5,2),IF(AND(V119="共同成本费用",Z119="可售建筑面积法"),ROUND(T119/'附表1-面积统计表'!$F$29*'附表1-面积统计表'!$F$5,2),"请手工填写")))</f>
        <v>243564.99</v>
      </c>
      <c r="X119" s="179">
        <f>IF(SUM('附表1-面积统计表'!$D$6)=0,"",SUM(T119)-SUM(W119)-SUM(Y119))</f>
        <v>300382.35</v>
      </c>
      <c r="Y119" s="179">
        <f>IF(SUM('附表1-面积统计表'!$D$6)=0,SUM(T119)-SUM(W119),IF('附表1-面积统计表'!$D$29=0,"",IF(AND(V119="共同成本费用",Z119="总建筑面积法"),ROUND(T119/'附表1-面积统计表'!$D$29*'附表1-面积统计表'!$D$7,2),IF(AND(V119="共同成本费用",Z119="可售建筑面积法"),ROUND(T119/'附表1-面积统计表'!$F$29*'附表1-面积统计表'!$F$7,2),"请手工填写"))))</f>
        <v>122934.85</v>
      </c>
      <c r="Z119" s="181" t="s">
        <v>311</v>
      </c>
      <c r="AA119" s="164"/>
      <c r="AB119" s="182" t="s">
        <v>1686</v>
      </c>
    </row>
    <row r="120" ht="29" hidden="1" customHeight="1" outlineLevel="1" spans="1:28">
      <c r="A120" s="159">
        <v>114</v>
      </c>
      <c r="B120" s="189" t="s">
        <v>2083</v>
      </c>
      <c r="C120" s="166" t="s">
        <v>2084</v>
      </c>
      <c r="D120" s="162" t="s">
        <v>1739</v>
      </c>
      <c r="E120" s="163" t="s">
        <v>1794</v>
      </c>
      <c r="F120" s="164" t="s">
        <v>2085</v>
      </c>
      <c r="G120" s="165"/>
      <c r="H120" s="164" t="str">
        <f>IF(G120="","",VLOOKUP(G120,'附表8-合同明细采集底稿'!B:I,2,0))</f>
        <v/>
      </c>
      <c r="I120" s="92" t="str">
        <f>IF(G120="","",VLOOKUP(G120,'附表8-合同明细采集底稿'!B:I,3,0))</f>
        <v/>
      </c>
      <c r="J120" s="164" t="str">
        <f>IF(G120="","",VLOOKUP(G120,'附表8-合同明细采集底稿'!B:I,4,0))</f>
        <v/>
      </c>
      <c r="K120" s="164" t="s">
        <v>1711</v>
      </c>
      <c r="L120" s="165">
        <v>6500201160</v>
      </c>
      <c r="M120" s="165" t="s">
        <v>2086</v>
      </c>
      <c r="N120" s="173">
        <v>27087.38</v>
      </c>
      <c r="O120" s="173">
        <v>27900</v>
      </c>
      <c r="P120" s="174">
        <v>27087.38</v>
      </c>
      <c r="Q120" s="173">
        <v>-27087.38</v>
      </c>
      <c r="R120" s="173">
        <f t="shared" si="4"/>
        <v>0</v>
      </c>
      <c r="S120" s="177">
        <f>IFERROR(VLOOKUP(G120,'附表8-合同明细采集底稿'!B:M,12,0),100%)</f>
        <v>1</v>
      </c>
      <c r="T120" s="173">
        <f t="shared" si="5"/>
        <v>0</v>
      </c>
      <c r="U120" s="164"/>
      <c r="V120" s="178" t="s">
        <v>336</v>
      </c>
      <c r="W120" s="179">
        <f>IF('附表1-面积统计表'!$D$29=0,"",IF(AND(V120="共同成本费用",Z120="总建筑面积法"),ROUND(T120/'附表1-面积统计表'!$D$29*'附表1-面积统计表'!$D$5,2),IF(AND(V120="共同成本费用",Z120="可售建筑面积法"),ROUND(T120/'附表1-面积统计表'!$F$29*'附表1-面积统计表'!$F$5,2),"请手工填写")))</f>
        <v>0</v>
      </c>
      <c r="X120" s="179">
        <f>IF(SUM('附表1-面积统计表'!$D$6)=0,"",SUM(T120)-SUM(W120)-SUM(Y120))</f>
        <v>0</v>
      </c>
      <c r="Y120" s="179">
        <f>IF(SUM('附表1-面积统计表'!$D$6)=0,SUM(T120)-SUM(W120),IF('附表1-面积统计表'!$D$29=0,"",IF(AND(V120="共同成本费用",Z120="总建筑面积法"),ROUND(T120/'附表1-面积统计表'!$D$29*'附表1-面积统计表'!$D$7,2),IF(AND(V120="共同成本费用",Z120="可售建筑面积法"),ROUND(T120/'附表1-面积统计表'!$F$29*'附表1-面积统计表'!$F$7,2),"请手工填写"))))</f>
        <v>0</v>
      </c>
      <c r="Z120" s="181" t="s">
        <v>311</v>
      </c>
      <c r="AA120" s="164"/>
      <c r="AB120" s="182" t="s">
        <v>1686</v>
      </c>
    </row>
    <row r="121" ht="29" hidden="1" customHeight="1" outlineLevel="1" spans="1:28">
      <c r="A121" s="159">
        <v>115</v>
      </c>
      <c r="B121" s="189" t="s">
        <v>2087</v>
      </c>
      <c r="C121" s="166" t="s">
        <v>2088</v>
      </c>
      <c r="D121" s="162" t="s">
        <v>1700</v>
      </c>
      <c r="E121" s="163" t="s">
        <v>1928</v>
      </c>
      <c r="F121" s="164" t="s">
        <v>2089</v>
      </c>
      <c r="G121" s="165" t="s">
        <v>2090</v>
      </c>
      <c r="H121" s="164" t="str">
        <f>IF(G121="","",VLOOKUP(G121,'附表8-合同明细采集底稿'!B:I,2,0))</f>
        <v>37#楼社区用房</v>
      </c>
      <c r="I121" s="92" t="str">
        <f>IF(G121="","",VLOOKUP(G121,'附表8-合同明细采集底稿'!B:I,3,0))</f>
        <v>建设工程合同</v>
      </c>
      <c r="J121" s="164" t="str">
        <f>IF(G121="","",VLOOKUP(G121,'附表8-合同明细采集底稿'!B:I,4,0))</f>
        <v>新疆正杰建筑集团有限公司（张志勇）</v>
      </c>
      <c r="K121" s="164" t="s">
        <v>1711</v>
      </c>
      <c r="L121" s="165">
        <v>6500221130</v>
      </c>
      <c r="M121" s="165" t="s">
        <v>2091</v>
      </c>
      <c r="N121" s="173">
        <v>55045.87</v>
      </c>
      <c r="O121" s="173">
        <v>60000</v>
      </c>
      <c r="P121" s="174">
        <v>55045.87</v>
      </c>
      <c r="Q121" s="173"/>
      <c r="R121" s="173">
        <f t="shared" si="4"/>
        <v>55045.87</v>
      </c>
      <c r="S121" s="177">
        <f>IFERROR(VLOOKUP(G121,'附表8-合同明细采集底稿'!B:M,12,0),100%)</f>
        <v>0.329519901724361</v>
      </c>
      <c r="T121" s="173">
        <f t="shared" si="5"/>
        <v>18138.71</v>
      </c>
      <c r="U121" s="164"/>
      <c r="V121" s="178" t="s">
        <v>336</v>
      </c>
      <c r="W121" s="179">
        <f>IF('附表1-面积统计表'!$D$29=0,"",IF(AND(V121="共同成本费用",Z121="总建筑面积法"),ROUND(T121/'附表1-面积统计表'!$D$29*'附表1-面积统计表'!$D$5,2),IF(AND(V121="共同成本费用",Z121="可售建筑面积法"),ROUND(T121/'附表1-面积统计表'!$F$29*'附表1-面积统计表'!$F$5,2),"请手工填写")))</f>
        <v>6624.79</v>
      </c>
      <c r="X121" s="179">
        <f>IF(SUM('附表1-面积统计表'!$D$6)=0,"",SUM(T121)-SUM(W121)-SUM(Y121))</f>
        <v>8170.18</v>
      </c>
      <c r="Y121" s="179">
        <f>IF(SUM('附表1-面积统计表'!$D$6)=0,SUM(T121)-SUM(W121),IF('附表1-面积统计表'!$D$29=0,"",IF(AND(V121="共同成本费用",Z121="总建筑面积法"),ROUND(T121/'附表1-面积统计表'!$D$29*'附表1-面积统计表'!$D$7,2),IF(AND(V121="共同成本费用",Z121="可售建筑面积法"),ROUND(T121/'附表1-面积统计表'!$F$29*'附表1-面积统计表'!$F$7,2),"请手工填写"))))</f>
        <v>3343.74</v>
      </c>
      <c r="Z121" s="181" t="s">
        <v>311</v>
      </c>
      <c r="AA121" s="164"/>
      <c r="AB121" s="182" t="s">
        <v>1686</v>
      </c>
    </row>
    <row r="122" ht="29" hidden="1" customHeight="1" outlineLevel="1" spans="1:28">
      <c r="A122" s="159">
        <v>116</v>
      </c>
      <c r="B122" s="189" t="s">
        <v>2092</v>
      </c>
      <c r="C122" s="166" t="s">
        <v>2093</v>
      </c>
      <c r="D122" s="162" t="s">
        <v>1700</v>
      </c>
      <c r="E122" s="163" t="s">
        <v>1813</v>
      </c>
      <c r="F122" s="164" t="s">
        <v>2094</v>
      </c>
      <c r="G122" s="165" t="s">
        <v>2095</v>
      </c>
      <c r="H122" s="164" t="str">
        <f>IF(G122="","",VLOOKUP(G122,'附表8-合同明细采集底稿'!B:I,2,0))</f>
        <v>二期、三期给排水、消防工程施工合同-人防</v>
      </c>
      <c r="I122" s="92" t="str">
        <f>IF(G122="","",VLOOKUP(G122,'附表8-合同明细采集底稿'!B:I,3,0))</f>
        <v>建设工程合同</v>
      </c>
      <c r="J122" s="164" t="str">
        <f>IF(G122="","",VLOOKUP(G122,'附表8-合同明细采集底稿'!B:I,4,0))</f>
        <v>江苏中义消防工程有限公司巴州分公司（巩红卫）</v>
      </c>
      <c r="K122" s="164" t="s">
        <v>1711</v>
      </c>
      <c r="L122" s="165">
        <v>6500174130</v>
      </c>
      <c r="M122" s="165" t="s">
        <v>2096</v>
      </c>
      <c r="N122" s="173">
        <v>1064146.8</v>
      </c>
      <c r="O122" s="173">
        <v>1159920</v>
      </c>
      <c r="P122" s="174">
        <v>1064146.8</v>
      </c>
      <c r="Q122" s="173"/>
      <c r="R122" s="173">
        <f t="shared" si="4"/>
        <v>1064146.8</v>
      </c>
      <c r="S122" s="177">
        <f>IFERROR(VLOOKUP(G122,'附表8-合同明细采集底稿'!B:M,12,0),100%)</f>
        <v>0.318696696324277</v>
      </c>
      <c r="T122" s="173">
        <f t="shared" si="5"/>
        <v>339140.07</v>
      </c>
      <c r="U122" s="164"/>
      <c r="V122" s="178" t="s">
        <v>336</v>
      </c>
      <c r="W122" s="179">
        <f>IF('附表1-面积统计表'!$D$29=0,"",IF(AND(V122="共同成本费用",Z122="总建筑面积法"),ROUND(T122/'附表1-面积统计表'!$D$29*'附表1-面积统计表'!$D$5,2),IF(AND(V122="共同成本费用",Z122="可售建筑面积法"),ROUND(T122/'附表1-面积统计表'!$F$29*'附表1-面积统计表'!$F$5,2),"请手工填写")))</f>
        <v>123863.93</v>
      </c>
      <c r="X122" s="179">
        <f>IF(SUM('附表1-面积统计表'!$D$6)=0,"",SUM(T122)-SUM(W122)-SUM(Y122))</f>
        <v>152758.15</v>
      </c>
      <c r="Y122" s="179">
        <f>IF(SUM('附表1-面积统计表'!$D$6)=0,SUM(T122)-SUM(W122),IF('附表1-面积统计表'!$D$29=0,"",IF(AND(V122="共同成本费用",Z122="总建筑面积法"),ROUND(T122/'附表1-面积统计表'!$D$29*'附表1-面积统计表'!$D$7,2),IF(AND(V122="共同成本费用",Z122="可售建筑面积法"),ROUND(T122/'附表1-面积统计表'!$F$29*'附表1-面积统计表'!$F$7,2),"请手工填写"))))</f>
        <v>62517.99</v>
      </c>
      <c r="Z122" s="181" t="s">
        <v>311</v>
      </c>
      <c r="AA122" s="164"/>
      <c r="AB122" s="182" t="s">
        <v>1686</v>
      </c>
    </row>
    <row r="123" s="141" customFormat="1" ht="29" hidden="1" customHeight="1" outlineLevel="1" spans="1:16384">
      <c r="A123" s="190">
        <v>117</v>
      </c>
      <c r="B123" s="191" t="s">
        <v>2092</v>
      </c>
      <c r="C123" s="192" t="s">
        <v>2097</v>
      </c>
      <c r="D123" s="193" t="s">
        <v>1700</v>
      </c>
      <c r="E123" s="194" t="s">
        <v>1813</v>
      </c>
      <c r="F123" s="195" t="s">
        <v>2098</v>
      </c>
      <c r="G123" s="196" t="s">
        <v>2029</v>
      </c>
      <c r="H123" s="195" t="str">
        <f>IF(G123="","",VLOOKUP(G123,'附表8-合同明细采集底稿'!B:I,2,0))</f>
        <v>沁春锦苑18#、21#、22#楼、37#社区、地下车库及人防部分建设工程（地下人防）</v>
      </c>
      <c r="I123" s="202" t="str">
        <f>IF(G123="","",VLOOKUP(G123,'附表8-合同明细采集底稿'!B:I,3,0))</f>
        <v>建设工程合同</v>
      </c>
      <c r="J123" s="195" t="str">
        <f>IF(G123="","",VLOOKUP(G123,'附表8-合同明细采集底稿'!B:I,4,0))</f>
        <v>新疆通力建设集团股份有限公司（高）</v>
      </c>
      <c r="K123" s="195" t="s">
        <v>1711</v>
      </c>
      <c r="L123" s="196">
        <v>6500221130</v>
      </c>
      <c r="M123" s="196" t="s">
        <v>2099</v>
      </c>
      <c r="N123" s="203">
        <v>2752293.58</v>
      </c>
      <c r="O123" s="203">
        <v>3000000</v>
      </c>
      <c r="P123" s="204">
        <v>2752293.58</v>
      </c>
      <c r="Q123" s="203"/>
      <c r="R123" s="203">
        <f t="shared" si="4"/>
        <v>2752293.58</v>
      </c>
      <c r="S123" s="209">
        <f>IFERROR(VLOOKUP(G123,'附表8-合同明细采集底稿'!B:M,12,0),100%)</f>
        <v>0.318696696324277</v>
      </c>
      <c r="T123" s="203">
        <f t="shared" si="5"/>
        <v>877146.87</v>
      </c>
      <c r="U123" s="210" t="s">
        <v>2031</v>
      </c>
      <c r="V123" s="211" t="s">
        <v>336</v>
      </c>
      <c r="W123" s="212">
        <f>IF('附表1-面积统计表'!$D$29=0,"",IF(AND(V123="共同成本费用",Z123="总建筑面积法"),ROUND(T123/'附表1-面积统计表'!$D$29*'附表1-面积统计表'!$D$5,2),IF(AND(V123="共同成本费用",Z123="可售建筑面积法"),ROUND(T123/'附表1-面积统计表'!$F$29*'附表1-面积统计表'!$F$5,2),"请手工填写")))</f>
        <v>320359.84</v>
      </c>
      <c r="X123" s="212">
        <f>IF(SUM('附表1-面积统计表'!$D$6)=0,"",SUM(T123)-SUM(W123)-SUM(Y123))</f>
        <v>395091.42</v>
      </c>
      <c r="Y123" s="212">
        <f>IF(SUM('附表1-面积统计表'!$D$6)=0,SUM(T123)-SUM(W123),IF('附表1-面积统计表'!$D$29=0,"",IF(AND(V123="共同成本费用",Z123="总建筑面积法"),ROUND(T123/'附表1-面积统计表'!$D$29*'附表1-面积统计表'!$D$7,2),IF(AND(V123="共同成本费用",Z123="可售建筑面积法"),ROUND(T123/'附表1-面积统计表'!$F$29*'附表1-面积统计表'!$F$7,2),"请手工填写"))))</f>
        <v>161695.61</v>
      </c>
      <c r="Z123" s="215" t="s">
        <v>311</v>
      </c>
      <c r="AA123" s="195"/>
      <c r="AB123" s="216" t="s">
        <v>1686</v>
      </c>
      <c r="XEO123" s="80"/>
      <c r="XEP123" s="80"/>
      <c r="XEQ123" s="80"/>
      <c r="XER123" s="80"/>
      <c r="XES123" s="80"/>
      <c r="XET123" s="80"/>
      <c r="XEU123" s="80"/>
      <c r="XEV123" s="80"/>
      <c r="XEW123" s="80"/>
      <c r="XEX123" s="80"/>
      <c r="XEY123" s="80"/>
      <c r="XEZ123" s="80"/>
      <c r="XFA123" s="80"/>
      <c r="XFB123" s="80"/>
      <c r="XFC123" s="80"/>
      <c r="XFD123" s="80"/>
    </row>
    <row r="124" ht="29" hidden="1" customHeight="1" outlineLevel="1" spans="1:28">
      <c r="A124" s="159">
        <v>118</v>
      </c>
      <c r="B124" s="189" t="s">
        <v>2100</v>
      </c>
      <c r="C124" s="166">
        <v>75</v>
      </c>
      <c r="D124" s="162" t="s">
        <v>1739</v>
      </c>
      <c r="E124" s="163" t="s">
        <v>1794</v>
      </c>
      <c r="F124" s="164" t="s">
        <v>2101</v>
      </c>
      <c r="G124" s="165" t="s">
        <v>2102</v>
      </c>
      <c r="H124" s="164" t="str">
        <f>IF(G124="","",VLOOKUP(G124,'附表8-合同明细采集底稿'!B:I,2,0))</f>
        <v>沁春锦苑大字制作合同</v>
      </c>
      <c r="I124" s="92" t="str">
        <f>IF(G124="","",VLOOKUP(G124,'附表8-合同明细采集底稿'!B:I,3,0))</f>
        <v>承揽合同</v>
      </c>
      <c r="J124" s="164" t="str">
        <f>IF(G124="","",VLOOKUP(G124,'附表8-合同明细采集底稿'!B:I,4,0))</f>
        <v>巴州青橄榄电子科技有限公司（党曌）</v>
      </c>
      <c r="K124" s="164" t="s">
        <v>1711</v>
      </c>
      <c r="L124" s="165">
        <v>6500221130</v>
      </c>
      <c r="M124" s="165" t="s">
        <v>2103</v>
      </c>
      <c r="N124" s="173">
        <v>41747.57</v>
      </c>
      <c r="O124" s="173">
        <v>43000</v>
      </c>
      <c r="P124" s="174">
        <v>41747.57</v>
      </c>
      <c r="Q124" s="173"/>
      <c r="R124" s="173">
        <f t="shared" si="4"/>
        <v>41747.57</v>
      </c>
      <c r="S124" s="177">
        <f>IFERROR(VLOOKUP(G124,'附表8-合同明细采集底稿'!B:M,12,0),100%)</f>
        <v>0.329519901724361</v>
      </c>
      <c r="T124" s="173">
        <f t="shared" si="5"/>
        <v>13756.66</v>
      </c>
      <c r="U124" s="164"/>
      <c r="V124" s="178" t="s">
        <v>336</v>
      </c>
      <c r="W124" s="179">
        <f>IF('附表1-面积统计表'!$D$29=0,"",IF(AND(V124="共同成本费用",Z124="总建筑面积法"),ROUND(T124/'附表1-面积统计表'!$D$29*'附表1-面积统计表'!$D$5,2),IF(AND(V124="共同成本费用",Z124="可售建筑面积法"),ROUND(T124/'附表1-面积统计表'!$F$29*'附表1-面积统计表'!$F$5,2),"请手工填写")))</f>
        <v>5024.34</v>
      </c>
      <c r="X124" s="179">
        <f>IF(SUM('附表1-面积统计表'!$D$6)=0,"",SUM(T124)-SUM(W124)-SUM(Y124))</f>
        <v>6196.38</v>
      </c>
      <c r="Y124" s="179">
        <f>IF(SUM('附表1-面积统计表'!$D$6)=0,SUM(T124)-SUM(W124),IF('附表1-面积统计表'!$D$29=0,"",IF(AND(V124="共同成本费用",Z124="总建筑面积法"),ROUND(T124/'附表1-面积统计表'!$D$29*'附表1-面积统计表'!$D$7,2),IF(AND(V124="共同成本费用",Z124="可售建筑面积法"),ROUND(T124/'附表1-面积统计表'!$F$29*'附表1-面积统计表'!$F$7,2),"请手工填写"))))</f>
        <v>2535.94</v>
      </c>
      <c r="Z124" s="181" t="s">
        <v>311</v>
      </c>
      <c r="AA124" s="164"/>
      <c r="AB124" s="182" t="s">
        <v>1686</v>
      </c>
    </row>
    <row r="125" ht="29" hidden="1" customHeight="1" outlineLevel="1" spans="1:28">
      <c r="A125" s="159">
        <v>119</v>
      </c>
      <c r="B125" s="197" t="s">
        <v>2104</v>
      </c>
      <c r="C125" s="198" t="s">
        <v>2105</v>
      </c>
      <c r="D125" s="162" t="s">
        <v>1739</v>
      </c>
      <c r="E125" s="163" t="s">
        <v>1819</v>
      </c>
      <c r="F125" s="164" t="s">
        <v>2106</v>
      </c>
      <c r="G125" s="165" t="s">
        <v>2107</v>
      </c>
      <c r="H125" s="164" t="str">
        <f>IF(G125="","",VLOOKUP(G125,'附表8-合同明细采集底稿'!B:I,2,0))</f>
        <v>逸航折叠方采购合同</v>
      </c>
      <c r="I125" s="92" t="str">
        <f>IF(G125="","",VLOOKUP(G125,'附表8-合同明细采集底稿'!B:I,3,0))</f>
        <v>买卖合同</v>
      </c>
      <c r="J125" s="164" t="str">
        <f>IF(G125="","",VLOOKUP(G125,'附表8-合同明细采集底稿'!B:I,4,0))</f>
        <v>河北逸航新诺集成房屋有限公司</v>
      </c>
      <c r="K125" s="164" t="s">
        <v>1711</v>
      </c>
      <c r="L125" s="165">
        <v>1300224130</v>
      </c>
      <c r="M125" s="165" t="s">
        <v>2108</v>
      </c>
      <c r="N125" s="173">
        <v>9734.51</v>
      </c>
      <c r="O125" s="173">
        <v>11000</v>
      </c>
      <c r="P125" s="174">
        <v>9734.51</v>
      </c>
      <c r="Q125" s="173">
        <v>-9734.51</v>
      </c>
      <c r="R125" s="173">
        <f t="shared" si="4"/>
        <v>0</v>
      </c>
      <c r="S125" s="177">
        <f>IFERROR(VLOOKUP(G125,'附表8-合同明细采集底稿'!B:M,12,0),100%)</f>
        <v>0.329519901724361</v>
      </c>
      <c r="T125" s="173">
        <f t="shared" si="5"/>
        <v>0</v>
      </c>
      <c r="U125" s="164"/>
      <c r="V125" s="178" t="s">
        <v>336</v>
      </c>
      <c r="W125" s="179">
        <f>IF('附表1-面积统计表'!$D$29=0,"",IF(AND(V125="共同成本费用",Z125="总建筑面积法"),ROUND(T125/'附表1-面积统计表'!$D$29*'附表1-面积统计表'!$D$5,2),IF(AND(V125="共同成本费用",Z125="可售建筑面积法"),ROUND(T125/'附表1-面积统计表'!$F$29*'附表1-面积统计表'!$F$5,2),"请手工填写")))</f>
        <v>0</v>
      </c>
      <c r="X125" s="179">
        <f>IF(SUM('附表1-面积统计表'!$D$6)=0,"",SUM(T125)-SUM(W125)-SUM(Y125))</f>
        <v>0</v>
      </c>
      <c r="Y125" s="179">
        <f>IF(SUM('附表1-面积统计表'!$D$6)=0,SUM(T125)-SUM(W125),IF('附表1-面积统计表'!$D$29=0,"",IF(AND(V125="共同成本费用",Z125="总建筑面积法"),ROUND(T125/'附表1-面积统计表'!$D$29*'附表1-面积统计表'!$D$7,2),IF(AND(V125="共同成本费用",Z125="可售建筑面积法"),ROUND(T125/'附表1-面积统计表'!$F$29*'附表1-面积统计表'!$F$7,2),"请手工填写"))))</f>
        <v>0</v>
      </c>
      <c r="Z125" s="181" t="s">
        <v>311</v>
      </c>
      <c r="AA125" s="164"/>
      <c r="AB125" s="182" t="s">
        <v>1686</v>
      </c>
    </row>
    <row r="126" ht="29" hidden="1" customHeight="1" outlineLevel="1" spans="1:28">
      <c r="A126" s="159">
        <v>121</v>
      </c>
      <c r="B126" s="197" t="s">
        <v>2109</v>
      </c>
      <c r="C126" s="198" t="s">
        <v>2110</v>
      </c>
      <c r="D126" s="162" t="s">
        <v>1700</v>
      </c>
      <c r="E126" s="163" t="s">
        <v>1880</v>
      </c>
      <c r="F126" s="164" t="s">
        <v>2111</v>
      </c>
      <c r="G126" s="165" t="s">
        <v>2112</v>
      </c>
      <c r="H126" s="164" t="str">
        <f>IF(G126="","",VLOOKUP(G126,'附表8-合同明细采集底稿'!B:I,2,0))</f>
        <v>沁春锦苑驻车器</v>
      </c>
      <c r="I126" s="92" t="str">
        <f>IF(G126="","",VLOOKUP(G126,'附表8-合同明细采集底稿'!B:I,3,0))</f>
        <v>建设工程合同</v>
      </c>
      <c r="J126" s="164" t="str">
        <f>IF(G126="","",VLOOKUP(G126,'附表8-合同明细采集底稿'!B:I,4,0))</f>
        <v>巴州青橄榄电子科技有限公司（党曌）</v>
      </c>
      <c r="K126" s="164" t="s">
        <v>1711</v>
      </c>
      <c r="L126" s="165">
        <v>6500221130</v>
      </c>
      <c r="M126" s="165" t="s">
        <v>2113</v>
      </c>
      <c r="N126" s="173">
        <v>6679.61</v>
      </c>
      <c r="O126" s="173">
        <v>6880</v>
      </c>
      <c r="P126" s="174">
        <v>6679.61</v>
      </c>
      <c r="Q126" s="173"/>
      <c r="R126" s="173">
        <f t="shared" si="4"/>
        <v>6679.61</v>
      </c>
      <c r="S126" s="177">
        <f>IFERROR(VLOOKUP(G126,'附表8-合同明细采集底稿'!B:M,12,0),100%)</f>
        <v>0.329519901724361</v>
      </c>
      <c r="T126" s="173">
        <f t="shared" si="5"/>
        <v>2201.06</v>
      </c>
      <c r="U126" s="164"/>
      <c r="V126" s="178" t="s">
        <v>336</v>
      </c>
      <c r="W126" s="179">
        <f>IF('附表1-面积统计表'!$D$29=0,"",IF(AND(V126="共同成本费用",Z126="总建筑面积法"),ROUND(T126/'附表1-面积统计表'!$D$29*'附表1-面积统计表'!$D$5,2),IF(AND(V126="共同成本费用",Z126="可售建筑面积法"),ROUND(T126/'附表1-面积统计表'!$F$29*'附表1-面积统计表'!$F$5,2),"请手工填写")))</f>
        <v>803.89</v>
      </c>
      <c r="X126" s="179">
        <f>IF(SUM('附表1-面积统计表'!$D$6)=0,"",SUM(T126)-SUM(W126)-SUM(Y126))</f>
        <v>991.42</v>
      </c>
      <c r="Y126" s="179">
        <f>IF(SUM('附表1-面积统计表'!$D$6)=0,SUM(T126)-SUM(W126),IF('附表1-面积统计表'!$D$29=0,"",IF(AND(V126="共同成本费用",Z126="总建筑面积法"),ROUND(T126/'附表1-面积统计表'!$D$29*'附表1-面积统计表'!$D$7,2),IF(AND(V126="共同成本费用",Z126="可售建筑面积法"),ROUND(T126/'附表1-面积统计表'!$F$29*'附表1-面积统计表'!$F$7,2),"请手工填写"))))</f>
        <v>405.75</v>
      </c>
      <c r="Z126" s="181" t="s">
        <v>311</v>
      </c>
      <c r="AA126" s="164"/>
      <c r="AB126" s="182" t="s">
        <v>1686</v>
      </c>
    </row>
    <row r="127" ht="29" hidden="1" customHeight="1" outlineLevel="1" spans="1:28">
      <c r="A127" s="159">
        <v>122</v>
      </c>
      <c r="B127" s="197" t="s">
        <v>2114</v>
      </c>
      <c r="C127" s="198" t="s">
        <v>2115</v>
      </c>
      <c r="D127" s="162" t="s">
        <v>1700</v>
      </c>
      <c r="E127" s="163" t="s">
        <v>1875</v>
      </c>
      <c r="F127" s="164" t="s">
        <v>2116</v>
      </c>
      <c r="G127" s="165" t="s">
        <v>2004</v>
      </c>
      <c r="H127" s="164" t="str">
        <f>IF(G127="","",VLOOKUP(G127,'附表8-合同明细采集底稿'!B:I,2,0))</f>
        <v>二期、三期给排水、消防工程施工合同-幼儿园</v>
      </c>
      <c r="I127" s="92" t="str">
        <f>IF(G127="","",VLOOKUP(G127,'附表8-合同明细采集底稿'!B:I,3,0))</f>
        <v>建设工程合同</v>
      </c>
      <c r="J127" s="164" t="str">
        <f>IF(G127="","",VLOOKUP(G127,'附表8-合同明细采集底稿'!B:I,4,0))</f>
        <v>江苏中义消防工程有限公司巴州分公司（巩红卫）</v>
      </c>
      <c r="K127" s="164" t="s">
        <v>1711</v>
      </c>
      <c r="L127" s="165">
        <v>6500223130</v>
      </c>
      <c r="M127" s="165" t="s">
        <v>2117</v>
      </c>
      <c r="N127" s="173">
        <v>100644.2</v>
      </c>
      <c r="O127" s="173">
        <v>109702.18</v>
      </c>
      <c r="P127" s="174">
        <v>100644.2</v>
      </c>
      <c r="Q127" s="173"/>
      <c r="R127" s="173">
        <f t="shared" si="4"/>
        <v>100644.2</v>
      </c>
      <c r="S127" s="177">
        <f>IFERROR(VLOOKUP(G127,'附表8-合同明细采集底稿'!B:M,12,0),100%)</f>
        <v>0.329519901724361</v>
      </c>
      <c r="T127" s="173">
        <f t="shared" si="5"/>
        <v>33164.27</v>
      </c>
      <c r="U127" s="164"/>
      <c r="V127" s="178" t="s">
        <v>336</v>
      </c>
      <c r="W127" s="179">
        <f>IF('附表1-面积统计表'!$D$29=0,"",IF(AND(V127="共同成本费用",Z127="总建筑面积法"),ROUND(T127/'附表1-面积统计表'!$D$29*'附表1-面积统计表'!$D$5,2),IF(AND(V127="共同成本费用",Z127="可售建筑面积法"),ROUND(T127/'附表1-面积统计表'!$F$29*'附表1-面积统计表'!$F$5,2),"请手工填写")))</f>
        <v>12112.57</v>
      </c>
      <c r="X127" s="179">
        <f>IF(SUM('附表1-面积统计表'!$D$6)=0,"",SUM(T127)-SUM(W127)-SUM(Y127))</f>
        <v>14938.11</v>
      </c>
      <c r="Y127" s="179">
        <f>IF(SUM('附表1-面积统计表'!$D$6)=0,SUM(T127)-SUM(W127),IF('附表1-面积统计表'!$D$29=0,"",IF(AND(V127="共同成本费用",Z127="总建筑面积法"),ROUND(T127/'附表1-面积统计表'!$D$29*'附表1-面积统计表'!$D$7,2),IF(AND(V127="共同成本费用",Z127="可售建筑面积法"),ROUND(T127/'附表1-面积统计表'!$F$29*'附表1-面积统计表'!$F$7,2),"请手工填写"))))</f>
        <v>6113.59</v>
      </c>
      <c r="Z127" s="181" t="s">
        <v>311</v>
      </c>
      <c r="AA127" s="164"/>
      <c r="AB127" s="182" t="s">
        <v>1686</v>
      </c>
    </row>
    <row r="128" ht="29" hidden="1" customHeight="1" outlineLevel="1" spans="1:28">
      <c r="A128" s="159">
        <v>123</v>
      </c>
      <c r="B128" s="197" t="s">
        <v>2114</v>
      </c>
      <c r="C128" s="198" t="s">
        <v>2118</v>
      </c>
      <c r="D128" s="162" t="s">
        <v>1700</v>
      </c>
      <c r="E128" s="163" t="s">
        <v>1875</v>
      </c>
      <c r="F128" s="164" t="s">
        <v>2119</v>
      </c>
      <c r="G128" s="165" t="s">
        <v>2120</v>
      </c>
      <c r="H128" s="164" t="str">
        <f>IF(G128="","",VLOOKUP(G128,'附表8-合同明细采集底稿'!B:I,2,0))</f>
        <v>沁春锦苑4#6#8#11#16#31#、36#楼铝合金门窗-幼儿园</v>
      </c>
      <c r="I128" s="92" t="str">
        <f>IF(G128="","",VLOOKUP(G128,'附表8-合同明细采集底稿'!B:I,3,0))</f>
        <v>买卖合同</v>
      </c>
      <c r="J128" s="164" t="str">
        <f>IF(G128="","",VLOOKUP(G128,'附表8-合同明细采集底稿'!B:I,4,0))</f>
        <v>库尔勒坚乐美建筑工程有限责任公司（郑长银）</v>
      </c>
      <c r="K128" s="164" t="s">
        <v>1711</v>
      </c>
      <c r="L128" s="165">
        <v>6500223130</v>
      </c>
      <c r="M128" s="165" t="s">
        <v>2121</v>
      </c>
      <c r="N128" s="173">
        <v>124450.54</v>
      </c>
      <c r="O128" s="173">
        <v>140629.1</v>
      </c>
      <c r="P128" s="174">
        <v>124450.54</v>
      </c>
      <c r="Q128" s="173">
        <v>43341.3184070797</v>
      </c>
      <c r="R128" s="173">
        <f t="shared" si="4"/>
        <v>167791.85840708</v>
      </c>
      <c r="S128" s="177">
        <f>IFERROR(VLOOKUP(G128,'附表8-合同明细采集底稿'!B:M,12,0),100%)</f>
        <v>0.329519901724361</v>
      </c>
      <c r="T128" s="173">
        <f t="shared" si="5"/>
        <v>55290.76</v>
      </c>
      <c r="U128" s="164"/>
      <c r="V128" s="178" t="s">
        <v>336</v>
      </c>
      <c r="W128" s="179">
        <f>IF('附表1-面积统计表'!$D$29=0,"",IF(AND(V128="共同成本费用",Z128="总建筑面积法"),ROUND(T128/'附表1-面积统计表'!$D$29*'附表1-面积统计表'!$D$5,2),IF(AND(V128="共同成本费用",Z128="可售建筑面积法"),ROUND(T128/'附表1-面积统计表'!$F$29*'附表1-面积统计表'!$F$5,2),"请手工填写")))</f>
        <v>20193.81</v>
      </c>
      <c r="X128" s="179">
        <f>IF(SUM('附表1-面积统计表'!$D$6)=0,"",SUM(T128)-SUM(W128)-SUM(Y128))</f>
        <v>24904.5</v>
      </c>
      <c r="Y128" s="179">
        <f>IF(SUM('附表1-面积统计表'!$D$6)=0,SUM(T128)-SUM(W128),IF('附表1-面积统计表'!$D$29=0,"",IF(AND(V128="共同成本费用",Z128="总建筑面积法"),ROUND(T128/'附表1-面积统计表'!$D$29*'附表1-面积统计表'!$D$7,2),IF(AND(V128="共同成本费用",Z128="可售建筑面积法"),ROUND(T128/'附表1-面积统计表'!$F$29*'附表1-面积统计表'!$F$7,2),"请手工填写"))))</f>
        <v>10192.45</v>
      </c>
      <c r="Z128" s="181" t="s">
        <v>311</v>
      </c>
      <c r="AA128" s="164"/>
      <c r="AB128" s="182" t="s">
        <v>1686</v>
      </c>
    </row>
    <row r="129" ht="29" hidden="1" customHeight="1" outlineLevel="1" spans="1:28">
      <c r="A129" s="159">
        <v>124</v>
      </c>
      <c r="B129" s="197" t="s">
        <v>2122</v>
      </c>
      <c r="C129" s="198" t="s">
        <v>2123</v>
      </c>
      <c r="D129" s="162" t="s">
        <v>1700</v>
      </c>
      <c r="E129" s="163" t="s">
        <v>1928</v>
      </c>
      <c r="F129" s="164" t="s">
        <v>2124</v>
      </c>
      <c r="G129" s="165" t="s">
        <v>2125</v>
      </c>
      <c r="H129" s="164" t="str">
        <f>IF(G129="","",VLOOKUP(G129,'附表8-合同明细采集底稿'!B:I,2,0))</f>
        <v>沁春锦苑18#、21#、22#楼、37#社区、地下车库及人防部分建设工程（37#社区）</v>
      </c>
      <c r="I129" s="92" t="str">
        <f>IF(G129="","",VLOOKUP(G129,'附表8-合同明细采集底稿'!B:I,3,0))</f>
        <v>建设工程合同</v>
      </c>
      <c r="J129" s="164" t="str">
        <f>IF(G129="","",VLOOKUP(G129,'附表8-合同明细采集底稿'!B:I,4,0))</f>
        <v>新疆通力建设集团股份有限公司（高）</v>
      </c>
      <c r="K129" s="164" t="s">
        <v>1711</v>
      </c>
      <c r="L129" s="165">
        <v>6500231130</v>
      </c>
      <c r="M129" s="165" t="s">
        <v>2126</v>
      </c>
      <c r="N129" s="173">
        <v>543528.44</v>
      </c>
      <c r="O129" s="173">
        <v>592446</v>
      </c>
      <c r="P129" s="174">
        <v>543528.44</v>
      </c>
      <c r="Q129" s="173"/>
      <c r="R129" s="173">
        <f t="shared" si="4"/>
        <v>543528.44</v>
      </c>
      <c r="S129" s="177">
        <f>IFERROR(VLOOKUP(G129,'附表8-合同明细采集底稿'!B:M,12,0),100%)</f>
        <v>0.329519901724361</v>
      </c>
      <c r="T129" s="173">
        <f t="shared" si="5"/>
        <v>179103.44</v>
      </c>
      <c r="U129" s="164"/>
      <c r="V129" s="178" t="s">
        <v>336</v>
      </c>
      <c r="W129" s="179">
        <f>IF('附表1-面积统计表'!$D$29=0,"",IF(AND(V129="共同成本费用",Z129="总建筑面积法"),ROUND(T129/'附表1-面积统计表'!$D$29*'附表1-面积统计表'!$D$5,2),IF(AND(V129="共同成本费用",Z129="可售建筑面积法"),ROUND(T129/'附表1-面积统计表'!$F$29*'附表1-面积统计表'!$F$5,2),"请手工填写")))</f>
        <v>65413.84</v>
      </c>
      <c r="X129" s="179">
        <f>IF(SUM('附表1-面积统计表'!$D$6)=0,"",SUM(T129)-SUM(W129)-SUM(Y129))</f>
        <v>80673.19</v>
      </c>
      <c r="Y129" s="179">
        <f>IF(SUM('附表1-面积统计表'!$D$6)=0,SUM(T129)-SUM(W129),IF('附表1-面积统计表'!$D$29=0,"",IF(AND(V129="共同成本费用",Z129="总建筑面积法"),ROUND(T129/'附表1-面积统计表'!$D$29*'附表1-面积统计表'!$D$7,2),IF(AND(V129="共同成本费用",Z129="可售建筑面积法"),ROUND(T129/'附表1-面积统计表'!$F$29*'附表1-面积统计表'!$F$7,2),"请手工填写"))))</f>
        <v>33016.41</v>
      </c>
      <c r="Z129" s="181" t="s">
        <v>311</v>
      </c>
      <c r="AA129" s="164"/>
      <c r="AB129" s="182" t="s">
        <v>1686</v>
      </c>
    </row>
    <row r="130" ht="29" hidden="1" customHeight="1" outlineLevel="1" spans="1:28">
      <c r="A130" s="159">
        <v>125</v>
      </c>
      <c r="B130" s="197" t="s">
        <v>2127</v>
      </c>
      <c r="C130" s="198" t="s">
        <v>2128</v>
      </c>
      <c r="D130" s="162" t="s">
        <v>1700</v>
      </c>
      <c r="E130" s="163" t="s">
        <v>1928</v>
      </c>
      <c r="F130" s="164" t="s">
        <v>2129</v>
      </c>
      <c r="G130" s="165" t="s">
        <v>1697</v>
      </c>
      <c r="H130" s="164">
        <f>IF(G130="","",VLOOKUP(G130,'附表8-合同明细采集底稿'!B:I,2,0))</f>
        <v>0</v>
      </c>
      <c r="I130" s="92">
        <f>IF(G130="","",VLOOKUP(G130,'附表8-合同明细采集底稿'!B:I,3,0))</f>
        <v>0</v>
      </c>
      <c r="J130" s="164" t="s">
        <v>2130</v>
      </c>
      <c r="K130" s="164" t="s">
        <v>1711</v>
      </c>
      <c r="L130" s="165">
        <v>6500231130</v>
      </c>
      <c r="M130" s="165" t="s">
        <v>2131</v>
      </c>
      <c r="N130" s="173">
        <v>70796.46</v>
      </c>
      <c r="O130" s="173">
        <v>80000</v>
      </c>
      <c r="P130" s="174">
        <v>70796.46</v>
      </c>
      <c r="Q130" s="173"/>
      <c r="R130" s="173">
        <f t="shared" si="4"/>
        <v>70796.46</v>
      </c>
      <c r="S130" s="177">
        <f>IFERROR(VLOOKUP(G130,'附表8-合同明细采集底稿'!B:M,12,0),100%)</f>
        <v>0.329519901724361</v>
      </c>
      <c r="T130" s="173">
        <f t="shared" si="5"/>
        <v>23328.84</v>
      </c>
      <c r="U130" s="164"/>
      <c r="V130" s="178" t="s">
        <v>336</v>
      </c>
      <c r="W130" s="179">
        <f>IF('附表1-面积统计表'!$D$29=0,"",IF(AND(V130="共同成本费用",Z130="总建筑面积法"),ROUND(T130/'附表1-面积统计表'!$D$29*'附表1-面积统计表'!$D$5,2),IF(AND(V130="共同成本费用",Z130="可售建筑面积法"),ROUND(T130/'附表1-面积统计表'!$F$29*'附表1-面积统计表'!$F$5,2),"请手工填写")))</f>
        <v>8520.38</v>
      </c>
      <c r="X130" s="179">
        <f>IF(SUM('附表1-面积统计表'!$D$6)=0,"",SUM(T130)-SUM(W130)-SUM(Y130))</f>
        <v>10507.96</v>
      </c>
      <c r="Y130" s="179">
        <f>IF(SUM('附表1-面积统计表'!$D$6)=0,SUM(T130)-SUM(W130),IF('附表1-面积统计表'!$D$29=0,"",IF(AND(V130="共同成本费用",Z130="总建筑面积法"),ROUND(T130/'附表1-面积统计表'!$D$29*'附表1-面积统计表'!$D$7,2),IF(AND(V130="共同成本费用",Z130="可售建筑面积法"),ROUND(T130/'附表1-面积统计表'!$F$29*'附表1-面积统计表'!$F$7,2),"请手工填写"))))</f>
        <v>4300.5</v>
      </c>
      <c r="Z130" s="181" t="s">
        <v>311</v>
      </c>
      <c r="AA130" s="164"/>
      <c r="AB130" s="182" t="s">
        <v>1686</v>
      </c>
    </row>
    <row r="131" ht="29" hidden="1" customHeight="1" outlineLevel="1" spans="1:28">
      <c r="A131" s="159">
        <v>126</v>
      </c>
      <c r="B131" s="197" t="s">
        <v>2132</v>
      </c>
      <c r="C131" s="198" t="s">
        <v>2133</v>
      </c>
      <c r="D131" s="162" t="s">
        <v>1700</v>
      </c>
      <c r="E131" s="163" t="s">
        <v>1813</v>
      </c>
      <c r="F131" s="164" t="s">
        <v>2134</v>
      </c>
      <c r="G131" s="165" t="s">
        <v>2095</v>
      </c>
      <c r="H131" s="164" t="str">
        <f>IF(G131="","",VLOOKUP(G131,'附表8-合同明细采集底稿'!B:I,2,0))</f>
        <v>二期、三期给排水、消防工程施工合同-人防</v>
      </c>
      <c r="I131" s="92" t="str">
        <f>IF(G131="","",VLOOKUP(G131,'附表8-合同明细采集底稿'!B:I,3,0))</f>
        <v>建设工程合同</v>
      </c>
      <c r="J131" s="164" t="str">
        <f>IF(G131="","",VLOOKUP(G131,'附表8-合同明细采集底稿'!B:I,4,0))</f>
        <v>江苏中义消防工程有限公司巴州分公司（巩红卫）</v>
      </c>
      <c r="K131" s="164" t="s">
        <v>1711</v>
      </c>
      <c r="L131" s="165">
        <v>6500223130</v>
      </c>
      <c r="M131" s="165" t="s">
        <v>2135</v>
      </c>
      <c r="N131" s="173">
        <v>38449.5</v>
      </c>
      <c r="O131" s="173">
        <v>41909.95</v>
      </c>
      <c r="P131" s="174">
        <v>38449.5</v>
      </c>
      <c r="Q131" s="173"/>
      <c r="R131" s="173">
        <f t="shared" si="4"/>
        <v>38449.5</v>
      </c>
      <c r="S131" s="177">
        <f>IFERROR(VLOOKUP(G131,'附表8-合同明细采集底稿'!B:M,12,0),100%)</f>
        <v>0.318696696324277</v>
      </c>
      <c r="T131" s="173">
        <f t="shared" si="5"/>
        <v>12253.73</v>
      </c>
      <c r="U131" s="164"/>
      <c r="V131" s="178" t="s">
        <v>336</v>
      </c>
      <c r="W131" s="179">
        <f>IF('附表1-面积统计表'!$D$29=0,"",IF(AND(V131="共同成本费用",Z131="总建筑面积法"),ROUND(T131/'附表1-面积统计表'!$D$29*'附表1-面积统计表'!$D$5,2),IF(AND(V131="共同成本费用",Z131="可售建筑面积法"),ROUND(T131/'附表1-面积统计表'!$F$29*'附表1-面积统计表'!$F$5,2),"请手工填写")))</f>
        <v>4475.42</v>
      </c>
      <c r="X131" s="179">
        <f>IF(SUM('附表1-面积统计表'!$D$6)=0,"",SUM(T131)-SUM(W131)-SUM(Y131))</f>
        <v>5519.42</v>
      </c>
      <c r="Y131" s="179">
        <f>IF(SUM('附表1-面积统计表'!$D$6)=0,SUM(T131)-SUM(W131),IF('附表1-面积统计表'!$D$29=0,"",IF(AND(V131="共同成本费用",Z131="总建筑面积法"),ROUND(T131/'附表1-面积统计表'!$D$29*'附表1-面积统计表'!$D$7,2),IF(AND(V131="共同成本费用",Z131="可售建筑面积法"),ROUND(T131/'附表1-面积统计表'!$F$29*'附表1-面积统计表'!$F$7,2),"请手工填写"))))</f>
        <v>2258.89</v>
      </c>
      <c r="Z131" s="181" t="s">
        <v>311</v>
      </c>
      <c r="AA131" s="164"/>
      <c r="AB131" s="182" t="s">
        <v>1686</v>
      </c>
    </row>
    <row r="132" ht="29" hidden="1" customHeight="1" outlineLevel="1" spans="1:28">
      <c r="A132" s="159">
        <v>127</v>
      </c>
      <c r="B132" s="197" t="s">
        <v>2114</v>
      </c>
      <c r="C132" s="198" t="s">
        <v>2115</v>
      </c>
      <c r="D132" s="162" t="s">
        <v>1700</v>
      </c>
      <c r="E132" s="163" t="s">
        <v>1813</v>
      </c>
      <c r="F132" s="164" t="s">
        <v>2116</v>
      </c>
      <c r="G132" s="165" t="s">
        <v>2095</v>
      </c>
      <c r="H132" s="164" t="str">
        <f>IF(G132="","",VLOOKUP(G132,'附表8-合同明细采集底稿'!B:I,2,0))</f>
        <v>二期、三期给排水、消防工程施工合同-人防</v>
      </c>
      <c r="I132" s="92" t="str">
        <f>IF(G132="","",VLOOKUP(G132,'附表8-合同明细采集底稿'!B:I,3,0))</f>
        <v>建设工程合同</v>
      </c>
      <c r="J132" s="164" t="str">
        <f>IF(G132="","",VLOOKUP(G132,'附表8-合同明细采集底稿'!B:I,4,0))</f>
        <v>江苏中义消防工程有限公司巴州分公司（巩红卫）</v>
      </c>
      <c r="K132" s="164" t="s">
        <v>1711</v>
      </c>
      <c r="L132" s="165">
        <v>6500223130</v>
      </c>
      <c r="M132" s="165" t="s">
        <v>2117</v>
      </c>
      <c r="N132" s="173">
        <v>28310.2</v>
      </c>
      <c r="O132" s="173">
        <v>30858.12</v>
      </c>
      <c r="P132" s="174">
        <v>28310.2</v>
      </c>
      <c r="Q132" s="173"/>
      <c r="R132" s="173">
        <f t="shared" si="4"/>
        <v>28310.2</v>
      </c>
      <c r="S132" s="177">
        <f>IFERROR(VLOOKUP(G132,'附表8-合同明细采集底稿'!B:M,12,0),100%)</f>
        <v>0.318696696324277</v>
      </c>
      <c r="T132" s="173">
        <f t="shared" si="5"/>
        <v>9022.37</v>
      </c>
      <c r="U132" s="164"/>
      <c r="V132" s="178" t="s">
        <v>336</v>
      </c>
      <c r="W132" s="179">
        <f>IF('附表1-面积统计表'!$D$29=0,"",IF(AND(V132="共同成本费用",Z132="总建筑面积法"),ROUND(T132/'附表1-面积统计表'!$D$29*'附表1-面积统计表'!$D$5,2),IF(AND(V132="共同成本费用",Z132="可售建筑面积法"),ROUND(T132/'附表1-面积统计表'!$F$29*'附表1-面积统计表'!$F$5,2),"请手工填写")))</f>
        <v>3295.23</v>
      </c>
      <c r="X132" s="179">
        <f>IF(SUM('附表1-面积统计表'!$D$6)=0,"",SUM(T132)-SUM(W132)-SUM(Y132))</f>
        <v>4063.93</v>
      </c>
      <c r="Y132" s="179">
        <f>IF(SUM('附表1-面积统计表'!$D$6)=0,SUM(T132)-SUM(W132),IF('附表1-面积统计表'!$D$29=0,"",IF(AND(V132="共同成本费用",Z132="总建筑面积法"),ROUND(T132/'附表1-面积统计表'!$D$29*'附表1-面积统计表'!$D$7,2),IF(AND(V132="共同成本费用",Z132="可售建筑面积法"),ROUND(T132/'附表1-面积统计表'!$F$29*'附表1-面积统计表'!$F$7,2),"请手工填写"))))</f>
        <v>1663.21</v>
      </c>
      <c r="Z132" s="181" t="s">
        <v>311</v>
      </c>
      <c r="AA132" s="164"/>
      <c r="AB132" s="182" t="s">
        <v>1686</v>
      </c>
    </row>
    <row r="133" ht="29" hidden="1" customHeight="1" outlineLevel="1" spans="1:28">
      <c r="A133" s="159">
        <v>128</v>
      </c>
      <c r="B133" s="197" t="s">
        <v>2136</v>
      </c>
      <c r="C133" s="198" t="s">
        <v>2137</v>
      </c>
      <c r="D133" s="162" t="s">
        <v>1700</v>
      </c>
      <c r="E133" s="163" t="s">
        <v>1813</v>
      </c>
      <c r="F133" s="164" t="s">
        <v>2138</v>
      </c>
      <c r="G133" s="165" t="s">
        <v>2139</v>
      </c>
      <c r="H133" s="164" t="str">
        <f>IF(G133="","",VLOOKUP(G133,'附表8-合同明细采集底稿'!B:I,2,0))</f>
        <v>沁春景苑人防室外线缆采购合同</v>
      </c>
      <c r="I133" s="92" t="str">
        <f>IF(G133="","",VLOOKUP(G133,'附表8-合同明细采集底稿'!B:I,3,0))</f>
        <v>其他合同</v>
      </c>
      <c r="J133" s="164" t="str">
        <f>IF(G133="","",VLOOKUP(G133,'附表8-合同明细采集底稿'!B:I,4,0))</f>
        <v>新疆胡杨线缆制造有限公司</v>
      </c>
      <c r="K133" s="164" t="s">
        <v>1711</v>
      </c>
      <c r="L133" s="165">
        <v>6500223130</v>
      </c>
      <c r="M133" s="165" t="s">
        <v>2140</v>
      </c>
      <c r="N133" s="173">
        <v>299026.54</v>
      </c>
      <c r="O133" s="173">
        <v>337900</v>
      </c>
      <c r="P133" s="174">
        <v>299026.54</v>
      </c>
      <c r="Q133" s="173"/>
      <c r="R133" s="173">
        <f t="shared" si="4"/>
        <v>299026.54</v>
      </c>
      <c r="S133" s="177">
        <f>IFERROR(VLOOKUP(G133,'附表8-合同明细采集底稿'!B:M,12,0),100%)</f>
        <v>0.318696696324277</v>
      </c>
      <c r="T133" s="173">
        <f t="shared" si="5"/>
        <v>95298.77</v>
      </c>
      <c r="U133" s="164"/>
      <c r="V133" s="178" t="s">
        <v>336</v>
      </c>
      <c r="W133" s="179">
        <f>IF('附表1-面积统计表'!$D$29=0,"",IF(AND(V133="共同成本费用",Z133="总建筑面积法"),ROUND(T133/'附表1-面积统计表'!$D$29*'附表1-面积统计表'!$D$5,2),IF(AND(V133="共同成本费用",Z133="可售建筑面积法"),ROUND(T133/'附表1-面积统计表'!$F$29*'附表1-面积统计表'!$F$5,2),"请手工填写")))</f>
        <v>34805.91</v>
      </c>
      <c r="X133" s="179">
        <f>IF(SUM('附表1-面积统计表'!$D$6)=0,"",SUM(T133)-SUM(W133)-SUM(Y133))</f>
        <v>42925.23</v>
      </c>
      <c r="Y133" s="179">
        <f>IF(SUM('附表1-面积统计表'!$D$6)=0,SUM(T133)-SUM(W133),IF('附表1-面积统计表'!$D$29=0,"",IF(AND(V133="共同成本费用",Z133="总建筑面积法"),ROUND(T133/'附表1-面积统计表'!$D$29*'附表1-面积统计表'!$D$7,2),IF(AND(V133="共同成本费用",Z133="可售建筑面积法"),ROUND(T133/'附表1-面积统计表'!$F$29*'附表1-面积统计表'!$F$7,2),"请手工填写"))))</f>
        <v>17567.63</v>
      </c>
      <c r="Z133" s="181" t="s">
        <v>311</v>
      </c>
      <c r="AA133" s="164"/>
      <c r="AB133" s="182" t="s">
        <v>1686</v>
      </c>
    </row>
    <row r="134" ht="29" hidden="1" customHeight="1" outlineLevel="1" spans="1:28">
      <c r="A134" s="159">
        <v>129</v>
      </c>
      <c r="B134" s="197" t="s">
        <v>2141</v>
      </c>
      <c r="C134" s="198" t="s">
        <v>2142</v>
      </c>
      <c r="D134" s="162" t="s">
        <v>1700</v>
      </c>
      <c r="E134" s="163" t="s">
        <v>1813</v>
      </c>
      <c r="F134" s="164" t="s">
        <v>2143</v>
      </c>
      <c r="G134" s="165" t="s">
        <v>1898</v>
      </c>
      <c r="H134" s="164" t="str">
        <f>IF(G134="","",VLOOKUP(G134,'附表8-合同明细采集底稿'!B:I,2,0))</f>
        <v>沁春锦苑项目人防门购置18#-21#</v>
      </c>
      <c r="I134" s="92" t="str">
        <f>IF(G134="","",VLOOKUP(G134,'附表8-合同明细采集底稿'!B:I,3,0))</f>
        <v>买卖合同</v>
      </c>
      <c r="J134" s="164" t="str">
        <f>IF(G134="","",VLOOKUP(G134,'附表8-合同明细采集底稿'!B:I,4,0))</f>
        <v>新疆巨安新粤防护设备有限公司（张照平18167948637）</v>
      </c>
      <c r="K134" s="164" t="s">
        <v>1711</v>
      </c>
      <c r="L134" s="165">
        <v>6500223130</v>
      </c>
      <c r="M134" s="165" t="s">
        <v>2144</v>
      </c>
      <c r="N134" s="173">
        <v>332020.12</v>
      </c>
      <c r="O134" s="173">
        <v>370000</v>
      </c>
      <c r="P134" s="174">
        <v>332020.12</v>
      </c>
      <c r="Q134" s="173"/>
      <c r="R134" s="173">
        <f t="shared" si="4"/>
        <v>332020.12</v>
      </c>
      <c r="S134" s="177">
        <f>IFERROR(VLOOKUP(G134,'附表8-合同明细采集底稿'!B:M,12,0),100%)</f>
        <v>0.318696696324277</v>
      </c>
      <c r="T134" s="173">
        <f t="shared" si="5"/>
        <v>105813.72</v>
      </c>
      <c r="U134" s="164"/>
      <c r="V134" s="178" t="s">
        <v>336</v>
      </c>
      <c r="W134" s="179">
        <f>IF('附表1-面积统计表'!$D$29=0,"",IF(AND(V134="共同成本费用",Z134="总建筑面积法"),ROUND(T134/'附表1-面积统计表'!$D$29*'附表1-面积统计表'!$D$5,2),IF(AND(V134="共同成本费用",Z134="可售建筑面积法"),ROUND(T134/'附表1-面积统计表'!$F$29*'附表1-面积统计表'!$F$5,2),"请手工填写")))</f>
        <v>38646.28</v>
      </c>
      <c r="X134" s="179">
        <f>IF(SUM('附表1-面积统计表'!$D$6)=0,"",SUM(T134)-SUM(W134)-SUM(Y134))</f>
        <v>47661.45</v>
      </c>
      <c r="Y134" s="179">
        <f>IF(SUM('附表1-面积统计表'!$D$6)=0,SUM(T134)-SUM(W134),IF('附表1-面积统计表'!$D$29=0,"",IF(AND(V134="共同成本费用",Z134="总建筑面积法"),ROUND(T134/'附表1-面积统计表'!$D$29*'附表1-面积统计表'!$D$7,2),IF(AND(V134="共同成本费用",Z134="可售建筑面积法"),ROUND(T134/'附表1-面积统计表'!$F$29*'附表1-面积统计表'!$F$7,2),"请手工填写"))))</f>
        <v>19505.99</v>
      </c>
      <c r="Z134" s="181" t="s">
        <v>311</v>
      </c>
      <c r="AA134" s="164"/>
      <c r="AB134" s="182" t="s">
        <v>1686</v>
      </c>
    </row>
    <row r="135" ht="29" hidden="1" customHeight="1" outlineLevel="1" spans="1:28">
      <c r="A135" s="159">
        <v>130</v>
      </c>
      <c r="B135" s="197" t="s">
        <v>2145</v>
      </c>
      <c r="C135" s="198" t="s">
        <v>2146</v>
      </c>
      <c r="D135" s="162" t="s">
        <v>1739</v>
      </c>
      <c r="E135" s="163" t="s">
        <v>1819</v>
      </c>
      <c r="F135" s="164" t="s">
        <v>2147</v>
      </c>
      <c r="G135" s="165" t="s">
        <v>2009</v>
      </c>
      <c r="H135" s="164" t="str">
        <f>IF(G135="","",VLOOKUP(G135,'附表8-合同明细采集底稿'!B:I,2,0))</f>
        <v>沁春锦苑中水处理土建、挡墙、警卫室‘铺装工程</v>
      </c>
      <c r="I135" s="92" t="str">
        <f>IF(G135="","",VLOOKUP(G135,'附表8-合同明细采集底稿'!B:I,3,0))</f>
        <v>建设工程合同</v>
      </c>
      <c r="J135" s="164" t="str">
        <f>IF(G135="","",VLOOKUP(G135,'附表8-合同明细采集底稿'!B:I,4,0))</f>
        <v>新疆通力建设集团股份有限公司（曾建国）</v>
      </c>
      <c r="K135" s="164" t="s">
        <v>1711</v>
      </c>
      <c r="L135" s="165">
        <v>6500223130</v>
      </c>
      <c r="M135" s="165" t="s">
        <v>2148</v>
      </c>
      <c r="N135" s="173">
        <v>183486.24</v>
      </c>
      <c r="O135" s="173">
        <v>200000</v>
      </c>
      <c r="P135" s="174">
        <v>183486.24</v>
      </c>
      <c r="Q135" s="173"/>
      <c r="R135" s="173">
        <f t="shared" si="4"/>
        <v>183486.24</v>
      </c>
      <c r="S135" s="177">
        <f>IFERROR(VLOOKUP(G135,'附表8-合同明细采集底稿'!B:M,12,0),100%)</f>
        <v>0.329519901724361</v>
      </c>
      <c r="T135" s="173">
        <f t="shared" si="5"/>
        <v>60462.37</v>
      </c>
      <c r="U135" s="164"/>
      <c r="V135" s="178" t="s">
        <v>336</v>
      </c>
      <c r="W135" s="179">
        <f>IF('附表1-面积统计表'!$D$29=0,"",IF(AND(V135="共同成本费用",Z135="总建筑面积法"),ROUND(T135/'附表1-面积统计表'!$D$29*'附表1-面积统计表'!$D$5,2),IF(AND(V135="共同成本费用",Z135="可售建筑面积法"),ROUND(T135/'附表1-面积统计表'!$F$29*'附表1-面积统计表'!$F$5,2),"请手工填写")))</f>
        <v>22082.64</v>
      </c>
      <c r="X135" s="179">
        <f>IF(SUM('附表1-面积统计表'!$D$6)=0,"",SUM(T135)-SUM(W135)-SUM(Y135))</f>
        <v>27233.93</v>
      </c>
      <c r="Y135" s="179">
        <f>IF(SUM('附表1-面积统计表'!$D$6)=0,SUM(T135)-SUM(W135),IF('附表1-面积统计表'!$D$29=0,"",IF(AND(V135="共同成本费用",Z135="总建筑面积法"),ROUND(T135/'附表1-面积统计表'!$D$29*'附表1-面积统计表'!$D$7,2),IF(AND(V135="共同成本费用",Z135="可售建筑面积法"),ROUND(T135/'附表1-面积统计表'!$F$29*'附表1-面积统计表'!$F$7,2),"请手工填写"))))</f>
        <v>11145.8</v>
      </c>
      <c r="Z135" s="181" t="s">
        <v>311</v>
      </c>
      <c r="AA135" s="164"/>
      <c r="AB135" s="182" t="s">
        <v>1686</v>
      </c>
    </row>
    <row r="136" ht="29" hidden="1" customHeight="1" outlineLevel="1" spans="1:28">
      <c r="A136" s="159">
        <v>131</v>
      </c>
      <c r="B136" s="197" t="s">
        <v>2149</v>
      </c>
      <c r="C136" s="198" t="s">
        <v>2150</v>
      </c>
      <c r="D136" s="162" t="s">
        <v>1700</v>
      </c>
      <c r="E136" s="163" t="s">
        <v>1880</v>
      </c>
      <c r="F136" s="164" t="s">
        <v>2151</v>
      </c>
      <c r="G136" s="165" t="s">
        <v>2077</v>
      </c>
      <c r="H136" s="164" t="str">
        <f>IF(G136="","",VLOOKUP(G136,'附表8-合同明细采集底稿'!B:I,2,0))</f>
        <v>沁春锦苑升降横移类机械式停车设备销售合同</v>
      </c>
      <c r="I136" s="92" t="str">
        <f>IF(G136="","",VLOOKUP(G136,'附表8-合同明细采集底稿'!B:I,3,0))</f>
        <v>买卖合同</v>
      </c>
      <c r="J136" s="164" t="str">
        <f>IF(G136="","",VLOOKUP(G136,'附表8-合同明细采集底稿'!B:I,4,0))</f>
        <v>唐山通宝停车设备有限公司</v>
      </c>
      <c r="K136" s="164" t="s">
        <v>1711</v>
      </c>
      <c r="L136" s="165">
        <v>1300224130</v>
      </c>
      <c r="M136" s="165">
        <v>21262928</v>
      </c>
      <c r="N136" s="173">
        <v>420188.05</v>
      </c>
      <c r="O136" s="173">
        <v>474812.5</v>
      </c>
      <c r="P136" s="174">
        <v>420188.05</v>
      </c>
      <c r="Q136" s="173"/>
      <c r="R136" s="173">
        <f t="shared" si="4"/>
        <v>420188.05</v>
      </c>
      <c r="S136" s="177">
        <f>IFERROR(VLOOKUP(G136,'附表8-合同明细采集底稿'!B:M,12,0),100%)</f>
        <v>0.329519901724361</v>
      </c>
      <c r="T136" s="173">
        <f t="shared" si="5"/>
        <v>138460.32</v>
      </c>
      <c r="U136" s="164"/>
      <c r="V136" s="178" t="s">
        <v>336</v>
      </c>
      <c r="W136" s="179">
        <f>IF('附表1-面积统计表'!$D$29=0,"",IF(AND(V136="共同成本费用",Z136="总建筑面积法"),ROUND(T136/'附表1-面积统计表'!$D$29*'附表1-面积统计表'!$D$5,2),IF(AND(V136="共同成本费用",Z136="可售建筑面积法"),ROUND(T136/'附表1-面积统计表'!$F$29*'附表1-面积统计表'!$F$5,2),"请手工填写")))</f>
        <v>50569.78</v>
      </c>
      <c r="X136" s="179">
        <f>IF(SUM('附表1-面积统计表'!$D$6)=0,"",SUM(T136)-SUM(W136)-SUM(Y136))</f>
        <v>62366.39</v>
      </c>
      <c r="Y136" s="179">
        <f>IF(SUM('附表1-面积统计表'!$D$6)=0,SUM(T136)-SUM(W136),IF('附表1-面积统计表'!$D$29=0,"",IF(AND(V136="共同成本费用",Z136="总建筑面积法"),ROUND(T136/'附表1-面积统计表'!$D$29*'附表1-面积统计表'!$D$7,2),IF(AND(V136="共同成本费用",Z136="可售建筑面积法"),ROUND(T136/'附表1-面积统计表'!$F$29*'附表1-面积统计表'!$F$7,2),"请手工填写"))))</f>
        <v>25524.15</v>
      </c>
      <c r="Z136" s="181" t="s">
        <v>311</v>
      </c>
      <c r="AA136" s="164"/>
      <c r="AB136" s="182" t="s">
        <v>1686</v>
      </c>
    </row>
    <row r="137" ht="29" hidden="1" customHeight="1" outlineLevel="1" spans="1:28">
      <c r="A137" s="159">
        <v>132</v>
      </c>
      <c r="B137" s="197" t="s">
        <v>2122</v>
      </c>
      <c r="C137" s="198" t="s">
        <v>2152</v>
      </c>
      <c r="D137" s="162" t="s">
        <v>1700</v>
      </c>
      <c r="E137" s="163" t="s">
        <v>1880</v>
      </c>
      <c r="F137" s="164" t="s">
        <v>2153</v>
      </c>
      <c r="G137" s="165" t="s">
        <v>2154</v>
      </c>
      <c r="H137" s="164" t="str">
        <f>IF(G137="","",VLOOKUP(G137,'附表8-合同明细采集底稿'!B:I,2,0))</f>
        <v>沁春锦苑1#35#、大门楼施工协议（大门#）</v>
      </c>
      <c r="I137" s="92" t="str">
        <f>IF(G137="","",VLOOKUP(G137,'附表8-合同明细采集底稿'!B:I,3,0))</f>
        <v>建设工程合同</v>
      </c>
      <c r="J137" s="164" t="str">
        <f>IF(G137="","",VLOOKUP(G137,'附表8-合同明细采集底稿'!B:I,4,0))</f>
        <v>新疆通力建设集团股份有限公司（孟）</v>
      </c>
      <c r="K137" s="164" t="s">
        <v>1711</v>
      </c>
      <c r="L137" s="165">
        <v>6500231130</v>
      </c>
      <c r="M137" s="165" t="s">
        <v>2155</v>
      </c>
      <c r="N137" s="173">
        <v>326524.24</v>
      </c>
      <c r="O137" s="173">
        <v>355911.42</v>
      </c>
      <c r="P137" s="174">
        <v>326524.24</v>
      </c>
      <c r="Q137" s="173"/>
      <c r="R137" s="173">
        <f t="shared" si="4"/>
        <v>326524.24</v>
      </c>
      <c r="S137" s="177">
        <f>IFERROR(VLOOKUP(G137,'附表8-合同明细采集底稿'!B:M,12,0),100%)</f>
        <v>0.329519901724361</v>
      </c>
      <c r="T137" s="173">
        <f t="shared" si="5"/>
        <v>107596.24</v>
      </c>
      <c r="U137" s="164"/>
      <c r="V137" s="178" t="s">
        <v>336</v>
      </c>
      <c r="W137" s="179">
        <f>IF('附表1-面积统计表'!$D$29=0,"",IF(AND(V137="共同成本费用",Z137="总建筑面积法"),ROUND(T137/'附表1-面积统计表'!$D$29*'附表1-面积统计表'!$D$5,2),IF(AND(V137="共同成本费用",Z137="可售建筑面积法"),ROUND(T137/'附表1-面积统计表'!$F$29*'附表1-面积统计表'!$F$5,2),"请手工填写")))</f>
        <v>39297.31</v>
      </c>
      <c r="X137" s="179">
        <f>IF(SUM('附表1-面积统计表'!$D$6)=0,"",SUM(T137)-SUM(W137)-SUM(Y137))</f>
        <v>48464.35</v>
      </c>
      <c r="Y137" s="179">
        <f>IF(SUM('附表1-面积统计表'!$D$6)=0,SUM(T137)-SUM(W137),IF('附表1-面积统计表'!$D$29=0,"",IF(AND(V137="共同成本费用",Z137="总建筑面积法"),ROUND(T137/'附表1-面积统计表'!$D$29*'附表1-面积统计表'!$D$7,2),IF(AND(V137="共同成本费用",Z137="可售建筑面积法"),ROUND(T137/'附表1-面积统计表'!$F$29*'附表1-面积统计表'!$F$7,2),"请手工填写"))))</f>
        <v>19834.58</v>
      </c>
      <c r="Z137" s="181" t="s">
        <v>311</v>
      </c>
      <c r="AA137" s="164"/>
      <c r="AB137" s="182" t="s">
        <v>1686</v>
      </c>
    </row>
    <row r="138" ht="29" hidden="1" customHeight="1" outlineLevel="1" spans="1:28">
      <c r="A138" s="159">
        <v>133</v>
      </c>
      <c r="B138" s="197" t="s">
        <v>2156</v>
      </c>
      <c r="C138" s="198" t="s">
        <v>2157</v>
      </c>
      <c r="D138" s="162" t="s">
        <v>1700</v>
      </c>
      <c r="E138" s="163" t="s">
        <v>1813</v>
      </c>
      <c r="F138" s="164" t="s">
        <v>2158</v>
      </c>
      <c r="G138" s="165" t="s">
        <v>2159</v>
      </c>
      <c r="H138" s="164" t="str">
        <f>IF(G138="","",VLOOKUP(G138,'附表8-合同明细采集底稿'!B:I,2,0))</f>
        <v>沁春锦苑人防车库移动电站设备采购安装工程安装合同</v>
      </c>
      <c r="I138" s="92" t="str">
        <f>IF(G138="","",VLOOKUP(G138,'附表8-合同明细采集底稿'!B:I,3,0))</f>
        <v>其他合同</v>
      </c>
      <c r="J138" s="164" t="str">
        <f>IF(G138="","",VLOOKUP(G138,'附表8-合同明细采集底稿'!B:I,4,0))</f>
        <v>新疆拓宇电力建设工程有限公司（何永权）</v>
      </c>
      <c r="K138" s="164" t="s">
        <v>1711</v>
      </c>
      <c r="L138" s="165">
        <v>6500231130</v>
      </c>
      <c r="M138" s="165" t="s">
        <v>2160</v>
      </c>
      <c r="N138" s="173">
        <v>126146.79</v>
      </c>
      <c r="O138" s="173">
        <v>137500</v>
      </c>
      <c r="P138" s="174">
        <v>126146.79</v>
      </c>
      <c r="Q138" s="173"/>
      <c r="R138" s="173">
        <f t="shared" si="4"/>
        <v>126146.79</v>
      </c>
      <c r="S138" s="177">
        <f>IFERROR(VLOOKUP(G138,'附表8-合同明细采集底稿'!B:M,12,0),100%)</f>
        <v>0.318696696324277</v>
      </c>
      <c r="T138" s="173">
        <f t="shared" si="5"/>
        <v>40202.57</v>
      </c>
      <c r="U138" s="164"/>
      <c r="V138" s="178" t="s">
        <v>336</v>
      </c>
      <c r="W138" s="179">
        <f>IF('附表1-面积统计表'!$D$29=0,"",IF(AND(V138="共同成本费用",Z138="总建筑面积法"),ROUND(T138/'附表1-面积统计表'!$D$29*'附表1-面积统计表'!$D$5,2),IF(AND(V138="共同成本费用",Z138="可售建筑面积法"),ROUND(T138/'附表1-面积统计表'!$F$29*'附表1-面积统计表'!$F$5,2),"请手工填写")))</f>
        <v>14683.16</v>
      </c>
      <c r="X138" s="179">
        <f>IF(SUM('附表1-面积统计表'!$D$6)=0,"",SUM(T138)-SUM(W138)-SUM(Y138))</f>
        <v>18108.36</v>
      </c>
      <c r="Y138" s="179">
        <f>IF(SUM('附表1-面积统计表'!$D$6)=0,SUM(T138)-SUM(W138),IF('附表1-面积统计表'!$D$29=0,"",IF(AND(V138="共同成本费用",Z138="总建筑面积法"),ROUND(T138/'附表1-面积统计表'!$D$29*'附表1-面积统计表'!$D$7,2),IF(AND(V138="共同成本费用",Z138="可售建筑面积法"),ROUND(T138/'附表1-面积统计表'!$F$29*'附表1-面积统计表'!$F$7,2),"请手工填写"))))</f>
        <v>7411.05</v>
      </c>
      <c r="Z138" s="181" t="s">
        <v>311</v>
      </c>
      <c r="AA138" s="164"/>
      <c r="AB138" s="182" t="s">
        <v>1686</v>
      </c>
    </row>
    <row r="139" ht="29" hidden="1" customHeight="1" outlineLevel="1" spans="1:28">
      <c r="A139" s="159">
        <v>134</v>
      </c>
      <c r="B139" s="197" t="s">
        <v>2161</v>
      </c>
      <c r="C139" s="198" t="s">
        <v>2162</v>
      </c>
      <c r="D139" s="162" t="s">
        <v>1700</v>
      </c>
      <c r="E139" s="163" t="s">
        <v>1813</v>
      </c>
      <c r="F139" s="164" t="s">
        <v>2163</v>
      </c>
      <c r="G139" s="165" t="s">
        <v>2164</v>
      </c>
      <c r="H139" s="164" t="str">
        <f>IF(G139="","",VLOOKUP(G139,'附表8-合同明细采集底稿'!B:I,2,0))</f>
        <v>沁春锦苑人防车库防雨棚安装工程</v>
      </c>
      <c r="I139" s="92" t="str">
        <f>IF(G139="","",VLOOKUP(G139,'附表8-合同明细采集底稿'!B:I,3,0))</f>
        <v>建设工程合同</v>
      </c>
      <c r="J139" s="164" t="str">
        <f>IF(G139="","",VLOOKUP(G139,'附表8-合同明细采集底稿'!B:I,4,0))</f>
        <v>库尔勒坚乐美建筑工程有限责任公司（郑长银）</v>
      </c>
      <c r="K139" s="164" t="s">
        <v>1711</v>
      </c>
      <c r="L139" s="165">
        <v>6500231130</v>
      </c>
      <c r="M139" s="165" t="s">
        <v>2165</v>
      </c>
      <c r="N139" s="173">
        <v>88495.58</v>
      </c>
      <c r="O139" s="173">
        <v>100000</v>
      </c>
      <c r="P139" s="174">
        <v>88495.58</v>
      </c>
      <c r="Q139" s="173"/>
      <c r="R139" s="173">
        <f t="shared" si="4"/>
        <v>88495.58</v>
      </c>
      <c r="S139" s="177">
        <f>IFERROR(VLOOKUP(G139,'附表8-合同明细采集底稿'!B:M,12,0),100%)</f>
        <v>0.318696696324277</v>
      </c>
      <c r="T139" s="173">
        <f t="shared" si="5"/>
        <v>28203.25</v>
      </c>
      <c r="U139" s="164"/>
      <c r="V139" s="178" t="s">
        <v>336</v>
      </c>
      <c r="W139" s="179">
        <f>IF('附表1-面积统计表'!$D$29=0,"",IF(AND(V139="共同成本费用",Z139="总建筑面积法"),ROUND(T139/'附表1-面积统计表'!$D$29*'附表1-面积统计表'!$D$5,2),IF(AND(V139="共同成本费用",Z139="可售建筑面积法"),ROUND(T139/'附表1-面积统计表'!$F$29*'附表1-面积统计表'!$F$5,2),"请手工填写")))</f>
        <v>10300.66</v>
      </c>
      <c r="X139" s="179">
        <f>IF(SUM('附表1-面积统计表'!$D$6)=0,"",SUM(T139)-SUM(W139)-SUM(Y139))</f>
        <v>12703.53</v>
      </c>
      <c r="Y139" s="179">
        <f>IF(SUM('附表1-面积统计表'!$D$6)=0,SUM(T139)-SUM(W139),IF('附表1-面积统计表'!$D$29=0,"",IF(AND(V139="共同成本费用",Z139="总建筑面积法"),ROUND(T139/'附表1-面积统计表'!$D$29*'附表1-面积统计表'!$D$7,2),IF(AND(V139="共同成本费用",Z139="可售建筑面积法"),ROUND(T139/'附表1-面积统计表'!$F$29*'附表1-面积统计表'!$F$7,2),"请手工填写"))))</f>
        <v>5199.06</v>
      </c>
      <c r="Z139" s="181" t="s">
        <v>311</v>
      </c>
      <c r="AA139" s="164"/>
      <c r="AB139" s="182" t="s">
        <v>1686</v>
      </c>
    </row>
    <row r="140" ht="29" hidden="1" customHeight="1" outlineLevel="1" spans="1:28">
      <c r="A140" s="159">
        <v>135</v>
      </c>
      <c r="B140" s="197" t="s">
        <v>2166</v>
      </c>
      <c r="C140" s="198" t="s">
        <v>2150</v>
      </c>
      <c r="D140" s="162" t="s">
        <v>1700</v>
      </c>
      <c r="E140" s="163" t="s">
        <v>1813</v>
      </c>
      <c r="F140" s="164" t="s">
        <v>2167</v>
      </c>
      <c r="G140" s="165" t="s">
        <v>1898</v>
      </c>
      <c r="H140" s="164" t="str">
        <f>IF(G140="","",VLOOKUP(G140,'附表8-合同明细采集底稿'!B:I,2,0))</f>
        <v>沁春锦苑项目人防门购置18#-21#</v>
      </c>
      <c r="I140" s="92" t="str">
        <f>IF(G140="","",VLOOKUP(G140,'附表8-合同明细采集底稿'!B:I,3,0))</f>
        <v>买卖合同</v>
      </c>
      <c r="J140" s="164" t="str">
        <f>IF(G140="","",VLOOKUP(G140,'附表8-合同明细采集底稿'!B:I,4,0))</f>
        <v>新疆巨安新粤防护设备有限公司（张照平18167948637）</v>
      </c>
      <c r="K140" s="164" t="s">
        <v>1711</v>
      </c>
      <c r="L140" s="165">
        <v>6500223130</v>
      </c>
      <c r="M140" s="165" t="s">
        <v>2168</v>
      </c>
      <c r="N140" s="173">
        <v>40559.63</v>
      </c>
      <c r="O140" s="173">
        <v>44210</v>
      </c>
      <c r="P140" s="174">
        <v>40559.63</v>
      </c>
      <c r="Q140" s="173"/>
      <c r="R140" s="173">
        <f t="shared" si="4"/>
        <v>40559.63</v>
      </c>
      <c r="S140" s="177">
        <f>IFERROR(VLOOKUP(G140,'附表8-合同明细采集底稿'!B:M,12,0),100%)</f>
        <v>0.318696696324277</v>
      </c>
      <c r="T140" s="173">
        <f t="shared" si="5"/>
        <v>12926.22</v>
      </c>
      <c r="U140" s="164"/>
      <c r="V140" s="178" t="s">
        <v>336</v>
      </c>
      <c r="W140" s="179">
        <f>IF('附表1-面积统计表'!$D$29=0,"",IF(AND(V140="共同成本费用",Z140="总建筑面积法"),ROUND(T140/'附表1-面积统计表'!$D$29*'附表1-面积统计表'!$D$5,2),IF(AND(V140="共同成本费用",Z140="可售建筑面积法"),ROUND(T140/'附表1-面积统计表'!$F$29*'附表1-面积统计表'!$F$5,2),"请手工填写")))</f>
        <v>4721.04</v>
      </c>
      <c r="X140" s="179">
        <f>IF(SUM('附表1-面积统计表'!$D$6)=0,"",SUM(T140)-SUM(W140)-SUM(Y140))</f>
        <v>5822.33</v>
      </c>
      <c r="Y140" s="179">
        <f>IF(SUM('附表1-面积统计表'!$D$6)=0,SUM(T140)-SUM(W140),IF('附表1-面积统计表'!$D$29=0,"",IF(AND(V140="共同成本费用",Z140="总建筑面积法"),ROUND(T140/'附表1-面积统计表'!$D$29*'附表1-面积统计表'!$D$7,2),IF(AND(V140="共同成本费用",Z140="可售建筑面积法"),ROUND(T140/'附表1-面积统计表'!$F$29*'附表1-面积统计表'!$F$7,2),"请手工填写"))))</f>
        <v>2382.85</v>
      </c>
      <c r="Z140" s="181" t="s">
        <v>311</v>
      </c>
      <c r="AA140" s="164"/>
      <c r="AB140" s="182" t="s">
        <v>1686</v>
      </c>
    </row>
    <row r="141" ht="29" hidden="1" customHeight="1" outlineLevel="1" spans="1:28">
      <c r="A141" s="159">
        <v>136</v>
      </c>
      <c r="B141" s="197" t="s">
        <v>2166</v>
      </c>
      <c r="C141" s="198" t="s">
        <v>2150</v>
      </c>
      <c r="D141" s="162" t="s">
        <v>1700</v>
      </c>
      <c r="E141" s="163" t="s">
        <v>1813</v>
      </c>
      <c r="F141" s="164" t="s">
        <v>2167</v>
      </c>
      <c r="G141" s="165" t="s">
        <v>1898</v>
      </c>
      <c r="H141" s="164" t="str">
        <f>IF(G141="","",VLOOKUP(G141,'附表8-合同明细采集底稿'!B:I,2,0))</f>
        <v>沁春锦苑项目人防门购置18#-21#</v>
      </c>
      <c r="I141" s="92" t="str">
        <f>IF(G141="","",VLOOKUP(G141,'附表8-合同明细采集底稿'!B:I,3,0))</f>
        <v>买卖合同</v>
      </c>
      <c r="J141" s="164" t="str">
        <f>IF(G141="","",VLOOKUP(G141,'附表8-合同明细采集底稿'!B:I,4,0))</f>
        <v>新疆巨安新粤防护设备有限公司（张照平18167948637）</v>
      </c>
      <c r="K141" s="164" t="s">
        <v>1711</v>
      </c>
      <c r="L141" s="165">
        <v>6500223130</v>
      </c>
      <c r="M141" s="165" t="s">
        <v>2169</v>
      </c>
      <c r="N141" s="173">
        <v>124592.92</v>
      </c>
      <c r="O141" s="173">
        <v>140790</v>
      </c>
      <c r="P141" s="174">
        <v>124592.92</v>
      </c>
      <c r="Q141" s="173"/>
      <c r="R141" s="173">
        <f t="shared" si="4"/>
        <v>124592.92</v>
      </c>
      <c r="S141" s="177">
        <f>IFERROR(VLOOKUP(G141,'附表8-合同明细采集底稿'!B:M,12,0),100%)</f>
        <v>0.318696696324277</v>
      </c>
      <c r="T141" s="173">
        <f t="shared" si="5"/>
        <v>39707.35</v>
      </c>
      <c r="U141" s="164"/>
      <c r="V141" s="178" t="s">
        <v>336</v>
      </c>
      <c r="W141" s="179">
        <f>IF('附表1-面积统计表'!$D$29=0,"",IF(AND(V141="共同成本费用",Z141="总建筑面积法"),ROUND(T141/'附表1-面积统计表'!$D$29*'附表1-面积统计表'!$D$5,2),IF(AND(V141="共同成本费用",Z141="可售建筑面积法"),ROUND(T141/'附表1-面积统计表'!$F$29*'附表1-面积统计表'!$F$5,2),"请手工填写")))</f>
        <v>14502.29</v>
      </c>
      <c r="X141" s="179">
        <f>IF(SUM('附表1-面积统计表'!$D$6)=0,"",SUM(T141)-SUM(W141)-SUM(Y141))</f>
        <v>17885.3</v>
      </c>
      <c r="Y141" s="179">
        <f>IF(SUM('附表1-面积统计表'!$D$6)=0,SUM(T141)-SUM(W141),IF('附表1-面积统计表'!$D$29=0,"",IF(AND(V141="共同成本费用",Z141="总建筑面积法"),ROUND(T141/'附表1-面积统计表'!$D$29*'附表1-面积统计表'!$D$7,2),IF(AND(V141="共同成本费用",Z141="可售建筑面积法"),ROUND(T141/'附表1-面积统计表'!$F$29*'附表1-面积统计表'!$F$7,2),"请手工填写"))))</f>
        <v>7319.76</v>
      </c>
      <c r="Z141" s="181" t="s">
        <v>311</v>
      </c>
      <c r="AA141" s="164"/>
      <c r="AB141" s="182" t="s">
        <v>1686</v>
      </c>
    </row>
    <row r="142" s="140" customFormat="1" ht="29" hidden="1" customHeight="1" outlineLevel="1" spans="1:16384">
      <c r="A142" s="183">
        <v>137</v>
      </c>
      <c r="B142" s="218" t="s">
        <v>2170</v>
      </c>
      <c r="C142" s="219" t="s">
        <v>2171</v>
      </c>
      <c r="D142" s="185" t="s">
        <v>1700</v>
      </c>
      <c r="E142" s="186" t="s">
        <v>1813</v>
      </c>
      <c r="F142" s="187" t="s">
        <v>2172</v>
      </c>
      <c r="G142" s="188"/>
      <c r="H142" s="187" t="str">
        <f>IF(G142="","",VLOOKUP(G142,'附表8-合同明细采集底稿'!B:I,2,0))</f>
        <v/>
      </c>
      <c r="I142" s="199" t="str">
        <f>IF(G142="","",VLOOKUP(G142,'附表8-合同明细采集底稿'!B:I,3,0))</f>
        <v/>
      </c>
      <c r="J142" s="187" t="s">
        <v>2173</v>
      </c>
      <c r="K142" s="187" t="s">
        <v>1711</v>
      </c>
      <c r="L142" s="188">
        <v>6500221130</v>
      </c>
      <c r="M142" s="188" t="s">
        <v>2174</v>
      </c>
      <c r="N142" s="200">
        <v>3478.22</v>
      </c>
      <c r="O142" s="200">
        <v>3513</v>
      </c>
      <c r="P142" s="201">
        <v>3478.22</v>
      </c>
      <c r="Q142" s="200">
        <f>-P142</f>
        <v>-3478.22</v>
      </c>
      <c r="R142" s="200">
        <f t="shared" si="4"/>
        <v>0</v>
      </c>
      <c r="S142" s="205">
        <v>0.318696696324277</v>
      </c>
      <c r="T142" s="200">
        <f t="shared" si="5"/>
        <v>0</v>
      </c>
      <c r="U142" s="187"/>
      <c r="V142" s="206" t="s">
        <v>336</v>
      </c>
      <c r="W142" s="207">
        <f>IF('附表1-面积统计表'!$D$29=0,"",IF(AND(V142="共同成本费用",Z142="总建筑面积法"),ROUND(T142/'附表1-面积统计表'!$D$29*'附表1-面积统计表'!$D$5,2),IF(AND(V142="共同成本费用",Z142="可售建筑面积法"),ROUND(T142/'附表1-面积统计表'!$F$29*'附表1-面积统计表'!$F$5,2),"请手工填写")))</f>
        <v>0</v>
      </c>
      <c r="X142" s="207">
        <f>IF(SUM('附表1-面积统计表'!$D$6)=0,"",SUM(T142)-SUM(W142)-SUM(Y142))</f>
        <v>0</v>
      </c>
      <c r="Y142" s="207">
        <f>IF(SUM('附表1-面积统计表'!$D$6)=0,SUM(T142)-SUM(W142),IF('附表1-面积统计表'!$D$29=0,"",IF(AND(V142="共同成本费用",Z142="总建筑面积法"),ROUND(T142/'附表1-面积统计表'!$D$29*'附表1-面积统计表'!$D$7,2),IF(AND(V142="共同成本费用",Z142="可售建筑面积法"),ROUND(T142/'附表1-面积统计表'!$F$29*'附表1-面积统计表'!$F$7,2),"请手工填写"))))</f>
        <v>0</v>
      </c>
      <c r="Z142" s="213" t="s">
        <v>311</v>
      </c>
      <c r="AA142" s="187"/>
      <c r="AB142" s="214" t="s">
        <v>1686</v>
      </c>
      <c r="XEO142" s="217"/>
      <c r="XEP142" s="217"/>
      <c r="XEQ142" s="217"/>
      <c r="XER142" s="217"/>
      <c r="XES142" s="217"/>
      <c r="XET142" s="217"/>
      <c r="XEU142" s="217"/>
      <c r="XEV142" s="217"/>
      <c r="XEW142" s="217"/>
      <c r="XEX142" s="217"/>
      <c r="XEY142" s="217"/>
      <c r="XEZ142" s="217"/>
      <c r="XFA142" s="217"/>
      <c r="XFB142" s="217"/>
      <c r="XFC142" s="217"/>
      <c r="XFD142" s="217"/>
    </row>
    <row r="143" ht="29" hidden="1" customHeight="1" outlineLevel="1" spans="1:28">
      <c r="A143" s="159">
        <v>138</v>
      </c>
      <c r="B143" s="197" t="s">
        <v>2175</v>
      </c>
      <c r="C143" s="198" t="s">
        <v>2176</v>
      </c>
      <c r="D143" s="162" t="s">
        <v>1700</v>
      </c>
      <c r="E143" s="163" t="s">
        <v>1813</v>
      </c>
      <c r="F143" s="164" t="s">
        <v>2177</v>
      </c>
      <c r="G143" s="165" t="s">
        <v>1815</v>
      </c>
      <c r="H143" s="164" t="str">
        <f>IF(G143="","",VLOOKUP(G143,'附表8-合同明细采集底稿'!B:I,2,0))</f>
        <v>建设工程设计合同（民用建设工程设计合同）</v>
      </c>
      <c r="I143" s="92" t="str">
        <f>IF(G143="","",VLOOKUP(G143,'附表8-合同明细采集底稿'!B:I,3,0))</f>
        <v>技术合同</v>
      </c>
      <c r="J143" s="164" t="str">
        <f>IF(G143="","",VLOOKUP(G143,'附表8-合同明细采集底稿'!B:I,4,0))</f>
        <v>河南省人防建筑设计院有限公司新疆分公司</v>
      </c>
      <c r="K143" s="164" t="s">
        <v>1711</v>
      </c>
      <c r="L143" s="165">
        <v>6500231130</v>
      </c>
      <c r="M143" s="165" t="s">
        <v>2178</v>
      </c>
      <c r="N143" s="173">
        <v>31698.11</v>
      </c>
      <c r="O143" s="173">
        <v>33600</v>
      </c>
      <c r="P143" s="174">
        <v>31698.11</v>
      </c>
      <c r="Q143" s="173"/>
      <c r="R143" s="173">
        <f t="shared" si="4"/>
        <v>31698.11</v>
      </c>
      <c r="S143" s="177">
        <f>IFERROR(VLOOKUP(G143,'附表8-合同明细采集底稿'!B:M,12,0),100%)</f>
        <v>0.318696696324277</v>
      </c>
      <c r="T143" s="173">
        <f t="shared" si="5"/>
        <v>10102.08</v>
      </c>
      <c r="U143" s="164"/>
      <c r="V143" s="178" t="s">
        <v>336</v>
      </c>
      <c r="W143" s="179">
        <f>IF('附表1-面积统计表'!$D$29=0,"",IF(AND(V143="共同成本费用",Z143="总建筑面积法"),ROUND(T143/'附表1-面积统计表'!$D$29*'附表1-面积统计表'!$D$5,2),IF(AND(V143="共同成本费用",Z143="可售建筑面积法"),ROUND(T143/'附表1-面积统计表'!$F$29*'附表1-面积统计表'!$F$5,2),"请手工填写")))</f>
        <v>3689.58</v>
      </c>
      <c r="X143" s="179">
        <f>IF(SUM('附表1-面积统计表'!$D$6)=0,"",SUM(T143)-SUM(W143)-SUM(Y143))</f>
        <v>4550.26</v>
      </c>
      <c r="Y143" s="179">
        <f>IF(SUM('附表1-面积统计表'!$D$6)=0,SUM(T143)-SUM(W143),IF('附表1-面积统计表'!$D$29=0,"",IF(AND(V143="共同成本费用",Z143="总建筑面积法"),ROUND(T143/'附表1-面积统计表'!$D$29*'附表1-面积统计表'!$D$7,2),IF(AND(V143="共同成本费用",Z143="可售建筑面积法"),ROUND(T143/'附表1-面积统计表'!$F$29*'附表1-面积统计表'!$F$7,2),"请手工填写"))))</f>
        <v>1862.24</v>
      </c>
      <c r="Z143" s="181" t="s">
        <v>311</v>
      </c>
      <c r="AA143" s="164"/>
      <c r="AB143" s="182" t="s">
        <v>1686</v>
      </c>
    </row>
    <row r="144" ht="29" hidden="1" customHeight="1" outlineLevel="1" spans="1:28">
      <c r="A144" s="159">
        <v>139</v>
      </c>
      <c r="B144" s="197" t="s">
        <v>2179</v>
      </c>
      <c r="C144" s="198" t="s">
        <v>2180</v>
      </c>
      <c r="D144" s="162" t="s">
        <v>1700</v>
      </c>
      <c r="E144" s="163" t="s">
        <v>1875</v>
      </c>
      <c r="F144" s="164" t="s">
        <v>2181</v>
      </c>
      <c r="G144" s="165" t="s">
        <v>2182</v>
      </c>
      <c r="H144" s="164" t="str">
        <f>IF(G144="","",VLOOKUP(G144,'附表8-合同明细采集底稿'!B:I,2,0))</f>
        <v>沁春景苑幼儿园室外工程</v>
      </c>
      <c r="I144" s="92" t="str">
        <f>IF(G144="","",VLOOKUP(G144,'附表8-合同明细采集底稿'!B:I,3,0))</f>
        <v>建设工程合同</v>
      </c>
      <c r="J144" s="164" t="str">
        <f>IF(G144="","",VLOOKUP(G144,'附表8-合同明细采集底稿'!B:I,4,0))</f>
        <v>新疆精诚所至装饰工程有限责任公司（金克）</v>
      </c>
      <c r="K144" s="164" t="s">
        <v>1711</v>
      </c>
      <c r="L144" s="165" t="s">
        <v>2183</v>
      </c>
      <c r="M144" s="165" t="s">
        <v>2184</v>
      </c>
      <c r="N144" s="173">
        <v>100436.89</v>
      </c>
      <c r="O144" s="173">
        <v>103450</v>
      </c>
      <c r="P144" s="174">
        <v>100436.89</v>
      </c>
      <c r="Q144" s="173"/>
      <c r="R144" s="173">
        <f t="shared" si="4"/>
        <v>100436.89</v>
      </c>
      <c r="S144" s="177">
        <f>IFERROR(VLOOKUP(G144,'附表8-合同明细采集底稿'!B:M,12,0),100%)</f>
        <v>0.329519901724361</v>
      </c>
      <c r="T144" s="173">
        <f t="shared" si="5"/>
        <v>33095.95</v>
      </c>
      <c r="U144" s="164"/>
      <c r="V144" s="178" t="s">
        <v>336</v>
      </c>
      <c r="W144" s="179">
        <f>IF('附表1-面积统计表'!$D$29=0,"",IF(AND(V144="共同成本费用",Z144="总建筑面积法"),ROUND(T144/'附表1-面积统计表'!$D$29*'附表1-面积统计表'!$D$5,2),IF(AND(V144="共同成本费用",Z144="可售建筑面积法"),ROUND(T144/'附表1-面积统计表'!$F$29*'附表1-面积统计表'!$F$5,2),"请手工填写")))</f>
        <v>12087.61</v>
      </c>
      <c r="X144" s="179">
        <f>IF(SUM('附表1-面积统计表'!$D$6)=0,"",SUM(T144)-SUM(W144)-SUM(Y144))</f>
        <v>14907.34</v>
      </c>
      <c r="Y144" s="179">
        <f>IF(SUM('附表1-面积统计表'!$D$6)=0,SUM(T144)-SUM(W144),IF('附表1-面积统计表'!$D$29=0,"",IF(AND(V144="共同成本费用",Z144="总建筑面积法"),ROUND(T144/'附表1-面积统计表'!$D$29*'附表1-面积统计表'!$D$7,2),IF(AND(V144="共同成本费用",Z144="可售建筑面积法"),ROUND(T144/'附表1-面积统计表'!$F$29*'附表1-面积统计表'!$F$7,2),"请手工填写"))))</f>
        <v>6101</v>
      </c>
      <c r="Z144" s="181" t="s">
        <v>311</v>
      </c>
      <c r="AA144" s="164"/>
      <c r="AB144" s="182" t="s">
        <v>1686</v>
      </c>
    </row>
    <row r="145" ht="29" hidden="1" customHeight="1" outlineLevel="1" spans="1:28">
      <c r="A145" s="159">
        <v>140</v>
      </c>
      <c r="B145" s="197" t="s">
        <v>2185</v>
      </c>
      <c r="C145" s="198" t="s">
        <v>2186</v>
      </c>
      <c r="D145" s="162" t="s">
        <v>1700</v>
      </c>
      <c r="E145" s="163" t="s">
        <v>1813</v>
      </c>
      <c r="F145" s="164" t="s">
        <v>2187</v>
      </c>
      <c r="G145" s="165" t="s">
        <v>2159</v>
      </c>
      <c r="H145" s="164" t="str">
        <f>IF(G145="","",VLOOKUP(G145,'附表8-合同明细采集底稿'!B:I,2,0))</f>
        <v>沁春锦苑人防车库移动电站设备采购安装工程安装合同</v>
      </c>
      <c r="I145" s="92" t="str">
        <f>IF(G145="","",VLOOKUP(G145,'附表8-合同明细采集底稿'!B:I,3,0))</f>
        <v>其他合同</v>
      </c>
      <c r="J145" s="164" t="str">
        <f>IF(G145="","",VLOOKUP(G145,'附表8-合同明细采集底稿'!B:I,4,0))</f>
        <v>新疆拓宇电力建设工程有限公司（何永权）</v>
      </c>
      <c r="K145" s="164" t="s">
        <v>1711</v>
      </c>
      <c r="L145" s="165">
        <v>6500231130</v>
      </c>
      <c r="M145" s="165" t="s">
        <v>2188</v>
      </c>
      <c r="N145" s="173">
        <v>75688.07</v>
      </c>
      <c r="O145" s="173">
        <v>82500</v>
      </c>
      <c r="P145" s="174">
        <v>75688.07</v>
      </c>
      <c r="Q145" s="173"/>
      <c r="R145" s="173">
        <f t="shared" si="4"/>
        <v>75688.07</v>
      </c>
      <c r="S145" s="177">
        <f>IFERROR(VLOOKUP(G145,'附表8-合同明细采集底稿'!B:M,12,0),100%)</f>
        <v>0.318696696324277</v>
      </c>
      <c r="T145" s="173">
        <f t="shared" si="5"/>
        <v>24121.54</v>
      </c>
      <c r="U145" s="164"/>
      <c r="V145" s="178" t="s">
        <v>336</v>
      </c>
      <c r="W145" s="179">
        <f>IF('附表1-面积统计表'!$D$29=0,"",IF(AND(V145="共同成本费用",Z145="总建筑面积法"),ROUND(T145/'附表1-面积统计表'!$D$29*'附表1-面积统计表'!$D$5,2),IF(AND(V145="共同成本费用",Z145="可售建筑面积法"),ROUND(T145/'附表1-面积统计表'!$F$29*'附表1-面积统计表'!$F$5,2),"请手工填写")))</f>
        <v>8809.9</v>
      </c>
      <c r="X145" s="179">
        <f>IF(SUM('附表1-面积统计表'!$D$6)=0,"",SUM(T145)-SUM(W145)-SUM(Y145))</f>
        <v>10865.01</v>
      </c>
      <c r="Y145" s="179">
        <f>IF(SUM('附表1-面积统计表'!$D$6)=0,SUM(T145)-SUM(W145),IF('附表1-面积统计表'!$D$29=0,"",IF(AND(V145="共同成本费用",Z145="总建筑面积法"),ROUND(T145/'附表1-面积统计表'!$D$29*'附表1-面积统计表'!$D$7,2),IF(AND(V145="共同成本费用",Z145="可售建筑面积法"),ROUND(T145/'附表1-面积统计表'!$F$29*'附表1-面积统计表'!$F$7,2),"请手工填写"))))</f>
        <v>4446.63</v>
      </c>
      <c r="Z145" s="181" t="s">
        <v>311</v>
      </c>
      <c r="AA145" s="164"/>
      <c r="AB145" s="182" t="s">
        <v>1686</v>
      </c>
    </row>
    <row r="146" ht="29" hidden="1" customHeight="1" outlineLevel="1" spans="1:28">
      <c r="A146" s="159">
        <v>141</v>
      </c>
      <c r="B146" s="197" t="s">
        <v>2189</v>
      </c>
      <c r="C146" s="198" t="s">
        <v>2190</v>
      </c>
      <c r="D146" s="162" t="s">
        <v>1700</v>
      </c>
      <c r="E146" s="163" t="s">
        <v>1928</v>
      </c>
      <c r="F146" s="164" t="s">
        <v>2191</v>
      </c>
      <c r="G146" s="165" t="s">
        <v>2125</v>
      </c>
      <c r="H146" s="164" t="str">
        <f>IF(G146="","",VLOOKUP(G146,'附表8-合同明细采集底稿'!B:I,2,0))</f>
        <v>沁春锦苑18#、21#、22#楼、37#社区、地下车库及人防部分建设工程（37#社区）</v>
      </c>
      <c r="I146" s="92" t="str">
        <f>IF(G146="","",VLOOKUP(G146,'附表8-合同明细采集底稿'!B:I,3,0))</f>
        <v>建设工程合同</v>
      </c>
      <c r="J146" s="164" t="str">
        <f>IF(G146="","",VLOOKUP(G146,'附表8-合同明细采集底稿'!B:I,4,0))</f>
        <v>新疆通力建设集团股份有限公司（高）</v>
      </c>
      <c r="K146" s="164" t="s">
        <v>1711</v>
      </c>
      <c r="L146" s="165">
        <v>6500231130</v>
      </c>
      <c r="M146" s="165" t="s">
        <v>2192</v>
      </c>
      <c r="N146" s="173">
        <v>516945.87</v>
      </c>
      <c r="O146" s="173">
        <v>563471</v>
      </c>
      <c r="P146" s="174">
        <v>516945.87</v>
      </c>
      <c r="Q146" s="173"/>
      <c r="R146" s="173">
        <f t="shared" si="4"/>
        <v>516945.87</v>
      </c>
      <c r="S146" s="177">
        <f>IFERROR(VLOOKUP(G146,'附表8-合同明细采集底稿'!B:M,12,0),100%)</f>
        <v>0.329519901724361</v>
      </c>
      <c r="T146" s="173">
        <f t="shared" si="5"/>
        <v>170343.95</v>
      </c>
      <c r="U146" s="164"/>
      <c r="V146" s="178" t="s">
        <v>336</v>
      </c>
      <c r="W146" s="179">
        <f>IF('附表1-面积统计表'!$D$29=0,"",IF(AND(V146="共同成本费用",Z146="总建筑面积法"),ROUND(T146/'附表1-面积统计表'!$D$29*'附表1-面积统计表'!$D$5,2),IF(AND(V146="共同成本费用",Z146="可售建筑面积法"),ROUND(T146/'附表1-面积统计表'!$F$29*'附表1-面积统计表'!$F$5,2),"请手工填写")))</f>
        <v>62214.62</v>
      </c>
      <c r="X146" s="179">
        <f>IF(SUM('附表1-面积统计表'!$D$6)=0,"",SUM(T146)-SUM(W146)-SUM(Y146))</f>
        <v>76727.67</v>
      </c>
      <c r="Y146" s="179">
        <f>IF(SUM('附表1-面积统计表'!$D$6)=0,SUM(T146)-SUM(W146),IF('附表1-面积统计表'!$D$29=0,"",IF(AND(V146="共同成本费用",Z146="总建筑面积法"),ROUND(T146/'附表1-面积统计表'!$D$29*'附表1-面积统计表'!$D$7,2),IF(AND(V146="共同成本费用",Z146="可售建筑面积法"),ROUND(T146/'附表1-面积统计表'!$F$29*'附表1-面积统计表'!$F$7,2),"请手工填写"))))</f>
        <v>31401.66</v>
      </c>
      <c r="Z146" s="181" t="s">
        <v>311</v>
      </c>
      <c r="AA146" s="164"/>
      <c r="AB146" s="182" t="s">
        <v>1686</v>
      </c>
    </row>
    <row r="147" ht="29" hidden="1" customHeight="1" outlineLevel="1" spans="1:28">
      <c r="A147" s="159">
        <v>142</v>
      </c>
      <c r="B147" s="197" t="s">
        <v>2193</v>
      </c>
      <c r="C147" s="198" t="s">
        <v>2194</v>
      </c>
      <c r="D147" s="162" t="s">
        <v>1700</v>
      </c>
      <c r="E147" s="163" t="s">
        <v>1813</v>
      </c>
      <c r="F147" s="164" t="s">
        <v>2195</v>
      </c>
      <c r="G147" s="165" t="s">
        <v>1898</v>
      </c>
      <c r="H147" s="164" t="str">
        <f>IF(G147="","",VLOOKUP(G147,'附表8-合同明细采集底稿'!B:I,2,0))</f>
        <v>沁春锦苑项目人防门购置18#-21#</v>
      </c>
      <c r="I147" s="92" t="str">
        <f>IF(G147="","",VLOOKUP(G147,'附表8-合同明细采集底稿'!B:I,3,0))</f>
        <v>买卖合同</v>
      </c>
      <c r="J147" s="164" t="str">
        <f>IF(G147="","",VLOOKUP(G147,'附表8-合同明细采集底稿'!B:I,4,0))</f>
        <v>新疆巨安新粤防护设备有限公司（张照平18167948637）</v>
      </c>
      <c r="K147" s="164" t="s">
        <v>1711</v>
      </c>
      <c r="L147" s="165">
        <v>6500231130</v>
      </c>
      <c r="M147" s="165" t="s">
        <v>2196</v>
      </c>
      <c r="N147" s="173">
        <v>139080</v>
      </c>
      <c r="O147" s="173">
        <v>151597.2</v>
      </c>
      <c r="P147" s="174">
        <v>139080</v>
      </c>
      <c r="Q147" s="173"/>
      <c r="R147" s="173">
        <f t="shared" si="4"/>
        <v>139080</v>
      </c>
      <c r="S147" s="177">
        <f>IFERROR(VLOOKUP(G147,'附表8-合同明细采集底稿'!B:M,12,0),100%)</f>
        <v>0.318696696324277</v>
      </c>
      <c r="T147" s="173">
        <f t="shared" si="5"/>
        <v>44324.34</v>
      </c>
      <c r="U147" s="164"/>
      <c r="V147" s="178" t="s">
        <v>336</v>
      </c>
      <c r="W147" s="179">
        <f>IF('附表1-面积统计表'!$D$29=0,"",IF(AND(V147="共同成本费用",Z147="总建筑面积法"),ROUND(T147/'附表1-面积统计表'!$D$29*'附表1-面积统计表'!$D$5,2),IF(AND(V147="共同成本费用",Z147="可售建筑面积法"),ROUND(T147/'附表1-面积统计表'!$F$29*'附表1-面积统计表'!$F$5,2),"请手工填写")))</f>
        <v>16188.55</v>
      </c>
      <c r="X147" s="179">
        <f>IF(SUM('附表1-面积统计表'!$D$6)=0,"",SUM(T147)-SUM(W147)-SUM(Y147))</f>
        <v>19964.92</v>
      </c>
      <c r="Y147" s="179">
        <f>IF(SUM('附表1-面积统计表'!$D$6)=0,SUM(T147)-SUM(W147),IF('附表1-面积统计表'!$D$29=0,"",IF(AND(V147="共同成本费用",Z147="总建筑面积法"),ROUND(T147/'附表1-面积统计表'!$D$29*'附表1-面积统计表'!$D$7,2),IF(AND(V147="共同成本费用",Z147="可售建筑面积法"),ROUND(T147/'附表1-面积统计表'!$F$29*'附表1-面积统计表'!$F$7,2),"请手工填写"))))</f>
        <v>8170.87</v>
      </c>
      <c r="Z147" s="181" t="s">
        <v>311</v>
      </c>
      <c r="AA147" s="164"/>
      <c r="AB147" s="182" t="s">
        <v>1686</v>
      </c>
    </row>
    <row r="148" ht="29" hidden="1" customHeight="1" outlineLevel="1" spans="1:28">
      <c r="A148" s="159">
        <v>143</v>
      </c>
      <c r="B148" s="197" t="s">
        <v>2193</v>
      </c>
      <c r="C148" s="198" t="s">
        <v>2194</v>
      </c>
      <c r="D148" s="162" t="s">
        <v>1700</v>
      </c>
      <c r="E148" s="163" t="s">
        <v>1813</v>
      </c>
      <c r="F148" s="164" t="s">
        <v>2195</v>
      </c>
      <c r="G148" s="165" t="s">
        <v>1898</v>
      </c>
      <c r="H148" s="164" t="str">
        <f>IF(G148="","",VLOOKUP(G148,'附表8-合同明细采集底稿'!B:I,2,0))</f>
        <v>沁春锦苑项目人防门购置18#-21#</v>
      </c>
      <c r="I148" s="92" t="str">
        <f>IF(G148="","",VLOOKUP(G148,'附表8-合同明细采集底稿'!B:I,3,0))</f>
        <v>买卖合同</v>
      </c>
      <c r="J148" s="164" t="str">
        <f>IF(G148="","",VLOOKUP(G148,'附表8-合同明细采集底稿'!B:I,4,0))</f>
        <v>新疆巨安新粤防护设备有限公司（张照平18167948637）</v>
      </c>
      <c r="K148" s="164" t="s">
        <v>1711</v>
      </c>
      <c r="L148" s="165">
        <v>6500231130</v>
      </c>
      <c r="M148" s="165" t="s">
        <v>2197</v>
      </c>
      <c r="N148" s="173">
        <v>111418.41</v>
      </c>
      <c r="O148" s="173">
        <v>125902.8</v>
      </c>
      <c r="P148" s="174">
        <v>111418.41</v>
      </c>
      <c r="Q148" s="173"/>
      <c r="R148" s="173">
        <f t="shared" si="4"/>
        <v>111418.41</v>
      </c>
      <c r="S148" s="177">
        <f>IFERROR(VLOOKUP(G148,'附表8-合同明细采集底稿'!B:M,12,0),100%)</f>
        <v>0.318696696324277</v>
      </c>
      <c r="T148" s="173">
        <f t="shared" si="5"/>
        <v>35508.68</v>
      </c>
      <c r="U148" s="164"/>
      <c r="V148" s="178" t="s">
        <v>336</v>
      </c>
      <c r="W148" s="179">
        <f>IF('附表1-面积统计表'!$D$29=0,"",IF(AND(V148="共同成本费用",Z148="总建筑面积法"),ROUND(T148/'附表1-面积统计表'!$D$29*'附表1-面积统计表'!$D$5,2),IF(AND(V148="共同成本费用",Z148="可售建筑面积法"),ROUND(T148/'附表1-面积统计表'!$F$29*'附表1-面积统计表'!$F$5,2),"请手工填写")))</f>
        <v>12968.81</v>
      </c>
      <c r="X148" s="179">
        <f>IF(SUM('附表1-面积统计表'!$D$6)=0,"",SUM(T148)-SUM(W148)-SUM(Y148))</f>
        <v>15994.1</v>
      </c>
      <c r="Y148" s="179">
        <f>IF(SUM('附表1-面积统计表'!$D$6)=0,SUM(T148)-SUM(W148),IF('附表1-面积统计表'!$D$29=0,"",IF(AND(V148="共同成本费用",Z148="总建筑面积法"),ROUND(T148/'附表1-面积统计表'!$D$29*'附表1-面积统计表'!$D$7,2),IF(AND(V148="共同成本费用",Z148="可售建筑面积法"),ROUND(T148/'附表1-面积统计表'!$F$29*'附表1-面积统计表'!$F$7,2),"请手工填写"))))</f>
        <v>6545.77</v>
      </c>
      <c r="Z148" s="181" t="s">
        <v>311</v>
      </c>
      <c r="AA148" s="164"/>
      <c r="AB148" s="182" t="s">
        <v>1686</v>
      </c>
    </row>
    <row r="149" ht="29" hidden="1" customHeight="1" outlineLevel="1" spans="1:28">
      <c r="A149" s="159">
        <v>144</v>
      </c>
      <c r="B149" s="197" t="s">
        <v>2193</v>
      </c>
      <c r="C149" s="198" t="s">
        <v>2198</v>
      </c>
      <c r="D149" s="162" t="s">
        <v>1700</v>
      </c>
      <c r="E149" s="163" t="s">
        <v>1813</v>
      </c>
      <c r="F149" s="164" t="s">
        <v>2199</v>
      </c>
      <c r="G149" s="165" t="s">
        <v>2200</v>
      </c>
      <c r="H149" s="164" t="str">
        <f>IF(G149="","",VLOOKUP(G149,'附表8-合同明细采集底稿'!B:I,2,0))</f>
        <v>沁春锦苑灯布，门牌，标识牌制作及安装费</v>
      </c>
      <c r="I149" s="92" t="str">
        <f>IF(G149="","",VLOOKUP(G149,'附表8-合同明细采集底稿'!B:I,3,0))</f>
        <v>买卖合同</v>
      </c>
      <c r="J149" s="164" t="str">
        <f>IF(G149="","",VLOOKUP(G149,'附表8-合同明细采集底稿'!B:I,4,0))</f>
        <v>巴州方程视广告有限公司（刘亭）</v>
      </c>
      <c r="K149" s="164" t="s">
        <v>1711</v>
      </c>
      <c r="L149" s="165">
        <v>6500233130</v>
      </c>
      <c r="M149" s="165" t="s">
        <v>2201</v>
      </c>
      <c r="N149" s="173">
        <v>72815.54</v>
      </c>
      <c r="O149" s="173">
        <v>75000</v>
      </c>
      <c r="P149" s="174">
        <v>72815.54</v>
      </c>
      <c r="Q149" s="173">
        <v>53084.87</v>
      </c>
      <c r="R149" s="173">
        <f t="shared" si="4"/>
        <v>125900.41</v>
      </c>
      <c r="S149" s="177">
        <f>IFERROR(VLOOKUP(G149,'附表8-合同明细采集底稿'!B:M,12,0),100%)</f>
        <v>0.318696696324277</v>
      </c>
      <c r="T149" s="173">
        <f t="shared" si="5"/>
        <v>40124.04</v>
      </c>
      <c r="U149" s="164"/>
      <c r="V149" s="178" t="s">
        <v>336</v>
      </c>
      <c r="W149" s="179">
        <f>IF('附表1-面积统计表'!$D$29=0,"",IF(AND(V149="共同成本费用",Z149="总建筑面积法"),ROUND(T149/'附表1-面积统计表'!$D$29*'附表1-面积统计表'!$D$5,2),IF(AND(V149="共同成本费用",Z149="可售建筑面积法"),ROUND(T149/'附表1-面积统计表'!$F$29*'附表1-面积统计表'!$F$5,2),"请手工填写")))</f>
        <v>14654.48</v>
      </c>
      <c r="X149" s="179">
        <f>IF(SUM('附表1-面积统计表'!$D$6)=0,"",SUM(T149)-SUM(W149)-SUM(Y149))</f>
        <v>18072.99</v>
      </c>
      <c r="Y149" s="179">
        <f>IF(SUM('附表1-面积统计表'!$D$6)=0,SUM(T149)-SUM(W149),IF('附表1-面积统计表'!$D$29=0,"",IF(AND(V149="共同成本费用",Z149="总建筑面积法"),ROUND(T149/'附表1-面积统计表'!$D$29*'附表1-面积统计表'!$D$7,2),IF(AND(V149="共同成本费用",Z149="可售建筑面积法"),ROUND(T149/'附表1-面积统计表'!$F$29*'附表1-面积统计表'!$F$7,2),"请手工填写"))))</f>
        <v>7396.57</v>
      </c>
      <c r="Z149" s="181" t="s">
        <v>311</v>
      </c>
      <c r="AA149" s="164"/>
      <c r="AB149" s="182" t="s">
        <v>1686</v>
      </c>
    </row>
    <row r="150" ht="29" hidden="1" customHeight="1" outlineLevel="1" spans="1:28">
      <c r="A150" s="159">
        <v>145</v>
      </c>
      <c r="B150" s="197" t="s">
        <v>2202</v>
      </c>
      <c r="C150" s="198" t="s">
        <v>2203</v>
      </c>
      <c r="D150" s="162" t="s">
        <v>1700</v>
      </c>
      <c r="E150" s="163" t="s">
        <v>1928</v>
      </c>
      <c r="F150" s="164" t="s">
        <v>2204</v>
      </c>
      <c r="G150" s="165" t="s">
        <v>2205</v>
      </c>
      <c r="H150" s="164" t="str">
        <f>IF(G150="","",VLOOKUP(G150,'附表8-合同明细采集底稿'!B:I,2,0))</f>
        <v>37#楼竣工测</v>
      </c>
      <c r="I150" s="92" t="str">
        <f>IF(G150="","",VLOOKUP(G150,'附表8-合同明细采集底稿'!B:I,3,0))</f>
        <v>技术合同</v>
      </c>
      <c r="J150" s="164" t="str">
        <f>IF(G150="","",VLOOKUP(G150,'附表8-合同明细采集底稿'!B:I,4,0))</f>
        <v>新疆天拓空间信息测绘有限公司</v>
      </c>
      <c r="K150" s="164" t="s">
        <v>1711</v>
      </c>
      <c r="L150" s="165">
        <v>6500231130</v>
      </c>
      <c r="M150" s="165" t="s">
        <v>2206</v>
      </c>
      <c r="N150" s="173">
        <v>3752.83</v>
      </c>
      <c r="O150" s="173">
        <v>3978</v>
      </c>
      <c r="P150" s="174">
        <v>3752.83</v>
      </c>
      <c r="Q150" s="173"/>
      <c r="R150" s="173">
        <f t="shared" si="4"/>
        <v>3752.83</v>
      </c>
      <c r="S150" s="177">
        <f>IFERROR(VLOOKUP(G150,'附表8-合同明细采集底稿'!B:M,12,0),100%)</f>
        <v>0.329519901724361</v>
      </c>
      <c r="T150" s="173">
        <f t="shared" si="5"/>
        <v>1236.63</v>
      </c>
      <c r="U150" s="164"/>
      <c r="V150" s="178" t="s">
        <v>336</v>
      </c>
      <c r="W150" s="179">
        <f>IF('附表1-面积统计表'!$D$29=0,"",IF(AND(V150="共同成本费用",Z150="总建筑面积法"),ROUND(T150/'附表1-面积统计表'!$D$29*'附表1-面积统计表'!$D$5,2),IF(AND(V150="共同成本费用",Z150="可售建筑面积法"),ROUND(T150/'附表1-面积统计表'!$F$29*'附表1-面积统计表'!$F$5,2),"请手工填写")))</f>
        <v>451.65</v>
      </c>
      <c r="X150" s="179">
        <f>IF(SUM('附表1-面积统计表'!$D$6)=0,"",SUM(T150)-SUM(W150)-SUM(Y150))</f>
        <v>557.02</v>
      </c>
      <c r="Y150" s="179">
        <f>IF(SUM('附表1-面积统计表'!$D$6)=0,SUM(T150)-SUM(W150),IF('附表1-面积统计表'!$D$29=0,"",IF(AND(V150="共同成本费用",Z150="总建筑面积法"),ROUND(T150/'附表1-面积统计表'!$D$29*'附表1-面积统计表'!$D$7,2),IF(AND(V150="共同成本费用",Z150="可售建筑面积法"),ROUND(T150/'附表1-面积统计表'!$F$29*'附表1-面积统计表'!$F$7,2),"请手工填写"))))</f>
        <v>227.96</v>
      </c>
      <c r="Z150" s="181" t="s">
        <v>311</v>
      </c>
      <c r="AA150" s="164"/>
      <c r="AB150" s="182" t="s">
        <v>1686</v>
      </c>
    </row>
    <row r="151" s="140" customFormat="1" ht="29" hidden="1" customHeight="1" outlineLevel="1" spans="1:16384">
      <c r="A151" s="183">
        <v>146</v>
      </c>
      <c r="B151" s="218" t="s">
        <v>2207</v>
      </c>
      <c r="C151" s="219" t="s">
        <v>2208</v>
      </c>
      <c r="D151" s="185" t="s">
        <v>1700</v>
      </c>
      <c r="E151" s="186" t="s">
        <v>1928</v>
      </c>
      <c r="F151" s="187" t="s">
        <v>2209</v>
      </c>
      <c r="G151" s="188" t="s">
        <v>1697</v>
      </c>
      <c r="H151" s="187">
        <f>IF(G151="","",VLOOKUP(G151,'附表8-合同明细采集底稿'!B:I,2,0))</f>
        <v>0</v>
      </c>
      <c r="I151" s="199">
        <f>IF(G151="","",VLOOKUP(G151,'附表8-合同明细采集底稿'!B:I,3,0))</f>
        <v>0</v>
      </c>
      <c r="J151" s="187" t="s">
        <v>2210</v>
      </c>
      <c r="K151" s="187" t="s">
        <v>1711</v>
      </c>
      <c r="L151" s="188">
        <v>6500231130</v>
      </c>
      <c r="M151" s="188" t="s">
        <v>2211</v>
      </c>
      <c r="N151" s="200">
        <v>819.8</v>
      </c>
      <c r="O151" s="200">
        <v>828</v>
      </c>
      <c r="P151" s="201">
        <v>819.8</v>
      </c>
      <c r="Q151" s="200">
        <f>-P151</f>
        <v>-819.8</v>
      </c>
      <c r="R151" s="200">
        <f t="shared" si="4"/>
        <v>0</v>
      </c>
      <c r="S151" s="205">
        <f>IFERROR(VLOOKUP(G151,'附表8-合同明细采集底稿'!B:M,12,0),100%)</f>
        <v>0.329519901724361</v>
      </c>
      <c r="T151" s="200">
        <f t="shared" si="5"/>
        <v>0</v>
      </c>
      <c r="U151" s="187"/>
      <c r="V151" s="206" t="s">
        <v>336</v>
      </c>
      <c r="W151" s="207">
        <f>IF('附表1-面积统计表'!$D$29=0,"",IF(AND(V151="共同成本费用",Z151="总建筑面积法"),ROUND(T151/'附表1-面积统计表'!$D$29*'附表1-面积统计表'!$D$5,2),IF(AND(V151="共同成本费用",Z151="可售建筑面积法"),ROUND(T151/'附表1-面积统计表'!$F$29*'附表1-面积统计表'!$F$5,2),"请手工填写")))</f>
        <v>0</v>
      </c>
      <c r="X151" s="207">
        <f>IF(SUM('附表1-面积统计表'!$D$6)=0,"",SUM(T151)-SUM(W151)-SUM(Y151))</f>
        <v>0</v>
      </c>
      <c r="Y151" s="207">
        <f>IF(SUM('附表1-面积统计表'!$D$6)=0,SUM(T151)-SUM(W151),IF('附表1-面积统计表'!$D$29=0,"",IF(AND(V151="共同成本费用",Z151="总建筑面积法"),ROUND(T151/'附表1-面积统计表'!$D$29*'附表1-面积统计表'!$D$7,2),IF(AND(V151="共同成本费用",Z151="可售建筑面积法"),ROUND(T151/'附表1-面积统计表'!$F$29*'附表1-面积统计表'!$F$7,2),"请手工填写"))))</f>
        <v>0</v>
      </c>
      <c r="Z151" s="213" t="s">
        <v>311</v>
      </c>
      <c r="AA151" s="187"/>
      <c r="AB151" s="214" t="s">
        <v>1686</v>
      </c>
      <c r="XEO151" s="217"/>
      <c r="XEP151" s="217"/>
      <c r="XEQ151" s="217"/>
      <c r="XER151" s="217"/>
      <c r="XES151" s="217"/>
      <c r="XET151" s="217"/>
      <c r="XEU151" s="217"/>
      <c r="XEV151" s="217"/>
      <c r="XEW151" s="217"/>
      <c r="XEX151" s="217"/>
      <c r="XEY151" s="217"/>
      <c r="XEZ151" s="217"/>
      <c r="XFA151" s="217"/>
      <c r="XFB151" s="217"/>
      <c r="XFC151" s="217"/>
      <c r="XFD151" s="217"/>
    </row>
    <row r="152" ht="29" hidden="1" customHeight="1" outlineLevel="1" spans="1:28">
      <c r="A152" s="159">
        <v>147</v>
      </c>
      <c r="B152" s="197" t="s">
        <v>2212</v>
      </c>
      <c r="C152" s="198" t="s">
        <v>2213</v>
      </c>
      <c r="D152" s="162" t="s">
        <v>1700</v>
      </c>
      <c r="E152" s="163" t="s">
        <v>1928</v>
      </c>
      <c r="F152" s="164" t="s">
        <v>2214</v>
      </c>
      <c r="G152" s="165" t="s">
        <v>2125</v>
      </c>
      <c r="H152" s="164" t="str">
        <f>IF(G152="","",VLOOKUP(G152,'附表8-合同明细采集底稿'!B:I,2,0))</f>
        <v>沁春锦苑18#、21#、22#楼、37#社区、地下车库及人防部分建设工程（37#社区）</v>
      </c>
      <c r="I152" s="92" t="str">
        <f>IF(G152="","",VLOOKUP(G152,'附表8-合同明细采集底稿'!B:I,3,0))</f>
        <v>建设工程合同</v>
      </c>
      <c r="J152" s="164" t="str">
        <f>IF(G152="","",VLOOKUP(G152,'附表8-合同明细采集底稿'!B:I,4,0))</f>
        <v>新疆通力建设集团股份有限公司（高）</v>
      </c>
      <c r="K152" s="164" t="s">
        <v>1711</v>
      </c>
      <c r="L152" s="165">
        <v>6500231130</v>
      </c>
      <c r="M152" s="165" t="s">
        <v>2215</v>
      </c>
      <c r="N152" s="173">
        <v>363288.07</v>
      </c>
      <c r="O152" s="173">
        <v>395984</v>
      </c>
      <c r="P152" s="174">
        <v>363288.07</v>
      </c>
      <c r="Q152" s="173"/>
      <c r="R152" s="173">
        <f t="shared" si="4"/>
        <v>363288.07</v>
      </c>
      <c r="S152" s="177">
        <f>IFERROR(VLOOKUP(G152,'附表8-合同明细采集底稿'!B:M,12,0),100%)</f>
        <v>0.329519901724361</v>
      </c>
      <c r="T152" s="173">
        <f t="shared" si="5"/>
        <v>119710.65</v>
      </c>
      <c r="U152" s="164"/>
      <c r="V152" s="178" t="s">
        <v>336</v>
      </c>
      <c r="W152" s="179">
        <f>IF('附表1-面积统计表'!$D$29=0,"",IF(AND(V152="共同成本费用",Z152="总建筑面积法"),ROUND(T152/'附表1-面积统计表'!$D$29*'附表1-面积统计表'!$D$5,2),IF(AND(V152="共同成本费用",Z152="可售建筑面积法"),ROUND(T152/'附表1-面积统计表'!$F$29*'附表1-面积统计表'!$F$5,2),"请手工填写")))</f>
        <v>43721.85</v>
      </c>
      <c r="X152" s="179">
        <f>IF(SUM('附表1-面积统计表'!$D$6)=0,"",SUM(T152)-SUM(W152)-SUM(Y152))</f>
        <v>53921.02</v>
      </c>
      <c r="Y152" s="179">
        <f>IF(SUM('附表1-面积统计表'!$D$6)=0,SUM(T152)-SUM(W152),IF('附表1-面积统计表'!$D$29=0,"",IF(AND(V152="共同成本费用",Z152="总建筑面积法"),ROUND(T152/'附表1-面积统计表'!$D$29*'附表1-面积统计表'!$D$7,2),IF(AND(V152="共同成本费用",Z152="可售建筑面积法"),ROUND(T152/'附表1-面积统计表'!$F$29*'附表1-面积统计表'!$F$7,2),"请手工填写"))))</f>
        <v>22067.78</v>
      </c>
      <c r="Z152" s="181" t="s">
        <v>311</v>
      </c>
      <c r="AA152" s="164"/>
      <c r="AB152" s="182" t="s">
        <v>1686</v>
      </c>
    </row>
    <row r="153" ht="29" hidden="1" customHeight="1" outlineLevel="1" spans="1:28">
      <c r="A153" s="159">
        <v>148</v>
      </c>
      <c r="B153" s="197" t="s">
        <v>2216</v>
      </c>
      <c r="C153" s="198" t="s">
        <v>2198</v>
      </c>
      <c r="D153" s="162" t="s">
        <v>1700</v>
      </c>
      <c r="E153" s="163" t="s">
        <v>1813</v>
      </c>
      <c r="F153" s="164" t="s">
        <v>2217</v>
      </c>
      <c r="G153" s="165" t="s">
        <v>1815</v>
      </c>
      <c r="H153" s="164" t="str">
        <f>IF(G153="","",VLOOKUP(G153,'附表8-合同明细采集底稿'!B:I,2,0))</f>
        <v>建设工程设计合同（民用建设工程设计合同）</v>
      </c>
      <c r="I153" s="92" t="str">
        <f>IF(G153="","",VLOOKUP(G153,'附表8-合同明细采集底稿'!B:I,3,0))</f>
        <v>技术合同</v>
      </c>
      <c r="J153" s="164" t="str">
        <f>IF(G153="","",VLOOKUP(G153,'附表8-合同明细采集底稿'!B:I,4,0))</f>
        <v>河南省人防建筑设计院有限公司新疆分公司</v>
      </c>
      <c r="K153" s="164" t="s">
        <v>1711</v>
      </c>
      <c r="L153" s="165" t="s">
        <v>2218</v>
      </c>
      <c r="M153" s="165" t="s">
        <v>2219</v>
      </c>
      <c r="N153" s="173">
        <v>39829.21</v>
      </c>
      <c r="O153" s="173">
        <v>42218.96</v>
      </c>
      <c r="P153" s="174">
        <v>39829.21</v>
      </c>
      <c r="Q153" s="173">
        <v>-12885.81</v>
      </c>
      <c r="R153" s="173">
        <f t="shared" si="4"/>
        <v>26943.4</v>
      </c>
      <c r="S153" s="177">
        <f>IFERROR(VLOOKUP(G153,'附表8-合同明细采集底稿'!B:M,12,0),100%)</f>
        <v>0.318696696324277</v>
      </c>
      <c r="T153" s="173">
        <f t="shared" si="5"/>
        <v>8586.77</v>
      </c>
      <c r="U153" s="164"/>
      <c r="V153" s="178" t="s">
        <v>336</v>
      </c>
      <c r="W153" s="179">
        <f>IF('附表1-面积统计表'!$D$29=0,"",IF(AND(V153="共同成本费用",Z153="总建筑面积法"),ROUND(T153/'附表1-面积统计表'!$D$29*'附表1-面积统计表'!$D$5,2),IF(AND(V153="共同成本费用",Z153="可售建筑面积法"),ROUND(T153/'附表1-面积统计表'!$F$29*'附表1-面积统计表'!$F$5,2),"请手工填写")))</f>
        <v>3136.14</v>
      </c>
      <c r="X153" s="179">
        <f>IF(SUM('附表1-面积统计表'!$D$6)=0,"",SUM(T153)-SUM(W153)-SUM(Y153))</f>
        <v>3867.72</v>
      </c>
      <c r="Y153" s="179">
        <f>IF(SUM('附表1-面积统计表'!$D$6)=0,SUM(T153)-SUM(W153),IF('附表1-面积统计表'!$D$29=0,"",IF(AND(V153="共同成本费用",Z153="总建筑面积法"),ROUND(T153/'附表1-面积统计表'!$D$29*'附表1-面积统计表'!$D$7,2),IF(AND(V153="共同成本费用",Z153="可售建筑面积法"),ROUND(T153/'附表1-面积统计表'!$F$29*'附表1-面积统计表'!$F$7,2),"请手工填写"))))</f>
        <v>1582.91</v>
      </c>
      <c r="Z153" s="181" t="s">
        <v>311</v>
      </c>
      <c r="AA153" s="164"/>
      <c r="AB153" s="182" t="s">
        <v>1686</v>
      </c>
    </row>
    <row r="154" ht="29" hidden="1" customHeight="1" outlineLevel="1" spans="1:28">
      <c r="A154" s="159">
        <v>149</v>
      </c>
      <c r="B154" s="197" t="s">
        <v>2220</v>
      </c>
      <c r="C154" s="198" t="s">
        <v>2221</v>
      </c>
      <c r="D154" s="162" t="s">
        <v>1700</v>
      </c>
      <c r="E154" s="163" t="s">
        <v>1928</v>
      </c>
      <c r="F154" s="164" t="s">
        <v>2222</v>
      </c>
      <c r="G154" s="165" t="s">
        <v>1697</v>
      </c>
      <c r="H154" s="164">
        <f>IF(G154="","",VLOOKUP(G154,'附表8-合同明细采集底稿'!B:I,2,0))</f>
        <v>0</v>
      </c>
      <c r="I154" s="92">
        <f>IF(G154="","",VLOOKUP(G154,'附表8-合同明细采集底稿'!B:I,3,0))</f>
        <v>0</v>
      </c>
      <c r="J154" s="164" t="s">
        <v>2130</v>
      </c>
      <c r="K154" s="164" t="s">
        <v>1711</v>
      </c>
      <c r="L154" s="165">
        <v>6500183130</v>
      </c>
      <c r="M154" s="165" t="s">
        <v>2223</v>
      </c>
      <c r="N154" s="173">
        <v>38834.95</v>
      </c>
      <c r="O154" s="173">
        <v>40000</v>
      </c>
      <c r="P154" s="174">
        <v>38834.95</v>
      </c>
      <c r="Q154" s="173"/>
      <c r="R154" s="173">
        <f t="shared" ref="R154:R217" si="6">P154+Q154</f>
        <v>38834.95</v>
      </c>
      <c r="S154" s="177">
        <f>IFERROR(VLOOKUP(G154,'附表8-合同明细采集底稿'!B:M,12,0),100%)</f>
        <v>0.329519901724361</v>
      </c>
      <c r="T154" s="173">
        <f t="shared" si="5"/>
        <v>12796.89</v>
      </c>
      <c r="U154" s="164"/>
      <c r="V154" s="178" t="s">
        <v>336</v>
      </c>
      <c r="W154" s="179">
        <f>IF('附表1-面积统计表'!$D$29=0,"",IF(AND(V154="共同成本费用",Z154="总建筑面积法"),ROUND(T154/'附表1-面积统计表'!$D$29*'附表1-面积统计表'!$D$5,2),IF(AND(V154="共同成本费用",Z154="可售建筑面积法"),ROUND(T154/'附表1-面积统计表'!$F$29*'附表1-面积统计表'!$F$5,2),"请手工填写")))</f>
        <v>4673.8</v>
      </c>
      <c r="X154" s="179">
        <f>IF(SUM('附表1-面积统计表'!$D$6)=0,"",SUM(T154)-SUM(W154)-SUM(Y154))</f>
        <v>5764.08</v>
      </c>
      <c r="Y154" s="179">
        <f>IF(SUM('附表1-面积统计表'!$D$6)=0,SUM(T154)-SUM(W154),IF('附表1-面积统计表'!$D$29=0,"",IF(AND(V154="共同成本费用",Z154="总建筑面积法"),ROUND(T154/'附表1-面积统计表'!$D$29*'附表1-面积统计表'!$D$7,2),IF(AND(V154="共同成本费用",Z154="可售建筑面积法"),ROUND(T154/'附表1-面积统计表'!$F$29*'附表1-面积统计表'!$F$7,2),"请手工填写"))))</f>
        <v>2359.01</v>
      </c>
      <c r="Z154" s="181" t="s">
        <v>311</v>
      </c>
      <c r="AA154" s="164"/>
      <c r="AB154" s="182" t="s">
        <v>1686</v>
      </c>
    </row>
    <row r="155" ht="29" hidden="1" customHeight="1" outlineLevel="1" spans="1:28">
      <c r="A155" s="159">
        <v>150</v>
      </c>
      <c r="B155" s="197" t="s">
        <v>2224</v>
      </c>
      <c r="C155" s="198" t="s">
        <v>2225</v>
      </c>
      <c r="D155" s="162" t="s">
        <v>1700</v>
      </c>
      <c r="E155" s="163" t="s">
        <v>1875</v>
      </c>
      <c r="F155" s="164" t="s">
        <v>2226</v>
      </c>
      <c r="G155" s="165" t="s">
        <v>1955</v>
      </c>
      <c r="H155" s="164" t="str">
        <f>IF(G155="","",VLOOKUP(G155,'附表8-合同明细采集底稿'!B:I,2,0))</f>
        <v>幼儿园电梯销售安装合同（31#楼）</v>
      </c>
      <c r="I155" s="92" t="str">
        <f>IF(G155="","",VLOOKUP(G155,'附表8-合同明细采集底稿'!B:I,3,0))</f>
        <v>买卖合同</v>
      </c>
      <c r="J155" s="164" t="str">
        <f>IF(G155="","",VLOOKUP(G155,'附表8-合同明细采集底稿'!B:I,4,0))</f>
        <v>新疆华汇建安机械设备有限公司（许林）</v>
      </c>
      <c r="K155" s="164" t="s">
        <v>1685</v>
      </c>
      <c r="L155" s="165"/>
      <c r="M155" s="165"/>
      <c r="N155" s="173">
        <v>0.01</v>
      </c>
      <c r="O155" s="173">
        <v>0.01</v>
      </c>
      <c r="P155" s="174">
        <v>0.01</v>
      </c>
      <c r="Q155" s="173"/>
      <c r="R155" s="173">
        <f t="shared" si="6"/>
        <v>0.01</v>
      </c>
      <c r="S155" s="177">
        <f>IFERROR(VLOOKUP(G155,'附表8-合同明细采集底稿'!B:M,12,0),100%)</f>
        <v>0.329519901724361</v>
      </c>
      <c r="T155" s="173">
        <f t="shared" si="5"/>
        <v>0</v>
      </c>
      <c r="U155" s="164"/>
      <c r="V155" s="178" t="s">
        <v>336</v>
      </c>
      <c r="W155" s="179">
        <f>IF('附表1-面积统计表'!$D$29=0,"",IF(AND(V155="共同成本费用",Z155="总建筑面积法"),ROUND(T155/'附表1-面积统计表'!$D$29*'附表1-面积统计表'!$D$5,2),IF(AND(V155="共同成本费用",Z155="可售建筑面积法"),ROUND(T155/'附表1-面积统计表'!$F$29*'附表1-面积统计表'!$F$5,2),"请手工填写")))</f>
        <v>0</v>
      </c>
      <c r="X155" s="179">
        <f>IF(SUM('附表1-面积统计表'!$D$6)=0,"",SUM(T155)-SUM(W155)-SUM(Y155))</f>
        <v>0</v>
      </c>
      <c r="Y155" s="179">
        <f>IF(SUM('附表1-面积统计表'!$D$6)=0,SUM(T155)-SUM(W155),IF('附表1-面积统计表'!$D$29=0,"",IF(AND(V155="共同成本费用",Z155="总建筑面积法"),ROUND(T155/'附表1-面积统计表'!$D$29*'附表1-面积统计表'!$D$7,2),IF(AND(V155="共同成本费用",Z155="可售建筑面积法"),ROUND(T155/'附表1-面积统计表'!$F$29*'附表1-面积统计表'!$F$7,2),"请手工填写"))))</f>
        <v>0</v>
      </c>
      <c r="Z155" s="181" t="s">
        <v>311</v>
      </c>
      <c r="AA155" s="164"/>
      <c r="AB155" s="182" t="s">
        <v>1686</v>
      </c>
    </row>
    <row r="156" ht="29" hidden="1" customHeight="1" outlineLevel="1" spans="1:28">
      <c r="A156" s="159">
        <v>151</v>
      </c>
      <c r="B156" s="197" t="s">
        <v>2227</v>
      </c>
      <c r="C156" s="198" t="s">
        <v>2228</v>
      </c>
      <c r="D156" s="162" t="s">
        <v>1700</v>
      </c>
      <c r="E156" s="163" t="s">
        <v>1928</v>
      </c>
      <c r="F156" s="164" t="s">
        <v>2229</v>
      </c>
      <c r="G156" s="165" t="s">
        <v>2125</v>
      </c>
      <c r="H156" s="164" t="str">
        <f>IF(G156="","",VLOOKUP(G156,'附表8-合同明细采集底稿'!B:I,2,0))</f>
        <v>沁春锦苑18#、21#、22#楼、37#社区、地下车库及人防部分建设工程（37#社区）</v>
      </c>
      <c r="I156" s="92" t="str">
        <f>IF(G156="","",VLOOKUP(G156,'附表8-合同明细采集底稿'!B:I,3,0))</f>
        <v>建设工程合同</v>
      </c>
      <c r="J156" s="164" t="str">
        <f>IF(G156="","",VLOOKUP(G156,'附表8-合同明细采集底稿'!B:I,4,0))</f>
        <v>新疆通力建设集团股份有限公司（高）</v>
      </c>
      <c r="K156" s="164" t="s">
        <v>1711</v>
      </c>
      <c r="L156" s="165" t="s">
        <v>2230</v>
      </c>
      <c r="M156" s="165" t="s">
        <v>2231</v>
      </c>
      <c r="N156" s="173">
        <v>266020.18</v>
      </c>
      <c r="O156" s="173">
        <v>289962</v>
      </c>
      <c r="P156" s="174">
        <v>266020.18</v>
      </c>
      <c r="Q156" s="173"/>
      <c r="R156" s="173">
        <f t="shared" si="6"/>
        <v>266020.18</v>
      </c>
      <c r="S156" s="177">
        <f>IFERROR(VLOOKUP(G156,'附表8-合同明细采集底稿'!B:M,12,0),100%)</f>
        <v>0.329519901724361</v>
      </c>
      <c r="T156" s="173">
        <f t="shared" ref="T156:T219" si="7">ROUND(SUM(R156)*SUM(S156),2)</f>
        <v>87658.94</v>
      </c>
      <c r="U156" s="164"/>
      <c r="V156" s="178" t="s">
        <v>336</v>
      </c>
      <c r="W156" s="179">
        <f>IF('附表1-面积统计表'!$D$29=0,"",IF(AND(V156="共同成本费用",Z156="总建筑面积法"),ROUND(T156/'附表1-面积统计表'!$D$29*'附表1-面积统计表'!$D$5,2),IF(AND(V156="共同成本费用",Z156="可售建筑面积法"),ROUND(T156/'附表1-面积统计表'!$F$29*'附表1-面积统计表'!$F$5,2),"请手工填写")))</f>
        <v>32015.62</v>
      </c>
      <c r="X156" s="179">
        <f>IF(SUM('附表1-面积统计表'!$D$6)=0,"",SUM(T156)-SUM(W156)-SUM(Y156))</f>
        <v>39484.04</v>
      </c>
      <c r="Y156" s="179">
        <f>IF(SUM('附表1-面积统计表'!$D$6)=0,SUM(T156)-SUM(W156),IF('附表1-面积统计表'!$D$29=0,"",IF(AND(V156="共同成本费用",Z156="总建筑面积法"),ROUND(T156/'附表1-面积统计表'!$D$29*'附表1-面积统计表'!$D$7,2),IF(AND(V156="共同成本费用",Z156="可售建筑面积法"),ROUND(T156/'附表1-面积统计表'!$F$29*'附表1-面积统计表'!$F$7,2),"请手工填写"))))</f>
        <v>16159.28</v>
      </c>
      <c r="Z156" s="181" t="s">
        <v>311</v>
      </c>
      <c r="AA156" s="164"/>
      <c r="AB156" s="182" t="s">
        <v>1686</v>
      </c>
    </row>
    <row r="157" ht="29" hidden="1" customHeight="1" outlineLevel="1" spans="1:28">
      <c r="A157" s="159">
        <v>152</v>
      </c>
      <c r="B157" s="197" t="s">
        <v>2227</v>
      </c>
      <c r="C157" s="198" t="s">
        <v>2152</v>
      </c>
      <c r="D157" s="162" t="s">
        <v>1700</v>
      </c>
      <c r="E157" s="163" t="s">
        <v>1928</v>
      </c>
      <c r="F157" s="164" t="s">
        <v>2232</v>
      </c>
      <c r="G157" s="165" t="s">
        <v>2233</v>
      </c>
      <c r="H157" s="164" t="str">
        <f>IF(G157="","",VLOOKUP(G157,'附表8-合同明细采集底稿'!B:I,2,0))</f>
        <v>建设工程监理合同</v>
      </c>
      <c r="I157" s="92" t="str">
        <f>IF(G157="","",VLOOKUP(G157,'附表8-合同明细采集底稿'!B:I,3,0))</f>
        <v>技术合同</v>
      </c>
      <c r="J157" s="164" t="str">
        <f>IF(G157="","",VLOOKUP(G157,'附表8-合同明细采集底稿'!B:I,4,0))</f>
        <v>巴州智诚工程项目管理服务有限公司</v>
      </c>
      <c r="K157" s="164" t="s">
        <v>1711</v>
      </c>
      <c r="L157" s="165"/>
      <c r="M157" s="165" t="s">
        <v>2234</v>
      </c>
      <c r="N157" s="173">
        <v>14069.03</v>
      </c>
      <c r="O157" s="173">
        <v>14913.17</v>
      </c>
      <c r="P157" s="174">
        <v>14069.03</v>
      </c>
      <c r="Q157" s="173"/>
      <c r="R157" s="173">
        <f t="shared" si="6"/>
        <v>14069.03</v>
      </c>
      <c r="S157" s="177">
        <f>IFERROR(VLOOKUP(G157,'附表8-合同明细采集底稿'!B:M,12,0),100%)</f>
        <v>0.329519901724361</v>
      </c>
      <c r="T157" s="173">
        <f t="shared" si="7"/>
        <v>4636.03</v>
      </c>
      <c r="U157" s="164"/>
      <c r="V157" s="178" t="s">
        <v>336</v>
      </c>
      <c r="W157" s="179">
        <f>IF('附表1-面积统计表'!$D$29=0,"",IF(AND(V157="共同成本费用",Z157="总建筑面积法"),ROUND(T157/'附表1-面积统计表'!$D$29*'附表1-面积统计表'!$D$5,2),IF(AND(V157="共同成本费用",Z157="可售建筑面积法"),ROUND(T157/'附表1-面积统计表'!$F$29*'附表1-面积统计表'!$F$5,2),"请手工填写")))</f>
        <v>1693.21</v>
      </c>
      <c r="X157" s="179">
        <f>IF(SUM('附表1-面积统计表'!$D$6)=0,"",SUM(T157)-SUM(W157)-SUM(Y157))</f>
        <v>2088.2</v>
      </c>
      <c r="Y157" s="179">
        <f>IF(SUM('附表1-面积统计表'!$D$6)=0,SUM(T157)-SUM(W157),IF('附表1-面积统计表'!$D$29=0,"",IF(AND(V157="共同成本费用",Z157="总建筑面积法"),ROUND(T157/'附表1-面积统计表'!$D$29*'附表1-面积统计表'!$D$7,2),IF(AND(V157="共同成本费用",Z157="可售建筑面积法"),ROUND(T157/'附表1-面积统计表'!$F$29*'附表1-面积统计表'!$F$7,2),"请手工填写"))))</f>
        <v>854.62</v>
      </c>
      <c r="Z157" s="181" t="s">
        <v>311</v>
      </c>
      <c r="AA157" s="164"/>
      <c r="AB157" s="182" t="s">
        <v>1686</v>
      </c>
    </row>
    <row r="158" ht="29" hidden="1" customHeight="1" outlineLevel="1" spans="1:28">
      <c r="A158" s="159">
        <v>153</v>
      </c>
      <c r="B158" s="197" t="s">
        <v>2227</v>
      </c>
      <c r="C158" s="198" t="s">
        <v>2152</v>
      </c>
      <c r="D158" s="162" t="s">
        <v>1700</v>
      </c>
      <c r="E158" s="163" t="s">
        <v>1813</v>
      </c>
      <c r="F158" s="164" t="s">
        <v>2232</v>
      </c>
      <c r="G158" s="165" t="s">
        <v>2235</v>
      </c>
      <c r="H158" s="164" t="str">
        <f>IF(G158="","",VLOOKUP(G158,'附表8-合同明细采集底稿'!B:I,2,0))</f>
        <v>建设工程监理合同</v>
      </c>
      <c r="I158" s="92" t="str">
        <f>IF(G158="","",VLOOKUP(G158,'附表8-合同明细采集底稿'!B:I,3,0))</f>
        <v>技术合同</v>
      </c>
      <c r="J158" s="164" t="str">
        <f>IF(G158="","",VLOOKUP(G158,'附表8-合同明细采集底稿'!B:I,4,0))</f>
        <v>巴州智诚工程项目管理服务有限公司</v>
      </c>
      <c r="K158" s="164" t="s">
        <v>1711</v>
      </c>
      <c r="L158" s="165"/>
      <c r="M158" s="165" t="s">
        <v>2234</v>
      </c>
      <c r="N158" s="173">
        <v>44773.42</v>
      </c>
      <c r="O158" s="173">
        <v>47459.83</v>
      </c>
      <c r="P158" s="174">
        <v>44773.42</v>
      </c>
      <c r="Q158" s="173"/>
      <c r="R158" s="173">
        <f t="shared" si="6"/>
        <v>44773.42</v>
      </c>
      <c r="S158" s="177">
        <f>IFERROR(VLOOKUP(G158,'附表8-合同明细采集底稿'!B:M,12,0),100%)</f>
        <v>0.318696696324277</v>
      </c>
      <c r="T158" s="173">
        <f t="shared" si="7"/>
        <v>14269.14</v>
      </c>
      <c r="U158" s="164"/>
      <c r="V158" s="178" t="s">
        <v>336</v>
      </c>
      <c r="W158" s="179">
        <f>IF('附表1-面积统计表'!$D$29=0,"",IF(AND(V158="共同成本费用",Z158="总建筑面积法"),ROUND(T158/'附表1-面积统计表'!$D$29*'附表1-面积统计表'!$D$5,2),IF(AND(V158="共同成本费用",Z158="可售建筑面积法"),ROUND(T158/'附表1-面积统计表'!$F$29*'附表1-面积统计表'!$F$5,2),"请手工填写")))</f>
        <v>5211.51</v>
      </c>
      <c r="X158" s="179">
        <f>IF(SUM('附表1-面积统计表'!$D$6)=0,"",SUM(T158)-SUM(W158)-SUM(Y158))</f>
        <v>6427.22</v>
      </c>
      <c r="Y158" s="179">
        <f>IF(SUM('附表1-面积统计表'!$D$6)=0,SUM(T158)-SUM(W158),IF('附表1-面积统计表'!$D$29=0,"",IF(AND(V158="共同成本费用",Z158="总建筑面积法"),ROUND(T158/'附表1-面积统计表'!$D$29*'附表1-面积统计表'!$D$7,2),IF(AND(V158="共同成本费用",Z158="可售建筑面积法"),ROUND(T158/'附表1-面积统计表'!$F$29*'附表1-面积统计表'!$F$7,2),"请手工填写"))))</f>
        <v>2630.41</v>
      </c>
      <c r="Z158" s="181" t="s">
        <v>311</v>
      </c>
      <c r="AA158" s="164"/>
      <c r="AB158" s="182" t="s">
        <v>1686</v>
      </c>
    </row>
    <row r="159" ht="29" hidden="1" customHeight="1" outlineLevel="1" spans="1:28">
      <c r="A159" s="159">
        <v>154</v>
      </c>
      <c r="B159" s="197" t="s">
        <v>2227</v>
      </c>
      <c r="C159" s="198" t="s">
        <v>2123</v>
      </c>
      <c r="D159" s="162" t="s">
        <v>1700</v>
      </c>
      <c r="E159" s="163" t="s">
        <v>1880</v>
      </c>
      <c r="F159" s="164" t="s">
        <v>2236</v>
      </c>
      <c r="G159" s="165" t="s">
        <v>2077</v>
      </c>
      <c r="H159" s="164" t="str">
        <f>IF(G159="","",VLOOKUP(G159,'附表8-合同明细采集底稿'!B:I,2,0))</f>
        <v>沁春锦苑升降横移类机械式停车设备销售合同</v>
      </c>
      <c r="I159" s="92" t="str">
        <f>IF(G159="","",VLOOKUP(G159,'附表8-合同明细采集底稿'!B:I,3,0))</f>
        <v>买卖合同</v>
      </c>
      <c r="J159" s="164" t="str">
        <f>IF(G159="","",VLOOKUP(G159,'附表8-合同明细采集底稿'!B:I,4,0))</f>
        <v>唐山通宝停车设备有限公司</v>
      </c>
      <c r="K159" s="164" t="s">
        <v>1711</v>
      </c>
      <c r="L159" s="165" t="s">
        <v>2237</v>
      </c>
      <c r="M159" s="165" t="s">
        <v>2238</v>
      </c>
      <c r="N159" s="173">
        <v>476410.4</v>
      </c>
      <c r="O159" s="173">
        <v>538343.75</v>
      </c>
      <c r="P159" s="174">
        <v>476410.4</v>
      </c>
      <c r="Q159" s="173"/>
      <c r="R159" s="173">
        <f t="shared" si="6"/>
        <v>476410.4</v>
      </c>
      <c r="S159" s="177">
        <f>IFERROR(VLOOKUP(G159,'附表8-合同明细采集底稿'!B:M,12,0),100%)</f>
        <v>0.329519901724361</v>
      </c>
      <c r="T159" s="173">
        <f t="shared" si="7"/>
        <v>156986.71</v>
      </c>
      <c r="U159" s="164"/>
      <c r="V159" s="178" t="s">
        <v>336</v>
      </c>
      <c r="W159" s="179">
        <f>IF('附表1-面积统计表'!$D$29=0,"",IF(AND(V159="共同成本费用",Z159="总建筑面积法"),ROUND(T159/'附表1-面积统计表'!$D$29*'附表1-面积统计表'!$D$5,2),IF(AND(V159="共同成本费用",Z159="可售建筑面积法"),ROUND(T159/'附表1-面积统计表'!$F$29*'附表1-面积统计表'!$F$5,2),"请手工填写")))</f>
        <v>57336.16</v>
      </c>
      <c r="X159" s="179">
        <f>IF(SUM('附表1-面积统计表'!$D$6)=0,"",SUM(T159)-SUM(W159)-SUM(Y159))</f>
        <v>70711.2</v>
      </c>
      <c r="Y159" s="179">
        <f>IF(SUM('附表1-面积统计表'!$D$6)=0,SUM(T159)-SUM(W159),IF('附表1-面积统计表'!$D$29=0,"",IF(AND(V159="共同成本费用",Z159="总建筑面积法"),ROUND(T159/'附表1-面积统计表'!$D$29*'附表1-面积统计表'!$D$7,2),IF(AND(V159="共同成本费用",Z159="可售建筑面积法"),ROUND(T159/'附表1-面积统计表'!$F$29*'附表1-面积统计表'!$F$7,2),"请手工填写"))))</f>
        <v>28939.35</v>
      </c>
      <c r="Z159" s="181" t="s">
        <v>311</v>
      </c>
      <c r="AA159" s="164"/>
      <c r="AB159" s="182" t="s">
        <v>1686</v>
      </c>
    </row>
    <row r="160" ht="29" hidden="1" customHeight="1" outlineLevel="1" spans="1:28">
      <c r="A160" s="159">
        <v>155</v>
      </c>
      <c r="B160" s="197" t="s">
        <v>2227</v>
      </c>
      <c r="C160" s="198" t="s">
        <v>2110</v>
      </c>
      <c r="D160" s="162" t="s">
        <v>1700</v>
      </c>
      <c r="E160" s="163" t="s">
        <v>1813</v>
      </c>
      <c r="F160" s="164" t="s">
        <v>2239</v>
      </c>
      <c r="G160" s="165" t="s">
        <v>2164</v>
      </c>
      <c r="H160" s="164" t="str">
        <f>IF(G160="","",VLOOKUP(G160,'附表8-合同明细采集底稿'!B:I,2,0))</f>
        <v>沁春锦苑人防车库防雨棚安装工程</v>
      </c>
      <c r="I160" s="92" t="str">
        <f>IF(G160="","",VLOOKUP(G160,'附表8-合同明细采集底稿'!B:I,3,0))</f>
        <v>建设工程合同</v>
      </c>
      <c r="J160" s="164" t="str">
        <f>IF(G160="","",VLOOKUP(G160,'附表8-合同明细采集底稿'!B:I,4,0))</f>
        <v>库尔勒坚乐美建筑工程有限责任公司（郑长银）</v>
      </c>
      <c r="K160" s="164" t="s">
        <v>1711</v>
      </c>
      <c r="L160" s="165"/>
      <c r="M160" s="165" t="s">
        <v>2240</v>
      </c>
      <c r="N160" s="173">
        <v>196788.99</v>
      </c>
      <c r="O160" s="173">
        <v>214500</v>
      </c>
      <c r="P160" s="174">
        <v>196788.99</v>
      </c>
      <c r="Q160" s="173">
        <f>398704.92-88495.58-196788.99</f>
        <v>113420.35</v>
      </c>
      <c r="R160" s="173">
        <f t="shared" si="6"/>
        <v>310209.34</v>
      </c>
      <c r="S160" s="177">
        <f>IFERROR(VLOOKUP(G160,'附表8-合同明细采集底稿'!B:M,12,0),100%)</f>
        <v>0.318696696324277</v>
      </c>
      <c r="T160" s="173">
        <f t="shared" si="7"/>
        <v>98862.69</v>
      </c>
      <c r="U160" s="164"/>
      <c r="V160" s="178" t="s">
        <v>336</v>
      </c>
      <c r="W160" s="179">
        <f>IF('附表1-面积统计表'!$D$29=0,"",IF(AND(V160="共同成本费用",Z160="总建筑面积法"),ROUND(T160/'附表1-面积统计表'!$D$29*'附表1-面积统计表'!$D$5,2),IF(AND(V160="共同成本费用",Z160="可售建筑面积法"),ROUND(T160/'附表1-面积统计表'!$F$29*'附表1-面积统计表'!$F$5,2),"请手工填写")))</f>
        <v>36107.56</v>
      </c>
      <c r="X160" s="179">
        <f>IF(SUM('附表1-面积统计表'!$D$6)=0,"",SUM(T160)-SUM(W160)-SUM(Y160))</f>
        <v>44530.52</v>
      </c>
      <c r="Y160" s="179">
        <f>IF(SUM('附表1-面积统计表'!$D$6)=0,SUM(T160)-SUM(W160),IF('附表1-面积统计表'!$D$29=0,"",IF(AND(V160="共同成本费用",Z160="总建筑面积法"),ROUND(T160/'附表1-面积统计表'!$D$29*'附表1-面积统计表'!$D$7,2),IF(AND(V160="共同成本费用",Z160="可售建筑面积法"),ROUND(T160/'附表1-面积统计表'!$F$29*'附表1-面积统计表'!$F$7,2),"请手工填写"))))</f>
        <v>18224.61</v>
      </c>
      <c r="Z160" s="181" t="s">
        <v>311</v>
      </c>
      <c r="AA160" s="164"/>
      <c r="AB160" s="182" t="s">
        <v>1686</v>
      </c>
    </row>
    <row r="161" ht="29" hidden="1" customHeight="1" outlineLevel="1" spans="1:28">
      <c r="A161" s="159">
        <v>156</v>
      </c>
      <c r="B161" s="197" t="s">
        <v>2241</v>
      </c>
      <c r="C161" s="198" t="s">
        <v>2162</v>
      </c>
      <c r="D161" s="162" t="s">
        <v>1700</v>
      </c>
      <c r="E161" s="163" t="s">
        <v>1928</v>
      </c>
      <c r="F161" s="164" t="s">
        <v>2242</v>
      </c>
      <c r="G161" s="165" t="s">
        <v>2243</v>
      </c>
      <c r="H161" s="164" t="str">
        <f>IF(G161="","",VLOOKUP(G161,'附表8-合同明细采集底稿'!B:I,2,0))</f>
        <v>37#天然气安装工程</v>
      </c>
      <c r="I161" s="92" t="str">
        <f>IF(G161="","",VLOOKUP(G161,'附表8-合同明细采集底稿'!B:I,3,0))</f>
        <v>建设工程合同</v>
      </c>
      <c r="J161" s="164" t="str">
        <f>IF(G161="","",VLOOKUP(G161,'附表8-合同明细采集底稿'!B:I,4,0))</f>
        <v>新疆南天城建（集团）股份有限公司</v>
      </c>
      <c r="K161" s="164" t="s">
        <v>1711</v>
      </c>
      <c r="L161" s="165" t="s">
        <v>2218</v>
      </c>
      <c r="M161" s="165" t="s">
        <v>2244</v>
      </c>
      <c r="N161" s="173">
        <v>69062.15</v>
      </c>
      <c r="O161" s="173">
        <v>75277.74</v>
      </c>
      <c r="P161" s="174">
        <v>69062.15</v>
      </c>
      <c r="Q161" s="173"/>
      <c r="R161" s="173">
        <f t="shared" si="6"/>
        <v>69062.15</v>
      </c>
      <c r="S161" s="177">
        <f>IFERROR(VLOOKUP(G161,'附表8-合同明细采集底稿'!B:M,12,0),100%)</f>
        <v>0.329519901724361</v>
      </c>
      <c r="T161" s="173">
        <f t="shared" si="7"/>
        <v>22757.35</v>
      </c>
      <c r="U161" s="164"/>
      <c r="V161" s="178" t="s">
        <v>336</v>
      </c>
      <c r="W161" s="179">
        <f>IF('附表1-面积统计表'!$D$29=0,"",IF(AND(V161="共同成本费用",Z161="总建筑面积法"),ROUND(T161/'附表1-面积统计表'!$D$29*'附表1-面积统计表'!$D$5,2),IF(AND(V161="共同成本费用",Z161="可售建筑面积法"),ROUND(T161/'附表1-面积统计表'!$F$29*'附表1-面积统计表'!$F$5,2),"请手工填写")))</f>
        <v>8311.65</v>
      </c>
      <c r="X161" s="179">
        <f>IF(SUM('附表1-面积统计表'!$D$6)=0,"",SUM(T161)-SUM(W161)-SUM(Y161))</f>
        <v>10250.55</v>
      </c>
      <c r="Y161" s="179">
        <f>IF(SUM('附表1-面积统计表'!$D$6)=0,SUM(T161)-SUM(W161),IF('附表1-面积统计表'!$D$29=0,"",IF(AND(V161="共同成本费用",Z161="总建筑面积法"),ROUND(T161/'附表1-面积统计表'!$D$29*'附表1-面积统计表'!$D$7,2),IF(AND(V161="共同成本费用",Z161="可售建筑面积法"),ROUND(T161/'附表1-面积统计表'!$F$29*'附表1-面积统计表'!$F$7,2),"请手工填写"))))</f>
        <v>4195.15</v>
      </c>
      <c r="Z161" s="181" t="s">
        <v>311</v>
      </c>
      <c r="AA161" s="164"/>
      <c r="AB161" s="182" t="s">
        <v>1686</v>
      </c>
    </row>
    <row r="162" ht="29" hidden="1" customHeight="1" outlineLevel="1" spans="1:28">
      <c r="A162" s="159">
        <v>157</v>
      </c>
      <c r="B162" s="197" t="s">
        <v>2245</v>
      </c>
      <c r="C162" s="198" t="s">
        <v>2246</v>
      </c>
      <c r="D162" s="162" t="s">
        <v>1707</v>
      </c>
      <c r="E162" s="163" t="s">
        <v>1708</v>
      </c>
      <c r="F162" s="164" t="s">
        <v>2247</v>
      </c>
      <c r="G162" s="165" t="s">
        <v>1755</v>
      </c>
      <c r="H162" s="164" t="str">
        <f>IF(G162="","",VLOOKUP(G162,'附表8-合同明细采集底稿'!B:I,2,0))</f>
        <v>专业建设工程设计合同</v>
      </c>
      <c r="I162" s="92" t="str">
        <f>IF(G162="","",VLOOKUP(G162,'附表8-合同明细采集底稿'!B:I,3,0))</f>
        <v>技术合同</v>
      </c>
      <c r="J162" s="164" t="str">
        <f>IF(G162="","",VLOOKUP(G162,'附表8-合同明细采集底稿'!B:I,4,0))</f>
        <v>乌鲁木齐大漠林海绿化有限责任公司（蔚晓芳）</v>
      </c>
      <c r="K162" s="164" t="s">
        <v>1711</v>
      </c>
      <c r="L162" s="165"/>
      <c r="M162" s="165" t="s">
        <v>2248</v>
      </c>
      <c r="N162" s="173">
        <v>26250</v>
      </c>
      <c r="O162" s="173">
        <v>27825</v>
      </c>
      <c r="P162" s="174">
        <v>26250</v>
      </c>
      <c r="Q162" s="173"/>
      <c r="R162" s="173">
        <f t="shared" si="6"/>
        <v>26250</v>
      </c>
      <c r="S162" s="177">
        <f>IFERROR(VLOOKUP(G162,'附表8-合同明细采集底稿'!B:M,12,0),100%)</f>
        <v>0.329519901724361</v>
      </c>
      <c r="T162" s="173">
        <f t="shared" si="7"/>
        <v>8649.9</v>
      </c>
      <c r="U162" s="164"/>
      <c r="V162" s="178" t="s">
        <v>336</v>
      </c>
      <c r="W162" s="179">
        <f>IF('附表1-面积统计表'!$D$29=0,"",IF(AND(V162="共同成本费用",Z162="总建筑面积法"),ROUND(T162/'附表1-面积统计表'!$D$29*'附表1-面积统计表'!$D$5,2),IF(AND(V162="共同成本费用",Z162="可售建筑面积法"),ROUND(T162/'附表1-面积统计表'!$F$29*'附表1-面积统计表'!$F$5,2),"请手工填写")))</f>
        <v>3159.2</v>
      </c>
      <c r="X162" s="179">
        <f>IF(SUM('附表1-面积统计表'!$D$6)=0,"",SUM(T162)-SUM(W162)-SUM(Y162))</f>
        <v>3896.15</v>
      </c>
      <c r="Y162" s="179">
        <f>IF(SUM('附表1-面积统计表'!$D$6)=0,SUM(T162)-SUM(W162),IF('附表1-面积统计表'!$D$29=0,"",IF(AND(V162="共同成本费用",Z162="总建筑面积法"),ROUND(T162/'附表1-面积统计表'!$D$29*'附表1-面积统计表'!$D$7,2),IF(AND(V162="共同成本费用",Z162="可售建筑面积法"),ROUND(T162/'附表1-面积统计表'!$F$29*'附表1-面积统计表'!$F$7,2),"请手工填写"))))</f>
        <v>1594.55</v>
      </c>
      <c r="Z162" s="181" t="s">
        <v>311</v>
      </c>
      <c r="AA162" s="164"/>
      <c r="AB162" s="182" t="s">
        <v>1686</v>
      </c>
    </row>
    <row r="163" ht="29" hidden="1" customHeight="1" outlineLevel="1" spans="1:28">
      <c r="A163" s="159">
        <v>158</v>
      </c>
      <c r="B163" s="197" t="s">
        <v>2245</v>
      </c>
      <c r="C163" s="198" t="s">
        <v>2249</v>
      </c>
      <c r="D163" s="162" t="s">
        <v>1700</v>
      </c>
      <c r="E163" s="163" t="s">
        <v>1880</v>
      </c>
      <c r="F163" s="164" t="s">
        <v>2250</v>
      </c>
      <c r="G163" s="165" t="s">
        <v>2077</v>
      </c>
      <c r="H163" s="164" t="str">
        <f>IF(G163="","",VLOOKUP(G163,'附表8-合同明细采集底稿'!B:I,2,0))</f>
        <v>沁春锦苑升降横移类机械式停车设备销售合同</v>
      </c>
      <c r="I163" s="92" t="str">
        <f>IF(G163="","",VLOOKUP(G163,'附表8-合同明细采集底稿'!B:I,3,0))</f>
        <v>买卖合同</v>
      </c>
      <c r="J163" s="164" t="str">
        <f>IF(G163="","",VLOOKUP(G163,'附表8-合同明细采集底稿'!B:I,4,0))</f>
        <v>唐山通宝停车设备有限公司</v>
      </c>
      <c r="K163" s="164" t="s">
        <v>1711</v>
      </c>
      <c r="L163" s="165" t="s">
        <v>2251</v>
      </c>
      <c r="M163" s="165" t="s">
        <v>2252</v>
      </c>
      <c r="N163" s="173">
        <v>292948.01</v>
      </c>
      <c r="O163" s="173">
        <v>331031.25</v>
      </c>
      <c r="P163" s="174">
        <v>292948.01</v>
      </c>
      <c r="Q163" s="173"/>
      <c r="R163" s="173">
        <f t="shared" si="6"/>
        <v>292948.01</v>
      </c>
      <c r="S163" s="177">
        <f>IFERROR(VLOOKUP(G163,'附表8-合同明细采集底稿'!B:M,12,0),100%)</f>
        <v>0.329519901724361</v>
      </c>
      <c r="T163" s="173">
        <f t="shared" si="7"/>
        <v>96532.2</v>
      </c>
      <c r="U163" s="164"/>
      <c r="V163" s="178" t="s">
        <v>336</v>
      </c>
      <c r="W163" s="179">
        <f>IF('附表1-面积统计表'!$D$29=0,"",IF(AND(V163="共同成本费用",Z163="总建筑面积法"),ROUND(T163/'附表1-面积统计表'!$D$29*'附表1-面积统计表'!$D$5,2),IF(AND(V163="共同成本费用",Z163="可售建筑面积法"),ROUND(T163/'附表1-面积统计表'!$F$29*'附表1-面积统计表'!$F$5,2),"请手工填写")))</f>
        <v>35256.4</v>
      </c>
      <c r="X163" s="179">
        <f>IF(SUM('附表1-面积统计表'!$D$6)=0,"",SUM(T163)-SUM(W163)-SUM(Y163))</f>
        <v>43480.79</v>
      </c>
      <c r="Y163" s="179">
        <f>IF(SUM('附表1-面积统计表'!$D$6)=0,SUM(T163)-SUM(W163),IF('附表1-面积统计表'!$D$29=0,"",IF(AND(V163="共同成本费用",Z163="总建筑面积法"),ROUND(T163/'附表1-面积统计表'!$D$29*'附表1-面积统计表'!$D$7,2),IF(AND(V163="共同成本费用",Z163="可售建筑面积法"),ROUND(T163/'附表1-面积统计表'!$F$29*'附表1-面积统计表'!$F$7,2),"请手工填写"))))</f>
        <v>17795.01</v>
      </c>
      <c r="Z163" s="181" t="s">
        <v>311</v>
      </c>
      <c r="AA163" s="164"/>
      <c r="AB163" s="182" t="s">
        <v>1686</v>
      </c>
    </row>
    <row r="164" ht="29" hidden="1" customHeight="1" outlineLevel="1" spans="1:28">
      <c r="A164" s="159">
        <v>159</v>
      </c>
      <c r="B164" s="197" t="s">
        <v>2253</v>
      </c>
      <c r="C164" s="198" t="s">
        <v>2198</v>
      </c>
      <c r="D164" s="162" t="s">
        <v>1700</v>
      </c>
      <c r="E164" s="163" t="s">
        <v>1875</v>
      </c>
      <c r="F164" s="164" t="s">
        <v>2254</v>
      </c>
      <c r="G164" s="165" t="s">
        <v>2255</v>
      </c>
      <c r="H164" s="164" t="str">
        <f>IF(G164="","",VLOOKUP(G164,'附表8-合同明细采集底稿'!B:I,2,0))</f>
        <v>12#-15#38#、18#21#后花园围栏制作安装、31#楼防盗窗安装-幼儿园</v>
      </c>
      <c r="I164" s="92" t="str">
        <f>IF(G164="","",VLOOKUP(G164,'附表8-合同明细采集底稿'!B:I,3,0))</f>
        <v>买卖合同</v>
      </c>
      <c r="J164" s="164" t="str">
        <f>IF(G164="","",VLOOKUP(G164,'附表8-合同明细采集底稿'!B:I,4,0))</f>
        <v>巴州冠华商贸有限公司</v>
      </c>
      <c r="K164" s="164" t="s">
        <v>1711</v>
      </c>
      <c r="L164" s="165"/>
      <c r="M164" s="165" t="s">
        <v>2256</v>
      </c>
      <c r="N164" s="173">
        <v>2159.29</v>
      </c>
      <c r="O164" s="173">
        <v>2440</v>
      </c>
      <c r="P164" s="174">
        <v>2159.29</v>
      </c>
      <c r="Q164" s="173"/>
      <c r="R164" s="173">
        <f t="shared" si="6"/>
        <v>2159.29</v>
      </c>
      <c r="S164" s="177">
        <f>IFERROR(VLOOKUP(G164,'附表8-合同明细采集底稿'!B:M,12,0),100%)</f>
        <v>0.329519901724361</v>
      </c>
      <c r="T164" s="173">
        <f t="shared" si="7"/>
        <v>711.53</v>
      </c>
      <c r="U164" s="164"/>
      <c r="V164" s="178" t="s">
        <v>336</v>
      </c>
      <c r="W164" s="179">
        <f>IF('附表1-面积统计表'!$D$29=0,"",IF(AND(V164="共同成本费用",Z164="总建筑面积法"),ROUND(T164/'附表1-面积统计表'!$D$29*'附表1-面积统计表'!$D$5,2),IF(AND(V164="共同成本费用",Z164="可售建筑面积法"),ROUND(T164/'附表1-面积统计表'!$F$29*'附表1-面积统计表'!$F$5,2),"请手工填写")))</f>
        <v>259.87</v>
      </c>
      <c r="X164" s="179">
        <f>IF(SUM('附表1-面积统计表'!$D$6)=0,"",SUM(T164)-SUM(W164)-SUM(Y164))</f>
        <v>320.49</v>
      </c>
      <c r="Y164" s="179">
        <f>IF(SUM('附表1-面积统计表'!$D$6)=0,SUM(T164)-SUM(W164),IF('附表1-面积统计表'!$D$29=0,"",IF(AND(V164="共同成本费用",Z164="总建筑面积法"),ROUND(T164/'附表1-面积统计表'!$D$29*'附表1-面积统计表'!$D$7,2),IF(AND(V164="共同成本费用",Z164="可售建筑面积法"),ROUND(T164/'附表1-面积统计表'!$F$29*'附表1-面积统计表'!$F$7,2),"请手工填写"))))</f>
        <v>131.17</v>
      </c>
      <c r="Z164" s="181" t="s">
        <v>311</v>
      </c>
      <c r="AA164" s="164"/>
      <c r="AB164" s="182" t="s">
        <v>1686</v>
      </c>
    </row>
    <row r="165" ht="29" hidden="1" customHeight="1" outlineLevel="1" spans="1:28">
      <c r="A165" s="159">
        <v>160</v>
      </c>
      <c r="B165" s="197" t="s">
        <v>2257</v>
      </c>
      <c r="C165" s="198" t="s">
        <v>2128</v>
      </c>
      <c r="D165" s="162" t="s">
        <v>1700</v>
      </c>
      <c r="E165" s="163" t="s">
        <v>1880</v>
      </c>
      <c r="F165" s="164" t="s">
        <v>2258</v>
      </c>
      <c r="G165" s="165" t="s">
        <v>2259</v>
      </c>
      <c r="H165" s="164" t="str">
        <f>IF(G165="","",VLOOKUP(G165,'附表8-合同明细采集底稿'!B:I,2,0))</f>
        <v>沁园春景机械师停车位基础设计合同</v>
      </c>
      <c r="I165" s="92" t="str">
        <f>IF(G165="","",VLOOKUP(G165,'附表8-合同明细采集底稿'!B:I,3,0))</f>
        <v>技术合同</v>
      </c>
      <c r="J165" s="164" t="str">
        <f>IF(G165="","",VLOOKUP(G165,'附表8-合同明细采集底稿'!B:I,4,0))</f>
        <v>四川中七建筑规划设计有限公司新疆第六分公司</v>
      </c>
      <c r="K165" s="164" t="s">
        <v>1711</v>
      </c>
      <c r="L165" s="165" t="s">
        <v>2230</v>
      </c>
      <c r="M165" s="165" t="s">
        <v>2260</v>
      </c>
      <c r="N165" s="173">
        <v>9433.96</v>
      </c>
      <c r="O165" s="173">
        <v>10000</v>
      </c>
      <c r="P165" s="174">
        <v>9433.96</v>
      </c>
      <c r="Q165" s="173">
        <v>-1886.79</v>
      </c>
      <c r="R165" s="173">
        <f t="shared" si="6"/>
        <v>7547.17</v>
      </c>
      <c r="S165" s="177">
        <f>IFERROR(VLOOKUP(G165,'附表8-合同明细采集底稿'!B:M,12,0),100%)</f>
        <v>0.329519901724361</v>
      </c>
      <c r="T165" s="173">
        <f t="shared" si="7"/>
        <v>2486.94</v>
      </c>
      <c r="U165" s="164"/>
      <c r="V165" s="178" t="s">
        <v>336</v>
      </c>
      <c r="W165" s="179">
        <f>IF('附表1-面积统计表'!$D$29=0,"",IF(AND(V165="共同成本费用",Z165="总建筑面积法"),ROUND(T165/'附表1-面积统计表'!$D$29*'附表1-面积统计表'!$D$5,2),IF(AND(V165="共同成本费用",Z165="可售建筑面积法"),ROUND(T165/'附表1-面积统计表'!$F$29*'附表1-面积统计表'!$F$5,2),"请手工填写")))</f>
        <v>908.3</v>
      </c>
      <c r="X165" s="179">
        <f>IF(SUM('附表1-面积统计表'!$D$6)=0,"",SUM(T165)-SUM(W165)-SUM(Y165))</f>
        <v>1120.19</v>
      </c>
      <c r="Y165" s="179">
        <f>IF(SUM('附表1-面积统计表'!$D$6)=0,SUM(T165)-SUM(W165),IF('附表1-面积统计表'!$D$29=0,"",IF(AND(V165="共同成本费用",Z165="总建筑面积法"),ROUND(T165/'附表1-面积统计表'!$D$29*'附表1-面积统计表'!$D$7,2),IF(AND(V165="共同成本费用",Z165="可售建筑面积法"),ROUND(T165/'附表1-面积统计表'!$F$29*'附表1-面积统计表'!$F$7,2),"请手工填写"))))</f>
        <v>458.45</v>
      </c>
      <c r="Z165" s="181" t="s">
        <v>311</v>
      </c>
      <c r="AA165" s="164"/>
      <c r="AB165" s="182" t="s">
        <v>1686</v>
      </c>
    </row>
    <row r="166" ht="29" hidden="1" customHeight="1" outlineLevel="1" spans="1:28">
      <c r="A166" s="159">
        <v>161</v>
      </c>
      <c r="B166" s="197" t="s">
        <v>2261</v>
      </c>
      <c r="C166" s="220" t="s">
        <v>2262</v>
      </c>
      <c r="D166" s="162" t="s">
        <v>1739</v>
      </c>
      <c r="E166" s="163" t="s">
        <v>1772</v>
      </c>
      <c r="F166" s="164" t="s">
        <v>2263</v>
      </c>
      <c r="G166" s="165" t="s">
        <v>2264</v>
      </c>
      <c r="H166" s="164" t="str">
        <f>IF(G166="","",VLOOKUP(G166,'附表8-合同明细采集底稿'!B:I,2,0))</f>
        <v>沁春锦苑地面停车线、道路标线、人防楼梯间环氧树脂工程</v>
      </c>
      <c r="I166" s="92" t="str">
        <f>IF(G166="","",VLOOKUP(G166,'附表8-合同明细采集底稿'!B:I,3,0))</f>
        <v>建设工程合同</v>
      </c>
      <c r="J166" s="164" t="str">
        <f>IF(G166="","",VLOOKUP(G166,'附表8-合同明细采集底稿'!B:I,4,0))</f>
        <v>巴州卓晟环保科技有限公司（李欢欢1899960）</v>
      </c>
      <c r="K166" s="164" t="s">
        <v>1711</v>
      </c>
      <c r="L166" s="165"/>
      <c r="M166" s="165" t="s">
        <v>2265</v>
      </c>
      <c r="N166" s="173">
        <v>777.56</v>
      </c>
      <c r="O166" s="173">
        <v>847.54</v>
      </c>
      <c r="P166" s="174">
        <v>25918.59</v>
      </c>
      <c r="Q166" s="173"/>
      <c r="R166" s="173">
        <f t="shared" si="6"/>
        <v>25918.59</v>
      </c>
      <c r="S166" s="177">
        <f>IFERROR(VLOOKUP(G166,'附表8-合同明细采集底稿'!B:M,12,0),100%)</f>
        <v>0.329519901724361</v>
      </c>
      <c r="T166" s="173">
        <f t="shared" si="7"/>
        <v>8540.69</v>
      </c>
      <c r="U166" s="164"/>
      <c r="V166" s="178" t="s">
        <v>336</v>
      </c>
      <c r="W166" s="179">
        <f>IF('附表1-面积统计表'!$D$29=0,"",IF(AND(V166="共同成本费用",Z166="总建筑面积法"),ROUND(T166/'附表1-面积统计表'!$D$29*'附表1-面积统计表'!$D$5,2),IF(AND(V166="共同成本费用",Z166="可售建筑面积法"),ROUND(T166/'附表1-面积统计表'!$F$29*'附表1-面积统计表'!$F$5,2),"请手工填写")))</f>
        <v>3119.31</v>
      </c>
      <c r="X166" s="179">
        <f>IF(SUM('附表1-面积统计表'!$D$6)=0,"",SUM(T166)-SUM(W166)-SUM(Y166))</f>
        <v>3846.97</v>
      </c>
      <c r="Y166" s="179">
        <f>IF(SUM('附表1-面积统计表'!$D$6)=0,SUM(T166)-SUM(W166),IF('附表1-面积统计表'!$D$29=0,"",IF(AND(V166="共同成本费用",Z166="总建筑面积法"),ROUND(T166/'附表1-面积统计表'!$D$29*'附表1-面积统计表'!$D$7,2),IF(AND(V166="共同成本费用",Z166="可售建筑面积法"),ROUND(T166/'附表1-面积统计表'!$F$29*'附表1-面积统计表'!$F$7,2),"请手工填写"))))</f>
        <v>1574.41</v>
      </c>
      <c r="Z166" s="181" t="s">
        <v>311</v>
      </c>
      <c r="AA166" s="164"/>
      <c r="AB166" s="182" t="s">
        <v>1686</v>
      </c>
    </row>
    <row r="167" ht="29" hidden="1" customHeight="1" outlineLevel="1" spans="1:28">
      <c r="A167" s="159">
        <v>162</v>
      </c>
      <c r="B167" s="197" t="s">
        <v>2261</v>
      </c>
      <c r="C167" s="220" t="s">
        <v>2262</v>
      </c>
      <c r="D167" s="162" t="s">
        <v>1739</v>
      </c>
      <c r="E167" s="163" t="s">
        <v>1772</v>
      </c>
      <c r="F167" s="164" t="s">
        <v>2263</v>
      </c>
      <c r="G167" s="165" t="s">
        <v>2266</v>
      </c>
      <c r="H167" s="164" t="str">
        <f>IF(G167="","",VLOOKUP(G167,'附表8-合同明细采集底稿'!B:I,2,0))</f>
        <v>沁春锦苑地面停车线、道路标线、人防楼梯间环氧树脂工程</v>
      </c>
      <c r="I167" s="92" t="str">
        <f>IF(G167="","",VLOOKUP(G167,'附表8-合同明细采集底稿'!B:I,3,0))</f>
        <v>建设工程合同</v>
      </c>
      <c r="J167" s="164" t="str">
        <f>IF(G167="","",VLOOKUP(G167,'附表8-合同明细采集底稿'!B:I,4,0))</f>
        <v>巴州卓晟环保科技有限公司（李欢欢1899960）</v>
      </c>
      <c r="K167" s="164" t="s">
        <v>1711</v>
      </c>
      <c r="L167" s="165"/>
      <c r="M167" s="165" t="s">
        <v>2265</v>
      </c>
      <c r="N167" s="173">
        <v>4779.76</v>
      </c>
      <c r="O167" s="173">
        <v>5209.94</v>
      </c>
      <c r="P167" s="174">
        <v>159325.37</v>
      </c>
      <c r="Q167" s="173"/>
      <c r="R167" s="173">
        <f t="shared" si="6"/>
        <v>159325.37</v>
      </c>
      <c r="S167" s="177">
        <f>IFERROR(VLOOKUP(G167,'附表8-合同明细采集底稿'!B:M,12,0),100%)</f>
        <v>0.329519901724361</v>
      </c>
      <c r="T167" s="173">
        <f t="shared" si="7"/>
        <v>52500.88</v>
      </c>
      <c r="U167" s="164"/>
      <c r="V167" s="178" t="s">
        <v>336</v>
      </c>
      <c r="W167" s="179">
        <f>IF('附表1-面积统计表'!$D$29=0,"",IF(AND(V167="共同成本费用",Z167="总建筑面积法"),ROUND(T167/'附表1-面积统计表'!$D$29*'附表1-面积统计表'!$D$5,2),IF(AND(V167="共同成本费用",Z167="可售建筑面积法"),ROUND(T167/'附表1-面积统计表'!$F$29*'附表1-面积统计表'!$F$5,2),"请手工填写")))</f>
        <v>19174.87</v>
      </c>
      <c r="X167" s="179">
        <f>IF(SUM('附表1-面积统计表'!$D$6)=0,"",SUM(T167)-SUM(W167)-SUM(Y167))</f>
        <v>23647.86</v>
      </c>
      <c r="Y167" s="179">
        <f>IF(SUM('附表1-面积统计表'!$D$6)=0,SUM(T167)-SUM(W167),IF('附表1-面积统计表'!$D$29=0,"",IF(AND(V167="共同成本费用",Z167="总建筑面积法"),ROUND(T167/'附表1-面积统计表'!$D$29*'附表1-面积统计表'!$D$7,2),IF(AND(V167="共同成本费用",Z167="可售建筑面积法"),ROUND(T167/'附表1-面积统计表'!$F$29*'附表1-面积统计表'!$F$7,2),"请手工填写"))))</f>
        <v>9678.15</v>
      </c>
      <c r="Z167" s="181" t="s">
        <v>311</v>
      </c>
      <c r="AA167" s="164"/>
      <c r="AB167" s="182" t="s">
        <v>1686</v>
      </c>
    </row>
    <row r="168" ht="29" hidden="1" customHeight="1" outlineLevel="1" spans="1:28">
      <c r="A168" s="159">
        <v>163</v>
      </c>
      <c r="B168" s="197" t="s">
        <v>2267</v>
      </c>
      <c r="C168" s="220" t="s">
        <v>2190</v>
      </c>
      <c r="D168" s="162" t="s">
        <v>1700</v>
      </c>
      <c r="E168" s="163" t="s">
        <v>1875</v>
      </c>
      <c r="F168" s="164" t="s">
        <v>2268</v>
      </c>
      <c r="G168" s="165" t="s">
        <v>1999</v>
      </c>
      <c r="H168" s="164" t="str">
        <f>IF(G168="","",VLOOKUP(G168,'附表8-合同明细采集底稿'!B:I,2,0))</f>
        <v>幼儿园建设工程设计合同（民用建设工程设计合同）</v>
      </c>
      <c r="I168" s="92" t="str">
        <f>IF(G168="","",VLOOKUP(G168,'附表8-合同明细采集底稿'!B:I,3,0))</f>
        <v>技术合同</v>
      </c>
      <c r="J168" s="164" t="str">
        <f>IF(G168="","",VLOOKUP(G168,'附表8-合同明细采集底稿'!B:I,4,0))</f>
        <v>新疆益诚开拓空间规划建筑设计研究院有限公司</v>
      </c>
      <c r="K168" s="164" t="s">
        <v>1711</v>
      </c>
      <c r="L168" s="165">
        <v>6500174130</v>
      </c>
      <c r="M168" s="165" t="s">
        <v>2269</v>
      </c>
      <c r="N168" s="173">
        <v>6650.94</v>
      </c>
      <c r="O168" s="173">
        <v>7050</v>
      </c>
      <c r="P168" s="174">
        <v>6650.94</v>
      </c>
      <c r="Q168" s="180">
        <f>-P168</f>
        <v>-6650.94</v>
      </c>
      <c r="R168" s="173">
        <f t="shared" si="6"/>
        <v>0</v>
      </c>
      <c r="S168" s="177">
        <f>IFERROR(VLOOKUP(G168,'附表8-合同明细采集底稿'!B:M,12,0),100%)</f>
        <v>0.329519901724361</v>
      </c>
      <c r="T168" s="173">
        <f t="shared" si="7"/>
        <v>0</v>
      </c>
      <c r="U168" s="164"/>
      <c r="V168" s="178" t="s">
        <v>336</v>
      </c>
      <c r="W168" s="179">
        <f>IF('附表1-面积统计表'!$D$29=0,"",IF(AND(V168="共同成本费用",Z168="总建筑面积法"),ROUND(T168/'附表1-面积统计表'!$D$29*'附表1-面积统计表'!$D$5,2),IF(AND(V168="共同成本费用",Z168="可售建筑面积法"),ROUND(T168/'附表1-面积统计表'!$F$29*'附表1-面积统计表'!$F$5,2),"请手工填写")))</f>
        <v>0</v>
      </c>
      <c r="X168" s="179">
        <f>IF(SUM('附表1-面积统计表'!$D$6)=0,"",SUM(T168)-SUM(W168)-SUM(Y168))</f>
        <v>0</v>
      </c>
      <c r="Y168" s="179">
        <f>IF(SUM('附表1-面积统计表'!$D$6)=0,SUM(T168)-SUM(W168),IF('附表1-面积统计表'!$D$29=0,"",IF(AND(V168="共同成本费用",Z168="总建筑面积法"),ROUND(T168/'附表1-面积统计表'!$D$29*'附表1-面积统计表'!$D$7,2),IF(AND(V168="共同成本费用",Z168="可售建筑面积法"),ROUND(T168/'附表1-面积统计表'!$F$29*'附表1-面积统计表'!$F$7,2),"请手工填写"))))</f>
        <v>0</v>
      </c>
      <c r="Z168" s="181" t="s">
        <v>311</v>
      </c>
      <c r="AA168" s="164"/>
      <c r="AB168" s="182" t="s">
        <v>1686</v>
      </c>
    </row>
    <row r="169" ht="29" hidden="1" customHeight="1" outlineLevel="1" spans="1:28">
      <c r="A169" s="159">
        <v>164</v>
      </c>
      <c r="B169" s="197" t="s">
        <v>2267</v>
      </c>
      <c r="C169" s="220" t="s">
        <v>2190</v>
      </c>
      <c r="D169" s="162" t="s">
        <v>1700</v>
      </c>
      <c r="E169" s="163" t="s">
        <v>1928</v>
      </c>
      <c r="F169" s="164" t="s">
        <v>2270</v>
      </c>
      <c r="G169" s="165" t="s">
        <v>2271</v>
      </c>
      <c r="H169" s="164" t="str">
        <f>IF(G169="","",VLOOKUP(G169,'附表8-合同明细采集底稿'!B:I,2,0))</f>
        <v>12-15、18-22#、38#建设工程设计合同（民用建设工程设计合同）-37#楼</v>
      </c>
      <c r="I169" s="92" t="str">
        <f>IF(G169="","",VLOOKUP(G169,'附表8-合同明细采集底稿'!B:I,3,0))</f>
        <v>技术合同</v>
      </c>
      <c r="J169" s="164" t="str">
        <f>IF(G169="","",VLOOKUP(G169,'附表8-合同明细采集底稿'!B:I,4,0))</f>
        <v>新疆益诚开拓空间规划建筑设计研究院有限公司</v>
      </c>
      <c r="K169" s="164" t="s">
        <v>1711</v>
      </c>
      <c r="L169" s="165">
        <v>6500174130</v>
      </c>
      <c r="M169" s="165" t="s">
        <v>2272</v>
      </c>
      <c r="N169" s="173">
        <v>15391.32</v>
      </c>
      <c r="O169" s="173">
        <v>16314.8</v>
      </c>
      <c r="P169" s="174">
        <v>15391.32</v>
      </c>
      <c r="Q169" s="180">
        <f>-P169</f>
        <v>-15391.32</v>
      </c>
      <c r="R169" s="173">
        <f t="shared" si="6"/>
        <v>0</v>
      </c>
      <c r="S169" s="177">
        <f>IFERROR(VLOOKUP(G169,'附表8-合同明细采集底稿'!B:M,12,0),100%)</f>
        <v>0.329519901724361</v>
      </c>
      <c r="T169" s="173">
        <f t="shared" si="7"/>
        <v>0</v>
      </c>
      <c r="U169" s="164"/>
      <c r="V169" s="178" t="s">
        <v>336</v>
      </c>
      <c r="W169" s="179">
        <f>IF('附表1-面积统计表'!$D$29=0,"",IF(AND(V169="共同成本费用",Z169="总建筑面积法"),ROUND(T169/'附表1-面积统计表'!$D$29*'附表1-面积统计表'!$D$5,2),IF(AND(V169="共同成本费用",Z169="可售建筑面积法"),ROUND(T169/'附表1-面积统计表'!$F$29*'附表1-面积统计表'!$F$5,2),"请手工填写")))</f>
        <v>0</v>
      </c>
      <c r="X169" s="179">
        <f>IF(SUM('附表1-面积统计表'!$D$6)=0,"",SUM(T169)-SUM(W169)-SUM(Y169))</f>
        <v>0</v>
      </c>
      <c r="Y169" s="179">
        <f>IF(SUM('附表1-面积统计表'!$D$6)=0,SUM(T169)-SUM(W169),IF('附表1-面积统计表'!$D$29=0,"",IF(AND(V169="共同成本费用",Z169="总建筑面积法"),ROUND(T169/'附表1-面积统计表'!$D$29*'附表1-面积统计表'!$D$7,2),IF(AND(V169="共同成本费用",Z169="可售建筑面积法"),ROUND(T169/'附表1-面积统计表'!$F$29*'附表1-面积统计表'!$F$7,2),"请手工填写"))))</f>
        <v>0</v>
      </c>
      <c r="Z169" s="181" t="s">
        <v>311</v>
      </c>
      <c r="AA169" s="164"/>
      <c r="AB169" s="182" t="s">
        <v>1686</v>
      </c>
    </row>
    <row r="170" ht="29" hidden="1" customHeight="1" outlineLevel="1" spans="1:28">
      <c r="A170" s="159">
        <v>165</v>
      </c>
      <c r="B170" s="197" t="s">
        <v>2267</v>
      </c>
      <c r="C170" s="220" t="s">
        <v>2190</v>
      </c>
      <c r="D170" s="162" t="s">
        <v>1707</v>
      </c>
      <c r="E170" s="163" t="s">
        <v>1708</v>
      </c>
      <c r="F170" s="164" t="s">
        <v>2270</v>
      </c>
      <c r="G170" s="165" t="s">
        <v>1726</v>
      </c>
      <c r="H170" s="164" t="str">
        <f>IF(G170="","",VLOOKUP(G170,'附表8-合同明细采集底稿'!B:I,2,0))</f>
        <v>沁春锦苑室外管网设计</v>
      </c>
      <c r="I170" s="92" t="str">
        <f>IF(G170="","",VLOOKUP(G170,'附表8-合同明细采集底稿'!B:I,3,0))</f>
        <v>技术合同</v>
      </c>
      <c r="J170" s="164" t="str">
        <f>IF(G170="","",VLOOKUP(G170,'附表8-合同明细采集底稿'!B:I,4,0))</f>
        <v>库尔勒开拓规划设计研究院</v>
      </c>
      <c r="K170" s="164" t="s">
        <v>1711</v>
      </c>
      <c r="L170" s="165">
        <v>6500174130</v>
      </c>
      <c r="M170" s="165" t="s">
        <v>2273</v>
      </c>
      <c r="N170" s="173">
        <v>22641.51</v>
      </c>
      <c r="O170" s="173">
        <v>24000</v>
      </c>
      <c r="P170" s="174">
        <v>22641.51</v>
      </c>
      <c r="Q170" s="173"/>
      <c r="R170" s="173">
        <f t="shared" si="6"/>
        <v>22641.51</v>
      </c>
      <c r="S170" s="177">
        <f>IFERROR(VLOOKUP(G170,'附表8-合同明细采集底稿'!B:M,12,0),100%)</f>
        <v>0.329519901724361</v>
      </c>
      <c r="T170" s="173">
        <f t="shared" si="7"/>
        <v>7460.83</v>
      </c>
      <c r="U170" s="164"/>
      <c r="V170" s="178" t="s">
        <v>336</v>
      </c>
      <c r="W170" s="179">
        <f>IF('附表1-面积统计表'!$D$29=0,"",IF(AND(V170="共同成本费用",Z170="总建筑面积法"),ROUND(T170/'附表1-面积统计表'!$D$29*'附表1-面积统计表'!$D$5,2),IF(AND(V170="共同成本费用",Z170="可售建筑面积法"),ROUND(T170/'附表1-面积统计表'!$F$29*'附表1-面积统计表'!$F$5,2),"请手工填写")))</f>
        <v>2724.91</v>
      </c>
      <c r="X170" s="179">
        <f>IF(SUM('附表1-面积统计表'!$D$6)=0,"",SUM(T170)-SUM(W170)-SUM(Y170))</f>
        <v>3360.57</v>
      </c>
      <c r="Y170" s="179">
        <f>IF(SUM('附表1-面积统计表'!$D$6)=0,SUM(T170)-SUM(W170),IF('附表1-面积统计表'!$D$29=0,"",IF(AND(V170="共同成本费用",Z170="总建筑面积法"),ROUND(T170/'附表1-面积统计表'!$D$29*'附表1-面积统计表'!$D$7,2),IF(AND(V170="共同成本费用",Z170="可售建筑面积法"),ROUND(T170/'附表1-面积统计表'!$F$29*'附表1-面积统计表'!$F$7,2),"请手工填写"))))</f>
        <v>1375.35</v>
      </c>
      <c r="Z170" s="181" t="s">
        <v>311</v>
      </c>
      <c r="AA170" s="164"/>
      <c r="AB170" s="182" t="s">
        <v>1686</v>
      </c>
    </row>
    <row r="171" ht="29" hidden="1" customHeight="1" outlineLevel="1" spans="1:28">
      <c r="A171" s="159">
        <v>166</v>
      </c>
      <c r="B171" s="197" t="s">
        <v>2274</v>
      </c>
      <c r="C171" s="220" t="s">
        <v>2228</v>
      </c>
      <c r="D171" s="162" t="s">
        <v>1700</v>
      </c>
      <c r="E171" s="163" t="s">
        <v>1875</v>
      </c>
      <c r="F171" s="164" t="s">
        <v>2275</v>
      </c>
      <c r="G171" s="165" t="s">
        <v>2004</v>
      </c>
      <c r="H171" s="164" t="str">
        <f>IF(G171="","",VLOOKUP(G171,'附表8-合同明细采集底稿'!B:I,2,0))</f>
        <v>二期、三期给排水、消防工程施工合同-幼儿园</v>
      </c>
      <c r="I171" s="92" t="str">
        <f>IF(G171="","",VLOOKUP(G171,'附表8-合同明细采集底稿'!B:I,3,0))</f>
        <v>建设工程合同</v>
      </c>
      <c r="J171" s="164" t="str">
        <f>IF(G171="","",VLOOKUP(G171,'附表8-合同明细采集底稿'!B:I,4,0))</f>
        <v>江苏中义消防工程有限公司巴州分公司（巩红卫）</v>
      </c>
      <c r="K171" s="164" t="s">
        <v>1711</v>
      </c>
      <c r="L171" s="165"/>
      <c r="M171" s="165" t="s">
        <v>2276</v>
      </c>
      <c r="N171" s="173">
        <v>36451.56</v>
      </c>
      <c r="O171" s="173">
        <v>39732.2</v>
      </c>
      <c r="P171" s="174">
        <v>36451.56</v>
      </c>
      <c r="Q171" s="173"/>
      <c r="R171" s="173">
        <f t="shared" si="6"/>
        <v>36451.56</v>
      </c>
      <c r="S171" s="177">
        <f>IFERROR(VLOOKUP(G171,'附表8-合同明细采集底稿'!B:M,12,0),100%)</f>
        <v>0.329519901724361</v>
      </c>
      <c r="T171" s="173">
        <f t="shared" si="7"/>
        <v>12011.51</v>
      </c>
      <c r="U171" s="164"/>
      <c r="V171" s="178" t="s">
        <v>336</v>
      </c>
      <c r="W171" s="179">
        <f>IF('附表1-面积统计表'!$D$29=0,"",IF(AND(V171="共同成本费用",Z171="总建筑面积法"),ROUND(T171/'附表1-面积统计表'!$D$29*'附表1-面积统计表'!$D$5,2),IF(AND(V171="共同成本费用",Z171="可售建筑面积法"),ROUND(T171/'附表1-面积统计表'!$F$29*'附表1-面积统计表'!$F$5,2),"请手工填写")))</f>
        <v>4386.96</v>
      </c>
      <c r="X171" s="179">
        <f>IF(SUM('附表1-面积统计表'!$D$6)=0,"",SUM(T171)-SUM(W171)-SUM(Y171))</f>
        <v>5410.32</v>
      </c>
      <c r="Y171" s="179">
        <f>IF(SUM('附表1-面积统计表'!$D$6)=0,SUM(T171)-SUM(W171),IF('附表1-面积统计表'!$D$29=0,"",IF(AND(V171="共同成本费用",Z171="总建筑面积法"),ROUND(T171/'附表1-面积统计表'!$D$29*'附表1-面积统计表'!$D$7,2),IF(AND(V171="共同成本费用",Z171="可售建筑面积法"),ROUND(T171/'附表1-面积统计表'!$F$29*'附表1-面积统计表'!$F$7,2),"请手工填写"))))</f>
        <v>2214.23</v>
      </c>
      <c r="Z171" s="181" t="s">
        <v>311</v>
      </c>
      <c r="AA171" s="164"/>
      <c r="AB171" s="182" t="s">
        <v>1686</v>
      </c>
    </row>
    <row r="172" ht="29" hidden="1" customHeight="1" outlineLevel="1" spans="1:28">
      <c r="A172" s="159">
        <v>167</v>
      </c>
      <c r="B172" s="197" t="s">
        <v>2274</v>
      </c>
      <c r="C172" s="220" t="s">
        <v>2228</v>
      </c>
      <c r="D172" s="162" t="s">
        <v>1700</v>
      </c>
      <c r="E172" s="163" t="s">
        <v>1928</v>
      </c>
      <c r="F172" s="164" t="s">
        <v>2275</v>
      </c>
      <c r="G172" s="165" t="s">
        <v>2277</v>
      </c>
      <c r="H172" s="164" t="str">
        <f>IF(G172="","",VLOOKUP(G172,'附表8-合同明细采集底稿'!B:I,2,0))</f>
        <v>二期、三期给排水、消防工程施工合同-社区用房</v>
      </c>
      <c r="I172" s="92" t="str">
        <f>IF(G172="","",VLOOKUP(G172,'附表8-合同明细采集底稿'!B:I,3,0))</f>
        <v>建设工程合同</v>
      </c>
      <c r="J172" s="164" t="str">
        <f>IF(G172="","",VLOOKUP(G172,'附表8-合同明细采集底稿'!B:I,4,0))</f>
        <v>江苏中义消防工程有限公司巴州分公司（巩红卫）</v>
      </c>
      <c r="K172" s="164" t="s">
        <v>1711</v>
      </c>
      <c r="L172" s="165"/>
      <c r="M172" s="165" t="s">
        <v>2276</v>
      </c>
      <c r="N172" s="173">
        <v>30904.92</v>
      </c>
      <c r="O172" s="173">
        <v>33686.36</v>
      </c>
      <c r="P172" s="174">
        <v>30904.92</v>
      </c>
      <c r="Q172" s="173"/>
      <c r="R172" s="173">
        <f t="shared" si="6"/>
        <v>30904.92</v>
      </c>
      <c r="S172" s="177">
        <f>IFERROR(VLOOKUP(G172,'附表8-合同明细采集底稿'!B:M,12,0),100%)</f>
        <v>0.329519901724361</v>
      </c>
      <c r="T172" s="173">
        <f t="shared" si="7"/>
        <v>10183.79</v>
      </c>
      <c r="U172" s="164"/>
      <c r="V172" s="178" t="s">
        <v>336</v>
      </c>
      <c r="W172" s="179">
        <f>IF('附表1-面积统计表'!$D$29=0,"",IF(AND(V172="共同成本费用",Z172="总建筑面积法"),ROUND(T172/'附表1-面积统计表'!$D$29*'附表1-面积统计表'!$D$5,2),IF(AND(V172="共同成本费用",Z172="可售建筑面积法"),ROUND(T172/'附表1-面积统计表'!$F$29*'附表1-面积统计表'!$F$5,2),"请手工填写")))</f>
        <v>3719.42</v>
      </c>
      <c r="X172" s="179">
        <f>IF(SUM('附表1-面积统计表'!$D$6)=0,"",SUM(T172)-SUM(W172)-SUM(Y172))</f>
        <v>4587.06</v>
      </c>
      <c r="Y172" s="179">
        <f>IF(SUM('附表1-面积统计表'!$D$6)=0,SUM(T172)-SUM(W172),IF('附表1-面积统计表'!$D$29=0,"",IF(AND(V172="共同成本费用",Z172="总建筑面积法"),ROUND(T172/'附表1-面积统计表'!$D$29*'附表1-面积统计表'!$D$7,2),IF(AND(V172="共同成本费用",Z172="可售建筑面积法"),ROUND(T172/'附表1-面积统计表'!$F$29*'附表1-面积统计表'!$F$7,2),"请手工填写"))))</f>
        <v>1877.31</v>
      </c>
      <c r="Z172" s="181" t="s">
        <v>311</v>
      </c>
      <c r="AA172" s="164"/>
      <c r="AB172" s="182" t="s">
        <v>1686</v>
      </c>
    </row>
    <row r="173" ht="29" hidden="1" customHeight="1" outlineLevel="1" spans="1:28">
      <c r="A173" s="159">
        <v>168</v>
      </c>
      <c r="B173" s="221" t="s">
        <v>2278</v>
      </c>
      <c r="C173" s="222" t="s">
        <v>324</v>
      </c>
      <c r="D173" s="162" t="s">
        <v>1700</v>
      </c>
      <c r="E173" s="163" t="s">
        <v>1875</v>
      </c>
      <c r="F173" s="164" t="s">
        <v>2279</v>
      </c>
      <c r="G173" s="165" t="s">
        <v>1887</v>
      </c>
      <c r="H173" s="164" t="str">
        <f>IF(G173="","",VLOOKUP(G173,'附表8-合同明细采集底稿'!B:I,2,0))</f>
        <v>建设工程施工合同12-15#楼38#楼、31#楼幼儿园（幼儿园—）</v>
      </c>
      <c r="I173" s="92" t="str">
        <f>IF(G173="","",VLOOKUP(G173,'附表8-合同明细采集底稿'!B:I,3,0))</f>
        <v>建设工程合同</v>
      </c>
      <c r="J173" s="164" t="str">
        <f>IF(G173="","",VLOOKUP(G173,'附表8-合同明细采集底稿'!B:I,4,0))</f>
        <v>新疆通力建设集团股份有限公司（顾）</v>
      </c>
      <c r="K173" s="164" t="s">
        <v>1711</v>
      </c>
      <c r="L173" s="165"/>
      <c r="M173" s="165" t="s">
        <v>2280</v>
      </c>
      <c r="N173" s="173">
        <v>151786.67</v>
      </c>
      <c r="O173" s="173">
        <v>151786.67</v>
      </c>
      <c r="P173" s="174">
        <v>151786.67</v>
      </c>
      <c r="Q173" s="173"/>
      <c r="R173" s="173">
        <f t="shared" si="6"/>
        <v>151786.67</v>
      </c>
      <c r="S173" s="177">
        <f>IFERROR(VLOOKUP(G173,'附表8-合同明细采集底稿'!B:M,12,0),100%)</f>
        <v>0.329519901724361</v>
      </c>
      <c r="T173" s="173">
        <f t="shared" si="7"/>
        <v>50016.73</v>
      </c>
      <c r="U173" s="208" t="s">
        <v>1889</v>
      </c>
      <c r="V173" s="178" t="s">
        <v>336</v>
      </c>
      <c r="W173" s="179">
        <f>IF('附表1-面积统计表'!$D$29=0,"",IF(AND(V173="共同成本费用",Z173="总建筑面积法"),ROUND(T173/'附表1-面积统计表'!$D$29*'附表1-面积统计表'!$D$5,2),IF(AND(V173="共同成本费用",Z173="可售建筑面积法"),ROUND(T173/'附表1-面积统计表'!$F$29*'附表1-面积统计表'!$F$5,2),"请手工填写")))</f>
        <v>18267.58</v>
      </c>
      <c r="X173" s="179">
        <f>IF(SUM('附表1-面积统计表'!$D$6)=0,"",SUM(T173)-SUM(W173)-SUM(Y173))</f>
        <v>22528.93</v>
      </c>
      <c r="Y173" s="179">
        <f>IF(SUM('附表1-面积统计表'!$D$6)=0,SUM(T173)-SUM(W173),IF('附表1-面积统计表'!$D$29=0,"",IF(AND(V173="共同成本费用",Z173="总建筑面积法"),ROUND(T173/'附表1-面积统计表'!$D$29*'附表1-面积统计表'!$D$7,2),IF(AND(V173="共同成本费用",Z173="可售建筑面积法"),ROUND(T173/'附表1-面积统计表'!$F$29*'附表1-面积统计表'!$F$7,2),"请手工填写"))))</f>
        <v>9220.22</v>
      </c>
      <c r="Z173" s="181" t="s">
        <v>311</v>
      </c>
      <c r="AA173" s="164"/>
      <c r="AB173" s="182" t="s">
        <v>1686</v>
      </c>
    </row>
    <row r="174" ht="29" hidden="1" customHeight="1" outlineLevel="1" spans="1:28">
      <c r="A174" s="159">
        <v>169</v>
      </c>
      <c r="B174" s="221" t="s">
        <v>2281</v>
      </c>
      <c r="C174" s="222" t="s">
        <v>1260</v>
      </c>
      <c r="D174" s="162" t="s">
        <v>1700</v>
      </c>
      <c r="E174" s="163" t="s">
        <v>1880</v>
      </c>
      <c r="F174" s="164" t="s">
        <v>2282</v>
      </c>
      <c r="G174" s="165" t="s">
        <v>2077</v>
      </c>
      <c r="H174" s="164" t="str">
        <f>IF(G174="","",VLOOKUP(G174,'附表8-合同明细采集底稿'!B:I,2,0))</f>
        <v>沁春锦苑升降横移类机械式停车设备销售合同</v>
      </c>
      <c r="I174" s="92" t="str">
        <f>IF(G174="","",VLOOKUP(G174,'附表8-合同明细采集底稿'!B:I,3,0))</f>
        <v>买卖合同</v>
      </c>
      <c r="J174" s="164" t="str">
        <f>IF(G174="","",VLOOKUP(G174,'附表8-合同明细采集底稿'!B:I,4,0))</f>
        <v>唐山通宝停车设备有限公司</v>
      </c>
      <c r="K174" s="164" t="s">
        <v>1711</v>
      </c>
      <c r="L174" s="165"/>
      <c r="M174" s="165" t="s">
        <v>2283</v>
      </c>
      <c r="N174" s="173">
        <v>612750.3</v>
      </c>
      <c r="O174" s="173">
        <v>631132.81</v>
      </c>
      <c r="P174" s="174">
        <v>612750.3</v>
      </c>
      <c r="Q174" s="180">
        <f>-P174</f>
        <v>-612750.3</v>
      </c>
      <c r="R174" s="173">
        <f t="shared" si="6"/>
        <v>0</v>
      </c>
      <c r="S174" s="177">
        <f>IFERROR(VLOOKUP(G174,'附表8-合同明细采集底稿'!B:M,12,0),100%)</f>
        <v>0.329519901724361</v>
      </c>
      <c r="T174" s="173">
        <f t="shared" si="7"/>
        <v>0</v>
      </c>
      <c r="U174" s="164"/>
      <c r="V174" s="178" t="s">
        <v>336</v>
      </c>
      <c r="W174" s="179">
        <f>IF('附表1-面积统计表'!$D$29=0,"",IF(AND(V174="共同成本费用",Z174="总建筑面积法"),ROUND(T174/'附表1-面积统计表'!$D$29*'附表1-面积统计表'!$D$5,2),IF(AND(V174="共同成本费用",Z174="可售建筑面积法"),ROUND(T174/'附表1-面积统计表'!$F$29*'附表1-面积统计表'!$F$5,2),"请手工填写")))</f>
        <v>0</v>
      </c>
      <c r="X174" s="179">
        <f>IF(SUM('附表1-面积统计表'!$D$6)=0,"",SUM(T174)-SUM(W174)-SUM(Y174))</f>
        <v>0</v>
      </c>
      <c r="Y174" s="179">
        <f>IF(SUM('附表1-面积统计表'!$D$6)=0,SUM(T174)-SUM(W174),IF('附表1-面积统计表'!$D$29=0,"",IF(AND(V174="共同成本费用",Z174="总建筑面积法"),ROUND(T174/'附表1-面积统计表'!$D$29*'附表1-面积统计表'!$D$7,2),IF(AND(V174="共同成本费用",Z174="可售建筑面积法"),ROUND(T174/'附表1-面积统计表'!$F$29*'附表1-面积统计表'!$F$7,2),"请手工填写"))))</f>
        <v>0</v>
      </c>
      <c r="Z174" s="181" t="s">
        <v>311</v>
      </c>
      <c r="AA174" s="164"/>
      <c r="AB174" s="182" t="s">
        <v>1686</v>
      </c>
    </row>
    <row r="175" ht="29" hidden="1" customHeight="1" outlineLevel="1" spans="1:28">
      <c r="A175" s="159">
        <v>170</v>
      </c>
      <c r="B175" s="166" t="s">
        <v>2284</v>
      </c>
      <c r="C175" s="189" t="s">
        <v>2285</v>
      </c>
      <c r="D175" s="162" t="s">
        <v>1739</v>
      </c>
      <c r="E175" s="163" t="s">
        <v>1745</v>
      </c>
      <c r="F175" s="164" t="s">
        <v>2286</v>
      </c>
      <c r="G175" s="165" t="s">
        <v>1850</v>
      </c>
      <c r="H175" s="164" t="str">
        <f>IF(G175="","",VLOOKUP(G175,'附表8-合同明细采集底稿'!B:I,2,0))</f>
        <v>水土保持方案编制合同</v>
      </c>
      <c r="I175" s="92" t="str">
        <f>IF(G175="","",VLOOKUP(G175,'附表8-合同明细采集底稿'!B:I,3,0))</f>
        <v>技术合同</v>
      </c>
      <c r="J175" s="164" t="str">
        <f>IF(G175="","",VLOOKUP(G175,'附表8-合同明细采集底稿'!B:I,4,0))</f>
        <v>新疆和禹源生态工程咨询有限公司</v>
      </c>
      <c r="K175" s="164" t="s">
        <v>1711</v>
      </c>
      <c r="L175" s="165">
        <v>6500193130</v>
      </c>
      <c r="M175" s="570" t="s">
        <v>2287</v>
      </c>
      <c r="N175" s="173">
        <v>42079.21</v>
      </c>
      <c r="O175" s="173">
        <v>42500</v>
      </c>
      <c r="P175" s="174">
        <v>42079.21</v>
      </c>
      <c r="Q175" s="173"/>
      <c r="R175" s="173">
        <f t="shared" si="6"/>
        <v>42079.21</v>
      </c>
      <c r="S175" s="177">
        <f>IFERROR(VLOOKUP(G175,'附表8-合同明细采集底稿'!B:M,12,0),100%)</f>
        <v>0.329519901724361</v>
      </c>
      <c r="T175" s="173">
        <f t="shared" si="7"/>
        <v>13865.94</v>
      </c>
      <c r="U175" s="164"/>
      <c r="V175" s="178" t="s">
        <v>336</v>
      </c>
      <c r="W175" s="179">
        <f>IF('附表1-面积统计表'!$D$29=0,"",IF(AND(V175="共同成本费用",Z175="总建筑面积法"),ROUND(T175/'附表1-面积统计表'!$D$29*'附表1-面积统计表'!$D$5,2),IF(AND(V175="共同成本费用",Z175="可售建筑面积法"),ROUND(T175/'附表1-面积统计表'!$F$29*'附表1-面积统计表'!$F$5,2),"请手工填写")))</f>
        <v>5064.25</v>
      </c>
      <c r="X175" s="179">
        <f>IF(SUM('附表1-面积统计表'!$D$6)=0,"",SUM(T175)-SUM(W175)-SUM(Y175))</f>
        <v>6245.61</v>
      </c>
      <c r="Y175" s="179">
        <f>IF(SUM('附表1-面积统计表'!$D$6)=0,SUM(T175)-SUM(W175),IF('附表1-面积统计表'!$D$29=0,"",IF(AND(V175="共同成本费用",Z175="总建筑面积法"),ROUND(T175/'附表1-面积统计表'!$D$29*'附表1-面积统计表'!$D$7,2),IF(AND(V175="共同成本费用",Z175="可售建筑面积法"),ROUND(T175/'附表1-面积统计表'!$F$29*'附表1-面积统计表'!$F$7,2),"请手工填写"))))</f>
        <v>2556.08</v>
      </c>
      <c r="Z175" s="181" t="s">
        <v>311</v>
      </c>
      <c r="AA175" s="164"/>
      <c r="AB175" s="182" t="s">
        <v>1686</v>
      </c>
    </row>
    <row r="176" ht="29" hidden="1" customHeight="1" outlineLevel="1" spans="1:28">
      <c r="A176" s="159">
        <v>171</v>
      </c>
      <c r="B176" s="197" t="s">
        <v>2193</v>
      </c>
      <c r="C176" s="223" t="s">
        <v>2288</v>
      </c>
      <c r="D176" s="162" t="s">
        <v>1700</v>
      </c>
      <c r="E176" s="163" t="s">
        <v>1880</v>
      </c>
      <c r="F176" s="164" t="s">
        <v>2289</v>
      </c>
      <c r="G176" s="165" t="s">
        <v>2290</v>
      </c>
      <c r="H176" s="164" t="str">
        <f>IF(G176="","",VLOOKUP(G176,'附表8-合同明细采集底稿'!B:I,2,0))</f>
        <v>沁春锦苑小区围挡制作</v>
      </c>
      <c r="I176" s="92" t="str">
        <f>IF(G176="","",VLOOKUP(G176,'附表8-合同明细采集底稿'!B:I,3,0))</f>
        <v>承揽合同</v>
      </c>
      <c r="J176" s="164" t="str">
        <f>IF(G176="","",VLOOKUP(G176,'附表8-合同明细采集底稿'!B:I,4,0))</f>
        <v>巴州方程视广告有限公司（刘亭）</v>
      </c>
      <c r="K176" s="164" t="s">
        <v>1711</v>
      </c>
      <c r="L176" s="165">
        <v>6500174130</v>
      </c>
      <c r="M176" s="165" t="s">
        <v>2291</v>
      </c>
      <c r="N176" s="173">
        <v>40194.17</v>
      </c>
      <c r="O176" s="173">
        <v>40194.17</v>
      </c>
      <c r="P176" s="174">
        <v>40194.17</v>
      </c>
      <c r="Q176" s="173"/>
      <c r="R176" s="173">
        <f t="shared" si="6"/>
        <v>40194.17</v>
      </c>
      <c r="S176" s="177">
        <f>IFERROR(VLOOKUP(G176,'附表8-合同明细采集底稿'!B:M,12,0),100%)</f>
        <v>0.329519901724361</v>
      </c>
      <c r="T176" s="173">
        <f t="shared" si="7"/>
        <v>13244.78</v>
      </c>
      <c r="U176" s="164"/>
      <c r="V176" s="178" t="s">
        <v>336</v>
      </c>
      <c r="W176" s="179">
        <f>IF('附表1-面积统计表'!$D$29=0,"",IF(AND(V176="共同成本费用",Z176="总建筑面积法"),ROUND(T176/'附表1-面积统计表'!$D$29*'附表1-面积统计表'!$D$5,2),IF(AND(V176="共同成本费用",Z176="可售建筑面积法"),ROUND(T176/'附表1-面积统计表'!$F$29*'附表1-面积统计表'!$F$5,2),"请手工填写")))</f>
        <v>4837.38</v>
      </c>
      <c r="X176" s="179">
        <f>IF(SUM('附表1-面积统计表'!$D$6)=0,"",SUM(T176)-SUM(W176)-SUM(Y176))</f>
        <v>5965.82</v>
      </c>
      <c r="Y176" s="179">
        <f>IF(SUM('附表1-面积统计表'!$D$6)=0,SUM(T176)-SUM(W176),IF('附表1-面积统计表'!$D$29=0,"",IF(AND(V176="共同成本费用",Z176="总建筑面积法"),ROUND(T176/'附表1-面积统计表'!$D$29*'附表1-面积统计表'!$D$7,2),IF(AND(V176="共同成本费用",Z176="可售建筑面积法"),ROUND(T176/'附表1-面积统计表'!$F$29*'附表1-面积统计表'!$F$7,2),"请手工填写"))))</f>
        <v>2441.58</v>
      </c>
      <c r="Z176" s="181" t="s">
        <v>311</v>
      </c>
      <c r="AA176" s="164"/>
      <c r="AB176" s="182" t="s">
        <v>1686</v>
      </c>
    </row>
    <row r="177" ht="29" hidden="1" customHeight="1" outlineLevel="1" spans="1:28">
      <c r="A177" s="159">
        <v>172</v>
      </c>
      <c r="B177" s="189" t="s">
        <v>1393</v>
      </c>
      <c r="C177" s="189" t="s">
        <v>1972</v>
      </c>
      <c r="D177" s="162" t="s">
        <v>1700</v>
      </c>
      <c r="E177" s="163" t="s">
        <v>1880</v>
      </c>
      <c r="F177" s="164" t="s">
        <v>1973</v>
      </c>
      <c r="G177" s="165" t="s">
        <v>1697</v>
      </c>
      <c r="H177" s="164">
        <f>IF(G177="","",VLOOKUP(G177,'附表8-合同明细采集底稿'!B:I,2,0))</f>
        <v>0</v>
      </c>
      <c r="I177" s="92">
        <f>IF(G177="","",VLOOKUP(G177,'附表8-合同明细采集底稿'!B:I,3,0))</f>
        <v>0</v>
      </c>
      <c r="J177" s="164" t="s">
        <v>2292</v>
      </c>
      <c r="K177" s="164" t="s">
        <v>1711</v>
      </c>
      <c r="L177" s="165">
        <v>6500174130</v>
      </c>
      <c r="M177" s="165" t="s">
        <v>2293</v>
      </c>
      <c r="N177" s="173">
        <v>16676.11</v>
      </c>
      <c r="O177" s="173">
        <v>16676.11</v>
      </c>
      <c r="P177" s="174">
        <v>16676.11</v>
      </c>
      <c r="Q177" s="173"/>
      <c r="R177" s="173">
        <f t="shared" si="6"/>
        <v>16676.11</v>
      </c>
      <c r="S177" s="177">
        <f>IFERROR(VLOOKUP(G177,'附表8-合同明细采集底稿'!B:M,12,0),100%)</f>
        <v>0.329519901724361</v>
      </c>
      <c r="T177" s="173">
        <f t="shared" si="7"/>
        <v>5495.11</v>
      </c>
      <c r="U177" s="164"/>
      <c r="V177" s="178" t="s">
        <v>336</v>
      </c>
      <c r="W177" s="179">
        <f>IF('附表1-面积统计表'!$D$29=0,"",IF(AND(V177="共同成本费用",Z177="总建筑面积法"),ROUND(T177/'附表1-面积统计表'!$D$29*'附表1-面积统计表'!$D$5,2),IF(AND(V177="共同成本费用",Z177="可售建筑面积法"),ROUND(T177/'附表1-面积统计表'!$F$29*'附表1-面积统计表'!$F$5,2),"请手工填写")))</f>
        <v>2006.98</v>
      </c>
      <c r="X177" s="179">
        <f>IF(SUM('附表1-面积统计表'!$D$6)=0,"",SUM(T177)-SUM(W177)-SUM(Y177))</f>
        <v>2475.15</v>
      </c>
      <c r="Y177" s="179">
        <f>IF(SUM('附表1-面积统计表'!$D$6)=0,SUM(T177)-SUM(W177),IF('附表1-面积统计表'!$D$29=0,"",IF(AND(V177="共同成本费用",Z177="总建筑面积法"),ROUND(T177/'附表1-面积统计表'!$D$29*'附表1-面积统计表'!$D$7,2),IF(AND(V177="共同成本费用",Z177="可售建筑面积法"),ROUND(T177/'附表1-面积统计表'!$F$29*'附表1-面积统计表'!$F$7,2),"请手工填写"))))</f>
        <v>1012.98</v>
      </c>
      <c r="Z177" s="181" t="s">
        <v>311</v>
      </c>
      <c r="AA177" s="164"/>
      <c r="AB177" s="182" t="s">
        <v>1686</v>
      </c>
    </row>
    <row r="178" ht="29" hidden="1" customHeight="1" outlineLevel="1" spans="1:28">
      <c r="A178" s="159">
        <v>173</v>
      </c>
      <c r="B178" s="166" t="s">
        <v>2294</v>
      </c>
      <c r="C178" s="166" t="s">
        <v>2295</v>
      </c>
      <c r="D178" s="162" t="s">
        <v>1739</v>
      </c>
      <c r="E178" s="163" t="s">
        <v>1788</v>
      </c>
      <c r="F178" s="164" t="s">
        <v>2296</v>
      </c>
      <c r="G178" s="165" t="s">
        <v>1697</v>
      </c>
      <c r="H178" s="164">
        <f>IF(G178="","",VLOOKUP(G178,'附表8-合同明细采集底稿'!B:I,2,0))</f>
        <v>0</v>
      </c>
      <c r="I178" s="92">
        <f>IF(G178="","",VLOOKUP(G178,'附表8-合同明细采集底稿'!B:I,3,0))</f>
        <v>0</v>
      </c>
      <c r="J178" s="164">
        <f>IF(G178="","",VLOOKUP(G178,'附表8-合同明细采集底稿'!B:I,4,0))</f>
        <v>0</v>
      </c>
      <c r="K178" s="164" t="s">
        <v>1711</v>
      </c>
      <c r="L178" s="165">
        <v>6500174130</v>
      </c>
      <c r="M178" s="165" t="s">
        <v>2297</v>
      </c>
      <c r="N178" s="173">
        <v>12212.39</v>
      </c>
      <c r="O178" s="173">
        <v>12212.39</v>
      </c>
      <c r="P178" s="174">
        <v>12212.39</v>
      </c>
      <c r="Q178" s="173"/>
      <c r="R178" s="173">
        <f t="shared" si="6"/>
        <v>12212.39</v>
      </c>
      <c r="S178" s="177">
        <f>IFERROR(VLOOKUP(G178,'附表8-合同明细采集底稿'!B:M,12,0),100%)</f>
        <v>0.329519901724361</v>
      </c>
      <c r="T178" s="173">
        <f t="shared" si="7"/>
        <v>4024.23</v>
      </c>
      <c r="U178" s="164"/>
      <c r="V178" s="178" t="s">
        <v>336</v>
      </c>
      <c r="W178" s="179">
        <f>IF('附表1-面积统计表'!$D$29=0,"",IF(AND(V178="共同成本费用",Z178="总建筑面积法"),ROUND(T178/'附表1-面积统计表'!$D$29*'附表1-面积统计表'!$D$5,2),IF(AND(V178="共同成本费用",Z178="可售建筑面积法"),ROUND(T178/'附表1-面积统计表'!$F$29*'附表1-面积统计表'!$F$5,2),"请手工填写")))</f>
        <v>1469.77</v>
      </c>
      <c r="X178" s="179">
        <f>IF(SUM('附表1-面积统计表'!$D$6)=0,"",SUM(T178)-SUM(W178)-SUM(Y178))</f>
        <v>1812.62</v>
      </c>
      <c r="Y178" s="179">
        <f>IF(SUM('附表1-面积统计表'!$D$6)=0,SUM(T178)-SUM(W178),IF('附表1-面积统计表'!$D$29=0,"",IF(AND(V178="共同成本费用",Z178="总建筑面积法"),ROUND(T178/'附表1-面积统计表'!$D$29*'附表1-面积统计表'!$D$7,2),IF(AND(V178="共同成本费用",Z178="可售建筑面积法"),ROUND(T178/'附表1-面积统计表'!$F$29*'附表1-面积统计表'!$F$7,2),"请手工填写"))))</f>
        <v>741.84</v>
      </c>
      <c r="Z178" s="181" t="s">
        <v>311</v>
      </c>
      <c r="AA178" s="164"/>
      <c r="AB178" s="182" t="s">
        <v>1686</v>
      </c>
    </row>
    <row r="179" ht="29" hidden="1" customHeight="1" outlineLevel="1" spans="1:28">
      <c r="A179" s="159">
        <v>174</v>
      </c>
      <c r="B179" s="189" t="s">
        <v>2298</v>
      </c>
      <c r="C179" s="189" t="s">
        <v>1939</v>
      </c>
      <c r="D179" s="162" t="s">
        <v>1700</v>
      </c>
      <c r="E179" s="163" t="s">
        <v>1875</v>
      </c>
      <c r="F179" s="164" t="s">
        <v>2299</v>
      </c>
      <c r="G179" s="165" t="s">
        <v>2300</v>
      </c>
      <c r="H179" s="164" t="str">
        <f>IF(G179="","",VLOOKUP(G179,'附表8-合同明细采集底稿'!B:I,2,0))</f>
        <v>沁春锦苑4-11#16#17#楼31#楼园林景观、道路及停车位、铺装、景观照明工程</v>
      </c>
      <c r="I179" s="92" t="str">
        <f>IF(G179="","",VLOOKUP(G179,'附表8-合同明细采集底稿'!B:I,3,0))</f>
        <v>建设工程合同</v>
      </c>
      <c r="J179" s="164" t="str">
        <f>IF(G179="","",VLOOKUP(G179,'附表8-合同明细采集底稿'!B:I,4,0))</f>
        <v>新疆通力建设集团股份有限公司（杜奇志）</v>
      </c>
      <c r="K179" s="164" t="s">
        <v>1711</v>
      </c>
      <c r="L179" s="165">
        <v>6500174130</v>
      </c>
      <c r="M179" s="165" t="s">
        <v>2301</v>
      </c>
      <c r="N179" s="173">
        <v>348687.16</v>
      </c>
      <c r="O179" s="173">
        <v>380069</v>
      </c>
      <c r="P179" s="174">
        <v>348687.16</v>
      </c>
      <c r="Q179" s="173"/>
      <c r="R179" s="173">
        <f t="shared" si="6"/>
        <v>348687.16</v>
      </c>
      <c r="S179" s="177">
        <f>IFERROR(VLOOKUP(G179,'附表8-合同明细采集底稿'!B:M,12,0),100%)</f>
        <v>0.329519901724361</v>
      </c>
      <c r="T179" s="173">
        <f t="shared" si="7"/>
        <v>114899.36</v>
      </c>
      <c r="U179" s="164"/>
      <c r="V179" s="178" t="s">
        <v>336</v>
      </c>
      <c r="W179" s="179">
        <f>IF('附表1-面积统计表'!$D$29=0,"",IF(AND(V179="共同成本费用",Z179="总建筑面积法"),ROUND(T179/'附表1-面积统计表'!$D$29*'附表1-面积统计表'!$D$5,2),IF(AND(V179="共同成本费用",Z179="可售建筑面积法"),ROUND(T179/'附表1-面积统计表'!$F$29*'附表1-面积统计表'!$F$5,2),"请手工填写")))</f>
        <v>41964.63</v>
      </c>
      <c r="X179" s="179">
        <f>IF(SUM('附表1-面积统计表'!$D$6)=0,"",SUM(T179)-SUM(W179)-SUM(Y179))</f>
        <v>51753.87</v>
      </c>
      <c r="Y179" s="179">
        <f>IF(SUM('附表1-面积统计表'!$D$6)=0,SUM(T179)-SUM(W179),IF('附表1-面积统计表'!$D$29=0,"",IF(AND(V179="共同成本费用",Z179="总建筑面积法"),ROUND(T179/'附表1-面积统计表'!$D$29*'附表1-面积统计表'!$D$7,2),IF(AND(V179="共同成本费用",Z179="可售建筑面积法"),ROUND(T179/'附表1-面积统计表'!$F$29*'附表1-面积统计表'!$F$7,2),"请手工填写"))))</f>
        <v>21180.86</v>
      </c>
      <c r="Z179" s="181" t="s">
        <v>311</v>
      </c>
      <c r="AA179" s="164"/>
      <c r="AB179" s="182" t="s">
        <v>1686</v>
      </c>
    </row>
    <row r="180" ht="29" hidden="1" customHeight="1" outlineLevel="1" spans="1:28">
      <c r="A180" s="159">
        <v>175</v>
      </c>
      <c r="B180" s="166" t="s">
        <v>480</v>
      </c>
      <c r="C180" s="189" t="s">
        <v>2302</v>
      </c>
      <c r="D180" s="162" t="s">
        <v>1700</v>
      </c>
      <c r="E180" s="163" t="s">
        <v>1875</v>
      </c>
      <c r="F180" s="164" t="s">
        <v>2303</v>
      </c>
      <c r="G180" s="165" t="s">
        <v>2304</v>
      </c>
      <c r="H180" s="164" t="str">
        <f>IF(G180="","",VLOOKUP(G180,'附表8-合同明细采集底稿'!B:I,2,0))</f>
        <v>建设工程监理合同</v>
      </c>
      <c r="I180" s="92" t="str">
        <f>IF(G180="","",VLOOKUP(G180,'附表8-合同明细采集底稿'!B:I,3,0))</f>
        <v>技术合同</v>
      </c>
      <c r="J180" s="164" t="str">
        <f>IF(G180="","",VLOOKUP(G180,'附表8-合同明细采集底稿'!B:I,4,0))</f>
        <v>巴州智诚工程项目管理服务有限公司</v>
      </c>
      <c r="K180" s="164" t="s">
        <v>1711</v>
      </c>
      <c r="L180" s="165">
        <v>6500174130</v>
      </c>
      <c r="M180" s="570" t="s">
        <v>2305</v>
      </c>
      <c r="N180" s="173">
        <v>52146.53</v>
      </c>
      <c r="O180" s="173">
        <v>52668</v>
      </c>
      <c r="P180" s="174">
        <v>52146.53</v>
      </c>
      <c r="Q180" s="173">
        <v>-34732.8666336634</v>
      </c>
      <c r="R180" s="173">
        <f t="shared" si="6"/>
        <v>17413.6633663366</v>
      </c>
      <c r="S180" s="177">
        <f>IFERROR(VLOOKUP(G180,'附表8-合同明细采集底稿'!B:M,12,0),100%)</f>
        <v>0.329519901724361</v>
      </c>
      <c r="T180" s="173">
        <f t="shared" si="7"/>
        <v>5738.15</v>
      </c>
      <c r="U180" s="164"/>
      <c r="V180" s="178" t="s">
        <v>336</v>
      </c>
      <c r="W180" s="179">
        <f>IF('附表1-面积统计表'!$D$29=0,"",IF(AND(V180="共同成本费用",Z180="总建筑面积法"),ROUND(T180/'附表1-面积统计表'!$D$29*'附表1-面积统计表'!$D$5,2),IF(AND(V180="共同成本费用",Z180="可售建筑面积法"),ROUND(T180/'附表1-面积统计表'!$F$29*'附表1-面积统计表'!$F$5,2),"请手工填写")))</f>
        <v>2095.74</v>
      </c>
      <c r="X180" s="179">
        <f>IF(SUM('附表1-面积统计表'!$D$6)=0,"",SUM(T180)-SUM(W180)-SUM(Y180))</f>
        <v>2584.62</v>
      </c>
      <c r="Y180" s="179">
        <f>IF(SUM('附表1-面积统计表'!$D$6)=0,SUM(T180)-SUM(W180),IF('附表1-面积统计表'!$D$29=0,"",IF(AND(V180="共同成本费用",Z180="总建筑面积法"),ROUND(T180/'附表1-面积统计表'!$D$29*'附表1-面积统计表'!$D$7,2),IF(AND(V180="共同成本费用",Z180="可售建筑面积法"),ROUND(T180/'附表1-面积统计表'!$F$29*'附表1-面积统计表'!$F$7,2),"请手工填写"))))</f>
        <v>1057.79</v>
      </c>
      <c r="Z180" s="181" t="s">
        <v>311</v>
      </c>
      <c r="AA180" s="164"/>
      <c r="AB180" s="182" t="s">
        <v>1686</v>
      </c>
    </row>
    <row r="181" ht="29" hidden="1" customHeight="1" outlineLevel="1" spans="1:28">
      <c r="A181" s="159">
        <v>176</v>
      </c>
      <c r="B181" s="166" t="s">
        <v>2306</v>
      </c>
      <c r="C181" s="189" t="s">
        <v>1948</v>
      </c>
      <c r="D181" s="162" t="s">
        <v>1700</v>
      </c>
      <c r="E181" s="163" t="s">
        <v>1928</v>
      </c>
      <c r="F181" s="164" t="s">
        <v>2307</v>
      </c>
      <c r="G181" s="165" t="s">
        <v>1930</v>
      </c>
      <c r="H181" s="164" t="str">
        <f>IF(G181="","",VLOOKUP(G181,'附表8-合同明细采集底稿'!B:I,2,0))</f>
        <v>电缆采购合同-公共社区、幼儿园</v>
      </c>
      <c r="I181" s="92" t="str">
        <f>IF(G181="","",VLOOKUP(G181,'附表8-合同明细采集底稿'!B:I,3,0))</f>
        <v>买卖合同</v>
      </c>
      <c r="J181" s="164" t="str">
        <f>IF(G181="","",VLOOKUP(G181,'附表8-合同明细采集底稿'!B:I,4,0))</f>
        <v>泰丰线缆有限公司</v>
      </c>
      <c r="K181" s="164" t="s">
        <v>1711</v>
      </c>
      <c r="L181" s="165">
        <v>6500174130</v>
      </c>
      <c r="M181" s="570" t="s">
        <v>2308</v>
      </c>
      <c r="N181" s="173">
        <v>837307.06</v>
      </c>
      <c r="O181" s="173">
        <v>946156.98</v>
      </c>
      <c r="P181" s="174">
        <v>837307.06</v>
      </c>
      <c r="Q181" s="173">
        <v>-685916.8</v>
      </c>
      <c r="R181" s="173">
        <f t="shared" si="6"/>
        <v>151390.26</v>
      </c>
      <c r="S181" s="177">
        <f>IFERROR(VLOOKUP(G181,'附表8-合同明细采集底稿'!B:M,12,0),100%)</f>
        <v>0.329519901724361</v>
      </c>
      <c r="T181" s="173">
        <f t="shared" si="7"/>
        <v>49886.1</v>
      </c>
      <c r="U181" s="164"/>
      <c r="V181" s="178" t="s">
        <v>336</v>
      </c>
      <c r="W181" s="179">
        <f>IF('附表1-面积统计表'!$D$29=0,"",IF(AND(V181="共同成本费用",Z181="总建筑面积法"),ROUND(T181/'附表1-面积统计表'!$D$29*'附表1-面积统计表'!$D$5,2),IF(AND(V181="共同成本费用",Z181="可售建筑面积法"),ROUND(T181/'附表1-面积统计表'!$F$29*'附表1-面积统计表'!$F$5,2),"请手工填写")))</f>
        <v>18219.87</v>
      </c>
      <c r="X181" s="179">
        <f>IF(SUM('附表1-面积统计表'!$D$6)=0,"",SUM(T181)-SUM(W181)-SUM(Y181))</f>
        <v>22470.09</v>
      </c>
      <c r="Y181" s="179">
        <f>IF(SUM('附表1-面积统计表'!$D$6)=0,SUM(T181)-SUM(W181),IF('附表1-面积统计表'!$D$29=0,"",IF(AND(V181="共同成本费用",Z181="总建筑面积法"),ROUND(T181/'附表1-面积统计表'!$D$29*'附表1-面积统计表'!$D$7,2),IF(AND(V181="共同成本费用",Z181="可售建筑面积法"),ROUND(T181/'附表1-面积统计表'!$F$29*'附表1-面积统计表'!$F$7,2),"请手工填写"))))</f>
        <v>9196.14</v>
      </c>
      <c r="Z181" s="181" t="s">
        <v>311</v>
      </c>
      <c r="AA181" s="164"/>
      <c r="AB181" s="182" t="s">
        <v>1686</v>
      </c>
    </row>
    <row r="182" ht="29" hidden="1" customHeight="1" outlineLevel="1" spans="1:28">
      <c r="A182" s="159">
        <v>177</v>
      </c>
      <c r="B182" s="221" t="s">
        <v>2309</v>
      </c>
      <c r="C182" s="166" t="s">
        <v>2152</v>
      </c>
      <c r="D182" s="162" t="s">
        <v>1700</v>
      </c>
      <c r="E182" s="163" t="s">
        <v>1928</v>
      </c>
      <c r="F182" s="164" t="s">
        <v>2310</v>
      </c>
      <c r="G182" s="165" t="s">
        <v>2311</v>
      </c>
      <c r="H182" s="164" t="str">
        <f>IF(G182="","",VLOOKUP(G182,'附表8-合同明细采集底稿'!B:I,2,0))</f>
        <v>37#社区用房壁挂炉</v>
      </c>
      <c r="I182" s="92" t="str">
        <f>IF(G182="","",VLOOKUP(G182,'附表8-合同明细采集底稿'!B:I,3,0))</f>
        <v>买卖合同</v>
      </c>
      <c r="J182" s="164" t="str">
        <f>IF(G182="","",VLOOKUP(G182,'附表8-合同明细采集底稿'!B:I,4,0))</f>
        <v>库尔勒刘世春电器维修部</v>
      </c>
      <c r="K182" s="164" t="s">
        <v>1711</v>
      </c>
      <c r="L182" s="165"/>
      <c r="M182" s="165" t="s">
        <v>2312</v>
      </c>
      <c r="N182" s="173">
        <v>44660.19</v>
      </c>
      <c r="O182" s="173">
        <v>46000</v>
      </c>
      <c r="P182" s="174">
        <v>44660.19</v>
      </c>
      <c r="Q182" s="173">
        <v>-44660.19</v>
      </c>
      <c r="R182" s="173">
        <f t="shared" si="6"/>
        <v>0</v>
      </c>
      <c r="S182" s="177">
        <f>IFERROR(VLOOKUP(G182,'附表8-合同明细采集底稿'!B:M,12,0),100%)</f>
        <v>0.329519901724361</v>
      </c>
      <c r="T182" s="173">
        <f t="shared" si="7"/>
        <v>0</v>
      </c>
      <c r="U182" s="164"/>
      <c r="V182" s="178" t="s">
        <v>336</v>
      </c>
      <c r="W182" s="179">
        <f>IF('附表1-面积统计表'!$D$29=0,"",IF(AND(V182="共同成本费用",Z182="总建筑面积法"),ROUND(T182/'附表1-面积统计表'!$D$29*'附表1-面积统计表'!$D$5,2),IF(AND(V182="共同成本费用",Z182="可售建筑面积法"),ROUND(T182/'附表1-面积统计表'!$F$29*'附表1-面积统计表'!$F$5,2),"请手工填写")))</f>
        <v>0</v>
      </c>
      <c r="X182" s="179">
        <f>IF(SUM('附表1-面积统计表'!$D$6)=0,"",SUM(T182)-SUM(W182)-SUM(Y182))</f>
        <v>0</v>
      </c>
      <c r="Y182" s="179">
        <f>IF(SUM('附表1-面积统计表'!$D$6)=0,SUM(T182)-SUM(W182),IF('附表1-面积统计表'!$D$29=0,"",IF(AND(V182="共同成本费用",Z182="总建筑面积法"),ROUND(T182/'附表1-面积统计表'!$D$29*'附表1-面积统计表'!$D$7,2),IF(AND(V182="共同成本费用",Z182="可售建筑面积法"),ROUND(T182/'附表1-面积统计表'!$F$29*'附表1-面积统计表'!$F$7,2),"请手工填写"))))</f>
        <v>0</v>
      </c>
      <c r="Z182" s="181" t="s">
        <v>311</v>
      </c>
      <c r="AA182" s="164"/>
      <c r="AB182" s="182" t="s">
        <v>1686</v>
      </c>
    </row>
    <row r="183" ht="29" hidden="1" customHeight="1" outlineLevel="1" spans="1:28">
      <c r="A183" s="159">
        <v>178</v>
      </c>
      <c r="B183" s="166" t="s">
        <v>431</v>
      </c>
      <c r="C183" s="166" t="s">
        <v>2313</v>
      </c>
      <c r="D183" s="162" t="s">
        <v>1697</v>
      </c>
      <c r="E183" s="163" t="s">
        <v>2314</v>
      </c>
      <c r="F183" s="224" t="s">
        <v>2315</v>
      </c>
      <c r="G183" s="165" t="s">
        <v>1697</v>
      </c>
      <c r="H183" s="164">
        <f>IF(G183="","",VLOOKUP(G183,'附表8-合同明细采集底稿'!B:I,2,0))</f>
        <v>0</v>
      </c>
      <c r="I183" s="92" t="e">
        <f>IF(#REF!="","",VLOOKUP(#REF!,'附表8-合同明细采集底稿'!B:I,3,0))</f>
        <v>#REF!</v>
      </c>
      <c r="J183" s="164" t="s">
        <v>156</v>
      </c>
      <c r="K183" s="164" t="s">
        <v>1685</v>
      </c>
      <c r="M183" s="165"/>
      <c r="N183" s="225">
        <v>3168.02</v>
      </c>
      <c r="O183" s="225">
        <v>3168.02</v>
      </c>
      <c r="P183" s="226">
        <v>3168.02</v>
      </c>
      <c r="Q183" s="173"/>
      <c r="R183" s="173">
        <f t="shared" si="6"/>
        <v>3168.02</v>
      </c>
      <c r="S183" s="177">
        <f>IFERROR(VLOOKUP(G183,'附表8-合同明细采集底稿'!B:M,12,0),100%)</f>
        <v>0.329519901724361</v>
      </c>
      <c r="T183" s="173">
        <f t="shared" si="7"/>
        <v>1043.93</v>
      </c>
      <c r="U183" s="164"/>
      <c r="V183" s="178" t="s">
        <v>336</v>
      </c>
      <c r="W183" s="179">
        <f>IF('附表1-面积统计表'!$D$29=0,"",IF(AND(V183="共同成本费用",Z183="总建筑面积法"),ROUND(T183/'附表1-面积统计表'!$D$29*'附表1-面积统计表'!$D$5,2),IF(AND(V183="共同成本费用",Z183="可售建筑面积法"),ROUND(T183/'附表1-面积统计表'!$F$29*'附表1-面积统计表'!$F$5,2),"请手工填写")))</f>
        <v>381.27</v>
      </c>
      <c r="X183" s="179">
        <f>IF(SUM('附表1-面积统计表'!$D$6)=0,"",SUM(T183)-SUM(W183)-SUM(Y183))</f>
        <v>470.22</v>
      </c>
      <c r="Y183" s="179">
        <f>IF(SUM('附表1-面积统计表'!$D$6)=0,SUM(T183)-SUM(W183),IF('附表1-面积统计表'!$D$29=0,"",IF(AND(V183="共同成本费用",Z183="总建筑面积法"),ROUND(T183/'附表1-面积统计表'!$D$29*'附表1-面积统计表'!$D$7,2),IF(AND(V183="共同成本费用",Z183="可售建筑面积法"),ROUND(T183/'附表1-面积统计表'!$F$29*'附表1-面积统计表'!$F$7,2),"请手工填写"))))</f>
        <v>192.44</v>
      </c>
      <c r="Z183" s="181" t="s">
        <v>311</v>
      </c>
      <c r="AA183" s="164"/>
      <c r="AB183" s="182" t="s">
        <v>1686</v>
      </c>
    </row>
    <row r="184" ht="29" hidden="1" customHeight="1" outlineLevel="1" spans="1:28">
      <c r="A184" s="159">
        <v>179</v>
      </c>
      <c r="B184" s="166" t="s">
        <v>1071</v>
      </c>
      <c r="C184" s="166" t="s">
        <v>2316</v>
      </c>
      <c r="D184" s="162" t="s">
        <v>1697</v>
      </c>
      <c r="E184" s="163" t="s">
        <v>2314</v>
      </c>
      <c r="F184" s="224" t="s">
        <v>2317</v>
      </c>
      <c r="G184" s="165" t="s">
        <v>1697</v>
      </c>
      <c r="H184" s="164">
        <f>IF(G184="","",VLOOKUP(G184,'附表8-合同明细采集底稿'!B:I,2,0))</f>
        <v>0</v>
      </c>
      <c r="I184" s="92">
        <f>IF(G184="","",VLOOKUP(G184,'附表8-合同明细采集底稿'!B:I,3,0))</f>
        <v>0</v>
      </c>
      <c r="J184" s="164" t="s">
        <v>156</v>
      </c>
      <c r="K184" s="164" t="s">
        <v>1685</v>
      </c>
      <c r="L184" s="165"/>
      <c r="M184" s="165"/>
      <c r="N184" s="225">
        <v>875714.67</v>
      </c>
      <c r="O184" s="225">
        <v>875714.67</v>
      </c>
      <c r="P184" s="226">
        <v>875714.67</v>
      </c>
      <c r="Q184" s="173"/>
      <c r="R184" s="173">
        <f t="shared" si="6"/>
        <v>875714.67</v>
      </c>
      <c r="S184" s="177">
        <f>IFERROR(VLOOKUP(G184,'附表8-合同明细采集底稿'!B:M,12,0),100%)</f>
        <v>0.329519901724361</v>
      </c>
      <c r="T184" s="173">
        <f t="shared" si="7"/>
        <v>288565.41</v>
      </c>
      <c r="U184" s="164"/>
      <c r="V184" s="178" t="s">
        <v>336</v>
      </c>
      <c r="W184" s="179">
        <f>IF('附表1-面积统计表'!$D$29=0,"",IF(AND(V184="共同成本费用",Z184="总建筑面积法"),ROUND(T184/'附表1-面积统计表'!$D$29*'附表1-面积统计表'!$D$5,2),IF(AND(V184="共同成本费用",Z184="可售建筑面积法"),ROUND(T184/'附表1-面积统计表'!$F$29*'附表1-面积统计表'!$F$5,2),"请手工填写")))</f>
        <v>105392.58</v>
      </c>
      <c r="X184" s="179">
        <f>IF(SUM('附表1-面积统计表'!$D$6)=0,"",SUM(T184)-SUM(W184)-SUM(Y184))</f>
        <v>129977.91</v>
      </c>
      <c r="Y184" s="179">
        <f>IF(SUM('附表1-面积统计表'!$D$6)=0,SUM(T184)-SUM(W184),IF('附表1-面积统计表'!$D$29=0,"",IF(AND(V184="共同成本费用",Z184="总建筑面积法"),ROUND(T184/'附表1-面积统计表'!$D$29*'附表1-面积统计表'!$D$7,2),IF(AND(V184="共同成本费用",Z184="可售建筑面积法"),ROUND(T184/'附表1-面积统计表'!$F$29*'附表1-面积统计表'!$F$7,2),"请手工填写"))))</f>
        <v>53194.92</v>
      </c>
      <c r="Z184" s="181" t="s">
        <v>311</v>
      </c>
      <c r="AA184" s="164"/>
      <c r="AB184" s="182" t="s">
        <v>1686</v>
      </c>
    </row>
    <row r="185" ht="29" hidden="1" customHeight="1" outlineLevel="1" spans="1:28">
      <c r="A185" s="159">
        <v>180</v>
      </c>
      <c r="B185" s="166" t="s">
        <v>1071</v>
      </c>
      <c r="C185" s="166" t="s">
        <v>2316</v>
      </c>
      <c r="D185" s="162" t="s">
        <v>1697</v>
      </c>
      <c r="E185" s="163" t="s">
        <v>2314</v>
      </c>
      <c r="F185" s="224" t="s">
        <v>2317</v>
      </c>
      <c r="G185" s="165" t="s">
        <v>1697</v>
      </c>
      <c r="H185" s="164">
        <f>IF(G185="","",VLOOKUP(G185,'附表8-合同明细采集底稿'!B:I,2,0))</f>
        <v>0</v>
      </c>
      <c r="I185" s="92">
        <f>IF(G185="","",VLOOKUP(G185,'附表8-合同明细采集底稿'!B:I,3,0))</f>
        <v>0</v>
      </c>
      <c r="J185" s="164" t="s">
        <v>156</v>
      </c>
      <c r="K185" s="164" t="s">
        <v>1685</v>
      </c>
      <c r="L185" s="165"/>
      <c r="M185" s="165"/>
      <c r="N185" s="225">
        <v>22166.5</v>
      </c>
      <c r="O185" s="225">
        <v>22166.5</v>
      </c>
      <c r="P185" s="226">
        <v>22166.5</v>
      </c>
      <c r="Q185" s="173"/>
      <c r="R185" s="173">
        <f t="shared" si="6"/>
        <v>22166.5</v>
      </c>
      <c r="S185" s="177">
        <f>IFERROR(VLOOKUP(G185,'附表8-合同明细采集底稿'!B:M,12,0),100%)</f>
        <v>0.329519901724361</v>
      </c>
      <c r="T185" s="173">
        <f t="shared" si="7"/>
        <v>7304.3</v>
      </c>
      <c r="U185" s="164"/>
      <c r="V185" s="178" t="s">
        <v>336</v>
      </c>
      <c r="W185" s="179">
        <f>IF('附表1-面积统计表'!$D$29=0,"",IF(AND(V185="共同成本费用",Z185="总建筑面积法"),ROUND(T185/'附表1-面积统计表'!$D$29*'附表1-面积统计表'!$D$5,2),IF(AND(V185="共同成本费用",Z185="可售建筑面积法"),ROUND(T185/'附表1-面积统计表'!$F$29*'附表1-面积统计表'!$F$5,2),"请手工填写")))</f>
        <v>2667.75</v>
      </c>
      <c r="X185" s="179">
        <f>IF(SUM('附表1-面积统计表'!$D$6)=0,"",SUM(T185)-SUM(W185)-SUM(Y185))</f>
        <v>3290.06</v>
      </c>
      <c r="Y185" s="179">
        <f>IF(SUM('附表1-面积统计表'!$D$6)=0,SUM(T185)-SUM(W185),IF('附表1-面积统计表'!$D$29=0,"",IF(AND(V185="共同成本费用",Z185="总建筑面积法"),ROUND(T185/'附表1-面积统计表'!$D$29*'附表1-面积统计表'!$D$7,2),IF(AND(V185="共同成本费用",Z185="可售建筑面积法"),ROUND(T185/'附表1-面积统计表'!$F$29*'附表1-面积统计表'!$F$7,2),"请手工填写"))))</f>
        <v>1346.49</v>
      </c>
      <c r="Z185" s="181" t="s">
        <v>311</v>
      </c>
      <c r="AA185" s="164"/>
      <c r="AB185" s="182" t="s">
        <v>1686</v>
      </c>
    </row>
    <row r="186" ht="29" hidden="1" customHeight="1" outlineLevel="1" spans="1:28">
      <c r="A186" s="159">
        <v>181</v>
      </c>
      <c r="B186" s="166" t="s">
        <v>1460</v>
      </c>
      <c r="C186" s="166" t="s">
        <v>2318</v>
      </c>
      <c r="D186" s="162" t="s">
        <v>1697</v>
      </c>
      <c r="E186" s="163" t="s">
        <v>2314</v>
      </c>
      <c r="F186" s="224" t="s">
        <v>2319</v>
      </c>
      <c r="G186" s="165" t="s">
        <v>1697</v>
      </c>
      <c r="H186" s="164">
        <f>IF(G186="","",VLOOKUP(G186,'附表8-合同明细采集底稿'!B:I,2,0))</f>
        <v>0</v>
      </c>
      <c r="I186" s="92">
        <f>IF(G186="","",VLOOKUP(G186,'附表8-合同明细采集底稿'!B:I,3,0))</f>
        <v>0</v>
      </c>
      <c r="J186" s="164" t="s">
        <v>156</v>
      </c>
      <c r="K186" s="164" t="s">
        <v>1685</v>
      </c>
      <c r="L186" s="165"/>
      <c r="M186" s="165"/>
      <c r="N186" s="225">
        <v>47675.99</v>
      </c>
      <c r="O186" s="225">
        <v>47675.99</v>
      </c>
      <c r="P186" s="226">
        <v>47675.99</v>
      </c>
      <c r="Q186" s="173"/>
      <c r="R186" s="173">
        <f t="shared" si="6"/>
        <v>47675.99</v>
      </c>
      <c r="S186" s="177">
        <f>IFERROR(VLOOKUP(G186,'附表8-合同明细采集底稿'!B:M,12,0),100%)</f>
        <v>0.329519901724361</v>
      </c>
      <c r="T186" s="173">
        <f t="shared" si="7"/>
        <v>15710.19</v>
      </c>
      <c r="U186" s="164"/>
      <c r="V186" s="178" t="s">
        <v>336</v>
      </c>
      <c r="W186" s="179">
        <f>IF('附表1-面积统计表'!$D$29=0,"",IF(AND(V186="共同成本费用",Z186="总建筑面积法"),ROUND(T186/'附表1-面积统计表'!$D$29*'附表1-面积统计表'!$D$5,2),IF(AND(V186="共同成本费用",Z186="可售建筑面积法"),ROUND(T186/'附表1-面积统计表'!$F$29*'附表1-面积统计表'!$F$5,2),"请手工填写")))</f>
        <v>5737.82</v>
      </c>
      <c r="X186" s="179">
        <f>IF(SUM('附表1-面积统计表'!$D$6)=0,"",SUM(T186)-SUM(W186)-SUM(Y186))</f>
        <v>7076.31</v>
      </c>
      <c r="Y186" s="179">
        <f>IF(SUM('附表1-面积统计表'!$D$6)=0,SUM(T186)-SUM(W186),IF('附表1-面积统计表'!$D$29=0,"",IF(AND(V186="共同成本费用",Z186="总建筑面积法"),ROUND(T186/'附表1-面积统计表'!$D$29*'附表1-面积统计表'!$D$7,2),IF(AND(V186="共同成本费用",Z186="可售建筑面积法"),ROUND(T186/'附表1-面积统计表'!$F$29*'附表1-面积统计表'!$F$7,2),"请手工填写"))))</f>
        <v>2896.06</v>
      </c>
      <c r="Z186" s="181" t="s">
        <v>311</v>
      </c>
      <c r="AA186" s="164"/>
      <c r="AB186" s="182" t="s">
        <v>1686</v>
      </c>
    </row>
    <row r="187" ht="29" hidden="1" customHeight="1" outlineLevel="1" spans="1:28">
      <c r="A187" s="159">
        <v>182</v>
      </c>
      <c r="B187" s="166" t="s">
        <v>1460</v>
      </c>
      <c r="C187" s="166" t="s">
        <v>1846</v>
      </c>
      <c r="D187" s="162" t="s">
        <v>1697</v>
      </c>
      <c r="E187" s="163" t="s">
        <v>2314</v>
      </c>
      <c r="F187" s="224" t="s">
        <v>2320</v>
      </c>
      <c r="G187" s="165" t="s">
        <v>1697</v>
      </c>
      <c r="H187" s="164">
        <f>IF(G187="","",VLOOKUP(G187,'附表8-合同明细采集底稿'!B:I,2,0))</f>
        <v>0</v>
      </c>
      <c r="I187" s="92">
        <f>IF(G187="","",VLOOKUP(G187,'附表8-合同明细采集底稿'!B:I,3,0))</f>
        <v>0</v>
      </c>
      <c r="J187" s="164" t="s">
        <v>156</v>
      </c>
      <c r="K187" s="164" t="s">
        <v>1685</v>
      </c>
      <c r="L187" s="165"/>
      <c r="M187" s="165"/>
      <c r="N187" s="225">
        <v>3561.96</v>
      </c>
      <c r="O187" s="225">
        <v>3561.96</v>
      </c>
      <c r="P187" s="226">
        <v>3561.96</v>
      </c>
      <c r="Q187" s="173"/>
      <c r="R187" s="173">
        <f t="shared" si="6"/>
        <v>3561.96</v>
      </c>
      <c r="S187" s="177">
        <f>IFERROR(VLOOKUP(G187,'附表8-合同明细采集底稿'!B:M,12,0),100%)</f>
        <v>0.329519901724361</v>
      </c>
      <c r="T187" s="173">
        <f t="shared" si="7"/>
        <v>1173.74</v>
      </c>
      <c r="U187" s="164"/>
      <c r="V187" s="178" t="s">
        <v>336</v>
      </c>
      <c r="W187" s="179">
        <f>IF('附表1-面积统计表'!$D$29=0,"",IF(AND(V187="共同成本费用",Z187="总建筑面积法"),ROUND(T187/'附表1-面积统计表'!$D$29*'附表1-面积统计表'!$D$5,2),IF(AND(V187="共同成本费用",Z187="可售建筑面积法"),ROUND(T187/'附表1-面积统计表'!$F$29*'附表1-面积统计表'!$F$5,2),"请手工填写")))</f>
        <v>428.68</v>
      </c>
      <c r="X187" s="179">
        <f>IF(SUM('附表1-面积统计表'!$D$6)=0,"",SUM(T187)-SUM(W187)-SUM(Y187))</f>
        <v>528.69</v>
      </c>
      <c r="Y187" s="179">
        <f>IF(SUM('附表1-面积统计表'!$D$6)=0,SUM(T187)-SUM(W187),IF('附表1-面积统计表'!$D$29=0,"",IF(AND(V187="共同成本费用",Z187="总建筑面积法"),ROUND(T187/'附表1-面积统计表'!$D$29*'附表1-面积统计表'!$D$7,2),IF(AND(V187="共同成本费用",Z187="可售建筑面积法"),ROUND(T187/'附表1-面积统计表'!$F$29*'附表1-面积统计表'!$F$7,2),"请手工填写"))))</f>
        <v>216.37</v>
      </c>
      <c r="Z187" s="181" t="s">
        <v>311</v>
      </c>
      <c r="AA187" s="164"/>
      <c r="AB187" s="182" t="s">
        <v>1686</v>
      </c>
    </row>
    <row r="188" ht="29" hidden="1" customHeight="1" outlineLevel="1" spans="1:28">
      <c r="A188" s="159">
        <v>183</v>
      </c>
      <c r="B188" s="166" t="s">
        <v>1868</v>
      </c>
      <c r="C188" s="166" t="s">
        <v>2042</v>
      </c>
      <c r="D188" s="162" t="s">
        <v>1697</v>
      </c>
      <c r="E188" s="163" t="s">
        <v>2314</v>
      </c>
      <c r="F188" s="224" t="s">
        <v>2321</v>
      </c>
      <c r="G188" s="165" t="s">
        <v>1697</v>
      </c>
      <c r="H188" s="164">
        <f>IF(G188="","",VLOOKUP(G188,'附表8-合同明细采集底稿'!B:I,2,0))</f>
        <v>0</v>
      </c>
      <c r="I188" s="92">
        <f>IF(G188="","",VLOOKUP(G188,'附表8-合同明细采集底稿'!B:I,3,0))</f>
        <v>0</v>
      </c>
      <c r="J188" s="164" t="s">
        <v>156</v>
      </c>
      <c r="K188" s="164" t="s">
        <v>1685</v>
      </c>
      <c r="L188" s="165"/>
      <c r="M188" s="165"/>
      <c r="N188" s="225">
        <v>2774.08</v>
      </c>
      <c r="O188" s="225">
        <v>2774.08</v>
      </c>
      <c r="P188" s="226">
        <v>2774.08</v>
      </c>
      <c r="Q188" s="173"/>
      <c r="R188" s="173">
        <f t="shared" si="6"/>
        <v>2774.08</v>
      </c>
      <c r="S188" s="177">
        <f>IFERROR(VLOOKUP(G188,'附表8-合同明细采集底稿'!B:M,12,0),100%)</f>
        <v>0.329519901724361</v>
      </c>
      <c r="T188" s="173">
        <f t="shared" si="7"/>
        <v>914.11</v>
      </c>
      <c r="U188" s="164"/>
      <c r="V188" s="178" t="s">
        <v>336</v>
      </c>
      <c r="W188" s="179">
        <f>IF('附表1-面积统计表'!$D$29=0,"",IF(AND(V188="共同成本费用",Z188="总建筑面积法"),ROUND(T188/'附表1-面积统计表'!$D$29*'附表1-面积统计表'!$D$5,2),IF(AND(V188="共同成本费用",Z188="可售建筑面积法"),ROUND(T188/'附表1-面积统计表'!$F$29*'附表1-面积统计表'!$F$5,2),"请手工填写")))</f>
        <v>333.86</v>
      </c>
      <c r="X188" s="179">
        <f>IF(SUM('附表1-面积统计表'!$D$6)=0,"",SUM(T188)-SUM(W188)-SUM(Y188))</f>
        <v>411.74</v>
      </c>
      <c r="Y188" s="179">
        <f>IF(SUM('附表1-面积统计表'!$D$6)=0,SUM(T188)-SUM(W188),IF('附表1-面积统计表'!$D$29=0,"",IF(AND(V188="共同成本费用",Z188="总建筑面积法"),ROUND(T188/'附表1-面积统计表'!$D$29*'附表1-面积统计表'!$D$7,2),IF(AND(V188="共同成本费用",Z188="可售建筑面积法"),ROUND(T188/'附表1-面积统计表'!$F$29*'附表1-面积统计表'!$F$7,2),"请手工填写"))))</f>
        <v>168.51</v>
      </c>
      <c r="Z188" s="181" t="s">
        <v>311</v>
      </c>
      <c r="AA188" s="164"/>
      <c r="AB188" s="182" t="s">
        <v>1686</v>
      </c>
    </row>
    <row r="189" ht="29" hidden="1" customHeight="1" outlineLevel="1" spans="1:28">
      <c r="A189" s="159">
        <v>184</v>
      </c>
      <c r="B189" s="166" t="s">
        <v>2322</v>
      </c>
      <c r="C189" s="166" t="s">
        <v>2323</v>
      </c>
      <c r="D189" s="162" t="s">
        <v>1697</v>
      </c>
      <c r="E189" s="163" t="s">
        <v>2314</v>
      </c>
      <c r="F189" s="224" t="s">
        <v>2324</v>
      </c>
      <c r="G189" s="165" t="s">
        <v>1697</v>
      </c>
      <c r="H189" s="164">
        <f>IF(G189="","",VLOOKUP(G189,'附表8-合同明细采集底稿'!B:I,2,0))</f>
        <v>0</v>
      </c>
      <c r="I189" s="92">
        <f>IF(G189="","",VLOOKUP(G189,'附表8-合同明细采集底稿'!B:I,3,0))</f>
        <v>0</v>
      </c>
      <c r="J189" s="164" t="s">
        <v>156</v>
      </c>
      <c r="K189" s="164" t="s">
        <v>1685</v>
      </c>
      <c r="L189" s="165"/>
      <c r="M189" s="165"/>
      <c r="N189" s="225">
        <v>87100.66</v>
      </c>
      <c r="O189" s="225">
        <v>87100.66</v>
      </c>
      <c r="P189" s="226">
        <v>87100.66</v>
      </c>
      <c r="Q189" s="173"/>
      <c r="R189" s="173">
        <f t="shared" si="6"/>
        <v>87100.66</v>
      </c>
      <c r="S189" s="177">
        <f>IFERROR(VLOOKUP(G189,'附表8-合同明细采集底稿'!B:M,12,0),100%)</f>
        <v>0.329519901724361</v>
      </c>
      <c r="T189" s="173">
        <f t="shared" si="7"/>
        <v>28701.4</v>
      </c>
      <c r="U189" s="164"/>
      <c r="V189" s="178" t="s">
        <v>336</v>
      </c>
      <c r="W189" s="179">
        <f>IF('附表1-面积统计表'!$D$29=0,"",IF(AND(V189="共同成本费用",Z189="总建筑面积法"),ROUND(T189/'附表1-面积统计表'!$D$29*'附表1-面积统计表'!$D$5,2),IF(AND(V189="共同成本费用",Z189="可售建筑面积法"),ROUND(T189/'附表1-面积统计表'!$F$29*'附表1-面积统计表'!$F$5,2),"请手工填写")))</f>
        <v>10482.6</v>
      </c>
      <c r="X189" s="179">
        <f>IF(SUM('附表1-面积统计表'!$D$6)=0,"",SUM(T189)-SUM(W189)-SUM(Y189))</f>
        <v>12927.91</v>
      </c>
      <c r="Y189" s="179">
        <f>IF(SUM('附表1-面积统计表'!$D$6)=0,SUM(T189)-SUM(W189),IF('附表1-面积统计表'!$D$29=0,"",IF(AND(V189="共同成本费用",Z189="总建筑面积法"),ROUND(T189/'附表1-面积统计表'!$D$29*'附表1-面积统计表'!$D$7,2),IF(AND(V189="共同成本费用",Z189="可售建筑面积法"),ROUND(T189/'附表1-面积统计表'!$F$29*'附表1-面积统计表'!$F$7,2),"请手工填写"))))</f>
        <v>5290.89</v>
      </c>
      <c r="Z189" s="181" t="s">
        <v>311</v>
      </c>
      <c r="AA189" s="164"/>
      <c r="AB189" s="182" t="s">
        <v>1686</v>
      </c>
    </row>
    <row r="190" ht="29" hidden="1" customHeight="1" outlineLevel="1" spans="1:28">
      <c r="A190" s="159">
        <v>185</v>
      </c>
      <c r="B190" s="166" t="s">
        <v>2325</v>
      </c>
      <c r="C190" s="166" t="s">
        <v>2326</v>
      </c>
      <c r="D190" s="162" t="s">
        <v>1697</v>
      </c>
      <c r="E190" s="163" t="s">
        <v>2314</v>
      </c>
      <c r="F190" s="224" t="s">
        <v>2327</v>
      </c>
      <c r="G190" s="165" t="s">
        <v>1697</v>
      </c>
      <c r="H190" s="164">
        <f>IF(G190="","",VLOOKUP(G190,'附表8-合同明细采集底稿'!B:I,2,0))</f>
        <v>0</v>
      </c>
      <c r="I190" s="92">
        <f>IF(G190="","",VLOOKUP(G190,'附表8-合同明细采集底稿'!B:I,3,0))</f>
        <v>0</v>
      </c>
      <c r="J190" s="164" t="s">
        <v>156</v>
      </c>
      <c r="K190" s="164" t="s">
        <v>1685</v>
      </c>
      <c r="L190" s="165"/>
      <c r="M190" s="165"/>
      <c r="N190" s="225">
        <v>116031</v>
      </c>
      <c r="O190" s="225">
        <v>116031</v>
      </c>
      <c r="P190" s="226">
        <v>116031</v>
      </c>
      <c r="Q190" s="173"/>
      <c r="R190" s="173">
        <f t="shared" si="6"/>
        <v>116031</v>
      </c>
      <c r="S190" s="177">
        <f>IFERROR(VLOOKUP(G190,'附表8-合同明细采集底稿'!B:M,12,0),100%)</f>
        <v>0.329519901724361</v>
      </c>
      <c r="T190" s="173">
        <f t="shared" si="7"/>
        <v>38234.52</v>
      </c>
      <c r="U190" s="164"/>
      <c r="V190" s="178" t="s">
        <v>336</v>
      </c>
      <c r="W190" s="179">
        <f>IF('附表1-面积统计表'!$D$29=0,"",IF(AND(V190="共同成本费用",Z190="总建筑面积法"),ROUND(T190/'附表1-面积统计表'!$D$29*'附表1-面积统计表'!$D$5,2),IF(AND(V190="共同成本费用",Z190="可售建筑面积法"),ROUND(T190/'附表1-面积统计表'!$F$29*'附表1-面积统计表'!$F$5,2),"请手工填写")))</f>
        <v>13964.37</v>
      </c>
      <c r="X190" s="179">
        <f>IF(SUM('附表1-面积统计表'!$D$6)=0,"",SUM(T190)-SUM(W190)-SUM(Y190))</f>
        <v>17221.9</v>
      </c>
      <c r="Y190" s="179">
        <f>IF(SUM('附表1-面积统计表'!$D$6)=0,SUM(T190)-SUM(W190),IF('附表1-面积统计表'!$D$29=0,"",IF(AND(V190="共同成本费用",Z190="总建筑面积法"),ROUND(T190/'附表1-面积统计表'!$D$29*'附表1-面积统计表'!$D$7,2),IF(AND(V190="共同成本费用",Z190="可售建筑面积法"),ROUND(T190/'附表1-面积统计表'!$F$29*'附表1-面积统计表'!$F$7,2),"请手工填写"))))</f>
        <v>7048.25</v>
      </c>
      <c r="Z190" s="181" t="s">
        <v>311</v>
      </c>
      <c r="AA190" s="164"/>
      <c r="AB190" s="182" t="s">
        <v>1686</v>
      </c>
    </row>
    <row r="191" ht="29" hidden="1" customHeight="1" outlineLevel="1" spans="1:28">
      <c r="A191" s="159">
        <v>186</v>
      </c>
      <c r="B191" s="166" t="s">
        <v>416</v>
      </c>
      <c r="C191" s="166" t="s">
        <v>2328</v>
      </c>
      <c r="D191" s="162" t="s">
        <v>1697</v>
      </c>
      <c r="E191" s="163" t="s">
        <v>2314</v>
      </c>
      <c r="F191" s="224" t="s">
        <v>2329</v>
      </c>
      <c r="G191" s="165" t="s">
        <v>1697</v>
      </c>
      <c r="H191" s="164">
        <f>IF(G191="","",VLOOKUP(G191,'附表8-合同明细采集底稿'!B:I,2,0))</f>
        <v>0</v>
      </c>
      <c r="I191" s="92">
        <f>IF(G191="","",VLOOKUP(G191,'附表8-合同明细采集底稿'!B:I,3,0))</f>
        <v>0</v>
      </c>
      <c r="J191" s="164" t="s">
        <v>156</v>
      </c>
      <c r="K191" s="164" t="s">
        <v>1685</v>
      </c>
      <c r="L191" s="165"/>
      <c r="M191" s="165"/>
      <c r="N191" s="225">
        <v>7054.74</v>
      </c>
      <c r="O191" s="225">
        <v>7054.74</v>
      </c>
      <c r="P191" s="226">
        <v>7054.74</v>
      </c>
      <c r="Q191" s="173"/>
      <c r="R191" s="173">
        <f t="shared" si="6"/>
        <v>7054.74</v>
      </c>
      <c r="S191" s="177">
        <f>IFERROR(VLOOKUP(G191,'附表8-合同明细采集底稿'!B:M,12,0),100%)</f>
        <v>0.329519901724361</v>
      </c>
      <c r="T191" s="173">
        <f t="shared" si="7"/>
        <v>2324.68</v>
      </c>
      <c r="U191" s="164"/>
      <c r="V191" s="178" t="s">
        <v>336</v>
      </c>
      <c r="W191" s="179">
        <f>IF('附表1-面积统计表'!$D$29=0,"",IF(AND(V191="共同成本费用",Z191="总建筑面积法"),ROUND(T191/'附表1-面积统计表'!$D$29*'附表1-面积统计表'!$D$5,2),IF(AND(V191="共同成本费用",Z191="可售建筑面积法"),ROUND(T191/'附表1-面积统计表'!$F$29*'附表1-面积统计表'!$F$5,2),"请手工填写")))</f>
        <v>849.04</v>
      </c>
      <c r="X191" s="179">
        <f>IF(SUM('附表1-面积统计表'!$D$6)=0,"",SUM(T191)-SUM(W191)-SUM(Y191))</f>
        <v>1047.1</v>
      </c>
      <c r="Y191" s="179">
        <f>IF(SUM('附表1-面积统计表'!$D$6)=0,SUM(T191)-SUM(W191),IF('附表1-面积统计表'!$D$29=0,"",IF(AND(V191="共同成本费用",Z191="总建筑面积法"),ROUND(T191/'附表1-面积统计表'!$D$29*'附表1-面积统计表'!$D$7,2),IF(AND(V191="共同成本费用",Z191="可售建筑面积法"),ROUND(T191/'附表1-面积统计表'!$F$29*'附表1-面积统计表'!$F$7,2),"请手工填写"))))</f>
        <v>428.54</v>
      </c>
      <c r="Z191" s="181" t="s">
        <v>311</v>
      </c>
      <c r="AA191" s="164"/>
      <c r="AB191" s="182" t="s">
        <v>1686</v>
      </c>
    </row>
    <row r="192" ht="29" hidden="1" customHeight="1" outlineLevel="1" spans="1:28">
      <c r="A192" s="159">
        <v>187</v>
      </c>
      <c r="B192" s="166" t="s">
        <v>982</v>
      </c>
      <c r="C192" s="166" t="s">
        <v>2330</v>
      </c>
      <c r="D192" s="162" t="s">
        <v>1697</v>
      </c>
      <c r="E192" s="163" t="s">
        <v>2314</v>
      </c>
      <c r="F192" s="224" t="s">
        <v>2331</v>
      </c>
      <c r="G192" s="165" t="s">
        <v>1697</v>
      </c>
      <c r="H192" s="164">
        <f>IF(G192="","",VLOOKUP(G192,'附表8-合同明细采集底稿'!B:I,2,0))</f>
        <v>0</v>
      </c>
      <c r="I192" s="92">
        <f>IF(G192="","",VLOOKUP(G192,'附表8-合同明细采集底稿'!B:I,3,0))</f>
        <v>0</v>
      </c>
      <c r="J192" s="164" t="s">
        <v>156</v>
      </c>
      <c r="K192" s="164" t="s">
        <v>1685</v>
      </c>
      <c r="L192" s="165"/>
      <c r="M192" s="165"/>
      <c r="N192" s="225">
        <v>137580</v>
      </c>
      <c r="O192" s="225">
        <v>137580</v>
      </c>
      <c r="P192" s="226">
        <v>137580</v>
      </c>
      <c r="Q192" s="173"/>
      <c r="R192" s="173">
        <f t="shared" si="6"/>
        <v>137580</v>
      </c>
      <c r="S192" s="177">
        <f>IFERROR(VLOOKUP(G192,'附表8-合同明细采集底稿'!B:M,12,0),100%)</f>
        <v>0.329519901724361</v>
      </c>
      <c r="T192" s="173">
        <f t="shared" si="7"/>
        <v>45335.35</v>
      </c>
      <c r="U192" s="164"/>
      <c r="V192" s="178" t="s">
        <v>336</v>
      </c>
      <c r="W192" s="179">
        <f>IF('附表1-面积统计表'!$D$29=0,"",IF(AND(V192="共同成本费用",Z192="总建筑面积法"),ROUND(T192/'附表1-面积统计表'!$D$29*'附表1-面积统计表'!$D$5,2),IF(AND(V192="共同成本费用",Z192="可售建筑面积法"),ROUND(T192/'附表1-面积统计表'!$F$29*'附表1-面积统计表'!$F$5,2),"请手工填写")))</f>
        <v>16557.8</v>
      </c>
      <c r="X192" s="179">
        <f>IF(SUM('附表1-面积统计表'!$D$6)=0,"",SUM(T192)-SUM(W192)-SUM(Y192))</f>
        <v>20420.31</v>
      </c>
      <c r="Y192" s="179">
        <f>IF(SUM('附表1-面积统计表'!$D$6)=0,SUM(T192)-SUM(W192),IF('附表1-面积统计表'!$D$29=0,"",IF(AND(V192="共同成本费用",Z192="总建筑面积法"),ROUND(T192/'附表1-面积统计表'!$D$29*'附表1-面积统计表'!$D$7,2),IF(AND(V192="共同成本费用",Z192="可售建筑面积法"),ROUND(T192/'附表1-面积统计表'!$F$29*'附表1-面积统计表'!$F$7,2),"请手工填写"))))</f>
        <v>8357.24</v>
      </c>
      <c r="Z192" s="181" t="s">
        <v>311</v>
      </c>
      <c r="AA192" s="164"/>
      <c r="AB192" s="182" t="s">
        <v>1686</v>
      </c>
    </row>
    <row r="193" ht="29" hidden="1" customHeight="1" outlineLevel="1" spans="1:28">
      <c r="A193" s="159">
        <v>188</v>
      </c>
      <c r="B193" s="166" t="s">
        <v>2332</v>
      </c>
      <c r="C193" s="166" t="s">
        <v>2333</v>
      </c>
      <c r="D193" s="162" t="s">
        <v>1697</v>
      </c>
      <c r="E193" s="163" t="s">
        <v>2314</v>
      </c>
      <c r="F193" s="224" t="s">
        <v>2334</v>
      </c>
      <c r="G193" s="165" t="s">
        <v>1697</v>
      </c>
      <c r="H193" s="164">
        <f>IF(G193="","",VLOOKUP(G193,'附表8-合同明细采集底稿'!B:I,2,0))</f>
        <v>0</v>
      </c>
      <c r="I193" s="92">
        <f>IF(G193="","",VLOOKUP(G193,'附表8-合同明细采集底稿'!B:I,3,0))</f>
        <v>0</v>
      </c>
      <c r="J193" s="164" t="s">
        <v>156</v>
      </c>
      <c r="K193" s="164" t="s">
        <v>1685</v>
      </c>
      <c r="L193" s="165"/>
      <c r="M193" s="165"/>
      <c r="N193" s="225">
        <v>7048.86</v>
      </c>
      <c r="O193" s="225">
        <v>7048.86</v>
      </c>
      <c r="P193" s="226">
        <v>7048.86</v>
      </c>
      <c r="Q193" s="173"/>
      <c r="R193" s="173">
        <f t="shared" si="6"/>
        <v>7048.86</v>
      </c>
      <c r="S193" s="177">
        <f>IFERROR(VLOOKUP(G193,'附表8-合同明细采集底稿'!B:M,12,0),100%)</f>
        <v>0.329519901724361</v>
      </c>
      <c r="T193" s="173">
        <f t="shared" si="7"/>
        <v>2322.74</v>
      </c>
      <c r="U193" s="164"/>
      <c r="V193" s="178" t="s">
        <v>336</v>
      </c>
      <c r="W193" s="179">
        <f>IF('附表1-面积统计表'!$D$29=0,"",IF(AND(V193="共同成本费用",Z193="总建筑面积法"),ROUND(T193/'附表1-面积统计表'!$D$29*'附表1-面积统计表'!$D$5,2),IF(AND(V193="共同成本费用",Z193="可售建筑面积法"),ROUND(T193/'附表1-面积统计表'!$F$29*'附表1-面积统计表'!$F$5,2),"请手工填写")))</f>
        <v>848.33</v>
      </c>
      <c r="X193" s="179">
        <f>IF(SUM('附表1-面积统计表'!$D$6)=0,"",SUM(T193)-SUM(W193)-SUM(Y193))</f>
        <v>1046.23</v>
      </c>
      <c r="Y193" s="179">
        <f>IF(SUM('附表1-面积统计表'!$D$6)=0,SUM(T193)-SUM(W193),IF('附表1-面积统计表'!$D$29=0,"",IF(AND(V193="共同成本费用",Z193="总建筑面积法"),ROUND(T193/'附表1-面积统计表'!$D$29*'附表1-面积统计表'!$D$7,2),IF(AND(V193="共同成本费用",Z193="可售建筑面积法"),ROUND(T193/'附表1-面积统计表'!$F$29*'附表1-面积统计表'!$F$7,2),"请手工填写"))))</f>
        <v>428.18</v>
      </c>
      <c r="Z193" s="181" t="s">
        <v>311</v>
      </c>
      <c r="AA193" s="164"/>
      <c r="AB193" s="182" t="s">
        <v>1686</v>
      </c>
    </row>
    <row r="194" ht="29" hidden="1" customHeight="1" outlineLevel="1" spans="1:28">
      <c r="A194" s="159">
        <v>189</v>
      </c>
      <c r="B194" s="166" t="s">
        <v>1500</v>
      </c>
      <c r="C194" s="166" t="s">
        <v>2335</v>
      </c>
      <c r="D194" s="162" t="s">
        <v>1697</v>
      </c>
      <c r="E194" s="163" t="s">
        <v>2314</v>
      </c>
      <c r="F194" s="224" t="s">
        <v>2336</v>
      </c>
      <c r="G194" s="165" t="s">
        <v>1697</v>
      </c>
      <c r="H194" s="164">
        <f>IF(G194="","",VLOOKUP(G194,'附表8-合同明细采集底稿'!B:I,2,0))</f>
        <v>0</v>
      </c>
      <c r="I194" s="92">
        <f>IF(G194="","",VLOOKUP(G194,'附表8-合同明细采集底稿'!B:I,3,0))</f>
        <v>0</v>
      </c>
      <c r="J194" s="164" t="s">
        <v>156</v>
      </c>
      <c r="K194" s="164" t="s">
        <v>1685</v>
      </c>
      <c r="L194" s="165"/>
      <c r="M194" s="165"/>
      <c r="N194" s="225">
        <v>2667</v>
      </c>
      <c r="O194" s="225">
        <v>2667</v>
      </c>
      <c r="P194" s="226">
        <v>2667</v>
      </c>
      <c r="Q194" s="173"/>
      <c r="R194" s="173">
        <f t="shared" si="6"/>
        <v>2667</v>
      </c>
      <c r="S194" s="177">
        <f>IFERROR(VLOOKUP(G194,'附表8-合同明细采集底稿'!B:M,12,0),100%)</f>
        <v>0.329519901724361</v>
      </c>
      <c r="T194" s="173">
        <f t="shared" si="7"/>
        <v>878.83</v>
      </c>
      <c r="U194" s="164"/>
      <c r="V194" s="178" t="s">
        <v>336</v>
      </c>
      <c r="W194" s="179">
        <f>IF('附表1-面积统计表'!$D$29=0,"",IF(AND(V194="共同成本费用",Z194="总建筑面积法"),ROUND(T194/'附表1-面积统计表'!$D$29*'附表1-面积统计表'!$D$5,2),IF(AND(V194="共同成本费用",Z194="可售建筑面积法"),ROUND(T194/'附表1-面积统计表'!$F$29*'附表1-面积统计表'!$F$5,2),"请手工填写")))</f>
        <v>320.97</v>
      </c>
      <c r="X194" s="179">
        <f>IF(SUM('附表1-面积统计表'!$D$6)=0,"",SUM(T194)-SUM(W194)-SUM(Y194))</f>
        <v>395.85</v>
      </c>
      <c r="Y194" s="179">
        <f>IF(SUM('附表1-面积统计表'!$D$6)=0,SUM(T194)-SUM(W194),IF('附表1-面积统计表'!$D$29=0,"",IF(AND(V194="共同成本费用",Z194="总建筑面积法"),ROUND(T194/'附表1-面积统计表'!$D$29*'附表1-面积统计表'!$D$7,2),IF(AND(V194="共同成本费用",Z194="可售建筑面积法"),ROUND(T194/'附表1-面积统计表'!$F$29*'附表1-面积统计表'!$F$7,2),"请手工填写"))))</f>
        <v>162.01</v>
      </c>
      <c r="Z194" s="181" t="s">
        <v>311</v>
      </c>
      <c r="AA194" s="164"/>
      <c r="AB194" s="182" t="s">
        <v>1686</v>
      </c>
    </row>
    <row r="195" ht="29" hidden="1" customHeight="1" outlineLevel="1" spans="1:28">
      <c r="A195" s="159">
        <v>190</v>
      </c>
      <c r="B195" s="166" t="s">
        <v>1500</v>
      </c>
      <c r="C195" s="166" t="s">
        <v>1818</v>
      </c>
      <c r="D195" s="162" t="s">
        <v>1697</v>
      </c>
      <c r="E195" s="163" t="s">
        <v>2314</v>
      </c>
      <c r="F195" s="224" t="s">
        <v>2337</v>
      </c>
      <c r="G195" s="165" t="s">
        <v>1697</v>
      </c>
      <c r="H195" s="164">
        <f>IF(G195="","",VLOOKUP(G195,'附表8-合同明细采集底稿'!B:I,2,0))</f>
        <v>0</v>
      </c>
      <c r="I195" s="92">
        <f>IF(G195="","",VLOOKUP(G195,'附表8-合同明细采集底稿'!B:I,3,0))</f>
        <v>0</v>
      </c>
      <c r="J195" s="164" t="s">
        <v>156</v>
      </c>
      <c r="K195" s="164" t="s">
        <v>1685</v>
      </c>
      <c r="L195" s="165"/>
      <c r="M195" s="165"/>
      <c r="N195" s="225">
        <v>145333</v>
      </c>
      <c r="O195" s="225">
        <v>145333</v>
      </c>
      <c r="P195" s="226">
        <v>145333</v>
      </c>
      <c r="Q195" s="173"/>
      <c r="R195" s="173">
        <f t="shared" si="6"/>
        <v>145333</v>
      </c>
      <c r="S195" s="177">
        <f>IFERROR(VLOOKUP(G195,'附表8-合同明细采集底稿'!B:M,12,0),100%)</f>
        <v>0.329519901724361</v>
      </c>
      <c r="T195" s="173">
        <f t="shared" si="7"/>
        <v>47890.12</v>
      </c>
      <c r="U195" s="164"/>
      <c r="V195" s="178" t="s">
        <v>336</v>
      </c>
      <c r="W195" s="179">
        <f>IF('附表1-面积统计表'!$D$29=0,"",IF(AND(V195="共同成本费用",Z195="总建筑面积法"),ROUND(T195/'附表1-面积统计表'!$D$29*'附表1-面积统计表'!$D$5,2),IF(AND(V195="共同成本费用",Z195="可售建筑面积法"),ROUND(T195/'附表1-面积统计表'!$F$29*'附表1-面积统计表'!$F$5,2),"请手工填写")))</f>
        <v>17490.88</v>
      </c>
      <c r="X195" s="179">
        <f>IF(SUM('附表1-面积统计表'!$D$6)=0,"",SUM(T195)-SUM(W195)-SUM(Y195))</f>
        <v>21571.05</v>
      </c>
      <c r="Y195" s="179">
        <f>IF(SUM('附表1-面积统计表'!$D$6)=0,SUM(T195)-SUM(W195),IF('附表1-面积统计表'!$D$29=0,"",IF(AND(V195="共同成本费用",Z195="总建筑面积法"),ROUND(T195/'附表1-面积统计表'!$D$29*'附表1-面积统计表'!$D$7,2),IF(AND(V195="共同成本费用",Z195="可售建筑面积法"),ROUND(T195/'附表1-面积统计表'!$F$29*'附表1-面积统计表'!$F$7,2),"请手工填写"))))</f>
        <v>8828.19</v>
      </c>
      <c r="Z195" s="181" t="s">
        <v>311</v>
      </c>
      <c r="AA195" s="164"/>
      <c r="AB195" s="182" t="s">
        <v>1686</v>
      </c>
    </row>
    <row r="196" ht="29" hidden="1" customHeight="1" outlineLevel="1" spans="1:28">
      <c r="A196" s="159">
        <v>191</v>
      </c>
      <c r="B196" s="166" t="s">
        <v>2338</v>
      </c>
      <c r="C196" s="166" t="s">
        <v>1914</v>
      </c>
      <c r="D196" s="162" t="s">
        <v>1697</v>
      </c>
      <c r="E196" s="163" t="s">
        <v>2314</v>
      </c>
      <c r="F196" s="224" t="s">
        <v>2339</v>
      </c>
      <c r="G196" s="165" t="s">
        <v>1697</v>
      </c>
      <c r="H196" s="164">
        <f>IF(G196="","",VLOOKUP(G196,'附表8-合同明细采集底稿'!B:I,2,0))</f>
        <v>0</v>
      </c>
      <c r="I196" s="92">
        <f>IF(G196="","",VLOOKUP(G196,'附表8-合同明细采集底稿'!B:I,3,0))</f>
        <v>0</v>
      </c>
      <c r="J196" s="164" t="s">
        <v>156</v>
      </c>
      <c r="K196" s="164" t="s">
        <v>1685</v>
      </c>
      <c r="L196" s="165"/>
      <c r="M196" s="165"/>
      <c r="N196" s="225">
        <v>136350.53</v>
      </c>
      <c r="O196" s="225">
        <v>136350.53</v>
      </c>
      <c r="P196" s="226">
        <v>136350.53</v>
      </c>
      <c r="Q196" s="173"/>
      <c r="R196" s="173">
        <f t="shared" si="6"/>
        <v>136350.53</v>
      </c>
      <c r="S196" s="177">
        <f>IFERROR(VLOOKUP(G196,'附表8-合同明细采集底稿'!B:M,12,0),100%)</f>
        <v>0.329519901724361</v>
      </c>
      <c r="T196" s="173">
        <f t="shared" si="7"/>
        <v>44930.21</v>
      </c>
      <c r="U196" s="164"/>
      <c r="V196" s="178" t="s">
        <v>336</v>
      </c>
      <c r="W196" s="179">
        <f>IF('附表1-面积统计表'!$D$29=0,"",IF(AND(V196="共同成本费用",Z196="总建筑面积法"),ROUND(T196/'附表1-面积统计表'!$D$29*'附表1-面积统计表'!$D$5,2),IF(AND(V196="共同成本费用",Z196="可售建筑面积法"),ROUND(T196/'附表1-面积统计表'!$F$29*'附表1-面积统计表'!$F$5,2),"请手工填写")))</f>
        <v>16409.83</v>
      </c>
      <c r="X196" s="179">
        <f>IF(SUM('附表1-面积统计表'!$D$6)=0,"",SUM(T196)-SUM(W196)-SUM(Y196))</f>
        <v>20237.82</v>
      </c>
      <c r="Y196" s="179">
        <f>IF(SUM('附表1-面积统计表'!$D$6)=0,SUM(T196)-SUM(W196),IF('附表1-面积统计表'!$D$29=0,"",IF(AND(V196="共同成本费用",Z196="总建筑面积法"),ROUND(T196/'附表1-面积统计表'!$D$29*'附表1-面积统计表'!$D$7,2),IF(AND(V196="共同成本费用",Z196="可售建筑面积法"),ROUND(T196/'附表1-面积统计表'!$F$29*'附表1-面积统计表'!$F$7,2),"请手工填写"))))</f>
        <v>8282.56</v>
      </c>
      <c r="Z196" s="181" t="s">
        <v>311</v>
      </c>
      <c r="AA196" s="164"/>
      <c r="AB196" s="182" t="s">
        <v>1686</v>
      </c>
    </row>
    <row r="197" ht="29" hidden="1" customHeight="1" outlineLevel="1" spans="1:28">
      <c r="A197" s="159">
        <v>192</v>
      </c>
      <c r="B197" s="166" t="s">
        <v>2340</v>
      </c>
      <c r="C197" s="166" t="s">
        <v>2341</v>
      </c>
      <c r="D197" s="162" t="s">
        <v>1697</v>
      </c>
      <c r="E197" s="163" t="s">
        <v>2314</v>
      </c>
      <c r="F197" s="224" t="s">
        <v>2342</v>
      </c>
      <c r="G197" s="165" t="s">
        <v>1697</v>
      </c>
      <c r="H197" s="164">
        <f>IF(G197="","",VLOOKUP(G197,'附表8-合同明细采集底稿'!B:I,2,0))</f>
        <v>0</v>
      </c>
      <c r="I197" s="92">
        <f>IF(G197="","",VLOOKUP(G197,'附表8-合同明细采集底稿'!B:I,3,0))</f>
        <v>0</v>
      </c>
      <c r="J197" s="164" t="s">
        <v>156</v>
      </c>
      <c r="K197" s="164" t="s">
        <v>1685</v>
      </c>
      <c r="L197" s="165"/>
      <c r="M197" s="165"/>
      <c r="N197" s="225">
        <v>8053.34</v>
      </c>
      <c r="O197" s="225">
        <v>8053.34</v>
      </c>
      <c r="P197" s="226">
        <v>8053.34</v>
      </c>
      <c r="Q197" s="173"/>
      <c r="R197" s="173">
        <f t="shared" si="6"/>
        <v>8053.34</v>
      </c>
      <c r="S197" s="177">
        <f>IFERROR(VLOOKUP(G197,'附表8-合同明细采集底稿'!B:M,12,0),100%)</f>
        <v>0.329519901724361</v>
      </c>
      <c r="T197" s="173">
        <f t="shared" si="7"/>
        <v>2653.74</v>
      </c>
      <c r="U197" s="164"/>
      <c r="V197" s="178" t="s">
        <v>336</v>
      </c>
      <c r="W197" s="179">
        <f>IF('附表1-面积统计表'!$D$29=0,"",IF(AND(V197="共同成本费用",Z197="总建筑面积法"),ROUND(T197/'附表1-面积统计表'!$D$29*'附表1-面积统计表'!$D$5,2),IF(AND(V197="共同成本费用",Z197="可售建筑面积法"),ROUND(T197/'附表1-面积统计表'!$F$29*'附表1-面积统计表'!$F$5,2),"请手工填写")))</f>
        <v>969.22</v>
      </c>
      <c r="X197" s="179">
        <f>IF(SUM('附表1-面积统计表'!$D$6)=0,"",SUM(T197)-SUM(W197)-SUM(Y197))</f>
        <v>1195.32</v>
      </c>
      <c r="Y197" s="179">
        <f>IF(SUM('附表1-面积统计表'!$D$6)=0,SUM(T197)-SUM(W197),IF('附表1-面积统计表'!$D$29=0,"",IF(AND(V197="共同成本费用",Z197="总建筑面积法"),ROUND(T197/'附表1-面积统计表'!$D$29*'附表1-面积统计表'!$D$7,2),IF(AND(V197="共同成本费用",Z197="可售建筑面积法"),ROUND(T197/'附表1-面积统计表'!$F$29*'附表1-面积统计表'!$F$7,2),"请手工填写"))))</f>
        <v>489.2</v>
      </c>
      <c r="Z197" s="181" t="s">
        <v>311</v>
      </c>
      <c r="AA197" s="164"/>
      <c r="AB197" s="182" t="s">
        <v>1686</v>
      </c>
    </row>
    <row r="198" ht="29" hidden="1" customHeight="1" outlineLevel="1" spans="1:28">
      <c r="A198" s="159">
        <v>193</v>
      </c>
      <c r="B198" s="166" t="s">
        <v>2343</v>
      </c>
      <c r="C198" s="166" t="s">
        <v>2344</v>
      </c>
      <c r="D198" s="162" t="s">
        <v>1697</v>
      </c>
      <c r="E198" s="163" t="s">
        <v>2314</v>
      </c>
      <c r="F198" s="224" t="s">
        <v>2345</v>
      </c>
      <c r="G198" s="165" t="s">
        <v>1697</v>
      </c>
      <c r="H198" s="164">
        <f>IF(G198="","",VLOOKUP(G198,'附表8-合同明细采集底稿'!B:I,2,0))</f>
        <v>0</v>
      </c>
      <c r="I198" s="92">
        <f>IF(G198="","",VLOOKUP(G198,'附表8-合同明细采集底稿'!B:I,3,0))</f>
        <v>0</v>
      </c>
      <c r="J198" s="164" t="s">
        <v>156</v>
      </c>
      <c r="K198" s="164" t="s">
        <v>1685</v>
      </c>
      <c r="L198" s="165"/>
      <c r="M198" s="165"/>
      <c r="N198" s="225">
        <v>3333.33</v>
      </c>
      <c r="O198" s="225">
        <v>3333.33</v>
      </c>
      <c r="P198" s="226">
        <v>3333.33</v>
      </c>
      <c r="Q198" s="173"/>
      <c r="R198" s="173">
        <f t="shared" si="6"/>
        <v>3333.33</v>
      </c>
      <c r="S198" s="177">
        <f>IFERROR(VLOOKUP(G198,'附表8-合同明细采集底稿'!B:M,12,0),100%)</f>
        <v>0.329519901724361</v>
      </c>
      <c r="T198" s="173">
        <f t="shared" si="7"/>
        <v>1098.4</v>
      </c>
      <c r="U198" s="164"/>
      <c r="V198" s="178" t="s">
        <v>336</v>
      </c>
      <c r="W198" s="179">
        <f>IF('附表1-面积统计表'!$D$29=0,"",IF(AND(V198="共同成本费用",Z198="总建筑面积法"),ROUND(T198/'附表1-面积统计表'!$D$29*'附表1-面积统计表'!$D$5,2),IF(AND(V198="共同成本费用",Z198="可售建筑面积法"),ROUND(T198/'附表1-面积统计表'!$F$29*'附表1-面积统计表'!$F$5,2),"请手工填写")))</f>
        <v>401.17</v>
      </c>
      <c r="X198" s="179">
        <f>IF(SUM('附表1-面积统计表'!$D$6)=0,"",SUM(T198)-SUM(W198)-SUM(Y198))</f>
        <v>494.75</v>
      </c>
      <c r="Y198" s="179">
        <f>IF(SUM('附表1-面积统计表'!$D$6)=0,SUM(T198)-SUM(W198),IF('附表1-面积统计表'!$D$29=0,"",IF(AND(V198="共同成本费用",Z198="总建筑面积法"),ROUND(T198/'附表1-面积统计表'!$D$29*'附表1-面积统计表'!$D$7,2),IF(AND(V198="共同成本费用",Z198="可售建筑面积法"),ROUND(T198/'附表1-面积统计表'!$F$29*'附表1-面积统计表'!$F$7,2),"请手工填写"))))</f>
        <v>202.48</v>
      </c>
      <c r="Z198" s="181" t="s">
        <v>311</v>
      </c>
      <c r="AA198" s="164"/>
      <c r="AB198" s="182" t="s">
        <v>1686</v>
      </c>
    </row>
    <row r="199" ht="29" hidden="1" customHeight="1" outlineLevel="1" spans="1:28">
      <c r="A199" s="159">
        <v>194</v>
      </c>
      <c r="B199" s="166" t="s">
        <v>1987</v>
      </c>
      <c r="C199" s="166" t="s">
        <v>2346</v>
      </c>
      <c r="D199" s="162" t="s">
        <v>1697</v>
      </c>
      <c r="E199" s="163" t="s">
        <v>2314</v>
      </c>
      <c r="F199" s="224" t="s">
        <v>2347</v>
      </c>
      <c r="G199" s="165" t="s">
        <v>1697</v>
      </c>
      <c r="H199" s="164">
        <f>IF(G199="","",VLOOKUP(G199,'附表8-合同明细采集底稿'!B:I,2,0))</f>
        <v>0</v>
      </c>
      <c r="I199" s="92">
        <f>IF(G199="","",VLOOKUP(G199,'附表8-合同明细采集底稿'!B:I,3,0))</f>
        <v>0</v>
      </c>
      <c r="J199" s="164" t="s">
        <v>156</v>
      </c>
      <c r="K199" s="164" t="s">
        <v>1685</v>
      </c>
      <c r="L199" s="165"/>
      <c r="M199" s="165"/>
      <c r="N199" s="225">
        <v>80824</v>
      </c>
      <c r="O199" s="225">
        <v>80824</v>
      </c>
      <c r="P199" s="226">
        <v>80824</v>
      </c>
      <c r="Q199" s="173"/>
      <c r="R199" s="173">
        <f t="shared" si="6"/>
        <v>80824</v>
      </c>
      <c r="S199" s="177">
        <f>IFERROR(VLOOKUP(G199,'附表8-合同明细采集底稿'!B:M,12,0),100%)</f>
        <v>0.329519901724361</v>
      </c>
      <c r="T199" s="173">
        <f t="shared" si="7"/>
        <v>26633.12</v>
      </c>
      <c r="U199" s="164"/>
      <c r="V199" s="178" t="s">
        <v>336</v>
      </c>
      <c r="W199" s="179">
        <f>IF('附表1-面积统计表'!$D$29=0,"",IF(AND(V199="共同成本费用",Z199="总建筑面积法"),ROUND(T199/'附表1-面积统计表'!$D$29*'附表1-面积统计表'!$D$5,2),IF(AND(V199="共同成本费用",Z199="可售建筑面积法"),ROUND(T199/'附表1-面积统计表'!$F$29*'附表1-面积统计表'!$F$5,2),"请手工填写")))</f>
        <v>9727.2</v>
      </c>
      <c r="X199" s="179">
        <f>IF(SUM('附表1-面积统计表'!$D$6)=0,"",SUM(T199)-SUM(W199)-SUM(Y199))</f>
        <v>11996.3</v>
      </c>
      <c r="Y199" s="179">
        <f>IF(SUM('附表1-面积统计表'!$D$6)=0,SUM(T199)-SUM(W199),IF('附表1-面积统计表'!$D$29=0,"",IF(AND(V199="共同成本费用",Z199="总建筑面积法"),ROUND(T199/'附表1-面积统计表'!$D$29*'附表1-面积统计表'!$D$7,2),IF(AND(V199="共同成本费用",Z199="可售建筑面积法"),ROUND(T199/'附表1-面积统计表'!$F$29*'附表1-面积统计表'!$F$7,2),"请手工填写"))))</f>
        <v>4909.62</v>
      </c>
      <c r="Z199" s="181" t="s">
        <v>311</v>
      </c>
      <c r="AA199" s="164"/>
      <c r="AB199" s="182" t="s">
        <v>1686</v>
      </c>
    </row>
    <row r="200" ht="29" hidden="1" customHeight="1" outlineLevel="1" spans="1:28">
      <c r="A200" s="159">
        <v>195</v>
      </c>
      <c r="B200" s="166" t="s">
        <v>2348</v>
      </c>
      <c r="C200" s="166" t="s">
        <v>2349</v>
      </c>
      <c r="D200" s="162" t="s">
        <v>1697</v>
      </c>
      <c r="E200" s="163" t="s">
        <v>2314</v>
      </c>
      <c r="F200" s="224" t="s">
        <v>2350</v>
      </c>
      <c r="G200" s="165" t="s">
        <v>1697</v>
      </c>
      <c r="H200" s="164">
        <f>IF(G200="","",VLOOKUP(G200,'附表8-合同明细采集底稿'!B:I,2,0))</f>
        <v>0</v>
      </c>
      <c r="I200" s="92">
        <f>IF(G200="","",VLOOKUP(G200,'附表8-合同明细采集底稿'!B:I,3,0))</f>
        <v>0</v>
      </c>
      <c r="J200" s="164" t="s">
        <v>156</v>
      </c>
      <c r="K200" s="164" t="s">
        <v>1685</v>
      </c>
      <c r="L200" s="165"/>
      <c r="M200" s="165"/>
      <c r="N200" s="225">
        <v>12629.92</v>
      </c>
      <c r="O200" s="225">
        <v>12629.92</v>
      </c>
      <c r="P200" s="226">
        <v>12629.92</v>
      </c>
      <c r="Q200" s="173"/>
      <c r="R200" s="173">
        <f t="shared" si="6"/>
        <v>12629.92</v>
      </c>
      <c r="S200" s="177">
        <f>IFERROR(VLOOKUP(G200,'附表8-合同明细采集底稿'!B:M,12,0),100%)</f>
        <v>0.329519901724361</v>
      </c>
      <c r="T200" s="173">
        <f t="shared" si="7"/>
        <v>4161.81</v>
      </c>
      <c r="U200" s="164"/>
      <c r="V200" s="178" t="s">
        <v>336</v>
      </c>
      <c r="W200" s="179">
        <f>IF('附表1-面积统计表'!$D$29=0,"",IF(AND(V200="共同成本费用",Z200="总建筑面积法"),ROUND(T200/'附表1-面积统计表'!$D$29*'附表1-面积统计表'!$D$5,2),IF(AND(V200="共同成本费用",Z200="可售建筑面积法"),ROUND(T200/'附表1-面积统计表'!$F$29*'附表1-面积统计表'!$F$5,2),"请手工填写")))</f>
        <v>1520.02</v>
      </c>
      <c r="X200" s="179">
        <f>IF(SUM('附表1-面积统计表'!$D$6)=0,"",SUM(T200)-SUM(W200)-SUM(Y200))</f>
        <v>1874.59</v>
      </c>
      <c r="Y200" s="179">
        <f>IF(SUM('附表1-面积统计表'!$D$6)=0,SUM(T200)-SUM(W200),IF('附表1-面积统计表'!$D$29=0,"",IF(AND(V200="共同成本费用",Z200="总建筑面积法"),ROUND(T200/'附表1-面积统计表'!$D$29*'附表1-面积统计表'!$D$7,2),IF(AND(V200="共同成本费用",Z200="可售建筑面积法"),ROUND(T200/'附表1-面积统计表'!$F$29*'附表1-面积统计表'!$F$7,2),"请手工填写"))))</f>
        <v>767.2</v>
      </c>
      <c r="Z200" s="181" t="s">
        <v>311</v>
      </c>
      <c r="AA200" s="164"/>
      <c r="AB200" s="182" t="s">
        <v>1686</v>
      </c>
    </row>
    <row r="201" ht="29" hidden="1" customHeight="1" outlineLevel="1" spans="1:28">
      <c r="A201" s="159">
        <v>196</v>
      </c>
      <c r="B201" s="166" t="s">
        <v>2351</v>
      </c>
      <c r="C201" s="166" t="s">
        <v>2352</v>
      </c>
      <c r="D201" s="162" t="s">
        <v>1697</v>
      </c>
      <c r="E201" s="163" t="s">
        <v>2314</v>
      </c>
      <c r="F201" s="224" t="s">
        <v>2353</v>
      </c>
      <c r="G201" s="165" t="s">
        <v>1697</v>
      </c>
      <c r="H201" s="164">
        <f>IF(G201="","",VLOOKUP(G201,'附表8-合同明细采集底稿'!B:I,2,0))</f>
        <v>0</v>
      </c>
      <c r="I201" s="92">
        <f>IF(G201="","",VLOOKUP(G201,'附表8-合同明细采集底稿'!B:I,3,0))</f>
        <v>0</v>
      </c>
      <c r="J201" s="164" t="s">
        <v>156</v>
      </c>
      <c r="K201" s="164" t="s">
        <v>1685</v>
      </c>
      <c r="L201" s="165"/>
      <c r="M201" s="165"/>
      <c r="N201" s="225">
        <v>8400.7</v>
      </c>
      <c r="O201" s="225">
        <v>8400.7</v>
      </c>
      <c r="P201" s="226">
        <v>8400.7</v>
      </c>
      <c r="Q201" s="173"/>
      <c r="R201" s="173">
        <f t="shared" si="6"/>
        <v>8400.7</v>
      </c>
      <c r="S201" s="177">
        <f>IFERROR(VLOOKUP(G201,'附表8-合同明细采集底稿'!B:M,12,0),100%)</f>
        <v>0.329519901724361</v>
      </c>
      <c r="T201" s="173">
        <f t="shared" si="7"/>
        <v>2768.2</v>
      </c>
      <c r="U201" s="164"/>
      <c r="V201" s="178" t="s">
        <v>336</v>
      </c>
      <c r="W201" s="179">
        <f>IF('附表1-面积统计表'!$D$29=0,"",IF(AND(V201="共同成本费用",Z201="总建筑面积法"),ROUND(T201/'附表1-面积统计表'!$D$29*'附表1-面积统计表'!$D$5,2),IF(AND(V201="共同成本费用",Z201="可售建筑面积法"),ROUND(T201/'附表1-面积统计表'!$F$29*'附表1-面积统计表'!$F$5,2),"请手工填写")))</f>
        <v>1011.03</v>
      </c>
      <c r="X201" s="179">
        <f>IF(SUM('附表1-面积统计表'!$D$6)=0,"",SUM(T201)-SUM(W201)-SUM(Y201))</f>
        <v>1246.87</v>
      </c>
      <c r="Y201" s="179">
        <f>IF(SUM('附表1-面积统计表'!$D$6)=0,SUM(T201)-SUM(W201),IF('附表1-面积统计表'!$D$29=0,"",IF(AND(V201="共同成本费用",Z201="总建筑面积法"),ROUND(T201/'附表1-面积统计表'!$D$29*'附表1-面积统计表'!$D$7,2),IF(AND(V201="共同成本费用",Z201="可售建筑面积法"),ROUND(T201/'附表1-面积统计表'!$F$29*'附表1-面积统计表'!$F$7,2),"请手工填写"))))</f>
        <v>510.3</v>
      </c>
      <c r="Z201" s="181" t="s">
        <v>311</v>
      </c>
      <c r="AA201" s="164"/>
      <c r="AB201" s="182" t="s">
        <v>1686</v>
      </c>
    </row>
    <row r="202" ht="29" hidden="1" customHeight="1" outlineLevel="1" spans="1:28">
      <c r="A202" s="159">
        <v>197</v>
      </c>
      <c r="B202" s="166" t="s">
        <v>2354</v>
      </c>
      <c r="C202" s="166" t="s">
        <v>2355</v>
      </c>
      <c r="D202" s="162" t="s">
        <v>1697</v>
      </c>
      <c r="E202" s="163" t="s">
        <v>2314</v>
      </c>
      <c r="F202" s="224" t="s">
        <v>2356</v>
      </c>
      <c r="G202" s="165" t="s">
        <v>1697</v>
      </c>
      <c r="H202" s="164">
        <f>IF(G202="","",VLOOKUP(G202,'附表8-合同明细采集底稿'!B:I,2,0))</f>
        <v>0</v>
      </c>
      <c r="I202" s="92">
        <f>IF(G202="","",VLOOKUP(G202,'附表8-合同明细采集底稿'!B:I,3,0))</f>
        <v>0</v>
      </c>
      <c r="J202" s="164" t="s">
        <v>156</v>
      </c>
      <c r="K202" s="164" t="s">
        <v>1685</v>
      </c>
      <c r="L202" s="165"/>
      <c r="M202" s="165"/>
      <c r="N202" s="225">
        <v>90290</v>
      </c>
      <c r="O202" s="225">
        <v>90290</v>
      </c>
      <c r="P202" s="226">
        <v>90290</v>
      </c>
      <c r="Q202" s="173"/>
      <c r="R202" s="173">
        <f t="shared" si="6"/>
        <v>90290</v>
      </c>
      <c r="S202" s="177">
        <f>IFERROR(VLOOKUP(G202,'附表8-合同明细采集底稿'!B:M,12,0),100%)</f>
        <v>0.329519901724361</v>
      </c>
      <c r="T202" s="173">
        <f t="shared" si="7"/>
        <v>29752.35</v>
      </c>
      <c r="U202" s="164"/>
      <c r="V202" s="178" t="s">
        <v>336</v>
      </c>
      <c r="W202" s="179">
        <f>IF('附表1-面积统计表'!$D$29=0,"",IF(AND(V202="共同成本费用",Z202="总建筑面积法"),ROUND(T202/'附表1-面积统计表'!$D$29*'附表1-面积统计表'!$D$5,2),IF(AND(V202="共同成本费用",Z202="可售建筑面积法"),ROUND(T202/'附表1-面积统计表'!$F$29*'附表1-面积统计表'!$F$5,2),"请手工填写")))</f>
        <v>10866.43</v>
      </c>
      <c r="X202" s="179">
        <f>IF(SUM('附表1-面积统计表'!$D$6)=0,"",SUM(T202)-SUM(W202)-SUM(Y202))</f>
        <v>13401.29</v>
      </c>
      <c r="Y202" s="179">
        <f>IF(SUM('附表1-面积统计表'!$D$6)=0,SUM(T202)-SUM(W202),IF('附表1-面积统计表'!$D$29=0,"",IF(AND(V202="共同成本费用",Z202="总建筑面积法"),ROUND(T202/'附表1-面积统计表'!$D$29*'附表1-面积统计表'!$D$7,2),IF(AND(V202="共同成本费用",Z202="可售建筑面积法"),ROUND(T202/'附表1-面积统计表'!$F$29*'附表1-面积统计表'!$F$7,2),"请手工填写"))))</f>
        <v>5484.63</v>
      </c>
      <c r="Z202" s="181" t="s">
        <v>311</v>
      </c>
      <c r="AA202" s="164"/>
      <c r="AB202" s="182" t="s">
        <v>1686</v>
      </c>
    </row>
    <row r="203" ht="29" hidden="1" customHeight="1" outlineLevel="1" spans="1:28">
      <c r="A203" s="159">
        <v>198</v>
      </c>
      <c r="B203" s="166" t="s">
        <v>2357</v>
      </c>
      <c r="C203" s="166" t="s">
        <v>1869</v>
      </c>
      <c r="D203" s="162" t="s">
        <v>1697</v>
      </c>
      <c r="E203" s="163" t="s">
        <v>2314</v>
      </c>
      <c r="F203" s="224" t="s">
        <v>2358</v>
      </c>
      <c r="G203" s="165" t="s">
        <v>1697</v>
      </c>
      <c r="H203" s="164">
        <f>IF(G203="","",VLOOKUP(G203,'附表8-合同明细采集底稿'!B:I,2,0))</f>
        <v>0</v>
      </c>
      <c r="I203" s="92">
        <f>IF(G203="","",VLOOKUP(G203,'附表8-合同明细采集底稿'!B:I,3,0))</f>
        <v>0</v>
      </c>
      <c r="J203" s="164" t="s">
        <v>156</v>
      </c>
      <c r="K203" s="164" t="s">
        <v>1685</v>
      </c>
      <c r="L203" s="165"/>
      <c r="M203" s="165"/>
      <c r="N203" s="225">
        <v>23027.18</v>
      </c>
      <c r="O203" s="225">
        <v>23027.18</v>
      </c>
      <c r="P203" s="226">
        <v>23027.18</v>
      </c>
      <c r="Q203" s="173"/>
      <c r="R203" s="173">
        <f t="shared" si="6"/>
        <v>23027.18</v>
      </c>
      <c r="S203" s="177">
        <f>IFERROR(VLOOKUP(G203,'附表8-合同明细采集底稿'!B:M,12,0),100%)</f>
        <v>0.329519901724361</v>
      </c>
      <c r="T203" s="173">
        <f t="shared" si="7"/>
        <v>7587.91</v>
      </c>
      <c r="U203" s="164"/>
      <c r="V203" s="178" t="s">
        <v>336</v>
      </c>
      <c r="W203" s="179">
        <f>IF('附表1-面积统计表'!$D$29=0,"",IF(AND(V203="共同成本费用",Z203="总建筑面积法"),ROUND(T203/'附表1-面积统计表'!$D$29*'附表1-面积统计表'!$D$5,2),IF(AND(V203="共同成本费用",Z203="可售建筑面积法"),ROUND(T203/'附表1-面积统计表'!$F$29*'附表1-面积统计表'!$F$5,2),"请手工填写")))</f>
        <v>2771.33</v>
      </c>
      <c r="X203" s="179">
        <f>IF(SUM('附表1-面积统计表'!$D$6)=0,"",SUM(T203)-SUM(W203)-SUM(Y203))</f>
        <v>3417.8</v>
      </c>
      <c r="Y203" s="179">
        <f>IF(SUM('附表1-面积统计表'!$D$6)=0,SUM(T203)-SUM(W203),IF('附表1-面积统计表'!$D$29=0,"",IF(AND(V203="共同成本费用",Z203="总建筑面积法"),ROUND(T203/'附表1-面积统计表'!$D$29*'附表1-面积统计表'!$D$7,2),IF(AND(V203="共同成本费用",Z203="可售建筑面积法"),ROUND(T203/'附表1-面积统计表'!$F$29*'附表1-面积统计表'!$F$7,2),"请手工填写"))))</f>
        <v>1398.78</v>
      </c>
      <c r="Z203" s="181" t="s">
        <v>311</v>
      </c>
      <c r="AA203" s="164"/>
      <c r="AB203" s="182" t="s">
        <v>1686</v>
      </c>
    </row>
    <row r="204" ht="29" hidden="1" customHeight="1" outlineLevel="1" spans="1:28">
      <c r="A204" s="159">
        <v>199</v>
      </c>
      <c r="B204" s="166" t="s">
        <v>1447</v>
      </c>
      <c r="C204" s="166" t="s">
        <v>2359</v>
      </c>
      <c r="D204" s="162" t="s">
        <v>1697</v>
      </c>
      <c r="E204" s="163" t="s">
        <v>2314</v>
      </c>
      <c r="F204" s="224" t="s">
        <v>2360</v>
      </c>
      <c r="G204" s="165" t="s">
        <v>1697</v>
      </c>
      <c r="H204" s="164">
        <f>IF(G204="","",VLOOKUP(G204,'附表8-合同明细采集底稿'!B:I,2,0))</f>
        <v>0</v>
      </c>
      <c r="I204" s="92">
        <f>IF(G204="","",VLOOKUP(G204,'附表8-合同明细采集底稿'!B:I,3,0))</f>
        <v>0</v>
      </c>
      <c r="J204" s="164" t="s">
        <v>156</v>
      </c>
      <c r="K204" s="164" t="s">
        <v>1685</v>
      </c>
      <c r="L204" s="165"/>
      <c r="M204" s="165"/>
      <c r="N204" s="225">
        <v>162190.94</v>
      </c>
      <c r="O204" s="225">
        <v>162190.94</v>
      </c>
      <c r="P204" s="226">
        <v>162190.94</v>
      </c>
      <c r="Q204" s="173"/>
      <c r="R204" s="173">
        <f t="shared" si="6"/>
        <v>162190.94</v>
      </c>
      <c r="S204" s="177">
        <f>IFERROR(VLOOKUP(G204,'附表8-合同明细采集底稿'!B:M,12,0),100%)</f>
        <v>0.329519901724361</v>
      </c>
      <c r="T204" s="173">
        <f t="shared" si="7"/>
        <v>53445.14</v>
      </c>
      <c r="U204" s="164"/>
      <c r="V204" s="178" t="s">
        <v>336</v>
      </c>
      <c r="W204" s="179">
        <f>IF('附表1-面积统计表'!$D$29=0,"",IF(AND(V204="共同成本费用",Z204="总建筑面积法"),ROUND(T204/'附表1-面积统计表'!$D$29*'附表1-面积统计表'!$D$5,2),IF(AND(V204="共同成本费用",Z204="可售建筑面积法"),ROUND(T204/'附表1-面积统计表'!$F$29*'附表1-面积统计表'!$F$5,2),"请手工填写")))</f>
        <v>19519.74</v>
      </c>
      <c r="X204" s="179">
        <f>IF(SUM('附表1-面积统计表'!$D$6)=0,"",SUM(T204)-SUM(W204)-SUM(Y204))</f>
        <v>24073.18</v>
      </c>
      <c r="Y204" s="179">
        <f>IF(SUM('附表1-面积统计表'!$D$6)=0,SUM(T204)-SUM(W204),IF('附表1-面积统计表'!$D$29=0,"",IF(AND(V204="共同成本费用",Z204="总建筑面积法"),ROUND(T204/'附表1-面积统计表'!$D$29*'附表1-面积统计表'!$D$7,2),IF(AND(V204="共同成本费用",Z204="可售建筑面积法"),ROUND(T204/'附表1-面积统计表'!$F$29*'附表1-面积统计表'!$F$7,2),"请手工填写"))))</f>
        <v>9852.22</v>
      </c>
      <c r="Z204" s="181" t="s">
        <v>311</v>
      </c>
      <c r="AA204" s="164"/>
      <c r="AB204" s="182" t="s">
        <v>1686</v>
      </c>
    </row>
    <row r="205" ht="29" hidden="1" customHeight="1" outlineLevel="1" spans="1:28">
      <c r="A205" s="159">
        <v>200</v>
      </c>
      <c r="B205" s="166" t="s">
        <v>2361</v>
      </c>
      <c r="C205" s="166" t="s">
        <v>2362</v>
      </c>
      <c r="D205" s="162" t="s">
        <v>1697</v>
      </c>
      <c r="E205" s="163" t="s">
        <v>2314</v>
      </c>
      <c r="F205" s="224" t="s">
        <v>2363</v>
      </c>
      <c r="G205" s="165" t="s">
        <v>1697</v>
      </c>
      <c r="H205" s="164">
        <f>IF(G205="","",VLOOKUP(G205,'附表8-合同明细采集底稿'!B:I,2,0))</f>
        <v>0</v>
      </c>
      <c r="I205" s="92">
        <f>IF(G205="","",VLOOKUP(G205,'附表8-合同明细采集底稿'!B:I,3,0))</f>
        <v>0</v>
      </c>
      <c r="J205" s="164" t="s">
        <v>156</v>
      </c>
      <c r="K205" s="164" t="s">
        <v>1685</v>
      </c>
      <c r="L205" s="165"/>
      <c r="M205" s="165"/>
      <c r="N205" s="225">
        <v>17512.02</v>
      </c>
      <c r="O205" s="225">
        <v>17512.02</v>
      </c>
      <c r="P205" s="226">
        <v>17512.02</v>
      </c>
      <c r="Q205" s="173"/>
      <c r="R205" s="173">
        <f t="shared" si="6"/>
        <v>17512.02</v>
      </c>
      <c r="S205" s="177">
        <f>IFERROR(VLOOKUP(G205,'附表8-合同明细采集底稿'!B:M,12,0),100%)</f>
        <v>0.329519901724361</v>
      </c>
      <c r="T205" s="173">
        <f t="shared" si="7"/>
        <v>5770.56</v>
      </c>
      <c r="U205" s="164"/>
      <c r="V205" s="178" t="s">
        <v>336</v>
      </c>
      <c r="W205" s="179">
        <f>IF('附表1-面积统计表'!$D$29=0,"",IF(AND(V205="共同成本费用",Z205="总建筑面积法"),ROUND(T205/'附表1-面积统计表'!$D$29*'附表1-面积统计表'!$D$5,2),IF(AND(V205="共同成本费用",Z205="可售建筑面积法"),ROUND(T205/'附表1-面积统计表'!$F$29*'附表1-面积统计表'!$F$5,2),"请手工填写")))</f>
        <v>2107.58</v>
      </c>
      <c r="X205" s="179">
        <f>IF(SUM('附表1-面积统计表'!$D$6)=0,"",SUM(T205)-SUM(W205)-SUM(Y205))</f>
        <v>2599.22</v>
      </c>
      <c r="Y205" s="179">
        <f>IF(SUM('附表1-面积统计表'!$D$6)=0,SUM(T205)-SUM(W205),IF('附表1-面积统计表'!$D$29=0,"",IF(AND(V205="共同成本费用",Z205="总建筑面积法"),ROUND(T205/'附表1-面积统计表'!$D$29*'附表1-面积统计表'!$D$7,2),IF(AND(V205="共同成本费用",Z205="可售建筑面积法"),ROUND(T205/'附表1-面积统计表'!$F$29*'附表1-面积统计表'!$F$7,2),"请手工填写"))))</f>
        <v>1063.76</v>
      </c>
      <c r="Z205" s="181" t="s">
        <v>311</v>
      </c>
      <c r="AA205" s="164"/>
      <c r="AB205" s="182" t="s">
        <v>1686</v>
      </c>
    </row>
    <row r="206" ht="29" hidden="1" customHeight="1" outlineLevel="1" spans="1:28">
      <c r="A206" s="159">
        <v>201</v>
      </c>
      <c r="B206" s="166" t="s">
        <v>2364</v>
      </c>
      <c r="C206" s="166" t="s">
        <v>2365</v>
      </c>
      <c r="D206" s="162" t="s">
        <v>1697</v>
      </c>
      <c r="E206" s="163" t="s">
        <v>2314</v>
      </c>
      <c r="F206" s="224" t="s">
        <v>2366</v>
      </c>
      <c r="G206" s="165" t="s">
        <v>1697</v>
      </c>
      <c r="H206" s="164">
        <f>IF(G206="","",VLOOKUP(G206,'附表8-合同明细采集底稿'!B:I,2,0))</f>
        <v>0</v>
      </c>
      <c r="I206" s="92">
        <f>IF(G206="","",VLOOKUP(G206,'附表8-合同明细采集底稿'!B:I,3,0))</f>
        <v>0</v>
      </c>
      <c r="J206" s="164" t="s">
        <v>156</v>
      </c>
      <c r="K206" s="164" t="s">
        <v>1685</v>
      </c>
      <c r="L206" s="165"/>
      <c r="M206" s="165"/>
      <c r="N206" s="225">
        <v>19508.58</v>
      </c>
      <c r="O206" s="225">
        <v>19508.58</v>
      </c>
      <c r="P206" s="226">
        <v>19508.58</v>
      </c>
      <c r="Q206" s="173"/>
      <c r="R206" s="173">
        <f t="shared" si="6"/>
        <v>19508.58</v>
      </c>
      <c r="S206" s="177">
        <f>IFERROR(VLOOKUP(G206,'附表8-合同明细采集底稿'!B:M,12,0),100%)</f>
        <v>0.329519901724361</v>
      </c>
      <c r="T206" s="173">
        <f t="shared" si="7"/>
        <v>6428.47</v>
      </c>
      <c r="U206" s="164"/>
      <c r="V206" s="178" t="s">
        <v>336</v>
      </c>
      <c r="W206" s="179">
        <f>IF('附表1-面积统计表'!$D$29=0,"",IF(AND(V206="共同成本费用",Z206="总建筑面积法"),ROUND(T206/'附表1-面积统计表'!$D$29*'附表1-面积统计表'!$D$5,2),IF(AND(V206="共同成本费用",Z206="可售建筑面积法"),ROUND(T206/'附表1-面积统计表'!$F$29*'附表1-面积统计表'!$F$5,2),"请手工填写")))</f>
        <v>2347.87</v>
      </c>
      <c r="X206" s="179">
        <f>IF(SUM('附表1-面积统计表'!$D$6)=0,"",SUM(T206)-SUM(W206)-SUM(Y206))</f>
        <v>2895.56</v>
      </c>
      <c r="Y206" s="179">
        <f>IF(SUM('附表1-面积统计表'!$D$6)=0,SUM(T206)-SUM(W206),IF('附表1-面积统计表'!$D$29=0,"",IF(AND(V206="共同成本费用",Z206="总建筑面积法"),ROUND(T206/'附表1-面积统计表'!$D$29*'附表1-面积统计表'!$D$7,2),IF(AND(V206="共同成本费用",Z206="可售建筑面积法"),ROUND(T206/'附表1-面积统计表'!$F$29*'附表1-面积统计表'!$F$7,2),"请手工填写"))))</f>
        <v>1185.04</v>
      </c>
      <c r="Z206" s="181" t="s">
        <v>311</v>
      </c>
      <c r="AA206" s="164"/>
      <c r="AB206" s="182" t="s">
        <v>1686</v>
      </c>
    </row>
    <row r="207" ht="29" hidden="1" customHeight="1" outlineLevel="1" spans="1:28">
      <c r="A207" s="159">
        <v>202</v>
      </c>
      <c r="B207" s="166" t="s">
        <v>2367</v>
      </c>
      <c r="C207" s="166" t="s">
        <v>2368</v>
      </c>
      <c r="D207" s="162" t="s">
        <v>1697</v>
      </c>
      <c r="E207" s="163" t="s">
        <v>2314</v>
      </c>
      <c r="F207" s="224" t="s">
        <v>2369</v>
      </c>
      <c r="G207" s="165" t="s">
        <v>1697</v>
      </c>
      <c r="H207" s="164">
        <f>IF(G207="","",VLOOKUP(G207,'附表8-合同明细采集底稿'!B:I,2,0))</f>
        <v>0</v>
      </c>
      <c r="I207" s="92">
        <f>IF(G207="","",VLOOKUP(G207,'附表8-合同明细采集底稿'!B:I,3,0))</f>
        <v>0</v>
      </c>
      <c r="J207" s="164" t="s">
        <v>156</v>
      </c>
      <c r="K207" s="164" t="s">
        <v>1685</v>
      </c>
      <c r="L207" s="165"/>
      <c r="M207" s="165"/>
      <c r="N207" s="225">
        <v>21505.14</v>
      </c>
      <c r="O207" s="225">
        <v>21505.14</v>
      </c>
      <c r="P207" s="226">
        <v>21505.14</v>
      </c>
      <c r="Q207" s="173"/>
      <c r="R207" s="173">
        <f t="shared" si="6"/>
        <v>21505.14</v>
      </c>
      <c r="S207" s="177">
        <f>IFERROR(VLOOKUP(G207,'附表8-合同明细采集底稿'!B:M,12,0),100%)</f>
        <v>0.329519901724361</v>
      </c>
      <c r="T207" s="173">
        <f t="shared" si="7"/>
        <v>7086.37</v>
      </c>
      <c r="U207" s="164"/>
      <c r="V207" s="178" t="s">
        <v>336</v>
      </c>
      <c r="W207" s="179">
        <f>IF('附表1-面积统计表'!$D$29=0,"",IF(AND(V207="共同成本费用",Z207="总建筑面积法"),ROUND(T207/'附表1-面积统计表'!$D$29*'附表1-面积统计表'!$D$5,2),IF(AND(V207="共同成本费用",Z207="可售建筑面积法"),ROUND(T207/'附表1-面积统计表'!$F$29*'附表1-面积统计表'!$F$5,2),"请手工填写")))</f>
        <v>2588.15</v>
      </c>
      <c r="X207" s="179">
        <f>IF(SUM('附表1-面积统计表'!$D$6)=0,"",SUM(T207)-SUM(W207)-SUM(Y207))</f>
        <v>3191.9</v>
      </c>
      <c r="Y207" s="179">
        <f>IF(SUM('附表1-面积统计表'!$D$6)=0,SUM(T207)-SUM(W207),IF('附表1-面积统计表'!$D$29=0,"",IF(AND(V207="共同成本费用",Z207="总建筑面积法"),ROUND(T207/'附表1-面积统计表'!$D$29*'附表1-面积统计表'!$D$7,2),IF(AND(V207="共同成本费用",Z207="可售建筑面积法"),ROUND(T207/'附表1-面积统计表'!$F$29*'附表1-面积统计表'!$F$7,2),"请手工填写"))))</f>
        <v>1306.32</v>
      </c>
      <c r="Z207" s="181" t="s">
        <v>311</v>
      </c>
      <c r="AA207" s="164"/>
      <c r="AB207" s="182" t="s">
        <v>1686</v>
      </c>
    </row>
    <row r="208" ht="29" hidden="1" customHeight="1" outlineLevel="1" spans="1:28">
      <c r="A208" s="159">
        <v>203</v>
      </c>
      <c r="B208" s="166" t="s">
        <v>2370</v>
      </c>
      <c r="C208" s="166" t="s">
        <v>2371</v>
      </c>
      <c r="D208" s="162" t="s">
        <v>1697</v>
      </c>
      <c r="E208" s="163" t="s">
        <v>2314</v>
      </c>
      <c r="F208" s="224" t="s">
        <v>2320</v>
      </c>
      <c r="G208" s="165" t="s">
        <v>1697</v>
      </c>
      <c r="H208" s="164">
        <f>IF(G208="","",VLOOKUP(G208,'附表8-合同明细采集底稿'!B:I,2,0))</f>
        <v>0</v>
      </c>
      <c r="I208" s="92">
        <f>IF(G208="","",VLOOKUP(G208,'附表8-合同明细采集底稿'!B:I,3,0))</f>
        <v>0</v>
      </c>
      <c r="J208" s="164" t="s">
        <v>156</v>
      </c>
      <c r="K208" s="164" t="s">
        <v>1685</v>
      </c>
      <c r="L208" s="165"/>
      <c r="M208" s="165"/>
      <c r="N208" s="225">
        <v>18112.47</v>
      </c>
      <c r="O208" s="225">
        <v>18112.47</v>
      </c>
      <c r="P208" s="226">
        <v>18112.47</v>
      </c>
      <c r="Q208" s="173"/>
      <c r="R208" s="173">
        <f t="shared" si="6"/>
        <v>18112.47</v>
      </c>
      <c r="S208" s="177">
        <f>IFERROR(VLOOKUP(G208,'附表8-合同明细采集底稿'!B:M,12,0),100%)</f>
        <v>0.329519901724361</v>
      </c>
      <c r="T208" s="173">
        <f t="shared" si="7"/>
        <v>5968.42</v>
      </c>
      <c r="U208" s="164"/>
      <c r="V208" s="178" t="s">
        <v>336</v>
      </c>
      <c r="W208" s="179">
        <f>IF('附表1-面积统计表'!$D$29=0,"",IF(AND(V208="共同成本费用",Z208="总建筑面积法"),ROUND(T208/'附表1-面积统计表'!$D$29*'附表1-面积统计表'!$D$5,2),IF(AND(V208="共同成本费用",Z208="可售建筑面积法"),ROUND(T208/'附表1-面积统计表'!$F$29*'附表1-面积统计表'!$F$5,2),"请手工填写")))</f>
        <v>2179.84</v>
      </c>
      <c r="X208" s="179">
        <f>IF(SUM('附表1-面积统计表'!$D$6)=0,"",SUM(T208)-SUM(W208)-SUM(Y208))</f>
        <v>2688.35</v>
      </c>
      <c r="Y208" s="179">
        <f>IF(SUM('附表1-面积统计表'!$D$6)=0,SUM(T208)-SUM(W208),IF('附表1-面积统计表'!$D$29=0,"",IF(AND(V208="共同成本费用",Z208="总建筑面积法"),ROUND(T208/'附表1-面积统计表'!$D$29*'附表1-面积统计表'!$D$7,2),IF(AND(V208="共同成本费用",Z208="可售建筑面积法"),ROUND(T208/'附表1-面积统计表'!$F$29*'附表1-面积统计表'!$F$7,2),"请手工填写"))))</f>
        <v>1100.23</v>
      </c>
      <c r="Z208" s="181" t="s">
        <v>311</v>
      </c>
      <c r="AA208" s="164"/>
      <c r="AB208" s="182" t="s">
        <v>1686</v>
      </c>
    </row>
    <row r="209" ht="29" hidden="1" customHeight="1" outlineLevel="1" spans="1:28">
      <c r="A209" s="159">
        <v>204</v>
      </c>
      <c r="B209" s="166" t="s">
        <v>2045</v>
      </c>
      <c r="C209" s="166" t="s">
        <v>2372</v>
      </c>
      <c r="D209" s="162" t="s">
        <v>1697</v>
      </c>
      <c r="E209" s="163" t="s">
        <v>2314</v>
      </c>
      <c r="F209" s="224" t="s">
        <v>2373</v>
      </c>
      <c r="G209" s="165" t="s">
        <v>1697</v>
      </c>
      <c r="H209" s="164">
        <f>IF(G209="","",VLOOKUP(G209,'附表8-合同明细采集底稿'!B:I,2,0))</f>
        <v>0</v>
      </c>
      <c r="I209" s="92">
        <f>IF(G209="","",VLOOKUP(G209,'附表8-合同明细采集底稿'!B:I,3,0))</f>
        <v>0</v>
      </c>
      <c r="J209" s="164" t="s">
        <v>156</v>
      </c>
      <c r="K209" s="164" t="s">
        <v>1685</v>
      </c>
      <c r="L209" s="165"/>
      <c r="M209" s="165"/>
      <c r="N209" s="225">
        <v>19150.78</v>
      </c>
      <c r="O209" s="225">
        <v>19150.78</v>
      </c>
      <c r="P209" s="226">
        <v>19150.78</v>
      </c>
      <c r="Q209" s="173"/>
      <c r="R209" s="173">
        <f t="shared" si="6"/>
        <v>19150.78</v>
      </c>
      <c r="S209" s="177">
        <f>IFERROR(VLOOKUP(G209,'附表8-合同明细采集底稿'!B:M,12,0),100%)</f>
        <v>0.329519901724361</v>
      </c>
      <c r="T209" s="173">
        <f t="shared" si="7"/>
        <v>6310.56</v>
      </c>
      <c r="U209" s="164"/>
      <c r="V209" s="178" t="s">
        <v>336</v>
      </c>
      <c r="W209" s="179">
        <f>IF('附表1-面积统计表'!$D$29=0,"",IF(AND(V209="共同成本费用",Z209="总建筑面积法"),ROUND(T209/'附表1-面积统计表'!$D$29*'附表1-面积统计表'!$D$5,2),IF(AND(V209="共同成本费用",Z209="可售建筑面积法"),ROUND(T209/'附表1-面积统计表'!$F$29*'附表1-面积统计表'!$F$5,2),"请手工填写")))</f>
        <v>2304.8</v>
      </c>
      <c r="X209" s="179">
        <f>IF(SUM('附表1-面积统计表'!$D$6)=0,"",SUM(T209)-SUM(W209)-SUM(Y209))</f>
        <v>2842.45</v>
      </c>
      <c r="Y209" s="179">
        <f>IF(SUM('附表1-面积统计表'!$D$6)=0,SUM(T209)-SUM(W209),IF('附表1-面积统计表'!$D$29=0,"",IF(AND(V209="共同成本费用",Z209="总建筑面积法"),ROUND(T209/'附表1-面积统计表'!$D$29*'附表1-面积统计表'!$D$7,2),IF(AND(V209="共同成本费用",Z209="可售建筑面积法"),ROUND(T209/'附表1-面积统计表'!$F$29*'附表1-面积统计表'!$F$7,2),"请手工填写"))))</f>
        <v>1163.31</v>
      </c>
      <c r="Z209" s="181" t="s">
        <v>311</v>
      </c>
      <c r="AA209" s="164"/>
      <c r="AB209" s="182" t="s">
        <v>1686</v>
      </c>
    </row>
    <row r="210" ht="29" hidden="1" customHeight="1" outlineLevel="1" spans="1:28">
      <c r="A210" s="159">
        <v>205</v>
      </c>
      <c r="B210" s="227" t="s">
        <v>2374</v>
      </c>
      <c r="C210" s="228" t="s">
        <v>2375</v>
      </c>
      <c r="D210" s="162" t="s">
        <v>1697</v>
      </c>
      <c r="E210" s="163" t="s">
        <v>2314</v>
      </c>
      <c r="F210" s="229" t="s">
        <v>2376</v>
      </c>
      <c r="G210" s="165" t="s">
        <v>1697</v>
      </c>
      <c r="H210" s="164">
        <f>IF(G210="","",VLOOKUP(G210,'附表8-合同明细采集底稿'!B:I,2,0))</f>
        <v>0</v>
      </c>
      <c r="I210" s="92">
        <f>IF(G210="","",VLOOKUP(G210,'附表8-合同明细采集底稿'!B:I,3,0))</f>
        <v>0</v>
      </c>
      <c r="J210" s="164" t="s">
        <v>156</v>
      </c>
      <c r="K210" s="164" t="s">
        <v>1685</v>
      </c>
      <c r="L210" s="165"/>
      <c r="M210" s="165"/>
      <c r="N210" s="239">
        <v>6044.38</v>
      </c>
      <c r="O210" s="239">
        <v>6044.38</v>
      </c>
      <c r="P210" s="240">
        <v>6044.38</v>
      </c>
      <c r="Q210" s="173"/>
      <c r="R210" s="173">
        <f t="shared" si="6"/>
        <v>6044.38</v>
      </c>
      <c r="S210" s="177">
        <f>IFERROR(VLOOKUP(G210,'附表8-合同明细采集底稿'!B:M,12,0),100%)</f>
        <v>0.329519901724361</v>
      </c>
      <c r="T210" s="173">
        <f t="shared" si="7"/>
        <v>1991.74</v>
      </c>
      <c r="U210" s="164"/>
      <c r="V210" s="178" t="s">
        <v>336</v>
      </c>
      <c r="W210" s="179">
        <f>IF('附表1-面积统计表'!$D$29=0,"",IF(AND(V210="共同成本费用",Z210="总建筑面积法"),ROUND(T210/'附表1-面积统计表'!$D$29*'附表1-面积统计表'!$D$5,2),IF(AND(V210="共同成本费用",Z210="可售建筑面积法"),ROUND(T210/'附表1-面积统计表'!$F$29*'附表1-面积统计表'!$F$5,2),"请手工填写")))</f>
        <v>727.44</v>
      </c>
      <c r="X210" s="179">
        <f>IF(SUM('附表1-面积统计表'!$D$6)=0,"",SUM(T210)-SUM(W210)-SUM(Y210))</f>
        <v>897.14</v>
      </c>
      <c r="Y210" s="179">
        <f>IF(SUM('附表1-面积统计表'!$D$6)=0,SUM(T210)-SUM(W210),IF('附表1-面积统计表'!$D$29=0,"",IF(AND(V210="共同成本费用",Z210="总建筑面积法"),ROUND(T210/'附表1-面积统计表'!$D$29*'附表1-面积统计表'!$D$7,2),IF(AND(V210="共同成本费用",Z210="可售建筑面积法"),ROUND(T210/'附表1-面积统计表'!$F$29*'附表1-面积统计表'!$F$7,2),"请手工填写"))))</f>
        <v>367.16</v>
      </c>
      <c r="Z210" s="181" t="s">
        <v>311</v>
      </c>
      <c r="AA210" s="164"/>
      <c r="AB210" s="182" t="s">
        <v>1686</v>
      </c>
    </row>
    <row r="211" ht="29" hidden="1" customHeight="1" outlineLevel="1" spans="1:28">
      <c r="A211" s="159">
        <v>206</v>
      </c>
      <c r="B211" s="227" t="s">
        <v>457</v>
      </c>
      <c r="C211" s="228" t="s">
        <v>2377</v>
      </c>
      <c r="D211" s="162" t="s">
        <v>1697</v>
      </c>
      <c r="E211" s="163" t="s">
        <v>2314</v>
      </c>
      <c r="F211" s="229" t="s">
        <v>2378</v>
      </c>
      <c r="G211" s="165" t="s">
        <v>1697</v>
      </c>
      <c r="H211" s="164">
        <f>IF(G211="","",VLOOKUP(G211,'附表8-合同明细采集底稿'!B:I,2,0))</f>
        <v>0</v>
      </c>
      <c r="I211" s="92">
        <f>IF(G211="","",VLOOKUP(G211,'附表8-合同明细采集底稿'!B:I,3,0))</f>
        <v>0</v>
      </c>
      <c r="J211" s="164" t="s">
        <v>156</v>
      </c>
      <c r="K211" s="164" t="s">
        <v>1685</v>
      </c>
      <c r="L211" s="165"/>
      <c r="M211" s="165"/>
      <c r="N211" s="239">
        <v>90667.73</v>
      </c>
      <c r="O211" s="239">
        <v>90667.73</v>
      </c>
      <c r="P211" s="240">
        <v>90667.73</v>
      </c>
      <c r="Q211" s="173"/>
      <c r="R211" s="173">
        <f t="shared" si="6"/>
        <v>90667.73</v>
      </c>
      <c r="S211" s="177">
        <f>IFERROR(VLOOKUP(G211,'附表8-合同明细采集底稿'!B:M,12,0),100%)</f>
        <v>0.329519901724361</v>
      </c>
      <c r="T211" s="173">
        <f t="shared" si="7"/>
        <v>29876.82</v>
      </c>
      <c r="U211" s="164"/>
      <c r="V211" s="178" t="s">
        <v>336</v>
      </c>
      <c r="W211" s="179">
        <f>IF('附表1-面积统计表'!$D$29=0,"",IF(AND(V211="共同成本费用",Z211="总建筑面积法"),ROUND(T211/'附表1-面积统计表'!$D$29*'附表1-面积统计表'!$D$5,2),IF(AND(V211="共同成本费用",Z211="可售建筑面积法"),ROUND(T211/'附表1-面积统计表'!$F$29*'附表1-面积统计表'!$F$5,2),"请手工填写")))</f>
        <v>10911.89</v>
      </c>
      <c r="X211" s="179">
        <f>IF(SUM('附表1-面积统计表'!$D$6)=0,"",SUM(T211)-SUM(W211)-SUM(Y211))</f>
        <v>13457.36</v>
      </c>
      <c r="Y211" s="179">
        <f>IF(SUM('附表1-面积统计表'!$D$6)=0,SUM(T211)-SUM(W211),IF('附表1-面积统计表'!$D$29=0,"",IF(AND(V211="共同成本费用",Z211="总建筑面积法"),ROUND(T211/'附表1-面积统计表'!$D$29*'附表1-面积统计表'!$D$7,2),IF(AND(V211="共同成本费用",Z211="可售建筑面积法"),ROUND(T211/'附表1-面积统计表'!$F$29*'附表1-面积统计表'!$F$7,2),"请手工填写"))))</f>
        <v>5507.57</v>
      </c>
      <c r="Z211" s="181" t="s">
        <v>311</v>
      </c>
      <c r="AA211" s="164"/>
      <c r="AB211" s="182" t="s">
        <v>1686</v>
      </c>
    </row>
    <row r="212" ht="29" hidden="1" customHeight="1" outlineLevel="1" spans="1:28">
      <c r="A212" s="159">
        <v>207</v>
      </c>
      <c r="B212" s="227" t="s">
        <v>2379</v>
      </c>
      <c r="C212" s="228" t="s">
        <v>2380</v>
      </c>
      <c r="D212" s="162" t="s">
        <v>1697</v>
      </c>
      <c r="E212" s="163" t="s">
        <v>2314</v>
      </c>
      <c r="F212" s="229" t="s">
        <v>2381</v>
      </c>
      <c r="G212" s="165" t="s">
        <v>1697</v>
      </c>
      <c r="H212" s="164">
        <f>IF(G212="","",VLOOKUP(G212,'附表8-合同明细采集底稿'!B:I,2,0))</f>
        <v>0</v>
      </c>
      <c r="I212" s="92">
        <f>IF(G212="","",VLOOKUP(G212,'附表8-合同明细采集底稿'!B:I,3,0))</f>
        <v>0</v>
      </c>
      <c r="J212" s="164" t="s">
        <v>156</v>
      </c>
      <c r="K212" s="164" t="s">
        <v>1685</v>
      </c>
      <c r="L212" s="165"/>
      <c r="M212" s="165"/>
      <c r="N212" s="239">
        <v>87286.94</v>
      </c>
      <c r="O212" s="239">
        <v>87286.94</v>
      </c>
      <c r="P212" s="240">
        <v>87286.94</v>
      </c>
      <c r="Q212" s="173"/>
      <c r="R212" s="173">
        <f t="shared" si="6"/>
        <v>87286.94</v>
      </c>
      <c r="S212" s="177">
        <f>IFERROR(VLOOKUP(G212,'附表8-合同明细采集底稿'!B:M,12,0),100%)</f>
        <v>0.329519901724361</v>
      </c>
      <c r="T212" s="173">
        <f t="shared" si="7"/>
        <v>28762.78</v>
      </c>
      <c r="U212" s="164"/>
      <c r="V212" s="178" t="s">
        <v>336</v>
      </c>
      <c r="W212" s="179">
        <f>IF('附表1-面积统计表'!$D$29=0,"",IF(AND(V212="共同成本费用",Z212="总建筑面积法"),ROUND(T212/'附表1-面积统计表'!$D$29*'附表1-面积统计表'!$D$5,2),IF(AND(V212="共同成本费用",Z212="可售建筑面积法"),ROUND(T212/'附表1-面积统计表'!$F$29*'附表1-面积统计表'!$F$5,2),"请手工填写")))</f>
        <v>10505.01</v>
      </c>
      <c r="X212" s="179">
        <f>IF(SUM('附表1-面积统计表'!$D$6)=0,"",SUM(T212)-SUM(W212)-SUM(Y212))</f>
        <v>12955.56</v>
      </c>
      <c r="Y212" s="179">
        <f>IF(SUM('附表1-面积统计表'!$D$6)=0,SUM(T212)-SUM(W212),IF('附表1-面积统计表'!$D$29=0,"",IF(AND(V212="共同成本费用",Z212="总建筑面积法"),ROUND(T212/'附表1-面积统计表'!$D$29*'附表1-面积统计表'!$D$7,2),IF(AND(V212="共同成本费用",Z212="可售建筑面积法"),ROUND(T212/'附表1-面积统计表'!$F$29*'附表1-面积统计表'!$F$7,2),"请手工填写"))))</f>
        <v>5302.21</v>
      </c>
      <c r="Z212" s="181" t="s">
        <v>311</v>
      </c>
      <c r="AA212" s="164"/>
      <c r="AB212" s="182" t="s">
        <v>1686</v>
      </c>
    </row>
    <row r="213" ht="29" hidden="1" customHeight="1" outlineLevel="1" spans="1:28">
      <c r="A213" s="159">
        <v>208</v>
      </c>
      <c r="B213" s="227" t="s">
        <v>2382</v>
      </c>
      <c r="C213" s="228" t="s">
        <v>2383</v>
      </c>
      <c r="D213" s="162" t="s">
        <v>1697</v>
      </c>
      <c r="E213" s="163" t="s">
        <v>2314</v>
      </c>
      <c r="F213" s="229" t="s">
        <v>2384</v>
      </c>
      <c r="G213" s="165" t="s">
        <v>1697</v>
      </c>
      <c r="H213" s="164">
        <f>IF(G213="","",VLOOKUP(G213,'附表8-合同明细采集底稿'!B:I,2,0))</f>
        <v>0</v>
      </c>
      <c r="I213" s="92">
        <f>IF(G213="","",VLOOKUP(G213,'附表8-合同明细采集底稿'!B:I,3,0))</f>
        <v>0</v>
      </c>
      <c r="J213" s="164" t="s">
        <v>156</v>
      </c>
      <c r="K213" s="164" t="s">
        <v>1685</v>
      </c>
      <c r="L213" s="165"/>
      <c r="M213" s="165"/>
      <c r="N213" s="239">
        <v>415700</v>
      </c>
      <c r="O213" s="239">
        <v>415700</v>
      </c>
      <c r="P213" s="240">
        <v>415700</v>
      </c>
      <c r="Q213" s="173"/>
      <c r="R213" s="173">
        <f t="shared" si="6"/>
        <v>415700</v>
      </c>
      <c r="S213" s="177">
        <f>IFERROR(VLOOKUP(G213,'附表8-合同明细采集底稿'!B:M,12,0),100%)</f>
        <v>0.329519901724361</v>
      </c>
      <c r="T213" s="173">
        <f t="shared" si="7"/>
        <v>136981.42</v>
      </c>
      <c r="U213" s="164"/>
      <c r="V213" s="178" t="s">
        <v>336</v>
      </c>
      <c r="W213" s="179">
        <f>IF('附表1-面积统计表'!$D$29=0,"",IF(AND(V213="共同成本费用",Z213="总建筑面积法"),ROUND(T213/'附表1-面积统计表'!$D$29*'附表1-面积统计表'!$D$5,2),IF(AND(V213="共同成本费用",Z213="可售建筑面积法"),ROUND(T213/'附表1-面积统计表'!$F$29*'附表1-面积统计表'!$F$5,2),"请手工填写")))</f>
        <v>50029.64</v>
      </c>
      <c r="X213" s="179">
        <f>IF(SUM('附表1-面积统计表'!$D$6)=0,"",SUM(T213)-SUM(W213)-SUM(Y213))</f>
        <v>61700.26</v>
      </c>
      <c r="Y213" s="179">
        <f>IF(SUM('附表1-面积统计表'!$D$6)=0,SUM(T213)-SUM(W213),IF('附表1-面积统计表'!$D$29=0,"",IF(AND(V213="共同成本费用",Z213="总建筑面积法"),ROUND(T213/'附表1-面积统计表'!$D$29*'附表1-面积统计表'!$D$7,2),IF(AND(V213="共同成本费用",Z213="可售建筑面积法"),ROUND(T213/'附表1-面积统计表'!$F$29*'附表1-面积统计表'!$F$7,2),"请手工填写"))))</f>
        <v>25251.52</v>
      </c>
      <c r="Z213" s="181" t="s">
        <v>311</v>
      </c>
      <c r="AA213" s="164"/>
      <c r="AB213" s="182" t="s">
        <v>1686</v>
      </c>
    </row>
    <row r="214" ht="29" hidden="1" customHeight="1" outlineLevel="1" spans="1:28">
      <c r="A214" s="159">
        <v>209</v>
      </c>
      <c r="B214" s="227" t="s">
        <v>2385</v>
      </c>
      <c r="C214" s="228" t="s">
        <v>2386</v>
      </c>
      <c r="D214" s="162" t="s">
        <v>1697</v>
      </c>
      <c r="E214" s="163" t="s">
        <v>2314</v>
      </c>
      <c r="F214" s="229" t="s">
        <v>2387</v>
      </c>
      <c r="G214" s="165" t="s">
        <v>1697</v>
      </c>
      <c r="H214" s="164">
        <f>IF(G214="","",VLOOKUP(G214,'附表8-合同明细采集底稿'!B:I,2,0))</f>
        <v>0</v>
      </c>
      <c r="I214" s="92">
        <f>IF(G214="","",VLOOKUP(G214,'附表8-合同明细采集底稿'!B:I,3,0))</f>
        <v>0</v>
      </c>
      <c r="J214" s="164" t="s">
        <v>156</v>
      </c>
      <c r="K214" s="164" t="s">
        <v>1685</v>
      </c>
      <c r="L214" s="165"/>
      <c r="M214" s="165"/>
      <c r="N214" s="239">
        <v>17512.02</v>
      </c>
      <c r="O214" s="239">
        <v>17512.02</v>
      </c>
      <c r="P214" s="240">
        <v>17512.02</v>
      </c>
      <c r="Q214" s="173"/>
      <c r="R214" s="173">
        <f t="shared" si="6"/>
        <v>17512.02</v>
      </c>
      <c r="S214" s="177">
        <f>IFERROR(VLOOKUP(G214,'附表8-合同明细采集底稿'!B:M,12,0),100%)</f>
        <v>0.329519901724361</v>
      </c>
      <c r="T214" s="173">
        <f t="shared" si="7"/>
        <v>5770.56</v>
      </c>
      <c r="U214" s="164"/>
      <c r="V214" s="178" t="s">
        <v>336</v>
      </c>
      <c r="W214" s="179">
        <f>IF('附表1-面积统计表'!$D$29=0,"",IF(AND(V214="共同成本费用",Z214="总建筑面积法"),ROUND(T214/'附表1-面积统计表'!$D$29*'附表1-面积统计表'!$D$5,2),IF(AND(V214="共同成本费用",Z214="可售建筑面积法"),ROUND(T214/'附表1-面积统计表'!$F$29*'附表1-面积统计表'!$F$5,2),"请手工填写")))</f>
        <v>2107.58</v>
      </c>
      <c r="X214" s="179">
        <f>IF(SUM('附表1-面积统计表'!$D$6)=0,"",SUM(T214)-SUM(W214)-SUM(Y214))</f>
        <v>2599.22</v>
      </c>
      <c r="Y214" s="179">
        <f>IF(SUM('附表1-面积统计表'!$D$6)=0,SUM(T214)-SUM(W214),IF('附表1-面积统计表'!$D$29=0,"",IF(AND(V214="共同成本费用",Z214="总建筑面积法"),ROUND(T214/'附表1-面积统计表'!$D$29*'附表1-面积统计表'!$D$7,2),IF(AND(V214="共同成本费用",Z214="可售建筑面积法"),ROUND(T214/'附表1-面积统计表'!$F$29*'附表1-面积统计表'!$F$7,2),"请手工填写"))))</f>
        <v>1063.76</v>
      </c>
      <c r="Z214" s="181" t="s">
        <v>311</v>
      </c>
      <c r="AA214" s="164"/>
      <c r="AB214" s="182" t="s">
        <v>1686</v>
      </c>
    </row>
    <row r="215" ht="29" hidden="1" customHeight="1" outlineLevel="1" spans="1:28">
      <c r="A215" s="159">
        <v>210</v>
      </c>
      <c r="B215" s="227" t="s">
        <v>2388</v>
      </c>
      <c r="C215" s="228" t="s">
        <v>2389</v>
      </c>
      <c r="D215" s="162" t="s">
        <v>1697</v>
      </c>
      <c r="E215" s="163" t="s">
        <v>2314</v>
      </c>
      <c r="F215" s="229" t="s">
        <v>2319</v>
      </c>
      <c r="G215" s="165" t="s">
        <v>1697</v>
      </c>
      <c r="H215" s="164">
        <f>IF(G215="","",VLOOKUP(G215,'附表8-合同明细采集底稿'!B:I,2,0))</f>
        <v>0</v>
      </c>
      <c r="I215" s="92">
        <f>IF(G215="","",VLOOKUP(G215,'附表8-合同明细采集底稿'!B:I,3,0))</f>
        <v>0</v>
      </c>
      <c r="J215" s="164" t="s">
        <v>156</v>
      </c>
      <c r="K215" s="164" t="s">
        <v>1685</v>
      </c>
      <c r="L215" s="165"/>
      <c r="M215" s="165"/>
      <c r="N215" s="239">
        <v>80119</v>
      </c>
      <c r="O215" s="239">
        <v>80119</v>
      </c>
      <c r="P215" s="240">
        <v>80119</v>
      </c>
      <c r="Q215" s="173"/>
      <c r="R215" s="173">
        <f t="shared" si="6"/>
        <v>80119</v>
      </c>
      <c r="S215" s="177">
        <f>IFERROR(VLOOKUP(G215,'附表8-合同明细采集底稿'!B:M,12,0),100%)</f>
        <v>0.329519901724361</v>
      </c>
      <c r="T215" s="173">
        <f t="shared" si="7"/>
        <v>26400.81</v>
      </c>
      <c r="U215" s="164"/>
      <c r="V215" s="178" t="s">
        <v>336</v>
      </c>
      <c r="W215" s="179">
        <f>IF('附表1-面积统计表'!$D$29=0,"",IF(AND(V215="共同成本费用",Z215="总建筑面积法"),ROUND(T215/'附表1-面积统计表'!$D$29*'附表1-面积统计表'!$D$5,2),IF(AND(V215="共同成本费用",Z215="可售建筑面积法"),ROUND(T215/'附表1-面积统计表'!$F$29*'附表1-面积统计表'!$F$5,2),"请手工填写")))</f>
        <v>9642.35</v>
      </c>
      <c r="X215" s="179">
        <f>IF(SUM('附表1-面积统计表'!$D$6)=0,"",SUM(T215)-SUM(W215)-SUM(Y215))</f>
        <v>11891.66</v>
      </c>
      <c r="Y215" s="179">
        <f>IF(SUM('附表1-面积统计表'!$D$6)=0,SUM(T215)-SUM(W215),IF('附表1-面积统计表'!$D$29=0,"",IF(AND(V215="共同成本费用",Z215="总建筑面积法"),ROUND(T215/'附表1-面积统计表'!$D$29*'附表1-面积统计表'!$D$7,2),IF(AND(V215="共同成本费用",Z215="可售建筑面积法"),ROUND(T215/'附表1-面积统计表'!$F$29*'附表1-面积统计表'!$F$7,2),"请手工填写"))))</f>
        <v>4866.8</v>
      </c>
      <c r="Z215" s="181" t="s">
        <v>311</v>
      </c>
      <c r="AA215" s="164"/>
      <c r="AB215" s="182" t="s">
        <v>1686</v>
      </c>
    </row>
    <row r="216" ht="29" hidden="1" customHeight="1" outlineLevel="1" spans="1:28">
      <c r="A216" s="159">
        <v>211</v>
      </c>
      <c r="B216" s="227" t="s">
        <v>2390</v>
      </c>
      <c r="C216" s="228" t="s">
        <v>1863</v>
      </c>
      <c r="D216" s="162" t="s">
        <v>1697</v>
      </c>
      <c r="E216" s="163" t="s">
        <v>2314</v>
      </c>
      <c r="F216" s="229" t="s">
        <v>2391</v>
      </c>
      <c r="G216" s="165" t="s">
        <v>1697</v>
      </c>
      <c r="H216" s="164">
        <f>IF(G216="","",VLOOKUP(G216,'附表8-合同明细采集底稿'!B:I,2,0))</f>
        <v>0</v>
      </c>
      <c r="I216" s="92">
        <f>IF(G216="","",VLOOKUP(G216,'附表8-合同明细采集底稿'!B:I,3,0))</f>
        <v>0</v>
      </c>
      <c r="J216" s="164" t="s">
        <v>156</v>
      </c>
      <c r="K216" s="164" t="s">
        <v>1685</v>
      </c>
      <c r="L216" s="165"/>
      <c r="M216" s="165"/>
      <c r="N216" s="239">
        <v>80126</v>
      </c>
      <c r="O216" s="239">
        <v>80126</v>
      </c>
      <c r="P216" s="240">
        <v>80126</v>
      </c>
      <c r="Q216" s="173"/>
      <c r="R216" s="173">
        <f t="shared" si="6"/>
        <v>80126</v>
      </c>
      <c r="S216" s="177">
        <f>IFERROR(VLOOKUP(G216,'附表8-合同明细采集底稿'!B:M,12,0),100%)</f>
        <v>0.329519901724361</v>
      </c>
      <c r="T216" s="173">
        <f t="shared" si="7"/>
        <v>26403.11</v>
      </c>
      <c r="U216" s="164"/>
      <c r="V216" s="178" t="s">
        <v>336</v>
      </c>
      <c r="W216" s="179">
        <f>IF('附表1-面积统计表'!$D$29=0,"",IF(AND(V216="共同成本费用",Z216="总建筑面积法"),ROUND(T216/'附表1-面积统计表'!$D$29*'附表1-面积统计表'!$D$5,2),IF(AND(V216="共同成本费用",Z216="可售建筑面积法"),ROUND(T216/'附表1-面积统计表'!$F$29*'附表1-面积统计表'!$F$5,2),"请手工填写")))</f>
        <v>9643.19</v>
      </c>
      <c r="X216" s="179">
        <f>IF(SUM('附表1-面积统计表'!$D$6)=0,"",SUM(T216)-SUM(W216)-SUM(Y216))</f>
        <v>11892.7</v>
      </c>
      <c r="Y216" s="179">
        <f>IF(SUM('附表1-面积统计表'!$D$6)=0,SUM(T216)-SUM(W216),IF('附表1-面积统计表'!$D$29=0,"",IF(AND(V216="共同成本费用",Z216="总建筑面积法"),ROUND(T216/'附表1-面积统计表'!$D$29*'附表1-面积统计表'!$D$7,2),IF(AND(V216="共同成本费用",Z216="可售建筑面积法"),ROUND(T216/'附表1-面积统计表'!$F$29*'附表1-面积统计表'!$F$7,2),"请手工填写"))))</f>
        <v>4867.22</v>
      </c>
      <c r="Z216" s="181" t="s">
        <v>311</v>
      </c>
      <c r="AA216" s="164"/>
      <c r="AB216" s="182" t="s">
        <v>1686</v>
      </c>
    </row>
    <row r="217" ht="29" hidden="1" customHeight="1" outlineLevel="1" spans="1:28">
      <c r="A217" s="159">
        <v>212</v>
      </c>
      <c r="B217" s="227" t="s">
        <v>2392</v>
      </c>
      <c r="C217" s="228" t="s">
        <v>2344</v>
      </c>
      <c r="D217" s="162" t="s">
        <v>1697</v>
      </c>
      <c r="E217" s="163" t="s">
        <v>2314</v>
      </c>
      <c r="F217" s="229" t="s">
        <v>2393</v>
      </c>
      <c r="G217" s="165" t="s">
        <v>1697</v>
      </c>
      <c r="H217" s="164">
        <f>IF(G217="","",VLOOKUP(G217,'附表8-合同明细采集底稿'!B:I,2,0))</f>
        <v>0</v>
      </c>
      <c r="I217" s="92">
        <f>IF(G217="","",VLOOKUP(G217,'附表8-合同明细采集底稿'!B:I,3,0))</f>
        <v>0</v>
      </c>
      <c r="J217" s="164" t="s">
        <v>156</v>
      </c>
      <c r="K217" s="164" t="s">
        <v>1685</v>
      </c>
      <c r="L217" s="165"/>
      <c r="M217" s="165"/>
      <c r="N217" s="239">
        <v>168926</v>
      </c>
      <c r="O217" s="239">
        <v>168926</v>
      </c>
      <c r="P217" s="240">
        <v>168926</v>
      </c>
      <c r="Q217" s="173"/>
      <c r="R217" s="173">
        <f t="shared" si="6"/>
        <v>168926</v>
      </c>
      <c r="S217" s="177">
        <f>IFERROR(VLOOKUP(G217,'附表8-合同明细采集底稿'!B:M,12,0),100%)</f>
        <v>0.329519901724361</v>
      </c>
      <c r="T217" s="173">
        <f t="shared" si="7"/>
        <v>55664.48</v>
      </c>
      <c r="U217" s="164"/>
      <c r="V217" s="178" t="s">
        <v>336</v>
      </c>
      <c r="W217" s="179">
        <f>IF('附表1-面积统计表'!$D$29=0,"",IF(AND(V217="共同成本费用",Z217="总建筑面积法"),ROUND(T217/'附表1-面积统计表'!$D$29*'附表1-面积统计表'!$D$5,2),IF(AND(V217="共同成本费用",Z217="可售建筑面积法"),ROUND(T217/'附表1-面积统计表'!$F$29*'附表1-面积统计表'!$F$5,2),"请手工填写")))</f>
        <v>20330.31</v>
      </c>
      <c r="X217" s="179">
        <f>IF(SUM('附表1-面积统计表'!$D$6)=0,"",SUM(T217)-SUM(W217)-SUM(Y217))</f>
        <v>25072.83</v>
      </c>
      <c r="Y217" s="179">
        <f>IF(SUM('附表1-面积统计表'!$D$6)=0,SUM(T217)-SUM(W217),IF('附表1-面积统计表'!$D$29=0,"",IF(AND(V217="共同成本费用",Z217="总建筑面积法"),ROUND(T217/'附表1-面积统计表'!$D$29*'附表1-面积统计表'!$D$7,2),IF(AND(V217="共同成本费用",Z217="可售建筑面积法"),ROUND(T217/'附表1-面积统计表'!$F$29*'附表1-面积统计表'!$F$7,2),"请手工填写"))))</f>
        <v>10261.34</v>
      </c>
      <c r="Z217" s="181" t="s">
        <v>311</v>
      </c>
      <c r="AA217" s="164"/>
      <c r="AB217" s="182" t="s">
        <v>1686</v>
      </c>
    </row>
    <row r="218" ht="29" hidden="1" customHeight="1" outlineLevel="1" spans="1:28">
      <c r="A218" s="159">
        <v>213</v>
      </c>
      <c r="B218" s="227" t="s">
        <v>1345</v>
      </c>
      <c r="C218" s="228" t="s">
        <v>2394</v>
      </c>
      <c r="D218" s="162" t="s">
        <v>1697</v>
      </c>
      <c r="E218" s="163" t="s">
        <v>2314</v>
      </c>
      <c r="F218" s="229" t="s">
        <v>2395</v>
      </c>
      <c r="G218" s="165" t="s">
        <v>1697</v>
      </c>
      <c r="H218" s="164">
        <f>IF(G218="","",VLOOKUP(G218,'附表8-合同明细采集底稿'!B:I,2,0))</f>
        <v>0</v>
      </c>
      <c r="I218" s="92">
        <f>IF(G218="","",VLOOKUP(G218,'附表8-合同明细采集底稿'!B:I,3,0))</f>
        <v>0</v>
      </c>
      <c r="J218" s="164" t="s">
        <v>156</v>
      </c>
      <c r="K218" s="164" t="s">
        <v>1685</v>
      </c>
      <c r="L218" s="165"/>
      <c r="M218" s="165"/>
      <c r="N218" s="239">
        <v>19568.81</v>
      </c>
      <c r="O218" s="239">
        <v>19568.81</v>
      </c>
      <c r="P218" s="240">
        <v>19568.81</v>
      </c>
      <c r="Q218" s="173"/>
      <c r="R218" s="173">
        <f t="shared" ref="R218:R253" si="8">P218+Q218</f>
        <v>19568.81</v>
      </c>
      <c r="S218" s="177">
        <f>IFERROR(VLOOKUP(G218,'附表8-合同明细采集底稿'!B:M,12,0),100%)</f>
        <v>0.329519901724361</v>
      </c>
      <c r="T218" s="173">
        <f t="shared" si="7"/>
        <v>6448.31</v>
      </c>
      <c r="U218" s="164"/>
      <c r="V218" s="178" t="s">
        <v>336</v>
      </c>
      <c r="W218" s="179">
        <f>IF('附表1-面积统计表'!$D$29=0,"",IF(AND(V218="共同成本费用",Z218="总建筑面积法"),ROUND(T218/'附表1-面积统计表'!$D$29*'附表1-面积统计表'!$D$5,2),IF(AND(V218="共同成本费用",Z218="可售建筑面积法"),ROUND(T218/'附表1-面积统计表'!$F$29*'附表1-面积统计表'!$F$5,2),"请手工填写")))</f>
        <v>2355.11</v>
      </c>
      <c r="X218" s="179">
        <f>IF(SUM('附表1-面积统计表'!$D$6)=0,"",SUM(T218)-SUM(W218)-SUM(Y218))</f>
        <v>2904.5</v>
      </c>
      <c r="Y218" s="179">
        <f>IF(SUM('附表1-面积统计表'!$D$6)=0,SUM(T218)-SUM(W218),IF('附表1-面积统计表'!$D$29=0,"",IF(AND(V218="共同成本费用",Z218="总建筑面积法"),ROUND(T218/'附表1-面积统计表'!$D$29*'附表1-面积统计表'!$D$7,2),IF(AND(V218="共同成本费用",Z218="可售建筑面积法"),ROUND(T218/'附表1-面积统计表'!$F$29*'附表1-面积统计表'!$F$7,2),"请手工填写"))))</f>
        <v>1188.7</v>
      </c>
      <c r="Z218" s="181" t="s">
        <v>311</v>
      </c>
      <c r="AA218" s="164"/>
      <c r="AB218" s="182" t="s">
        <v>1686</v>
      </c>
    </row>
    <row r="219" ht="29" hidden="1" customHeight="1" outlineLevel="1" spans="1:28">
      <c r="A219" s="159">
        <v>214</v>
      </c>
      <c r="B219" s="227" t="s">
        <v>2396</v>
      </c>
      <c r="C219" s="228" t="s">
        <v>2397</v>
      </c>
      <c r="D219" s="162" t="s">
        <v>1697</v>
      </c>
      <c r="E219" s="163" t="s">
        <v>2314</v>
      </c>
      <c r="F219" s="229" t="s">
        <v>2398</v>
      </c>
      <c r="G219" s="165" t="s">
        <v>1697</v>
      </c>
      <c r="H219" s="164">
        <f>IF(G219="","",VLOOKUP(G219,'附表8-合同明细采集底稿'!B:I,2,0))</f>
        <v>0</v>
      </c>
      <c r="I219" s="92">
        <f>IF(G219="","",VLOOKUP(G219,'附表8-合同明细采集底稿'!B:I,3,0))</f>
        <v>0</v>
      </c>
      <c r="J219" s="164" t="s">
        <v>156</v>
      </c>
      <c r="K219" s="164" t="s">
        <v>1685</v>
      </c>
      <c r="L219" s="165"/>
      <c r="M219" s="165"/>
      <c r="N219" s="239">
        <v>83325</v>
      </c>
      <c r="O219" s="239">
        <v>83325</v>
      </c>
      <c r="P219" s="240">
        <v>83325</v>
      </c>
      <c r="Q219" s="173"/>
      <c r="R219" s="173">
        <f t="shared" si="8"/>
        <v>83325</v>
      </c>
      <c r="S219" s="177">
        <f>IFERROR(VLOOKUP(G219,'附表8-合同明细采集底稿'!B:M,12,0),100%)</f>
        <v>0.329519901724361</v>
      </c>
      <c r="T219" s="173">
        <f t="shared" si="7"/>
        <v>27457.25</v>
      </c>
      <c r="U219" s="164"/>
      <c r="V219" s="178" t="s">
        <v>336</v>
      </c>
      <c r="W219" s="179">
        <f>IF('附表1-面积统计表'!$D$29=0,"",IF(AND(V219="共同成本费用",Z219="总建筑面积法"),ROUND(T219/'附表1-面积统计表'!$D$29*'附表1-面积统计表'!$D$5,2),IF(AND(V219="共同成本费用",Z219="可售建筑面积法"),ROUND(T219/'附表1-面积统计表'!$F$29*'附表1-面积统计表'!$F$5,2),"请手工填写")))</f>
        <v>10028.2</v>
      </c>
      <c r="X219" s="179">
        <f>IF(SUM('附表1-面积统计表'!$D$6)=0,"",SUM(T219)-SUM(W219)-SUM(Y219))</f>
        <v>12367.51</v>
      </c>
      <c r="Y219" s="179">
        <f>IF(SUM('附表1-面积统计表'!$D$6)=0,SUM(T219)-SUM(W219),IF('附表1-面积统计表'!$D$29=0,"",IF(AND(V219="共同成本费用",Z219="总建筑面积法"),ROUND(T219/'附表1-面积统计表'!$D$29*'附表1-面积统计表'!$D$7,2),IF(AND(V219="共同成本费用",Z219="可售建筑面积法"),ROUND(T219/'附表1-面积统计表'!$F$29*'附表1-面积统计表'!$F$7,2),"请手工填写"))))</f>
        <v>5061.54</v>
      </c>
      <c r="Z219" s="181" t="s">
        <v>311</v>
      </c>
      <c r="AA219" s="164"/>
      <c r="AB219" s="182" t="s">
        <v>1686</v>
      </c>
    </row>
    <row r="220" ht="29" hidden="1" customHeight="1" outlineLevel="1" spans="1:28">
      <c r="A220" s="159">
        <v>215</v>
      </c>
      <c r="B220" s="227" t="s">
        <v>396</v>
      </c>
      <c r="C220" s="228" t="s">
        <v>2399</v>
      </c>
      <c r="D220" s="162" t="s">
        <v>1697</v>
      </c>
      <c r="E220" s="163" t="s">
        <v>2314</v>
      </c>
      <c r="F220" s="229" t="s">
        <v>2400</v>
      </c>
      <c r="G220" s="165" t="s">
        <v>1697</v>
      </c>
      <c r="H220" s="164">
        <f>IF(G220="","",VLOOKUP(G220,'附表8-合同明细采集底稿'!B:I,2,0))</f>
        <v>0</v>
      </c>
      <c r="I220" s="92">
        <f>IF(G220="","",VLOOKUP(G220,'附表8-合同明细采集底稿'!B:I,3,0))</f>
        <v>0</v>
      </c>
      <c r="J220" s="164" t="s">
        <v>156</v>
      </c>
      <c r="K220" s="164" t="s">
        <v>1685</v>
      </c>
      <c r="L220" s="165"/>
      <c r="M220" s="165"/>
      <c r="N220" s="239">
        <v>5975.27</v>
      </c>
      <c r="O220" s="239">
        <v>5975.27</v>
      </c>
      <c r="P220" s="240">
        <v>5975.27</v>
      </c>
      <c r="Q220" s="173"/>
      <c r="R220" s="173">
        <f t="shared" si="8"/>
        <v>5975.27</v>
      </c>
      <c r="S220" s="177">
        <f>IFERROR(VLOOKUP(G220,'附表8-合同明细采集底稿'!B:M,12,0),100%)</f>
        <v>0.329519901724361</v>
      </c>
      <c r="T220" s="173">
        <f t="shared" ref="T220:T253" si="9">ROUND(SUM(R220)*SUM(S220),2)</f>
        <v>1968.97</v>
      </c>
      <c r="U220" s="164"/>
      <c r="V220" s="178" t="s">
        <v>336</v>
      </c>
      <c r="W220" s="179">
        <f>IF('附表1-面积统计表'!$D$29=0,"",IF(AND(V220="共同成本费用",Z220="总建筑面积法"),ROUND(T220/'附表1-面积统计表'!$D$29*'附表1-面积统计表'!$D$5,2),IF(AND(V220="共同成本费用",Z220="可售建筑面积法"),ROUND(T220/'附表1-面积统计表'!$F$29*'附表1-面积统计表'!$F$5,2),"请手工填写")))</f>
        <v>719.13</v>
      </c>
      <c r="X220" s="179">
        <f>IF(SUM('附表1-面积统计表'!$D$6)=0,"",SUM(T220)-SUM(W220)-SUM(Y220))</f>
        <v>886.87</v>
      </c>
      <c r="Y220" s="179">
        <f>IF(SUM('附表1-面积统计表'!$D$6)=0,SUM(T220)-SUM(W220),IF('附表1-面积统计表'!$D$29=0,"",IF(AND(V220="共同成本费用",Z220="总建筑面积法"),ROUND(T220/'附表1-面积统计表'!$D$29*'附表1-面积统计表'!$D$7,2),IF(AND(V220="共同成本费用",Z220="可售建筑面积法"),ROUND(T220/'附表1-面积统计表'!$F$29*'附表1-面积统计表'!$F$7,2),"请手工填写"))))</f>
        <v>362.97</v>
      </c>
      <c r="Z220" s="181" t="s">
        <v>311</v>
      </c>
      <c r="AA220" s="164"/>
      <c r="AB220" s="182" t="s">
        <v>1686</v>
      </c>
    </row>
    <row r="221" ht="29" hidden="1" customHeight="1" outlineLevel="1" spans="1:28">
      <c r="A221" s="159">
        <v>216</v>
      </c>
      <c r="B221" s="227" t="s">
        <v>2401</v>
      </c>
      <c r="C221" s="228" t="s">
        <v>2383</v>
      </c>
      <c r="D221" s="162" t="s">
        <v>1697</v>
      </c>
      <c r="E221" s="163" t="s">
        <v>2314</v>
      </c>
      <c r="F221" s="229" t="s">
        <v>2402</v>
      </c>
      <c r="G221" s="165" t="s">
        <v>1697</v>
      </c>
      <c r="H221" s="164">
        <f>IF(G221="","",VLOOKUP(G221,'附表8-合同明细采集底稿'!B:I,2,0))</f>
        <v>0</v>
      </c>
      <c r="I221" s="92">
        <f>IF(G221="","",VLOOKUP(G221,'附表8-合同明细采集底稿'!B:I,3,0))</f>
        <v>0</v>
      </c>
      <c r="J221" s="164" t="s">
        <v>156</v>
      </c>
      <c r="K221" s="164" t="s">
        <v>1685</v>
      </c>
      <c r="L221" s="165"/>
      <c r="M221" s="165"/>
      <c r="N221" s="239">
        <v>113890</v>
      </c>
      <c r="O221" s="239">
        <v>113890</v>
      </c>
      <c r="P221" s="240">
        <v>113890</v>
      </c>
      <c r="Q221" s="173"/>
      <c r="R221" s="173">
        <f t="shared" si="8"/>
        <v>113890</v>
      </c>
      <c r="S221" s="177">
        <f>IFERROR(VLOOKUP(G221,'附表8-合同明细采集底稿'!B:M,12,0),100%)</f>
        <v>0.329519901724361</v>
      </c>
      <c r="T221" s="173">
        <f t="shared" si="9"/>
        <v>37529.02</v>
      </c>
      <c r="U221" s="164"/>
      <c r="V221" s="178" t="s">
        <v>336</v>
      </c>
      <c r="W221" s="179">
        <f>IF('附表1-面积统计表'!$D$29=0,"",IF(AND(V221="共同成本费用",Z221="总建筑面积法"),ROUND(T221/'附表1-面积统计表'!$D$29*'附表1-面积统计表'!$D$5,2),IF(AND(V221="共同成本费用",Z221="可售建筑面积法"),ROUND(T221/'附表1-面积统计表'!$F$29*'附表1-面积统计表'!$F$5,2),"请手工填写")))</f>
        <v>13706.7</v>
      </c>
      <c r="X221" s="179">
        <f>IF(SUM('附表1-面积统计表'!$D$6)=0,"",SUM(T221)-SUM(W221)-SUM(Y221))</f>
        <v>16904.12</v>
      </c>
      <c r="Y221" s="179">
        <f>IF(SUM('附表1-面积统计表'!$D$6)=0,SUM(T221)-SUM(W221),IF('附表1-面积统计表'!$D$29=0,"",IF(AND(V221="共同成本费用",Z221="总建筑面积法"),ROUND(T221/'附表1-面积统计表'!$D$29*'附表1-面积统计表'!$D$7,2),IF(AND(V221="共同成本费用",Z221="可售建筑面积法"),ROUND(T221/'附表1-面积统计表'!$F$29*'附表1-面积统计表'!$F$7,2),"请手工填写"))))</f>
        <v>6918.2</v>
      </c>
      <c r="Z221" s="181" t="s">
        <v>311</v>
      </c>
      <c r="AA221" s="164"/>
      <c r="AB221" s="182" t="s">
        <v>1686</v>
      </c>
    </row>
    <row r="222" ht="29" hidden="1" customHeight="1" outlineLevel="1" spans="1:28">
      <c r="A222" s="159">
        <v>217</v>
      </c>
      <c r="B222" s="227" t="s">
        <v>2403</v>
      </c>
      <c r="C222" s="228" t="s">
        <v>2404</v>
      </c>
      <c r="D222" s="162" t="s">
        <v>1697</v>
      </c>
      <c r="E222" s="163" t="s">
        <v>2314</v>
      </c>
      <c r="F222" s="229" t="s">
        <v>2405</v>
      </c>
      <c r="G222" s="165" t="s">
        <v>1697</v>
      </c>
      <c r="H222" s="164">
        <f>IF(G222="","",VLOOKUP(G222,'附表8-合同明细采集底稿'!B:I,2,0))</f>
        <v>0</v>
      </c>
      <c r="I222" s="92">
        <f>IF(G222="","",VLOOKUP(G222,'附表8-合同明细采集底稿'!B:I,3,0))</f>
        <v>0</v>
      </c>
      <c r="J222" s="164" t="s">
        <v>156</v>
      </c>
      <c r="K222" s="164" t="s">
        <v>1685</v>
      </c>
      <c r="L222" s="165"/>
      <c r="M222" s="165"/>
      <c r="N222" s="239">
        <v>5498.6</v>
      </c>
      <c r="O222" s="239">
        <v>5498.6</v>
      </c>
      <c r="P222" s="240">
        <v>5498.6</v>
      </c>
      <c r="Q222" s="173"/>
      <c r="R222" s="173">
        <f t="shared" si="8"/>
        <v>5498.6</v>
      </c>
      <c r="S222" s="177">
        <f>IFERROR(VLOOKUP(G222,'附表8-合同明细采集底稿'!B:M,12,0),100%)</f>
        <v>0.329519901724361</v>
      </c>
      <c r="T222" s="173">
        <f t="shared" si="9"/>
        <v>1811.9</v>
      </c>
      <c r="U222" s="164"/>
      <c r="V222" s="178" t="s">
        <v>336</v>
      </c>
      <c r="W222" s="179">
        <f>IF('附表1-面积统计表'!$D$29=0,"",IF(AND(V222="共同成本费用",Z222="总建筑面积法"),ROUND(T222/'附表1-面积统计表'!$D$29*'附表1-面积统计表'!$D$5,2),IF(AND(V222="共同成本费用",Z222="可售建筑面积法"),ROUND(T222/'附表1-面积统计表'!$F$29*'附表1-面积统计表'!$F$5,2),"请手工填写")))</f>
        <v>661.76</v>
      </c>
      <c r="X222" s="179">
        <f>IF(SUM('附表1-面积统计表'!$D$6)=0,"",SUM(T222)-SUM(W222)-SUM(Y222))</f>
        <v>816.13</v>
      </c>
      <c r="Y222" s="179">
        <f>IF(SUM('附表1-面积统计表'!$D$6)=0,SUM(T222)-SUM(W222),IF('附表1-面积统计表'!$D$29=0,"",IF(AND(V222="共同成本费用",Z222="总建筑面积法"),ROUND(T222/'附表1-面积统计表'!$D$29*'附表1-面积统计表'!$D$7,2),IF(AND(V222="共同成本费用",Z222="可售建筑面积法"),ROUND(T222/'附表1-面积统计表'!$F$29*'附表1-面积统计表'!$F$7,2),"请手工填写"))))</f>
        <v>334.01</v>
      </c>
      <c r="Z222" s="181" t="s">
        <v>311</v>
      </c>
      <c r="AA222" s="164"/>
      <c r="AB222" s="182" t="s">
        <v>1686</v>
      </c>
    </row>
    <row r="223" ht="29" hidden="1" customHeight="1" outlineLevel="1" spans="1:28">
      <c r="A223" s="159">
        <v>218</v>
      </c>
      <c r="B223" s="227" t="s">
        <v>2406</v>
      </c>
      <c r="C223" s="228" t="s">
        <v>2407</v>
      </c>
      <c r="D223" s="162" t="s">
        <v>1697</v>
      </c>
      <c r="E223" s="163" t="s">
        <v>2314</v>
      </c>
      <c r="F223" s="229" t="s">
        <v>2408</v>
      </c>
      <c r="G223" s="165" t="s">
        <v>1697</v>
      </c>
      <c r="H223" s="164">
        <f>IF(G223="","",VLOOKUP(G223,'附表8-合同明细采集底稿'!B:I,2,0))</f>
        <v>0</v>
      </c>
      <c r="I223" s="92">
        <f>IF(G223="","",VLOOKUP(G223,'附表8-合同明细采集底稿'!B:I,3,0))</f>
        <v>0</v>
      </c>
      <c r="J223" s="164" t="s">
        <v>156</v>
      </c>
      <c r="K223" s="164" t="s">
        <v>1685</v>
      </c>
      <c r="L223" s="165"/>
      <c r="M223" s="165"/>
      <c r="N223" s="239">
        <v>114125</v>
      </c>
      <c r="O223" s="239">
        <v>114125</v>
      </c>
      <c r="P223" s="240">
        <v>114125</v>
      </c>
      <c r="Q223" s="173"/>
      <c r="R223" s="173">
        <f t="shared" si="8"/>
        <v>114125</v>
      </c>
      <c r="S223" s="177">
        <f>IFERROR(VLOOKUP(G223,'附表8-合同明细采集底稿'!B:M,12,0),100%)</f>
        <v>0.329519901724361</v>
      </c>
      <c r="T223" s="173">
        <f t="shared" si="9"/>
        <v>37606.46</v>
      </c>
      <c r="U223" s="164"/>
      <c r="V223" s="178" t="s">
        <v>336</v>
      </c>
      <c r="W223" s="179">
        <f>IF('附表1-面积统计表'!$D$29=0,"",IF(AND(V223="共同成本费用",Z223="总建筑面积法"),ROUND(T223/'附表1-面积统计表'!$D$29*'附表1-面积统计表'!$D$5,2),IF(AND(V223="共同成本费用",Z223="可售建筑面积法"),ROUND(T223/'附表1-面积统计表'!$F$29*'附表1-面积统计表'!$F$5,2),"请手工填写")))</f>
        <v>13734.99</v>
      </c>
      <c r="X223" s="179">
        <f>IF(SUM('附表1-面积统计表'!$D$6)=0,"",SUM(T223)-SUM(W223)-SUM(Y223))</f>
        <v>16938.99</v>
      </c>
      <c r="Y223" s="179">
        <f>IF(SUM('附表1-面积统计表'!$D$6)=0,SUM(T223)-SUM(W223),IF('附表1-面积统计表'!$D$29=0,"",IF(AND(V223="共同成本费用",Z223="总建筑面积法"),ROUND(T223/'附表1-面积统计表'!$D$29*'附表1-面积统计表'!$D$7,2),IF(AND(V223="共同成本费用",Z223="可售建筑面积法"),ROUND(T223/'附表1-面积统计表'!$F$29*'附表1-面积统计表'!$F$7,2),"请手工填写"))))</f>
        <v>6932.48</v>
      </c>
      <c r="Z223" s="181" t="s">
        <v>311</v>
      </c>
      <c r="AA223" s="164"/>
      <c r="AB223" s="182" t="s">
        <v>1686</v>
      </c>
    </row>
    <row r="224" ht="29" hidden="1" customHeight="1" outlineLevel="1" spans="1:28">
      <c r="A224" s="159">
        <v>219</v>
      </c>
      <c r="B224" s="227" t="s">
        <v>2409</v>
      </c>
      <c r="C224" s="228" t="s">
        <v>2410</v>
      </c>
      <c r="D224" s="162" t="s">
        <v>1697</v>
      </c>
      <c r="E224" s="163" t="s">
        <v>2314</v>
      </c>
      <c r="F224" s="229" t="s">
        <v>2411</v>
      </c>
      <c r="G224" s="165" t="s">
        <v>1697</v>
      </c>
      <c r="H224" s="164">
        <f>IF(G224="","",VLOOKUP(G224,'附表8-合同明细采集底稿'!B:I,2,0))</f>
        <v>0</v>
      </c>
      <c r="I224" s="92">
        <f>IF(G224="","",VLOOKUP(G224,'附表8-合同明细采集底稿'!B:I,3,0))</f>
        <v>0</v>
      </c>
      <c r="J224" s="164" t="s">
        <v>156</v>
      </c>
      <c r="K224" s="164" t="s">
        <v>1685</v>
      </c>
      <c r="L224" s="165"/>
      <c r="M224" s="165"/>
      <c r="N224" s="239">
        <v>4402.78</v>
      </c>
      <c r="O224" s="239">
        <v>4402.78</v>
      </c>
      <c r="P224" s="240">
        <v>4402.78</v>
      </c>
      <c r="Q224" s="173"/>
      <c r="R224" s="173">
        <f t="shared" si="8"/>
        <v>4402.78</v>
      </c>
      <c r="S224" s="177">
        <f>IFERROR(VLOOKUP(G224,'附表8-合同明细采集底稿'!B:M,12,0),100%)</f>
        <v>0.329519901724361</v>
      </c>
      <c r="T224" s="173">
        <f t="shared" si="9"/>
        <v>1450.8</v>
      </c>
      <c r="U224" s="164"/>
      <c r="V224" s="178" t="s">
        <v>336</v>
      </c>
      <c r="W224" s="179">
        <f>IF('附表1-面积统计表'!$D$29=0,"",IF(AND(V224="共同成本费用",Z224="总建筑面积法"),ROUND(T224/'附表1-面积统计表'!$D$29*'附表1-面积统计表'!$D$5,2),IF(AND(V224="共同成本费用",Z224="可售建筑面积法"),ROUND(T224/'附表1-面积统计表'!$F$29*'附表1-面积统计表'!$F$5,2),"请手工填写")))</f>
        <v>529.87</v>
      </c>
      <c r="X224" s="179">
        <f>IF(SUM('附表1-面积统计表'!$D$6)=0,"",SUM(T224)-SUM(W224)-SUM(Y224))</f>
        <v>653.49</v>
      </c>
      <c r="Y224" s="179">
        <f>IF(SUM('附表1-面积统计表'!$D$6)=0,SUM(T224)-SUM(W224),IF('附表1-面积统计表'!$D$29=0,"",IF(AND(V224="共同成本费用",Z224="总建筑面积法"),ROUND(T224/'附表1-面积统计表'!$D$29*'附表1-面积统计表'!$D$7,2),IF(AND(V224="共同成本费用",Z224="可售建筑面积法"),ROUND(T224/'附表1-面积统计表'!$F$29*'附表1-面积统计表'!$F$7,2),"请手工填写"))))</f>
        <v>267.44</v>
      </c>
      <c r="Z224" s="181" t="s">
        <v>311</v>
      </c>
      <c r="AA224" s="164"/>
      <c r="AB224" s="182" t="s">
        <v>1686</v>
      </c>
    </row>
    <row r="225" ht="29" hidden="1" customHeight="1" outlineLevel="1" spans="1:28">
      <c r="A225" s="159">
        <v>220</v>
      </c>
      <c r="B225" s="227" t="s">
        <v>2412</v>
      </c>
      <c r="C225" s="228" t="s">
        <v>2383</v>
      </c>
      <c r="D225" s="162" t="s">
        <v>1697</v>
      </c>
      <c r="E225" s="163" t="s">
        <v>2314</v>
      </c>
      <c r="F225" s="229" t="s">
        <v>2413</v>
      </c>
      <c r="G225" s="165" t="s">
        <v>1697</v>
      </c>
      <c r="H225" s="164">
        <f>IF(G225="","",VLOOKUP(G225,'附表8-合同明细采集底稿'!B:I,2,0))</f>
        <v>0</v>
      </c>
      <c r="I225" s="92">
        <f>IF(G225="","",VLOOKUP(G225,'附表8-合同明细采集底稿'!B:I,3,0))</f>
        <v>0</v>
      </c>
      <c r="J225" s="164" t="s">
        <v>156</v>
      </c>
      <c r="K225" s="164" t="s">
        <v>1685</v>
      </c>
      <c r="L225" s="165"/>
      <c r="M225" s="165"/>
      <c r="N225" s="239">
        <v>103129</v>
      </c>
      <c r="O225" s="239">
        <v>103129</v>
      </c>
      <c r="P225" s="240">
        <v>103129</v>
      </c>
      <c r="Q225" s="173"/>
      <c r="R225" s="173">
        <f t="shared" si="8"/>
        <v>103129</v>
      </c>
      <c r="S225" s="177">
        <f>IFERROR(VLOOKUP(G225,'附表8-合同明细采集底稿'!B:M,12,0),100%)</f>
        <v>0.329519901724361</v>
      </c>
      <c r="T225" s="173">
        <f t="shared" si="9"/>
        <v>33983.06</v>
      </c>
      <c r="U225" s="164"/>
      <c r="V225" s="178" t="s">
        <v>336</v>
      </c>
      <c r="W225" s="179">
        <f>IF('附表1-面积统计表'!$D$29=0,"",IF(AND(V225="共同成本费用",Z225="总建筑面积法"),ROUND(T225/'附表1-面积统计表'!$D$29*'附表1-面积统计表'!$D$5,2),IF(AND(V225="共同成本费用",Z225="可售建筑面积法"),ROUND(T225/'附表1-面积统计表'!$F$29*'附表1-面积统计表'!$F$5,2),"请手工填写")))</f>
        <v>12411.61</v>
      </c>
      <c r="X225" s="179">
        <f>IF(SUM('附表1-面积统计表'!$D$6)=0,"",SUM(T225)-SUM(W225)-SUM(Y225))</f>
        <v>15306.92</v>
      </c>
      <c r="Y225" s="179">
        <f>IF(SUM('附表1-面积统计表'!$D$6)=0,SUM(T225)-SUM(W225),IF('附表1-面积统计表'!$D$29=0,"",IF(AND(V225="共同成本费用",Z225="总建筑面积法"),ROUND(T225/'附表1-面积统计表'!$D$29*'附表1-面积统计表'!$D$7,2),IF(AND(V225="共同成本费用",Z225="可售建筑面积法"),ROUND(T225/'附表1-面积统计表'!$F$29*'附表1-面积统计表'!$F$7,2),"请手工填写"))))</f>
        <v>6264.53</v>
      </c>
      <c r="Z225" s="181" t="s">
        <v>311</v>
      </c>
      <c r="AA225" s="164"/>
      <c r="AB225" s="182" t="s">
        <v>1686</v>
      </c>
    </row>
    <row r="226" ht="29" hidden="1" customHeight="1" outlineLevel="1" spans="1:28">
      <c r="A226" s="159">
        <v>221</v>
      </c>
      <c r="B226" s="227" t="s">
        <v>2414</v>
      </c>
      <c r="C226" s="228" t="s">
        <v>2097</v>
      </c>
      <c r="D226" s="162" t="s">
        <v>1697</v>
      </c>
      <c r="E226" s="163" t="s">
        <v>2314</v>
      </c>
      <c r="F226" s="229" t="s">
        <v>2415</v>
      </c>
      <c r="G226" s="165" t="s">
        <v>1697</v>
      </c>
      <c r="H226" s="164">
        <f>IF(G226="","",VLOOKUP(G226,'附表8-合同明细采集底稿'!B:I,2,0))</f>
        <v>0</v>
      </c>
      <c r="I226" s="92">
        <f>IF(G226="","",VLOOKUP(G226,'附表8-合同明细采集底稿'!B:I,3,0))</f>
        <v>0</v>
      </c>
      <c r="J226" s="164" t="s">
        <v>156</v>
      </c>
      <c r="K226" s="164" t="s">
        <v>1685</v>
      </c>
      <c r="L226" s="165"/>
      <c r="M226" s="165"/>
      <c r="N226" s="239">
        <v>5513.3</v>
      </c>
      <c r="O226" s="239">
        <v>5513.3</v>
      </c>
      <c r="P226" s="240">
        <v>5513.3</v>
      </c>
      <c r="Q226" s="173"/>
      <c r="R226" s="173">
        <f t="shared" si="8"/>
        <v>5513.3</v>
      </c>
      <c r="S226" s="177">
        <f>IFERROR(VLOOKUP(G226,'附表8-合同明细采集底稿'!B:M,12,0),100%)</f>
        <v>0.329519901724361</v>
      </c>
      <c r="T226" s="173">
        <f t="shared" si="9"/>
        <v>1816.74</v>
      </c>
      <c r="U226" s="164"/>
      <c r="V226" s="178" t="s">
        <v>336</v>
      </c>
      <c r="W226" s="179">
        <f>IF('附表1-面积统计表'!$D$29=0,"",IF(AND(V226="共同成本费用",Z226="总建筑面积法"),ROUND(T226/'附表1-面积统计表'!$D$29*'附表1-面积统计表'!$D$5,2),IF(AND(V226="共同成本费用",Z226="可售建筑面积法"),ROUND(T226/'附表1-面积统计表'!$F$29*'附表1-面积统计表'!$F$5,2),"请手工填写")))</f>
        <v>663.53</v>
      </c>
      <c r="X226" s="179">
        <f>IF(SUM('附表1-面积统计表'!$D$6)=0,"",SUM(T226)-SUM(W226)-SUM(Y226))</f>
        <v>818.31</v>
      </c>
      <c r="Y226" s="179">
        <f>IF(SUM('附表1-面积统计表'!$D$6)=0,SUM(T226)-SUM(W226),IF('附表1-面积统计表'!$D$29=0,"",IF(AND(V226="共同成本费用",Z226="总建筑面积法"),ROUND(T226/'附表1-面积统计表'!$D$29*'附表1-面积统计表'!$D$7,2),IF(AND(V226="共同成本费用",Z226="可售建筑面积法"),ROUND(T226/'附表1-面积统计表'!$F$29*'附表1-面积统计表'!$F$7,2),"请手工填写"))))</f>
        <v>334.9</v>
      </c>
      <c r="Z226" s="181" t="s">
        <v>311</v>
      </c>
      <c r="AA226" s="164"/>
      <c r="AB226" s="182" t="s">
        <v>1686</v>
      </c>
    </row>
    <row r="227" ht="29" hidden="1" customHeight="1" outlineLevel="1" spans="1:28">
      <c r="A227" s="159">
        <v>222</v>
      </c>
      <c r="B227" s="227" t="s">
        <v>2298</v>
      </c>
      <c r="C227" s="228" t="s">
        <v>2416</v>
      </c>
      <c r="D227" s="162" t="s">
        <v>1697</v>
      </c>
      <c r="E227" s="163" t="s">
        <v>2314</v>
      </c>
      <c r="F227" s="229" t="s">
        <v>2417</v>
      </c>
      <c r="G227" s="165" t="s">
        <v>1697</v>
      </c>
      <c r="H227" s="164">
        <f>IF(G227="","",VLOOKUP(G227,'附表8-合同明细采集底稿'!B:I,2,0))</f>
        <v>0</v>
      </c>
      <c r="I227" s="92">
        <f>IF(G227="","",VLOOKUP(G227,'附表8-合同明细采集底稿'!B:I,3,0))</f>
        <v>0</v>
      </c>
      <c r="J227" s="164" t="s">
        <v>156</v>
      </c>
      <c r="K227" s="164" t="s">
        <v>1685</v>
      </c>
      <c r="L227" s="165"/>
      <c r="M227" s="165"/>
      <c r="N227" s="239">
        <v>123921</v>
      </c>
      <c r="O227" s="239">
        <v>123921</v>
      </c>
      <c r="P227" s="240">
        <v>123921</v>
      </c>
      <c r="Q227" s="173"/>
      <c r="R227" s="173">
        <f t="shared" si="8"/>
        <v>123921</v>
      </c>
      <c r="S227" s="177">
        <f>IFERROR(VLOOKUP(G227,'附表8-合同明细采集底稿'!B:M,12,0),100%)</f>
        <v>0.329519901724361</v>
      </c>
      <c r="T227" s="173">
        <f t="shared" si="9"/>
        <v>40834.44</v>
      </c>
      <c r="U227" s="164"/>
      <c r="V227" s="178" t="s">
        <v>336</v>
      </c>
      <c r="W227" s="179">
        <f>IF('附表1-面积统计表'!$D$29=0,"",IF(AND(V227="共同成本费用",Z227="总建筑面积法"),ROUND(T227/'附表1-面积统计表'!$D$29*'附表1-面积统计表'!$D$5,2),IF(AND(V227="共同成本费用",Z227="可售建筑面积法"),ROUND(T227/'附表1-面积统计表'!$F$29*'附表1-面积统计表'!$F$5,2),"请手工填写")))</f>
        <v>14913.94</v>
      </c>
      <c r="X227" s="179">
        <f>IF(SUM('附表1-面积统计表'!$D$6)=0,"",SUM(T227)-SUM(W227)-SUM(Y227))</f>
        <v>18392.97</v>
      </c>
      <c r="Y227" s="179">
        <f>IF(SUM('附表1-面积统计表'!$D$6)=0,SUM(T227)-SUM(W227),IF('附表1-面积统计表'!$D$29=0,"",IF(AND(V227="共同成本费用",Z227="总建筑面积法"),ROUND(T227/'附表1-面积统计表'!$D$29*'附表1-面积统计表'!$D$7,2),IF(AND(V227="共同成本费用",Z227="可售建筑面积法"),ROUND(T227/'附表1-面积统计表'!$F$29*'附表1-面积统计表'!$F$7,2),"请手工填写"))))</f>
        <v>7527.53</v>
      </c>
      <c r="Z227" s="181" t="s">
        <v>311</v>
      </c>
      <c r="AA227" s="164"/>
      <c r="AB227" s="182" t="s">
        <v>1686</v>
      </c>
    </row>
    <row r="228" ht="29" hidden="1" customHeight="1" outlineLevel="1" spans="1:28">
      <c r="A228" s="159">
        <v>223</v>
      </c>
      <c r="B228" s="227" t="s">
        <v>742</v>
      </c>
      <c r="C228" s="228" t="s">
        <v>2418</v>
      </c>
      <c r="D228" s="162" t="s">
        <v>1697</v>
      </c>
      <c r="E228" s="163" t="s">
        <v>2314</v>
      </c>
      <c r="F228" s="229" t="s">
        <v>2419</v>
      </c>
      <c r="G228" s="165" t="s">
        <v>1697</v>
      </c>
      <c r="H228" s="164">
        <f>IF(G228="","",VLOOKUP(G228,'附表8-合同明细采集底稿'!B:I,2,0))</f>
        <v>0</v>
      </c>
      <c r="I228" s="92">
        <f>IF(G228="","",VLOOKUP(G228,'附表8-合同明细采集底稿'!B:I,3,0))</f>
        <v>0</v>
      </c>
      <c r="J228" s="164" t="s">
        <v>156</v>
      </c>
      <c r="K228" s="164" t="s">
        <v>1685</v>
      </c>
      <c r="L228" s="165"/>
      <c r="M228" s="165"/>
      <c r="N228" s="239">
        <v>7710.82</v>
      </c>
      <c r="O228" s="239">
        <v>7710.82</v>
      </c>
      <c r="P228" s="240">
        <v>7710.82</v>
      </c>
      <c r="Q228" s="173"/>
      <c r="R228" s="173">
        <f t="shared" si="8"/>
        <v>7710.82</v>
      </c>
      <c r="S228" s="177">
        <f>IFERROR(VLOOKUP(G228,'附表8-合同明细采集底稿'!B:M,12,0),100%)</f>
        <v>0.329519901724361</v>
      </c>
      <c r="T228" s="173">
        <f t="shared" si="9"/>
        <v>2540.87</v>
      </c>
      <c r="U228" s="164"/>
      <c r="V228" s="178" t="s">
        <v>336</v>
      </c>
      <c r="W228" s="179">
        <f>IF('附表1-面积统计表'!$D$29=0,"",IF(AND(V228="共同成本费用",Z228="总建筑面积法"),ROUND(T228/'附表1-面积统计表'!$D$29*'附表1-面积统计表'!$D$5,2),IF(AND(V228="共同成本费用",Z228="可售建筑面积法"),ROUND(T228/'附表1-面积统计表'!$F$29*'附表1-面积统计表'!$F$5,2),"请手工填写")))</f>
        <v>928</v>
      </c>
      <c r="X228" s="179">
        <f>IF(SUM('附表1-面积统计表'!$D$6)=0,"",SUM(T228)-SUM(W228)-SUM(Y228))</f>
        <v>1144.48</v>
      </c>
      <c r="Y228" s="179">
        <f>IF(SUM('附表1-面积统计表'!$D$6)=0,SUM(T228)-SUM(W228),IF('附表1-面积统计表'!$D$29=0,"",IF(AND(V228="共同成本费用",Z228="总建筑面积法"),ROUND(T228/'附表1-面积统计表'!$D$29*'附表1-面积统计表'!$D$7,2),IF(AND(V228="共同成本费用",Z228="可售建筑面积法"),ROUND(T228/'附表1-面积统计表'!$F$29*'附表1-面积统计表'!$F$7,2),"请手工填写"))))</f>
        <v>468.39</v>
      </c>
      <c r="Z228" s="181" t="s">
        <v>311</v>
      </c>
      <c r="AA228" s="164"/>
      <c r="AB228" s="182" t="s">
        <v>1686</v>
      </c>
    </row>
    <row r="229" ht="29" hidden="1" customHeight="1" outlineLevel="1" spans="1:28">
      <c r="A229" s="159">
        <v>224</v>
      </c>
      <c r="B229" s="227" t="s">
        <v>2420</v>
      </c>
      <c r="C229" s="228" t="s">
        <v>2421</v>
      </c>
      <c r="D229" s="162" t="s">
        <v>1697</v>
      </c>
      <c r="E229" s="163" t="s">
        <v>2314</v>
      </c>
      <c r="F229" s="229" t="s">
        <v>2422</v>
      </c>
      <c r="G229" s="165" t="s">
        <v>1697</v>
      </c>
      <c r="H229" s="164">
        <f>IF(G229="","",VLOOKUP(G229,'附表8-合同明细采集底稿'!B:I,2,0))</f>
        <v>0</v>
      </c>
      <c r="I229" s="92">
        <f>IF(G229="","",VLOOKUP(G229,'附表8-合同明细采集底稿'!B:I,3,0))</f>
        <v>0</v>
      </c>
      <c r="J229" s="164" t="s">
        <v>156</v>
      </c>
      <c r="K229" s="164" t="s">
        <v>1685</v>
      </c>
      <c r="L229" s="165"/>
      <c r="M229" s="165"/>
      <c r="N229" s="239">
        <v>115330</v>
      </c>
      <c r="O229" s="239">
        <v>115330</v>
      </c>
      <c r="P229" s="240">
        <v>115330</v>
      </c>
      <c r="Q229" s="173"/>
      <c r="R229" s="173">
        <f t="shared" si="8"/>
        <v>115330</v>
      </c>
      <c r="S229" s="177">
        <f>IFERROR(VLOOKUP(G229,'附表8-合同明细采集底稿'!B:M,12,0),100%)</f>
        <v>0.329519901724361</v>
      </c>
      <c r="T229" s="173">
        <f t="shared" si="9"/>
        <v>38003.53</v>
      </c>
      <c r="U229" s="164"/>
      <c r="V229" s="178" t="s">
        <v>336</v>
      </c>
      <c r="W229" s="179">
        <f>IF('附表1-面积统计表'!$D$29=0,"",IF(AND(V229="共同成本费用",Z229="总建筑面积法"),ROUND(T229/'附表1-面积统计表'!$D$29*'附表1-面积统计表'!$D$5,2),IF(AND(V229="共同成本费用",Z229="可售建筑面积法"),ROUND(T229/'附表1-面积统计表'!$F$29*'附表1-面积统计表'!$F$5,2),"请手工填写")))</f>
        <v>13880.01</v>
      </c>
      <c r="X229" s="179">
        <f>IF(SUM('附表1-面积统计表'!$D$6)=0,"",SUM(T229)-SUM(W229)-SUM(Y229))</f>
        <v>17117.85</v>
      </c>
      <c r="Y229" s="179">
        <f>IF(SUM('附表1-面积统计表'!$D$6)=0,SUM(T229)-SUM(W229),IF('附表1-面积统计表'!$D$29=0,"",IF(AND(V229="共同成本费用",Z229="总建筑面积法"),ROUND(T229/'附表1-面积统计表'!$D$29*'附表1-面积统计表'!$D$7,2),IF(AND(V229="共同成本费用",Z229="可售建筑面积法"),ROUND(T229/'附表1-面积统计表'!$F$29*'附表1-面积统计表'!$F$7,2),"请手工填写"))))</f>
        <v>7005.67</v>
      </c>
      <c r="Z229" s="181" t="s">
        <v>311</v>
      </c>
      <c r="AA229" s="164"/>
      <c r="AB229" s="182" t="s">
        <v>1686</v>
      </c>
    </row>
    <row r="230" ht="29" hidden="1" customHeight="1" outlineLevel="1" spans="1:28">
      <c r="A230" s="159">
        <v>225</v>
      </c>
      <c r="B230" s="227" t="s">
        <v>2423</v>
      </c>
      <c r="C230" s="228" t="s">
        <v>2424</v>
      </c>
      <c r="D230" s="162" t="s">
        <v>1697</v>
      </c>
      <c r="E230" s="163" t="s">
        <v>2314</v>
      </c>
      <c r="F230" s="229" t="s">
        <v>2425</v>
      </c>
      <c r="G230" s="165" t="s">
        <v>1697</v>
      </c>
      <c r="H230" s="164">
        <f>IF(G230="","",VLOOKUP(G230,'附表8-合同明细采集底稿'!B:I,2,0))</f>
        <v>0</v>
      </c>
      <c r="I230" s="92">
        <f>IF(G230="","",VLOOKUP(G230,'附表8-合同明细采集底稿'!B:I,3,0))</f>
        <v>0</v>
      </c>
      <c r="J230" s="164" t="s">
        <v>156</v>
      </c>
      <c r="K230" s="164" t="s">
        <v>1685</v>
      </c>
      <c r="L230" s="165"/>
      <c r="M230" s="165"/>
      <c r="N230" s="239">
        <v>-115330</v>
      </c>
      <c r="O230" s="239">
        <v>-115330</v>
      </c>
      <c r="P230" s="240">
        <v>-115330</v>
      </c>
      <c r="Q230" s="173"/>
      <c r="R230" s="173">
        <f t="shared" si="8"/>
        <v>-115330</v>
      </c>
      <c r="S230" s="177">
        <f>IFERROR(VLOOKUP(G230,'附表8-合同明细采集底稿'!B:M,12,0),100%)</f>
        <v>0.329519901724361</v>
      </c>
      <c r="T230" s="173">
        <f t="shared" si="9"/>
        <v>-38003.53</v>
      </c>
      <c r="U230" s="164"/>
      <c r="V230" s="178" t="s">
        <v>336</v>
      </c>
      <c r="W230" s="179">
        <f>IF('附表1-面积统计表'!$D$29=0,"",IF(AND(V230="共同成本费用",Z230="总建筑面积法"),ROUND(T230/'附表1-面积统计表'!$D$29*'附表1-面积统计表'!$D$5,2),IF(AND(V230="共同成本费用",Z230="可售建筑面积法"),ROUND(T230/'附表1-面积统计表'!$F$29*'附表1-面积统计表'!$F$5,2),"请手工填写")))</f>
        <v>-13880.01</v>
      </c>
      <c r="X230" s="179">
        <f>IF(SUM('附表1-面积统计表'!$D$6)=0,"",SUM(T230)-SUM(W230)-SUM(Y230))</f>
        <v>-17117.85</v>
      </c>
      <c r="Y230" s="179">
        <f>IF(SUM('附表1-面积统计表'!$D$6)=0,SUM(T230)-SUM(W230),IF('附表1-面积统计表'!$D$29=0,"",IF(AND(V230="共同成本费用",Z230="总建筑面积法"),ROUND(T230/'附表1-面积统计表'!$D$29*'附表1-面积统计表'!$D$7,2),IF(AND(V230="共同成本费用",Z230="可售建筑面积法"),ROUND(T230/'附表1-面积统计表'!$F$29*'附表1-面积统计表'!$F$7,2),"请手工填写"))))</f>
        <v>-7005.67</v>
      </c>
      <c r="Z230" s="181" t="s">
        <v>311</v>
      </c>
      <c r="AA230" s="164"/>
      <c r="AB230" s="182" t="s">
        <v>1686</v>
      </c>
    </row>
    <row r="231" ht="29" hidden="1" customHeight="1" outlineLevel="1" spans="1:28">
      <c r="A231" s="159">
        <v>226</v>
      </c>
      <c r="B231" s="227" t="s">
        <v>2423</v>
      </c>
      <c r="C231" s="228" t="s">
        <v>2424</v>
      </c>
      <c r="D231" s="162" t="s">
        <v>1697</v>
      </c>
      <c r="E231" s="163" t="s">
        <v>2314</v>
      </c>
      <c r="F231" s="229" t="s">
        <v>2425</v>
      </c>
      <c r="G231" s="165" t="s">
        <v>1697</v>
      </c>
      <c r="H231" s="164">
        <f>IF(G231="","",VLOOKUP(G231,'附表8-合同明细采集底稿'!B:I,2,0))</f>
        <v>0</v>
      </c>
      <c r="I231" s="92">
        <f>IF(G231="","",VLOOKUP(G231,'附表8-合同明细采集底稿'!B:I,3,0))</f>
        <v>0</v>
      </c>
      <c r="J231" s="164" t="s">
        <v>156</v>
      </c>
      <c r="K231" s="164" t="s">
        <v>1685</v>
      </c>
      <c r="L231" s="165"/>
      <c r="M231" s="165"/>
      <c r="N231" s="239">
        <v>115330</v>
      </c>
      <c r="O231" s="239">
        <v>115330</v>
      </c>
      <c r="P231" s="240">
        <v>115330</v>
      </c>
      <c r="Q231" s="173"/>
      <c r="R231" s="173">
        <f t="shared" si="8"/>
        <v>115330</v>
      </c>
      <c r="S231" s="177">
        <f>IFERROR(VLOOKUP(G231,'附表8-合同明细采集底稿'!B:M,12,0),100%)</f>
        <v>0.329519901724361</v>
      </c>
      <c r="T231" s="173">
        <f t="shared" si="9"/>
        <v>38003.53</v>
      </c>
      <c r="U231" s="164"/>
      <c r="V231" s="178" t="s">
        <v>336</v>
      </c>
      <c r="W231" s="179">
        <f>IF('附表1-面积统计表'!$D$29=0,"",IF(AND(V231="共同成本费用",Z231="总建筑面积法"),ROUND(T231/'附表1-面积统计表'!$D$29*'附表1-面积统计表'!$D$5,2),IF(AND(V231="共同成本费用",Z231="可售建筑面积法"),ROUND(T231/'附表1-面积统计表'!$F$29*'附表1-面积统计表'!$F$5,2),"请手工填写")))</f>
        <v>13880.01</v>
      </c>
      <c r="X231" s="179">
        <f>IF(SUM('附表1-面积统计表'!$D$6)=0,"",SUM(T231)-SUM(W231)-SUM(Y231))</f>
        <v>17117.85</v>
      </c>
      <c r="Y231" s="179">
        <f>IF(SUM('附表1-面积统计表'!$D$6)=0,SUM(T231)-SUM(W231),IF('附表1-面积统计表'!$D$29=0,"",IF(AND(V231="共同成本费用",Z231="总建筑面积法"),ROUND(T231/'附表1-面积统计表'!$D$29*'附表1-面积统计表'!$D$7,2),IF(AND(V231="共同成本费用",Z231="可售建筑面积法"),ROUND(T231/'附表1-面积统计表'!$F$29*'附表1-面积统计表'!$F$7,2),"请手工填写"))))</f>
        <v>7005.67</v>
      </c>
      <c r="Z231" s="181" t="s">
        <v>311</v>
      </c>
      <c r="AA231" s="164"/>
      <c r="AB231" s="182" t="s">
        <v>1686</v>
      </c>
    </row>
    <row r="232" ht="29" hidden="1" customHeight="1" outlineLevel="1" spans="1:28">
      <c r="A232" s="159">
        <v>227</v>
      </c>
      <c r="B232" s="227" t="s">
        <v>2426</v>
      </c>
      <c r="C232" s="228" t="s">
        <v>2427</v>
      </c>
      <c r="D232" s="162" t="s">
        <v>1697</v>
      </c>
      <c r="E232" s="163" t="s">
        <v>2314</v>
      </c>
      <c r="F232" s="229" t="s">
        <v>2428</v>
      </c>
      <c r="G232" s="165" t="s">
        <v>1697</v>
      </c>
      <c r="H232" s="164">
        <f>IF(G232="","",VLOOKUP(G232,'附表8-合同明细采集底稿'!B:I,2,0))</f>
        <v>0</v>
      </c>
      <c r="I232" s="92">
        <f>IF(G232="","",VLOOKUP(G232,'附表8-合同明细采集底稿'!B:I,3,0))</f>
        <v>0</v>
      </c>
      <c r="J232" s="164" t="s">
        <v>156</v>
      </c>
      <c r="K232" s="164" t="s">
        <v>1685</v>
      </c>
      <c r="L232" s="165"/>
      <c r="M232" s="165"/>
      <c r="N232" s="239">
        <v>8401.2</v>
      </c>
      <c r="O232" s="239">
        <v>8401.2</v>
      </c>
      <c r="P232" s="240">
        <v>8401.2</v>
      </c>
      <c r="Q232" s="173"/>
      <c r="R232" s="173">
        <f t="shared" si="8"/>
        <v>8401.2</v>
      </c>
      <c r="S232" s="177">
        <f>IFERROR(VLOOKUP(G232,'附表8-合同明细采集底稿'!B:M,12,0),100%)</f>
        <v>0.329519901724361</v>
      </c>
      <c r="T232" s="173">
        <f t="shared" si="9"/>
        <v>2768.36</v>
      </c>
      <c r="U232" s="164"/>
      <c r="V232" s="178" t="s">
        <v>336</v>
      </c>
      <c r="W232" s="179">
        <f>IF('附表1-面积统计表'!$D$29=0,"",IF(AND(V232="共同成本费用",Z232="总建筑面积法"),ROUND(T232/'附表1-面积统计表'!$D$29*'附表1-面积统计表'!$D$5,2),IF(AND(V232="共同成本费用",Z232="可售建筑面积法"),ROUND(T232/'附表1-面积统计表'!$F$29*'附表1-面积统计表'!$F$5,2),"请手工填写")))</f>
        <v>1011.09</v>
      </c>
      <c r="X232" s="179">
        <f>IF(SUM('附表1-面积统计表'!$D$6)=0,"",SUM(T232)-SUM(W232)-SUM(Y232))</f>
        <v>1246.94</v>
      </c>
      <c r="Y232" s="179">
        <f>IF(SUM('附表1-面积统计表'!$D$6)=0,SUM(T232)-SUM(W232),IF('附表1-面积统计表'!$D$29=0,"",IF(AND(V232="共同成本费用",Z232="总建筑面积法"),ROUND(T232/'附表1-面积统计表'!$D$29*'附表1-面积统计表'!$D$7,2),IF(AND(V232="共同成本费用",Z232="可售建筑面积法"),ROUND(T232/'附表1-面积统计表'!$F$29*'附表1-面积统计表'!$F$7,2),"请手工填写"))))</f>
        <v>510.33</v>
      </c>
      <c r="Z232" s="181" t="s">
        <v>311</v>
      </c>
      <c r="AA232" s="164"/>
      <c r="AB232" s="182" t="s">
        <v>1686</v>
      </c>
    </row>
    <row r="233" ht="29" hidden="1" customHeight="1" outlineLevel="1" spans="1:28">
      <c r="A233" s="159">
        <v>228</v>
      </c>
      <c r="B233" s="227" t="s">
        <v>2083</v>
      </c>
      <c r="C233" s="228" t="s">
        <v>2407</v>
      </c>
      <c r="D233" s="162" t="s">
        <v>1697</v>
      </c>
      <c r="E233" s="163" t="s">
        <v>2314</v>
      </c>
      <c r="F233" s="229" t="s">
        <v>2429</v>
      </c>
      <c r="G233" s="165" t="s">
        <v>1697</v>
      </c>
      <c r="H233" s="164">
        <f>IF(G233="","",VLOOKUP(G233,'附表8-合同明细采集底稿'!B:I,2,0))</f>
        <v>0</v>
      </c>
      <c r="I233" s="92">
        <f>IF(G233="","",VLOOKUP(G233,'附表8-合同明细采集底稿'!B:I,3,0))</f>
        <v>0</v>
      </c>
      <c r="J233" s="164" t="s">
        <v>156</v>
      </c>
      <c r="K233" s="164" t="s">
        <v>1685</v>
      </c>
      <c r="L233" s="165"/>
      <c r="M233" s="165"/>
      <c r="N233" s="239">
        <v>114130</v>
      </c>
      <c r="O233" s="239">
        <v>114130</v>
      </c>
      <c r="P233" s="240">
        <v>114130</v>
      </c>
      <c r="Q233" s="173"/>
      <c r="R233" s="173">
        <f t="shared" si="8"/>
        <v>114130</v>
      </c>
      <c r="S233" s="177">
        <f>IFERROR(VLOOKUP(G233,'附表8-合同明细采集底稿'!B:M,12,0),100%)</f>
        <v>0.329519901724361</v>
      </c>
      <c r="T233" s="173">
        <f t="shared" si="9"/>
        <v>37608.11</v>
      </c>
      <c r="U233" s="164"/>
      <c r="V233" s="178" t="s">
        <v>336</v>
      </c>
      <c r="W233" s="179">
        <f>IF('附表1-面积统计表'!$D$29=0,"",IF(AND(V233="共同成本费用",Z233="总建筑面积法"),ROUND(T233/'附表1-面积统计表'!$D$29*'附表1-面积统计表'!$D$5,2),IF(AND(V233="共同成本费用",Z233="可售建筑面积法"),ROUND(T233/'附表1-面积统计表'!$F$29*'附表1-面积统计表'!$F$5,2),"请手工填写")))</f>
        <v>13735.59</v>
      </c>
      <c r="X233" s="179">
        <f>IF(SUM('附表1-面积统计表'!$D$6)=0,"",SUM(T233)-SUM(W233)-SUM(Y233))</f>
        <v>16939.74</v>
      </c>
      <c r="Y233" s="179">
        <f>IF(SUM('附表1-面积统计表'!$D$6)=0,SUM(T233)-SUM(W233),IF('附表1-面积统计表'!$D$29=0,"",IF(AND(V233="共同成本费用",Z233="总建筑面积法"),ROUND(T233/'附表1-面积统计表'!$D$29*'附表1-面积统计表'!$D$7,2),IF(AND(V233="共同成本费用",Z233="可售建筑面积法"),ROUND(T233/'附表1-面积统计表'!$F$29*'附表1-面积统计表'!$F$7,2),"请手工填写"))))</f>
        <v>6932.78</v>
      </c>
      <c r="Z233" s="181" t="s">
        <v>311</v>
      </c>
      <c r="AA233" s="164"/>
      <c r="AB233" s="182" t="s">
        <v>1686</v>
      </c>
    </row>
    <row r="234" ht="29" hidden="1" customHeight="1" outlineLevel="1" spans="1:28">
      <c r="A234" s="159">
        <v>229</v>
      </c>
      <c r="B234" s="227" t="s">
        <v>2083</v>
      </c>
      <c r="C234" s="228" t="s">
        <v>2430</v>
      </c>
      <c r="D234" s="162" t="s">
        <v>1697</v>
      </c>
      <c r="E234" s="163" t="s">
        <v>2314</v>
      </c>
      <c r="F234" s="229" t="s">
        <v>2431</v>
      </c>
      <c r="G234" s="165" t="s">
        <v>1697</v>
      </c>
      <c r="H234" s="164">
        <f>IF(G234="","",VLOOKUP(G234,'附表8-合同明细采集底稿'!B:I,2,0))</f>
        <v>0</v>
      </c>
      <c r="I234" s="92">
        <f>IF(G234="","",VLOOKUP(G234,'附表8-合同明细采集底稿'!B:I,3,0))</f>
        <v>0</v>
      </c>
      <c r="J234" s="164" t="s">
        <v>156</v>
      </c>
      <c r="K234" s="164" t="s">
        <v>1685</v>
      </c>
      <c r="L234" s="165"/>
      <c r="M234" s="165"/>
      <c r="N234" s="239">
        <v>4332.06</v>
      </c>
      <c r="O234" s="239">
        <v>4332.06</v>
      </c>
      <c r="P234" s="240">
        <v>4332.06</v>
      </c>
      <c r="Q234" s="173"/>
      <c r="R234" s="173">
        <f t="shared" si="8"/>
        <v>4332.06</v>
      </c>
      <c r="S234" s="177">
        <f>IFERROR(VLOOKUP(G234,'附表8-合同明细采集底稿'!B:M,12,0),100%)</f>
        <v>0.329519901724361</v>
      </c>
      <c r="T234" s="173">
        <f t="shared" si="9"/>
        <v>1427.5</v>
      </c>
      <c r="U234" s="164"/>
      <c r="V234" s="178" t="s">
        <v>336</v>
      </c>
      <c r="W234" s="179">
        <f>IF('附表1-面积统计表'!$D$29=0,"",IF(AND(V234="共同成本费用",Z234="总建筑面积法"),ROUND(T234/'附表1-面积统计表'!$D$29*'附表1-面积统计表'!$D$5,2),IF(AND(V234="共同成本费用",Z234="可售建筑面积法"),ROUND(T234/'附表1-面积统计表'!$F$29*'附表1-面积统计表'!$F$5,2),"请手工填写")))</f>
        <v>521.36</v>
      </c>
      <c r="X234" s="179">
        <f>IF(SUM('附表1-面积统计表'!$D$6)=0,"",SUM(T234)-SUM(W234)-SUM(Y234))</f>
        <v>642.99</v>
      </c>
      <c r="Y234" s="179">
        <f>IF(SUM('附表1-面积统计表'!$D$6)=0,SUM(T234)-SUM(W234),IF('附表1-面积统计表'!$D$29=0,"",IF(AND(V234="共同成本费用",Z234="总建筑面积法"),ROUND(T234/'附表1-面积统计表'!$D$29*'附表1-面积统计表'!$D$7,2),IF(AND(V234="共同成本费用",Z234="可售建筑面积法"),ROUND(T234/'附表1-面积统计表'!$F$29*'附表1-面积统计表'!$F$7,2),"请手工填写"))))</f>
        <v>263.15</v>
      </c>
      <c r="Z234" s="181" t="s">
        <v>311</v>
      </c>
      <c r="AA234" s="164"/>
      <c r="AB234" s="182" t="s">
        <v>1686</v>
      </c>
    </row>
    <row r="235" ht="29" hidden="1" customHeight="1" outlineLevel="1" spans="1:28">
      <c r="A235" s="159">
        <v>230</v>
      </c>
      <c r="B235" s="227" t="s">
        <v>2083</v>
      </c>
      <c r="C235" s="228" t="s">
        <v>2399</v>
      </c>
      <c r="D235" s="162" t="s">
        <v>1697</v>
      </c>
      <c r="E235" s="163" t="s">
        <v>2314</v>
      </c>
      <c r="F235" s="229" t="s">
        <v>2432</v>
      </c>
      <c r="G235" s="165" t="s">
        <v>1697</v>
      </c>
      <c r="H235" s="164">
        <f>IF(G235="","",VLOOKUP(G235,'附表8-合同明细采集底稿'!B:I,2,0))</f>
        <v>0</v>
      </c>
      <c r="I235" s="92">
        <f>IF(G235="","",VLOOKUP(G235,'附表8-合同明细采集底稿'!B:I,3,0))</f>
        <v>0</v>
      </c>
      <c r="J235" s="164" t="s">
        <v>156</v>
      </c>
      <c r="K235" s="164" t="s">
        <v>1685</v>
      </c>
      <c r="L235" s="165"/>
      <c r="M235" s="165"/>
      <c r="N235" s="239">
        <v>105685.84</v>
      </c>
      <c r="O235" s="239">
        <v>105685.84</v>
      </c>
      <c r="P235" s="240">
        <v>105685.84</v>
      </c>
      <c r="Q235" s="173"/>
      <c r="R235" s="173">
        <f t="shared" si="8"/>
        <v>105685.84</v>
      </c>
      <c r="S235" s="177">
        <f>IFERROR(VLOOKUP(G235,'附表8-合同明细采集底稿'!B:M,12,0),100%)</f>
        <v>0.329519901724361</v>
      </c>
      <c r="T235" s="173">
        <f t="shared" si="9"/>
        <v>34825.59</v>
      </c>
      <c r="U235" s="164"/>
      <c r="V235" s="178" t="s">
        <v>336</v>
      </c>
      <c r="W235" s="179">
        <f>IF('附表1-面积统计表'!$D$29=0,"",IF(AND(V235="共同成本费用",Z235="总建筑面积法"),ROUND(T235/'附表1-面积统计表'!$D$29*'附表1-面积统计表'!$D$5,2),IF(AND(V235="共同成本费用",Z235="可售建筑面积法"),ROUND(T235/'附表1-面积统计表'!$F$29*'附表1-面积统计表'!$F$5,2),"请手工填写")))</f>
        <v>12719.33</v>
      </c>
      <c r="X235" s="179">
        <f>IF(SUM('附表1-面积统计表'!$D$6)=0,"",SUM(T235)-SUM(W235)-SUM(Y235))</f>
        <v>15686.42</v>
      </c>
      <c r="Y235" s="179">
        <f>IF(SUM('附表1-面积统计表'!$D$6)=0,SUM(T235)-SUM(W235),IF('附表1-面积统计表'!$D$29=0,"",IF(AND(V235="共同成本费用",Z235="总建筑面积法"),ROUND(T235/'附表1-面积统计表'!$D$29*'附表1-面积统计表'!$D$7,2),IF(AND(V235="共同成本费用",Z235="可售建筑面积法"),ROUND(T235/'附表1-面积统计表'!$F$29*'附表1-面积统计表'!$F$7,2),"请手工填写"))))</f>
        <v>6419.84</v>
      </c>
      <c r="Z235" s="181" t="s">
        <v>311</v>
      </c>
      <c r="AA235" s="164"/>
      <c r="AB235" s="182" t="s">
        <v>1686</v>
      </c>
    </row>
    <row r="236" ht="29" hidden="1" customHeight="1" outlineLevel="1" spans="1:28">
      <c r="A236" s="159">
        <v>231</v>
      </c>
      <c r="B236" s="227" t="s">
        <v>2083</v>
      </c>
      <c r="C236" s="228" t="s">
        <v>2433</v>
      </c>
      <c r="D236" s="162" t="s">
        <v>1697</v>
      </c>
      <c r="E236" s="163" t="s">
        <v>2314</v>
      </c>
      <c r="F236" s="229" t="s">
        <v>2434</v>
      </c>
      <c r="G236" s="165" t="s">
        <v>1697</v>
      </c>
      <c r="H236" s="164">
        <f>IF(G236="","",VLOOKUP(G236,'附表8-合同明细采集底稿'!B:I,2,0))</f>
        <v>0</v>
      </c>
      <c r="I236" s="92">
        <f>IF(G236="","",VLOOKUP(G236,'附表8-合同明细采集底稿'!B:I,3,0))</f>
        <v>0</v>
      </c>
      <c r="J236" s="164" t="s">
        <v>156</v>
      </c>
      <c r="K236" s="164" t="s">
        <v>1685</v>
      </c>
      <c r="L236" s="165"/>
      <c r="M236" s="165"/>
      <c r="N236" s="239">
        <v>4332.06</v>
      </c>
      <c r="O236" s="239">
        <v>4332.06</v>
      </c>
      <c r="P236" s="240">
        <v>4332.06</v>
      </c>
      <c r="Q236" s="173"/>
      <c r="R236" s="173">
        <f t="shared" si="8"/>
        <v>4332.06</v>
      </c>
      <c r="S236" s="177">
        <f>IFERROR(VLOOKUP(G236,'附表8-合同明细采集底稿'!B:M,12,0),100%)</f>
        <v>0.329519901724361</v>
      </c>
      <c r="T236" s="173">
        <f t="shared" si="9"/>
        <v>1427.5</v>
      </c>
      <c r="U236" s="164"/>
      <c r="V236" s="178" t="s">
        <v>336</v>
      </c>
      <c r="W236" s="179">
        <f>IF('附表1-面积统计表'!$D$29=0,"",IF(AND(V236="共同成本费用",Z236="总建筑面积法"),ROUND(T236/'附表1-面积统计表'!$D$29*'附表1-面积统计表'!$D$5,2),IF(AND(V236="共同成本费用",Z236="可售建筑面积法"),ROUND(T236/'附表1-面积统计表'!$F$29*'附表1-面积统计表'!$F$5,2),"请手工填写")))</f>
        <v>521.36</v>
      </c>
      <c r="X236" s="179">
        <f>IF(SUM('附表1-面积统计表'!$D$6)=0,"",SUM(T236)-SUM(W236)-SUM(Y236))</f>
        <v>642.99</v>
      </c>
      <c r="Y236" s="179">
        <f>IF(SUM('附表1-面积统计表'!$D$6)=0,SUM(T236)-SUM(W236),IF('附表1-面积统计表'!$D$29=0,"",IF(AND(V236="共同成本费用",Z236="总建筑面积法"),ROUND(T236/'附表1-面积统计表'!$D$29*'附表1-面积统计表'!$D$7,2),IF(AND(V236="共同成本费用",Z236="可售建筑面积法"),ROUND(T236/'附表1-面积统计表'!$F$29*'附表1-面积统计表'!$F$7,2),"请手工填写"))))</f>
        <v>263.15</v>
      </c>
      <c r="Z236" s="181" t="s">
        <v>311</v>
      </c>
      <c r="AA236" s="164"/>
      <c r="AB236" s="182" t="s">
        <v>1686</v>
      </c>
    </row>
    <row r="237" ht="29" hidden="1" customHeight="1" outlineLevel="1" spans="1:28">
      <c r="A237" s="159">
        <v>232</v>
      </c>
      <c r="B237" s="227" t="s">
        <v>2083</v>
      </c>
      <c r="C237" s="228" t="s">
        <v>2080</v>
      </c>
      <c r="D237" s="162" t="s">
        <v>1697</v>
      </c>
      <c r="E237" s="163" t="s">
        <v>2314</v>
      </c>
      <c r="F237" s="229" t="s">
        <v>2435</v>
      </c>
      <c r="G237" s="165" t="s">
        <v>1697</v>
      </c>
      <c r="H237" s="164">
        <f>IF(G237="","",VLOOKUP(G237,'附表8-合同明细采集底稿'!B:I,2,0))</f>
        <v>0</v>
      </c>
      <c r="I237" s="92">
        <f>IF(G237="","",VLOOKUP(G237,'附表8-合同明细采集底稿'!B:I,3,0))</f>
        <v>0</v>
      </c>
      <c r="J237" s="164" t="s">
        <v>156</v>
      </c>
      <c r="K237" s="164" t="s">
        <v>1685</v>
      </c>
      <c r="L237" s="165"/>
      <c r="M237" s="165"/>
      <c r="N237" s="239">
        <v>65220.22</v>
      </c>
      <c r="O237" s="239">
        <v>65220.22</v>
      </c>
      <c r="P237" s="240">
        <v>65220.22</v>
      </c>
      <c r="Q237" s="173"/>
      <c r="R237" s="173">
        <f t="shared" si="8"/>
        <v>65220.22</v>
      </c>
      <c r="S237" s="177">
        <f>IFERROR(VLOOKUP(G237,'附表8-合同明细采集底稿'!B:M,12,0),100%)</f>
        <v>0.329519901724361</v>
      </c>
      <c r="T237" s="173">
        <f t="shared" si="9"/>
        <v>21491.36</v>
      </c>
      <c r="U237" s="164"/>
      <c r="V237" s="178" t="s">
        <v>336</v>
      </c>
      <c r="W237" s="179">
        <f>IF('附表1-面积统计表'!$D$29=0,"",IF(AND(V237="共同成本费用",Z237="总建筑面积法"),ROUND(T237/'附表1-面积统计表'!$D$29*'附表1-面积统计表'!$D$5,2),IF(AND(V237="共同成本费用",Z237="可售建筑面积法"),ROUND(T237/'附表1-面积统计表'!$F$29*'附表1-面积统计表'!$F$5,2),"请手工填写")))</f>
        <v>7849.28</v>
      </c>
      <c r="X237" s="179">
        <f>IF(SUM('附表1-面积统计表'!$D$6)=0,"",SUM(T237)-SUM(W237)-SUM(Y237))</f>
        <v>9680.3</v>
      </c>
      <c r="Y237" s="179">
        <f>IF(SUM('附表1-面积统计表'!$D$6)=0,SUM(T237)-SUM(W237),IF('附表1-面积统计表'!$D$29=0,"",IF(AND(V237="共同成本费用",Z237="总建筑面积法"),ROUND(T237/'附表1-面积统计表'!$D$29*'附表1-面积统计表'!$D$7,2),IF(AND(V237="共同成本费用",Z237="可售建筑面积法"),ROUND(T237/'附表1-面积统计表'!$F$29*'附表1-面积统计表'!$F$7,2),"请手工填写"))))</f>
        <v>3961.78</v>
      </c>
      <c r="Z237" s="181" t="s">
        <v>311</v>
      </c>
      <c r="AA237" s="164"/>
      <c r="AB237" s="182" t="s">
        <v>1686</v>
      </c>
    </row>
    <row r="238" ht="29" hidden="1" customHeight="1" outlineLevel="1" spans="1:28">
      <c r="A238" s="159">
        <v>233</v>
      </c>
      <c r="B238" s="227" t="s">
        <v>2436</v>
      </c>
      <c r="C238" s="228" t="s">
        <v>2437</v>
      </c>
      <c r="D238" s="162" t="s">
        <v>1697</v>
      </c>
      <c r="E238" s="163" t="s">
        <v>2314</v>
      </c>
      <c r="F238" s="229" t="s">
        <v>2319</v>
      </c>
      <c r="G238" s="165" t="s">
        <v>1697</v>
      </c>
      <c r="H238" s="164">
        <f>IF(G238="","",VLOOKUP(G238,'附表8-合同明细采集底稿'!B:I,2,0))</f>
        <v>0</v>
      </c>
      <c r="I238" s="92">
        <f>IF(G238="","",VLOOKUP(G238,'附表8-合同明细采集底稿'!B:I,3,0))</f>
        <v>0</v>
      </c>
      <c r="J238" s="164" t="s">
        <v>156</v>
      </c>
      <c r="K238" s="164" t="s">
        <v>1685</v>
      </c>
      <c r="L238" s="165"/>
      <c r="M238" s="165"/>
      <c r="N238" s="239">
        <v>50414.64</v>
      </c>
      <c r="O238" s="239">
        <v>50414.64</v>
      </c>
      <c r="P238" s="240">
        <v>50414.64</v>
      </c>
      <c r="Q238" s="173"/>
      <c r="R238" s="173">
        <f t="shared" si="8"/>
        <v>50414.64</v>
      </c>
      <c r="S238" s="177">
        <f>IFERROR(VLOOKUP(G238,'附表8-合同明细采集底稿'!B:M,12,0),100%)</f>
        <v>0.329519901724361</v>
      </c>
      <c r="T238" s="173">
        <f t="shared" si="9"/>
        <v>16612.63</v>
      </c>
      <c r="U238" s="164"/>
      <c r="V238" s="178" t="s">
        <v>336</v>
      </c>
      <c r="W238" s="179">
        <f>IF('附表1-面积统计表'!$D$29=0,"",IF(AND(V238="共同成本费用",Z238="总建筑面积法"),ROUND(T238/'附表1-面积统计表'!$D$29*'附表1-面积统计表'!$D$5,2),IF(AND(V238="共同成本费用",Z238="可售建筑面积法"),ROUND(T238/'附表1-面积统计表'!$F$29*'附表1-面积统计表'!$F$5,2),"请手工填写")))</f>
        <v>6067.42</v>
      </c>
      <c r="X238" s="179">
        <f>IF(SUM('附表1-面积统计表'!$D$6)=0,"",SUM(T238)-SUM(W238)-SUM(Y238))</f>
        <v>7482.79</v>
      </c>
      <c r="Y238" s="179">
        <f>IF(SUM('附表1-面积统计表'!$D$6)=0,SUM(T238)-SUM(W238),IF('附表1-面积统计表'!$D$29=0,"",IF(AND(V238="共同成本费用",Z238="总建筑面积法"),ROUND(T238/'附表1-面积统计表'!$D$29*'附表1-面积统计表'!$D$7,2),IF(AND(V238="共同成本费用",Z238="可售建筑面积法"),ROUND(T238/'附表1-面积统计表'!$F$29*'附表1-面积统计表'!$F$7,2),"请手工填写"))))</f>
        <v>3062.42</v>
      </c>
      <c r="Z238" s="181" t="s">
        <v>311</v>
      </c>
      <c r="AA238" s="164"/>
      <c r="AB238" s="182" t="s">
        <v>1686</v>
      </c>
    </row>
    <row r="239" ht="29" hidden="1" customHeight="1" outlineLevel="1" spans="1:28">
      <c r="A239" s="159">
        <v>234</v>
      </c>
      <c r="B239" s="227" t="s">
        <v>2436</v>
      </c>
      <c r="C239" s="228" t="s">
        <v>2438</v>
      </c>
      <c r="D239" s="162" t="s">
        <v>1697</v>
      </c>
      <c r="E239" s="163" t="s">
        <v>2314</v>
      </c>
      <c r="F239" s="229" t="s">
        <v>2439</v>
      </c>
      <c r="G239" s="165" t="s">
        <v>1697</v>
      </c>
      <c r="H239" s="164">
        <f>IF(G239="","",VLOOKUP(G239,'附表8-合同明细采集底稿'!B:I,2,0))</f>
        <v>0</v>
      </c>
      <c r="I239" s="92">
        <f>IF(G239="","",VLOOKUP(G239,'附表8-合同明细采集底稿'!B:I,3,0))</f>
        <v>0</v>
      </c>
      <c r="J239" s="164" t="s">
        <v>156</v>
      </c>
      <c r="K239" s="164" t="s">
        <v>1685</v>
      </c>
      <c r="L239" s="165"/>
      <c r="M239" s="165"/>
      <c r="N239" s="239">
        <v>7446.7</v>
      </c>
      <c r="O239" s="239">
        <v>7446.7</v>
      </c>
      <c r="P239" s="240">
        <v>7446.7</v>
      </c>
      <c r="Q239" s="173"/>
      <c r="R239" s="173">
        <f t="shared" si="8"/>
        <v>7446.7</v>
      </c>
      <c r="S239" s="177">
        <f>IFERROR(VLOOKUP(G239,'附表8-合同明细采集底稿'!B:M,12,0),100%)</f>
        <v>0.329519901724361</v>
      </c>
      <c r="T239" s="173">
        <f t="shared" si="9"/>
        <v>2453.84</v>
      </c>
      <c r="U239" s="164"/>
      <c r="V239" s="178" t="s">
        <v>336</v>
      </c>
      <c r="W239" s="179">
        <f>IF('附表1-面积统计表'!$D$29=0,"",IF(AND(V239="共同成本费用",Z239="总建筑面积法"),ROUND(T239/'附表1-面积统计表'!$D$29*'附表1-面积统计表'!$D$5,2),IF(AND(V239="共同成本费用",Z239="可售建筑面积法"),ROUND(T239/'附表1-面积统计表'!$F$29*'附表1-面积统计表'!$F$5,2),"请手工填写")))</f>
        <v>896.21</v>
      </c>
      <c r="X239" s="179">
        <f>IF(SUM('附表1-面积统计表'!$D$6)=0,"",SUM(T239)-SUM(W239)-SUM(Y239))</f>
        <v>1105.28</v>
      </c>
      <c r="Y239" s="179">
        <f>IF(SUM('附表1-面积统计表'!$D$6)=0,SUM(T239)-SUM(W239),IF('附表1-面积统计表'!$D$29=0,"",IF(AND(V239="共同成本费用",Z239="总建筑面积法"),ROUND(T239/'附表1-面积统计表'!$D$29*'附表1-面积统计表'!$D$7,2),IF(AND(V239="共同成本费用",Z239="可售建筑面积法"),ROUND(T239/'附表1-面积统计表'!$F$29*'附表1-面积统计表'!$F$7,2),"请手工填写"))))</f>
        <v>452.35</v>
      </c>
      <c r="Z239" s="181" t="s">
        <v>311</v>
      </c>
      <c r="AA239" s="164"/>
      <c r="AB239" s="182" t="s">
        <v>1686</v>
      </c>
    </row>
    <row r="240" ht="29" hidden="1" customHeight="1" outlineLevel="1" spans="1:28">
      <c r="A240" s="159">
        <v>235</v>
      </c>
      <c r="B240" s="227" t="s">
        <v>2436</v>
      </c>
      <c r="C240" s="228" t="s">
        <v>2440</v>
      </c>
      <c r="D240" s="162" t="s">
        <v>1697</v>
      </c>
      <c r="E240" s="163" t="s">
        <v>2314</v>
      </c>
      <c r="F240" s="229" t="s">
        <v>2387</v>
      </c>
      <c r="G240" s="165" t="s">
        <v>1697</v>
      </c>
      <c r="H240" s="164">
        <f>IF(G240="","",VLOOKUP(G240,'附表8-合同明细采集底稿'!B:I,2,0))</f>
        <v>0</v>
      </c>
      <c r="I240" s="92">
        <f>IF(G240="","",VLOOKUP(G240,'附表8-合同明细采集底稿'!B:I,3,0))</f>
        <v>0</v>
      </c>
      <c r="J240" s="164" t="s">
        <v>156</v>
      </c>
      <c r="K240" s="164" t="s">
        <v>1685</v>
      </c>
      <c r="L240" s="165"/>
      <c r="M240" s="165"/>
      <c r="N240" s="239">
        <v>4332.06</v>
      </c>
      <c r="O240" s="239">
        <v>4332.06</v>
      </c>
      <c r="P240" s="240">
        <v>4332.06</v>
      </c>
      <c r="Q240" s="173"/>
      <c r="R240" s="173">
        <f t="shared" si="8"/>
        <v>4332.06</v>
      </c>
      <c r="S240" s="177">
        <f>IFERROR(VLOOKUP(G240,'附表8-合同明细采集底稿'!B:M,12,0),100%)</f>
        <v>0.329519901724361</v>
      </c>
      <c r="T240" s="173">
        <f t="shared" si="9"/>
        <v>1427.5</v>
      </c>
      <c r="U240" s="164"/>
      <c r="V240" s="178" t="s">
        <v>336</v>
      </c>
      <c r="W240" s="179">
        <f>IF('附表1-面积统计表'!$D$29=0,"",IF(AND(V240="共同成本费用",Z240="总建筑面积法"),ROUND(T240/'附表1-面积统计表'!$D$29*'附表1-面积统计表'!$D$5,2),IF(AND(V240="共同成本费用",Z240="可售建筑面积法"),ROUND(T240/'附表1-面积统计表'!$F$29*'附表1-面积统计表'!$F$5,2),"请手工填写")))</f>
        <v>521.36</v>
      </c>
      <c r="X240" s="179">
        <f>IF(SUM('附表1-面积统计表'!$D$6)=0,"",SUM(T240)-SUM(W240)-SUM(Y240))</f>
        <v>642.99</v>
      </c>
      <c r="Y240" s="179">
        <f>IF(SUM('附表1-面积统计表'!$D$6)=0,SUM(T240)-SUM(W240),IF('附表1-面积统计表'!$D$29=0,"",IF(AND(V240="共同成本费用",Z240="总建筑面积法"),ROUND(T240/'附表1-面积统计表'!$D$29*'附表1-面积统计表'!$D$7,2),IF(AND(V240="共同成本费用",Z240="可售建筑面积法"),ROUND(T240/'附表1-面积统计表'!$F$29*'附表1-面积统计表'!$F$7,2),"请手工填写"))))</f>
        <v>263.15</v>
      </c>
      <c r="Z240" s="181" t="s">
        <v>311</v>
      </c>
      <c r="AA240" s="164"/>
      <c r="AB240" s="182" t="s">
        <v>1686</v>
      </c>
    </row>
    <row r="241" ht="29" hidden="1" customHeight="1" outlineLevel="1" spans="1:28">
      <c r="A241" s="159">
        <v>236</v>
      </c>
      <c r="B241" s="227" t="s">
        <v>2441</v>
      </c>
      <c r="C241" s="228" t="s">
        <v>2213</v>
      </c>
      <c r="D241" s="162" t="s">
        <v>1697</v>
      </c>
      <c r="E241" s="163" t="s">
        <v>2314</v>
      </c>
      <c r="F241" s="230" t="s">
        <v>2442</v>
      </c>
      <c r="G241" s="165" t="s">
        <v>1697</v>
      </c>
      <c r="H241" s="164">
        <f>IF(G241="","",VLOOKUP(G241,'附表8-合同明细采集底稿'!B:I,2,0))</f>
        <v>0</v>
      </c>
      <c r="I241" s="92">
        <f>IF(G241="","",VLOOKUP(G241,'附表8-合同明细采集底稿'!B:I,3,0))</f>
        <v>0</v>
      </c>
      <c r="J241" s="164" t="s">
        <v>156</v>
      </c>
      <c r="K241" s="164" t="s">
        <v>1685</v>
      </c>
      <c r="L241" s="165"/>
      <c r="M241" s="165"/>
      <c r="N241" s="237">
        <v>133170</v>
      </c>
      <c r="O241" s="237">
        <v>133170</v>
      </c>
      <c r="P241" s="241">
        <v>133170</v>
      </c>
      <c r="Q241" s="173"/>
      <c r="R241" s="173">
        <f t="shared" si="8"/>
        <v>133170</v>
      </c>
      <c r="S241" s="177">
        <f>IFERROR(VLOOKUP(G241,'附表8-合同明细采集底稿'!B:M,12,0),100%)</f>
        <v>0.329519901724361</v>
      </c>
      <c r="T241" s="173">
        <f t="shared" si="9"/>
        <v>43882.17</v>
      </c>
      <c r="U241" s="164"/>
      <c r="V241" s="178" t="s">
        <v>336</v>
      </c>
      <c r="W241" s="179">
        <f>IF('附表1-面积统计表'!$D$29=0,"",IF(AND(V241="共同成本费用",Z241="总建筑面积法"),ROUND(T241/'附表1-面积统计表'!$D$29*'附表1-面积统计表'!$D$5,2),IF(AND(V241="共同成本费用",Z241="可售建筑面积法"),ROUND(T241/'附表1-面积统计表'!$F$29*'附表1-面积统计表'!$F$5,2),"请手工填写")))</f>
        <v>16027.06</v>
      </c>
      <c r="X241" s="179">
        <f>IF(SUM('附表1-面积统计表'!$D$6)=0,"",SUM(T241)-SUM(W241)-SUM(Y241))</f>
        <v>19765.75</v>
      </c>
      <c r="Y241" s="179">
        <f>IF(SUM('附表1-面积统计表'!$D$6)=0,SUM(T241)-SUM(W241),IF('附表1-面积统计表'!$D$29=0,"",IF(AND(V241="共同成本费用",Z241="总建筑面积法"),ROUND(T241/'附表1-面积统计表'!$D$29*'附表1-面积统计表'!$D$7,2),IF(AND(V241="共同成本费用",Z241="可售建筑面积法"),ROUND(T241/'附表1-面积统计表'!$F$29*'附表1-面积统计表'!$F$7,2),"请手工填写"))))</f>
        <v>8089.36</v>
      </c>
      <c r="Z241" s="181" t="s">
        <v>311</v>
      </c>
      <c r="AA241" s="164"/>
      <c r="AB241" s="182" t="s">
        <v>1686</v>
      </c>
    </row>
    <row r="242" ht="29" hidden="1" customHeight="1" outlineLevel="1" spans="1:28">
      <c r="A242" s="159">
        <v>237</v>
      </c>
      <c r="B242" s="227" t="s">
        <v>2443</v>
      </c>
      <c r="C242" s="228" t="s">
        <v>2444</v>
      </c>
      <c r="D242" s="162" t="s">
        <v>1697</v>
      </c>
      <c r="E242" s="163" t="s">
        <v>2314</v>
      </c>
      <c r="F242" s="230" t="s">
        <v>2429</v>
      </c>
      <c r="G242" s="165" t="s">
        <v>1697</v>
      </c>
      <c r="H242" s="164">
        <f>IF(G242="","",VLOOKUP(G242,'附表8-合同明细采集底稿'!B:I,2,0))</f>
        <v>0</v>
      </c>
      <c r="I242" s="92">
        <f>IF(G242="","",VLOOKUP(G242,'附表8-合同明细采集底稿'!B:I,3,0))</f>
        <v>0</v>
      </c>
      <c r="J242" s="164" t="s">
        <v>156</v>
      </c>
      <c r="K242" s="164" t="s">
        <v>1685</v>
      </c>
      <c r="L242" s="165"/>
      <c r="M242" s="165"/>
      <c r="N242" s="237">
        <v>125915.13</v>
      </c>
      <c r="O242" s="237">
        <v>125915.13</v>
      </c>
      <c r="P242" s="241">
        <v>125915.13</v>
      </c>
      <c r="Q242" s="173"/>
      <c r="R242" s="173">
        <f t="shared" si="8"/>
        <v>125915.13</v>
      </c>
      <c r="S242" s="177">
        <f>IFERROR(VLOOKUP(G242,'附表8-合同明细采集底稿'!B:M,12,0),100%)</f>
        <v>0.329519901724361</v>
      </c>
      <c r="T242" s="173">
        <f t="shared" si="9"/>
        <v>41491.54</v>
      </c>
      <c r="U242" s="164"/>
      <c r="V242" s="178" t="s">
        <v>336</v>
      </c>
      <c r="W242" s="179">
        <f>IF('附表1-面积统计表'!$D$29=0,"",IF(AND(V242="共同成本费用",Z242="总建筑面积法"),ROUND(T242/'附表1-面积统计表'!$D$29*'附表1-面积统计表'!$D$5,2),IF(AND(V242="共同成本费用",Z242="可售建筑面积法"),ROUND(T242/'附表1-面积统计表'!$F$29*'附表1-面积统计表'!$F$5,2),"请手工填写")))</f>
        <v>15153.93</v>
      </c>
      <c r="X242" s="179">
        <f>IF(SUM('附表1-面积统计表'!$D$6)=0,"",SUM(T242)-SUM(W242)-SUM(Y242))</f>
        <v>18688.95</v>
      </c>
      <c r="Y242" s="179">
        <f>IF(SUM('附表1-面积统计表'!$D$6)=0,SUM(T242)-SUM(W242),IF('附表1-面积统计表'!$D$29=0,"",IF(AND(V242="共同成本费用",Z242="总建筑面积法"),ROUND(T242/'附表1-面积统计表'!$D$29*'附表1-面积统计表'!$D$7,2),IF(AND(V242="共同成本费用",Z242="可售建筑面积法"),ROUND(T242/'附表1-面积统计表'!$F$29*'附表1-面积统计表'!$F$7,2),"请手工填写"))))</f>
        <v>7648.66</v>
      </c>
      <c r="Z242" s="181" t="s">
        <v>311</v>
      </c>
      <c r="AA242" s="164"/>
      <c r="AB242" s="182" t="s">
        <v>1686</v>
      </c>
    </row>
    <row r="243" ht="29" hidden="1" customHeight="1" outlineLevel="1" spans="1:28">
      <c r="A243" s="159">
        <v>238</v>
      </c>
      <c r="B243" s="227" t="s">
        <v>2445</v>
      </c>
      <c r="C243" s="228" t="s">
        <v>2446</v>
      </c>
      <c r="D243" s="162" t="s">
        <v>1697</v>
      </c>
      <c r="E243" s="163" t="s">
        <v>2314</v>
      </c>
      <c r="F243" s="230" t="s">
        <v>2447</v>
      </c>
      <c r="G243" s="165" t="s">
        <v>1697</v>
      </c>
      <c r="H243" s="164">
        <f>IF(G243="","",VLOOKUP(G243,'附表8-合同明细采集底稿'!B:I,2,0))</f>
        <v>0</v>
      </c>
      <c r="I243" s="92">
        <f>IF(G243="","",VLOOKUP(G243,'附表8-合同明细采集底稿'!B:I,3,0))</f>
        <v>0</v>
      </c>
      <c r="J243" s="164" t="s">
        <v>156</v>
      </c>
      <c r="K243" s="164" t="s">
        <v>1685</v>
      </c>
      <c r="L243" s="165"/>
      <c r="M243" s="165"/>
      <c r="N243" s="237">
        <v>32831</v>
      </c>
      <c r="O243" s="237">
        <v>32831</v>
      </c>
      <c r="P243" s="241">
        <v>32831</v>
      </c>
      <c r="Q243" s="173"/>
      <c r="R243" s="173">
        <f t="shared" si="8"/>
        <v>32831</v>
      </c>
      <c r="S243" s="177">
        <f>IFERROR(VLOOKUP(G243,'附表8-合同明细采集底稿'!B:M,12,0),100%)</f>
        <v>0.329519901724361</v>
      </c>
      <c r="T243" s="173">
        <f t="shared" si="9"/>
        <v>10818.47</v>
      </c>
      <c r="U243" s="164"/>
      <c r="V243" s="178" t="s">
        <v>336</v>
      </c>
      <c r="W243" s="179">
        <f>IF('附表1-面积统计表'!$D$29=0,"",IF(AND(V243="共同成本费用",Z243="总建筑面积法"),ROUND(T243/'附表1-面积统计表'!$D$29*'附表1-面积统计表'!$D$5,2),IF(AND(V243="共同成本费用",Z243="可售建筑面积法"),ROUND(T243/'附表1-面积统计表'!$F$29*'附表1-面积统计表'!$F$5,2),"请手工填写")))</f>
        <v>3951.22</v>
      </c>
      <c r="X243" s="179">
        <f>IF(SUM('附表1-面积统计表'!$D$6)=0,"",SUM(T243)-SUM(W243)-SUM(Y243))</f>
        <v>4872.94</v>
      </c>
      <c r="Y243" s="179">
        <f>IF(SUM('附表1-面积统计表'!$D$6)=0,SUM(T243)-SUM(W243),IF('附表1-面积统计表'!$D$29=0,"",IF(AND(V243="共同成本费用",Z243="总建筑面积法"),ROUND(T243/'附表1-面积统计表'!$D$29*'附表1-面积统计表'!$D$7,2),IF(AND(V243="共同成本费用",Z243="可售建筑面积法"),ROUND(T243/'附表1-面积统计表'!$F$29*'附表1-面积统计表'!$F$7,2),"请手工填写"))))</f>
        <v>1994.31</v>
      </c>
      <c r="Z243" s="181" t="s">
        <v>311</v>
      </c>
      <c r="AA243" s="164"/>
      <c r="AB243" s="182" t="s">
        <v>1686</v>
      </c>
    </row>
    <row r="244" ht="29" hidden="1" customHeight="1" outlineLevel="1" collapsed="1" spans="1:28">
      <c r="A244" s="159">
        <v>239</v>
      </c>
      <c r="B244" s="231" t="s">
        <v>2261</v>
      </c>
      <c r="C244" s="232" t="s">
        <v>2262</v>
      </c>
      <c r="D244" s="162" t="s">
        <v>1700</v>
      </c>
      <c r="E244" s="163" t="s">
        <v>1880</v>
      </c>
      <c r="F244" s="233" t="s">
        <v>2263</v>
      </c>
      <c r="G244" s="165" t="s">
        <v>2266</v>
      </c>
      <c r="H244" s="164" t="str">
        <f>IF(G244="","",VLOOKUP(G244,'附表8-合同明细采集底稿'!B:I,2,0))</f>
        <v>沁春锦苑地面停车线、道路标线、人防楼梯间环氧树脂工程</v>
      </c>
      <c r="I244" s="92" t="str">
        <f>IF(G244="","",VLOOKUP(G244,'附表8-合同明细采集底稿'!B:I,3,0))</f>
        <v>建设工程合同</v>
      </c>
      <c r="J244" s="164" t="str">
        <f>IF(G244="","",VLOOKUP(G244,'附表8-合同明细采集底稿'!B:I,4,0))</f>
        <v>巴州卓晟环保科技有限公司（李欢欢1899960）</v>
      </c>
      <c r="K244" s="164" t="s">
        <v>1711</v>
      </c>
      <c r="L244" s="165"/>
      <c r="M244" s="242" t="s">
        <v>2265</v>
      </c>
      <c r="N244" s="173">
        <v>25918.59</v>
      </c>
      <c r="O244" s="173">
        <v>26696.1477</v>
      </c>
      <c r="P244" s="174">
        <v>25918.59</v>
      </c>
      <c r="Q244" s="173"/>
      <c r="R244" s="173">
        <f t="shared" si="8"/>
        <v>25918.59</v>
      </c>
      <c r="S244" s="177">
        <f>IFERROR(VLOOKUP(G244,'附表8-合同明细采集底稿'!B:M,12,0),100%)</f>
        <v>0.329519901724361</v>
      </c>
      <c r="T244" s="173">
        <f t="shared" si="9"/>
        <v>8540.69</v>
      </c>
      <c r="U244" s="208" t="s">
        <v>2448</v>
      </c>
      <c r="V244" s="178" t="s">
        <v>336</v>
      </c>
      <c r="W244" s="179">
        <f>IF('附表1-面积统计表'!$D$29=0,"",IF(AND(V244="共同成本费用",Z244="总建筑面积法"),ROUND(T244/'附表1-面积统计表'!$D$29*'附表1-面积统计表'!$D$5,2),IF(AND(V244="共同成本费用",Z244="可售建筑面积法"),ROUND(T244/'附表1-面积统计表'!$F$29*'附表1-面积统计表'!$F$5,2),"请手工填写")))</f>
        <v>3119.31</v>
      </c>
      <c r="X244" s="179">
        <f>IF(SUM('附表1-面积统计表'!$D$6)=0,"",SUM(T244)-SUM(W244)-SUM(Y244))</f>
        <v>3846.97</v>
      </c>
      <c r="Y244" s="179">
        <f>IF(SUM('附表1-面积统计表'!$D$6)=0,SUM(T244)-SUM(W244),IF('附表1-面积统计表'!$D$29=0,"",IF(AND(V244="共同成本费用",Z244="总建筑面积法"),ROUND(T244/'附表1-面积统计表'!$D$29*'附表1-面积统计表'!$D$7,2),IF(AND(V244="共同成本费用",Z244="可售建筑面积法"),ROUND(T244/'附表1-面积统计表'!$F$29*'附表1-面积统计表'!$F$7,2),"请手工填写"))))</f>
        <v>1574.41</v>
      </c>
      <c r="Z244" s="181" t="s">
        <v>311</v>
      </c>
      <c r="AA244" s="164"/>
      <c r="AB244" s="182" t="s">
        <v>1686</v>
      </c>
    </row>
    <row r="245" ht="29" hidden="1" customHeight="1" outlineLevel="1" spans="1:28">
      <c r="A245" s="159">
        <v>240</v>
      </c>
      <c r="B245" s="231" t="s">
        <v>2261</v>
      </c>
      <c r="C245" s="232" t="s">
        <v>2262</v>
      </c>
      <c r="D245" s="162" t="s">
        <v>1700</v>
      </c>
      <c r="E245" s="163" t="s">
        <v>1880</v>
      </c>
      <c r="F245" s="233" t="s">
        <v>2263</v>
      </c>
      <c r="G245" s="165" t="s">
        <v>2266</v>
      </c>
      <c r="H245" s="164" t="str">
        <f>IF(G245="","",VLOOKUP(G245,'附表8-合同明细采集底稿'!B:I,2,0))</f>
        <v>沁春锦苑地面停车线、道路标线、人防楼梯间环氧树脂工程</v>
      </c>
      <c r="I245" s="92" t="str">
        <f>IF(G245="","",VLOOKUP(G245,'附表8-合同明细采集底稿'!B:I,3,0))</f>
        <v>建设工程合同</v>
      </c>
      <c r="J245" s="164" t="str">
        <f>IF(G245="","",VLOOKUP(G245,'附表8-合同明细采集底稿'!B:I,4,0))</f>
        <v>巴州卓晟环保科技有限公司（李欢欢1899960）</v>
      </c>
      <c r="K245" s="164" t="s">
        <v>1711</v>
      </c>
      <c r="L245" s="165"/>
      <c r="M245" s="242" t="s">
        <v>2265</v>
      </c>
      <c r="N245" s="173">
        <v>159325.37</v>
      </c>
      <c r="O245" s="173">
        <v>164105.1311</v>
      </c>
      <c r="P245" s="174">
        <v>159325.37</v>
      </c>
      <c r="Q245" s="173"/>
      <c r="R245" s="173">
        <f t="shared" si="8"/>
        <v>159325.37</v>
      </c>
      <c r="S245" s="177">
        <f>IFERROR(VLOOKUP(G245,'附表8-合同明细采集底稿'!B:M,12,0),100%)</f>
        <v>0.329519901724361</v>
      </c>
      <c r="T245" s="173">
        <f t="shared" si="9"/>
        <v>52500.88</v>
      </c>
      <c r="U245" s="208" t="s">
        <v>2448</v>
      </c>
      <c r="V245" s="178" t="s">
        <v>336</v>
      </c>
      <c r="W245" s="179">
        <f>IF('附表1-面积统计表'!$D$29=0,"",IF(AND(V245="共同成本费用",Z245="总建筑面积法"),ROUND(T245/'附表1-面积统计表'!$D$29*'附表1-面积统计表'!$D$5,2),IF(AND(V245="共同成本费用",Z245="可售建筑面积法"),ROUND(T245/'附表1-面积统计表'!$F$29*'附表1-面积统计表'!$F$5,2),"请手工填写")))</f>
        <v>19174.87</v>
      </c>
      <c r="X245" s="179">
        <f>IF(SUM('附表1-面积统计表'!$D$6)=0,"",SUM(T245)-SUM(W245)-SUM(Y245))</f>
        <v>23647.86</v>
      </c>
      <c r="Y245" s="179">
        <f>IF(SUM('附表1-面积统计表'!$D$6)=0,SUM(T245)-SUM(W245),IF('附表1-面积统计表'!$D$29=0,"",IF(AND(V245="共同成本费用",Z245="总建筑面积法"),ROUND(T245/'附表1-面积统计表'!$D$29*'附表1-面积统计表'!$D$7,2),IF(AND(V245="共同成本费用",Z245="可售建筑面积法"),ROUND(T245/'附表1-面积统计表'!$F$29*'附表1-面积统计表'!$F$7,2),"请手工填写"))))</f>
        <v>9678.15</v>
      </c>
      <c r="Z245" s="181" t="s">
        <v>311</v>
      </c>
      <c r="AA245" s="164"/>
      <c r="AB245" s="182" t="s">
        <v>1686</v>
      </c>
    </row>
    <row r="246" ht="29" hidden="1" customHeight="1" outlineLevel="1" spans="1:28">
      <c r="A246" s="159">
        <v>241</v>
      </c>
      <c r="B246" s="231" t="s">
        <v>2267</v>
      </c>
      <c r="C246" s="232" t="s">
        <v>2190</v>
      </c>
      <c r="D246" s="162" t="s">
        <v>1700</v>
      </c>
      <c r="E246" s="163" t="s">
        <v>1875</v>
      </c>
      <c r="F246" s="233" t="s">
        <v>2268</v>
      </c>
      <c r="G246" s="165" t="s">
        <v>1999</v>
      </c>
      <c r="H246" s="164" t="str">
        <f>IF(G246="","",VLOOKUP(G246,'附表8-合同明细采集底稿'!B:I,2,0))</f>
        <v>幼儿园建设工程设计合同（民用建设工程设计合同）</v>
      </c>
      <c r="I246" s="92" t="str">
        <f>IF(G246="","",VLOOKUP(G246,'附表8-合同明细采集底稿'!B:I,3,0))</f>
        <v>技术合同</v>
      </c>
      <c r="J246" s="164" t="str">
        <f>IF(G246="","",VLOOKUP(G246,'附表8-合同明细采集底稿'!B:I,4,0))</f>
        <v>新疆益诚开拓空间规划建筑设计研究院有限公司</v>
      </c>
      <c r="K246" s="164" t="s">
        <v>1711</v>
      </c>
      <c r="L246" s="165">
        <v>6500193130</v>
      </c>
      <c r="M246" s="242" t="s">
        <v>2269</v>
      </c>
      <c r="N246" s="173">
        <v>6650.94</v>
      </c>
      <c r="O246" s="173">
        <f>N246*1.06</f>
        <v>7049.9964</v>
      </c>
      <c r="P246" s="174">
        <v>6650.94</v>
      </c>
      <c r="Q246" s="173"/>
      <c r="R246" s="173">
        <f t="shared" si="8"/>
        <v>6650.94</v>
      </c>
      <c r="S246" s="177">
        <f>IFERROR(VLOOKUP(G246,'附表8-合同明细采集底稿'!B:M,12,0),100%)</f>
        <v>0.329519901724361</v>
      </c>
      <c r="T246" s="173">
        <f t="shared" si="9"/>
        <v>2191.62</v>
      </c>
      <c r="U246" s="208" t="s">
        <v>1889</v>
      </c>
      <c r="V246" s="178" t="s">
        <v>336</v>
      </c>
      <c r="W246" s="179">
        <f>IF('附表1-面积统计表'!$D$29=0,"",IF(AND(V246="共同成本费用",Z246="总建筑面积法"),ROUND(T246/'附表1-面积统计表'!$D$29*'附表1-面积统计表'!$D$5,2),IF(AND(V246="共同成本费用",Z246="可售建筑面积法"),ROUND(T246/'附表1-面积统计表'!$F$29*'附表1-面积统计表'!$F$5,2),"请手工填写")))</f>
        <v>800.44</v>
      </c>
      <c r="X246" s="179">
        <f>IF(SUM('附表1-面积统计表'!$D$6)=0,"",SUM(T246)-SUM(W246)-SUM(Y246))</f>
        <v>987.17</v>
      </c>
      <c r="Y246" s="179">
        <f>IF(SUM('附表1-面积统计表'!$D$6)=0,SUM(T246)-SUM(W246),IF('附表1-面积统计表'!$D$29=0,"",IF(AND(V246="共同成本费用",Z246="总建筑面积法"),ROUND(T246/'附表1-面积统计表'!$D$29*'附表1-面积统计表'!$D$7,2),IF(AND(V246="共同成本费用",Z246="可售建筑面积法"),ROUND(T246/'附表1-面积统计表'!$F$29*'附表1-面积统计表'!$F$7,2),"请手工填写"))))</f>
        <v>404.01</v>
      </c>
      <c r="Z246" s="181" t="s">
        <v>311</v>
      </c>
      <c r="AA246" s="164"/>
      <c r="AB246" s="182" t="s">
        <v>1686</v>
      </c>
    </row>
    <row r="247" ht="29" hidden="1" customHeight="1" outlineLevel="1" spans="1:28">
      <c r="A247" s="159">
        <v>242</v>
      </c>
      <c r="B247" s="231" t="s">
        <v>2267</v>
      </c>
      <c r="C247" s="232" t="s">
        <v>2190</v>
      </c>
      <c r="D247" s="162" t="s">
        <v>1700</v>
      </c>
      <c r="E247" s="163" t="s">
        <v>1928</v>
      </c>
      <c r="F247" s="233" t="s">
        <v>2270</v>
      </c>
      <c r="G247" s="165" t="s">
        <v>2271</v>
      </c>
      <c r="H247" s="164" t="str">
        <f>IF(G247="","",VLOOKUP(G247,'附表8-合同明细采集底稿'!B:I,2,0))</f>
        <v>12-15、18-22#、38#建设工程设计合同（民用建设工程设计合同）-37#楼</v>
      </c>
      <c r="I247" s="92" t="str">
        <f>IF(G247="","",VLOOKUP(G247,'附表8-合同明细采集底稿'!B:I,3,0))</f>
        <v>技术合同</v>
      </c>
      <c r="J247" s="164" t="str">
        <f>IF(G247="","",VLOOKUP(G247,'附表8-合同明细采集底稿'!B:I,4,0))</f>
        <v>新疆益诚开拓空间规划建筑设计研究院有限公司</v>
      </c>
      <c r="K247" s="164" t="s">
        <v>1711</v>
      </c>
      <c r="L247" s="165">
        <v>6500193130</v>
      </c>
      <c r="M247" s="242" t="s">
        <v>2272</v>
      </c>
      <c r="N247" s="173">
        <v>15391.32</v>
      </c>
      <c r="O247" s="173">
        <f>N247*1.06</f>
        <v>16314.7992</v>
      </c>
      <c r="P247" s="174">
        <v>15391.32</v>
      </c>
      <c r="Q247" s="173"/>
      <c r="R247" s="173">
        <f t="shared" si="8"/>
        <v>15391.32</v>
      </c>
      <c r="S247" s="177">
        <f>IFERROR(VLOOKUP(G247,'附表8-合同明细采集底稿'!B:M,12,0),100%)</f>
        <v>0.329519901724361</v>
      </c>
      <c r="T247" s="173">
        <f t="shared" si="9"/>
        <v>5071.75</v>
      </c>
      <c r="U247" s="208" t="s">
        <v>2449</v>
      </c>
      <c r="V247" s="178" t="s">
        <v>336</v>
      </c>
      <c r="W247" s="179">
        <f>IF('附表1-面积统计表'!$D$29=0,"",IF(AND(V247="共同成本费用",Z247="总建筑面积法"),ROUND(T247/'附表1-面积统计表'!$D$29*'附表1-面积统计表'!$D$5,2),IF(AND(V247="共同成本费用",Z247="可售建筑面积法"),ROUND(T247/'附表1-面积统计表'!$F$29*'附表1-面积统计表'!$F$5,2),"请手工填写")))</f>
        <v>1852.35</v>
      </c>
      <c r="X247" s="179">
        <f>IF(SUM('附表1-面积统计表'!$D$6)=0,"",SUM(T247)-SUM(W247)-SUM(Y247))</f>
        <v>2284.46</v>
      </c>
      <c r="Y247" s="179">
        <f>IF(SUM('附表1-面积统计表'!$D$6)=0,SUM(T247)-SUM(W247),IF('附表1-面积统计表'!$D$29=0,"",IF(AND(V247="共同成本费用",Z247="总建筑面积法"),ROUND(T247/'附表1-面积统计表'!$D$29*'附表1-面积统计表'!$D$7,2),IF(AND(V247="共同成本费用",Z247="可售建筑面积法"),ROUND(T247/'附表1-面积统计表'!$F$29*'附表1-面积统计表'!$F$7,2),"请手工填写"))))</f>
        <v>934.94</v>
      </c>
      <c r="Z247" s="181" t="s">
        <v>311</v>
      </c>
      <c r="AA247" s="164"/>
      <c r="AB247" s="182" t="s">
        <v>1686</v>
      </c>
    </row>
    <row r="248" ht="29" hidden="1" customHeight="1" outlineLevel="1" spans="1:28">
      <c r="A248" s="159">
        <v>246</v>
      </c>
      <c r="B248" s="231" t="s">
        <v>2450</v>
      </c>
      <c r="C248" s="234" t="s">
        <v>671</v>
      </c>
      <c r="D248" s="162" t="s">
        <v>1707</v>
      </c>
      <c r="E248" s="163" t="s">
        <v>2451</v>
      </c>
      <c r="F248" s="231" t="s">
        <v>2452</v>
      </c>
      <c r="G248" s="165" t="s">
        <v>1697</v>
      </c>
      <c r="H248" s="164">
        <f>IF(G248="","",VLOOKUP(G248,'附表8-合同明细采集底稿'!B:I,2,0))</f>
        <v>0</v>
      </c>
      <c r="I248" s="92">
        <f>IF(G248="","",VLOOKUP(G248,'附表8-合同明细采集底稿'!B:I,3,0))</f>
        <v>0</v>
      </c>
      <c r="J248" s="164"/>
      <c r="K248" s="164" t="s">
        <v>1698</v>
      </c>
      <c r="L248" s="165"/>
      <c r="M248" s="242" t="s">
        <v>2453</v>
      </c>
      <c r="N248" s="173">
        <v>165.95</v>
      </c>
      <c r="O248" s="173">
        <v>165.95</v>
      </c>
      <c r="P248" s="174">
        <v>165.95</v>
      </c>
      <c r="Q248" s="173"/>
      <c r="R248" s="173">
        <f t="shared" si="8"/>
        <v>165.95</v>
      </c>
      <c r="S248" s="177">
        <f>IFERROR(VLOOKUP(G248,'附表8-合同明细采集底稿'!B:M,12,0),100%)</f>
        <v>0.329519901724361</v>
      </c>
      <c r="T248" s="173">
        <f t="shared" si="9"/>
        <v>54.68</v>
      </c>
      <c r="U248" s="243" t="s">
        <v>2454</v>
      </c>
      <c r="V248" s="178" t="s">
        <v>336</v>
      </c>
      <c r="W248" s="179">
        <f>IF('附表1-面积统计表'!$D$29=0,"",IF(AND(V248="共同成本费用",Z248="总建筑面积法"),ROUND(T248/'附表1-面积统计表'!$D$29*'附表1-面积统计表'!$D$5,2),IF(AND(V248="共同成本费用",Z248="可售建筑面积法"),ROUND(T248/'附表1-面积统计表'!$F$29*'附表1-面积统计表'!$F$5,2),"请手工填写")))</f>
        <v>19.97</v>
      </c>
      <c r="X248" s="179">
        <f>IF(SUM('附表1-面积统计表'!$D$6)=0,"",SUM(T248)-SUM(W248)-SUM(Y248))</f>
        <v>24.63</v>
      </c>
      <c r="Y248" s="179">
        <f>IF(SUM('附表1-面积统计表'!$D$6)=0,SUM(T248)-SUM(W248),IF('附表1-面积统计表'!$D$29=0,"",IF(AND(V248="共同成本费用",Z248="总建筑面积法"),ROUND(T248/'附表1-面积统计表'!$D$29*'附表1-面积统计表'!$D$7,2),IF(AND(V248="共同成本费用",Z248="可售建筑面积法"),ROUND(T248/'附表1-面积统计表'!$F$29*'附表1-面积统计表'!$F$7,2),"请手工填写"))))</f>
        <v>10.08</v>
      </c>
      <c r="Z248" s="181" t="s">
        <v>311</v>
      </c>
      <c r="AA248" s="164"/>
      <c r="AB248" s="182" t="s">
        <v>1686</v>
      </c>
    </row>
    <row r="249" ht="29" hidden="1" customHeight="1" outlineLevel="1" spans="1:28">
      <c r="A249" s="159">
        <v>247</v>
      </c>
      <c r="B249" s="231" t="s">
        <v>2281</v>
      </c>
      <c r="C249" s="234" t="s">
        <v>1260</v>
      </c>
      <c r="D249" s="162" t="s">
        <v>1700</v>
      </c>
      <c r="E249" s="163" t="s">
        <v>1880</v>
      </c>
      <c r="F249" s="230" t="s">
        <v>2282</v>
      </c>
      <c r="G249" s="165" t="s">
        <v>2077</v>
      </c>
      <c r="H249" s="164" t="str">
        <f>IF(G249="","",VLOOKUP(G249,'附表8-合同明细采集底稿'!B:I,2,0))</f>
        <v>沁春锦苑升降横移类机械式停车设备销售合同</v>
      </c>
      <c r="I249" s="92" t="str">
        <f>IF(G249="","",VLOOKUP(G249,'附表8-合同明细采集底稿'!B:I,3,0))</f>
        <v>买卖合同</v>
      </c>
      <c r="J249" s="164" t="str">
        <f>IF(G249="","",VLOOKUP(G249,'附表8-合同明细采集底稿'!B:I,4,0))</f>
        <v>唐山通宝停车设备有限公司</v>
      </c>
      <c r="K249" s="164" t="s">
        <v>1711</v>
      </c>
      <c r="L249" s="165"/>
      <c r="M249" s="242" t="s">
        <v>2283</v>
      </c>
      <c r="N249" s="173">
        <v>612750.3</v>
      </c>
      <c r="O249" s="173">
        <f>N249*1.03</f>
        <v>631132.809</v>
      </c>
      <c r="P249" s="174">
        <v>612750.3</v>
      </c>
      <c r="Q249" s="173"/>
      <c r="R249" s="173">
        <f t="shared" si="8"/>
        <v>612750.3</v>
      </c>
      <c r="S249" s="177">
        <f>IFERROR(VLOOKUP(G249,'附表8-合同明细采集底稿'!B:M,12,0),100%)</f>
        <v>0.329519901724361</v>
      </c>
      <c r="T249" s="173">
        <f t="shared" si="9"/>
        <v>201913.42</v>
      </c>
      <c r="U249" s="208" t="s">
        <v>2455</v>
      </c>
      <c r="V249" s="178" t="s">
        <v>336</v>
      </c>
      <c r="W249" s="179">
        <f>IF('附表1-面积统计表'!$D$29=0,"",IF(AND(V249="共同成本费用",Z249="总建筑面积法"),ROUND(T249/'附表1-面积统计表'!$D$29*'附表1-面积统计表'!$D$5,2),IF(AND(V249="共同成本费用",Z249="可售建筑面积法"),ROUND(T249/'附表1-面积统计表'!$F$29*'附表1-面积统计表'!$F$5,2),"请手工填写")))</f>
        <v>73744.72</v>
      </c>
      <c r="X249" s="179">
        <f>IF(SUM('附表1-面积统计表'!$D$6)=0,"",SUM(T249)-SUM(W249)-SUM(Y249))</f>
        <v>90947.44</v>
      </c>
      <c r="Y249" s="179">
        <f>IF(SUM('附表1-面积统计表'!$D$6)=0,SUM(T249)-SUM(W249),IF('附表1-面积统计表'!$D$29=0,"",IF(AND(V249="共同成本费用",Z249="总建筑面积法"),ROUND(T249/'附表1-面积统计表'!$D$29*'附表1-面积统计表'!$D$7,2),IF(AND(V249="共同成本费用",Z249="可售建筑面积法"),ROUND(T249/'附表1-面积统计表'!$F$29*'附表1-面积统计表'!$F$7,2),"请手工填写"))))</f>
        <v>37221.26</v>
      </c>
      <c r="Z249" s="181" t="s">
        <v>311</v>
      </c>
      <c r="AA249" s="164"/>
      <c r="AB249" s="182" t="s">
        <v>1686</v>
      </c>
    </row>
    <row r="250" ht="29" hidden="1" customHeight="1" outlineLevel="1" spans="1:28">
      <c r="A250" s="159">
        <v>250</v>
      </c>
      <c r="B250" s="231" t="s">
        <v>2456</v>
      </c>
      <c r="C250" s="234" t="s">
        <v>1253</v>
      </c>
      <c r="D250" s="162" t="s">
        <v>1700</v>
      </c>
      <c r="E250" s="163" t="s">
        <v>1875</v>
      </c>
      <c r="F250" s="230" t="s">
        <v>2457</v>
      </c>
      <c r="G250" s="165" t="s">
        <v>1697</v>
      </c>
      <c r="H250" s="164">
        <f>IF(G250="","",VLOOKUP(G250,'附表8-合同明细采集底稿'!B:I,2,0))</f>
        <v>0</v>
      </c>
      <c r="I250" s="92">
        <f>IF(G250="","",VLOOKUP(G250,'附表8-合同明细采集底稿'!B:I,3,0))</f>
        <v>0</v>
      </c>
      <c r="J250" s="164"/>
      <c r="K250" s="164" t="s">
        <v>1711</v>
      </c>
      <c r="L250" s="165"/>
      <c r="M250" s="242" t="s">
        <v>2458</v>
      </c>
      <c r="N250" s="173">
        <v>1409.43</v>
      </c>
      <c r="O250" s="173">
        <f>N250*1.06</f>
        <v>1493.9958</v>
      </c>
      <c r="P250" s="174">
        <v>1409.43</v>
      </c>
      <c r="Q250" s="173"/>
      <c r="R250" s="173">
        <f t="shared" si="8"/>
        <v>1409.43</v>
      </c>
      <c r="S250" s="177">
        <f>IFERROR(VLOOKUP(G250,'附表8-合同明细采集底稿'!B:M,12,0),100%)</f>
        <v>0.329519901724361</v>
      </c>
      <c r="T250" s="173">
        <f t="shared" si="9"/>
        <v>464.44</v>
      </c>
      <c r="U250" s="243" t="s">
        <v>1889</v>
      </c>
      <c r="V250" s="178" t="s">
        <v>336</v>
      </c>
      <c r="W250" s="179">
        <f>IF('附表1-面积统计表'!$D$29=0,"",IF(AND(V250="共同成本费用",Z250="总建筑面积法"),ROUND(T250/'附表1-面积统计表'!$D$29*'附表1-面积统计表'!$D$5,2),IF(AND(V250="共同成本费用",Z250="可售建筑面积法"),ROUND(T250/'附表1-面积统计表'!$F$29*'附表1-面积统计表'!$F$5,2),"请手工填写")))</f>
        <v>169.63</v>
      </c>
      <c r="X250" s="179">
        <f>IF(SUM('附表1-面积统计表'!$D$6)=0,"",SUM(T250)-SUM(W250)-SUM(Y250))</f>
        <v>209.19</v>
      </c>
      <c r="Y250" s="179">
        <f>IF(SUM('附表1-面积统计表'!$D$6)=0,SUM(T250)-SUM(W250),IF('附表1-面积统计表'!$D$29=0,"",IF(AND(V250="共同成本费用",Z250="总建筑面积法"),ROUND(T250/'附表1-面积统计表'!$D$29*'附表1-面积统计表'!$D$7,2),IF(AND(V250="共同成本费用",Z250="可售建筑面积法"),ROUND(T250/'附表1-面积统计表'!$F$29*'附表1-面积统计表'!$F$7,2),"请手工填写"))))</f>
        <v>85.62</v>
      </c>
      <c r="Z250" s="181" t="s">
        <v>311</v>
      </c>
      <c r="AA250" s="164"/>
      <c r="AB250" s="182" t="s">
        <v>1686</v>
      </c>
    </row>
    <row r="251" ht="29" hidden="1" customHeight="1" outlineLevel="1" spans="1:28">
      <c r="A251" s="159">
        <v>251</v>
      </c>
      <c r="B251" s="235" t="s">
        <v>2459</v>
      </c>
      <c r="C251" s="236">
        <v>10</v>
      </c>
      <c r="D251" s="162" t="s">
        <v>1700</v>
      </c>
      <c r="E251" s="163" t="s">
        <v>1813</v>
      </c>
      <c r="F251" s="237" t="s">
        <v>2460</v>
      </c>
      <c r="G251" s="165" t="s">
        <v>1898</v>
      </c>
      <c r="H251" s="164" t="str">
        <f>IF(G251="","",VLOOKUP(G251,'附表8-合同明细采集底稿'!B:I,2,0))</f>
        <v>沁春锦苑项目人防门购置18#-21#</v>
      </c>
      <c r="I251" s="92" t="str">
        <f>IF(G251="","",VLOOKUP(G251,'附表8-合同明细采集底稿'!B:I,3,0))</f>
        <v>买卖合同</v>
      </c>
      <c r="J251" s="164" t="str">
        <f>IF(G251="","",VLOOKUP(G251,'附表8-合同明细采集底稿'!B:I,4,0))</f>
        <v>新疆巨安新粤防护设备有限公司（张照平18167948637）</v>
      </c>
      <c r="K251" s="164" t="s">
        <v>1711</v>
      </c>
      <c r="L251" s="165">
        <v>6500193130</v>
      </c>
      <c r="M251" s="227">
        <v>6500223130</v>
      </c>
      <c r="N251" s="173">
        <v>124592.92</v>
      </c>
      <c r="O251" s="173">
        <f>N251*1.09</f>
        <v>135806.2828</v>
      </c>
      <c r="P251" s="174">
        <v>124592.92</v>
      </c>
      <c r="Q251" s="173"/>
      <c r="R251" s="173">
        <f t="shared" si="8"/>
        <v>124592.92</v>
      </c>
      <c r="S251" s="177">
        <f>IFERROR(VLOOKUP(G251,'附表8-合同明细采集底稿'!B:M,12,0),100%)</f>
        <v>0.318696696324277</v>
      </c>
      <c r="T251" s="173">
        <f t="shared" si="9"/>
        <v>39707.35</v>
      </c>
      <c r="U251" s="208" t="s">
        <v>2031</v>
      </c>
      <c r="V251" s="178" t="s">
        <v>336</v>
      </c>
      <c r="W251" s="179">
        <f>IF('附表1-面积统计表'!$D$29=0,"",IF(AND(V251="共同成本费用",Z251="总建筑面积法"),ROUND(T251/'附表1-面积统计表'!$D$29*'附表1-面积统计表'!$D$5,2),IF(AND(V251="共同成本费用",Z251="可售建筑面积法"),ROUND(T251/'附表1-面积统计表'!$F$29*'附表1-面积统计表'!$F$5,2),"请手工填写")))</f>
        <v>14502.29</v>
      </c>
      <c r="X251" s="179">
        <f>IF(SUM('附表1-面积统计表'!$D$6)=0,"",SUM(T251)-SUM(W251)-SUM(Y251))</f>
        <v>17885.3</v>
      </c>
      <c r="Y251" s="179">
        <f>IF(SUM('附表1-面积统计表'!$D$6)=0,SUM(T251)-SUM(W251),IF('附表1-面积统计表'!$D$29=0,"",IF(AND(V251="共同成本费用",Z251="总建筑面积法"),ROUND(T251/'附表1-面积统计表'!$D$29*'附表1-面积统计表'!$D$7,2),IF(AND(V251="共同成本费用",Z251="可售建筑面积法"),ROUND(T251/'附表1-面积统计表'!$F$29*'附表1-面积统计表'!$F$7,2),"请手工填写"))))</f>
        <v>7319.76</v>
      </c>
      <c r="Z251" s="181" t="s">
        <v>311</v>
      </c>
      <c r="AA251" s="164"/>
      <c r="AB251" s="182" t="s">
        <v>1686</v>
      </c>
    </row>
    <row r="252" ht="29" hidden="1" customHeight="1" outlineLevel="1" spans="1:28">
      <c r="A252" s="159">
        <v>252</v>
      </c>
      <c r="B252" s="235" t="s">
        <v>2461</v>
      </c>
      <c r="C252" s="236">
        <v>26</v>
      </c>
      <c r="D252" s="162" t="s">
        <v>1700</v>
      </c>
      <c r="E252" s="163" t="s">
        <v>1813</v>
      </c>
      <c r="F252" s="238" t="s">
        <v>2462</v>
      </c>
      <c r="G252" s="165" t="s">
        <v>1815</v>
      </c>
      <c r="H252" s="164" t="str">
        <f>IF(G252="","",VLOOKUP(G252,'附表8-合同明细采集底稿'!B:I,2,0))</f>
        <v>建设工程设计合同（民用建设工程设计合同）</v>
      </c>
      <c r="I252" s="92" t="str">
        <f>IF(G252="","",VLOOKUP(G252,'附表8-合同明细采集底稿'!B:I,3,0))</f>
        <v>技术合同</v>
      </c>
      <c r="J252" s="164" t="str">
        <f>IF(G252="","",VLOOKUP(G252,'附表8-合同明细采集底稿'!B:I,4,0))</f>
        <v>河南省人防建筑设计院有限公司新疆分公司</v>
      </c>
      <c r="K252" s="164" t="s">
        <v>1711</v>
      </c>
      <c r="L252" s="165"/>
      <c r="M252" s="242" t="s">
        <v>2463</v>
      </c>
      <c r="N252" s="173">
        <v>1302.87</v>
      </c>
      <c r="O252" s="173">
        <f>N252*1.06</f>
        <v>1381.0422</v>
      </c>
      <c r="P252" s="174">
        <v>1302.87</v>
      </c>
      <c r="Q252" s="173"/>
      <c r="R252" s="173">
        <f t="shared" si="8"/>
        <v>1302.87</v>
      </c>
      <c r="S252" s="177">
        <f>IFERROR(VLOOKUP(G252,'附表8-合同明细采集底稿'!B:M,12,0),100%)</f>
        <v>0.318696696324277</v>
      </c>
      <c r="T252" s="173">
        <f t="shared" si="9"/>
        <v>415.22</v>
      </c>
      <c r="U252" s="208" t="s">
        <v>2031</v>
      </c>
      <c r="V252" s="178" t="s">
        <v>336</v>
      </c>
      <c r="W252" s="179">
        <f>IF('附表1-面积统计表'!$D$29=0,"",IF(AND(V252="共同成本费用",Z252="总建筑面积法"),ROUND(T252/'附表1-面积统计表'!$D$29*'附表1-面积统计表'!$D$5,2),IF(AND(V252="共同成本费用",Z252="可售建筑面积法"),ROUND(T252/'附表1-面积统计表'!$F$29*'附表1-面积统计表'!$F$5,2),"请手工填写")))</f>
        <v>151.65</v>
      </c>
      <c r="X252" s="179">
        <f>IF(SUM('附表1-面积统计表'!$D$6)=0,"",SUM(T252)-SUM(W252)-SUM(Y252))</f>
        <v>187.03</v>
      </c>
      <c r="Y252" s="179">
        <f>IF(SUM('附表1-面积统计表'!$D$6)=0,SUM(T252)-SUM(W252),IF('附表1-面积统计表'!$D$29=0,"",IF(AND(V252="共同成本费用",Z252="总建筑面积法"),ROUND(T252/'附表1-面积统计表'!$D$29*'附表1-面积统计表'!$D$7,2),IF(AND(V252="共同成本费用",Z252="可售建筑面积法"),ROUND(T252/'附表1-面积统计表'!$F$29*'附表1-面积统计表'!$F$7,2),"请手工填写"))))</f>
        <v>76.54</v>
      </c>
      <c r="Z252" s="181" t="s">
        <v>311</v>
      </c>
      <c r="AA252" s="164"/>
      <c r="AB252" s="182" t="s">
        <v>1686</v>
      </c>
    </row>
    <row r="253" ht="29" hidden="1" customHeight="1" outlineLevel="1" spans="1:28">
      <c r="A253" s="159">
        <v>253</v>
      </c>
      <c r="B253" s="235" t="s">
        <v>2464</v>
      </c>
      <c r="C253" s="236">
        <v>36</v>
      </c>
      <c r="D253" s="162" t="s">
        <v>1700</v>
      </c>
      <c r="E253" s="163" t="s">
        <v>1880</v>
      </c>
      <c r="F253" s="238" t="s">
        <v>2465</v>
      </c>
      <c r="G253" s="165" t="s">
        <v>2266</v>
      </c>
      <c r="H253" s="164" t="str">
        <f>IF(G253="","",VLOOKUP(G253,'附表8-合同明细采集底稿'!B:I,2,0))</f>
        <v>沁春锦苑地面停车线、道路标线、人防楼梯间环氧树脂工程</v>
      </c>
      <c r="I253" s="92" t="str">
        <f>IF(G253="","",VLOOKUP(G253,'附表8-合同明细采集底稿'!B:I,3,0))</f>
        <v>建设工程合同</v>
      </c>
      <c r="J253" s="164" t="str">
        <f>IF(G253="","",VLOOKUP(G253,'附表8-合同明细采集底稿'!B:I,4,0))</f>
        <v>巴州卓晟环保科技有限公司（李欢欢1899960）</v>
      </c>
      <c r="K253" s="164" t="s">
        <v>1711</v>
      </c>
      <c r="L253" s="165"/>
      <c r="M253" s="242" t="s">
        <v>2466</v>
      </c>
      <c r="N253" s="173">
        <v>46311</v>
      </c>
      <c r="O253" s="173">
        <v>47700.33</v>
      </c>
      <c r="P253" s="174">
        <v>46311</v>
      </c>
      <c r="Q253" s="173"/>
      <c r="R253" s="173">
        <f t="shared" si="8"/>
        <v>46311</v>
      </c>
      <c r="S253" s="177">
        <f>IFERROR(VLOOKUP(G253,'附表8-合同明细采集底稿'!B:M,12,0),100%)</f>
        <v>0.329519901724361</v>
      </c>
      <c r="T253" s="173">
        <f t="shared" si="9"/>
        <v>15260.4</v>
      </c>
      <c r="U253" s="208" t="s">
        <v>2448</v>
      </c>
      <c r="V253" s="178" t="s">
        <v>336</v>
      </c>
      <c r="W253" s="179">
        <f>IF('附表1-面积统计表'!$D$29=0,"",IF(AND(V253="共同成本费用",Z253="总建筑面积法"),ROUND(T253/'附表1-面积统计表'!$D$29*'附表1-面积统计表'!$D$5,2),IF(AND(V253="共同成本费用",Z253="可售建筑面积法"),ROUND(T253/'附表1-面积统计表'!$F$29*'附表1-面积统计表'!$F$5,2),"请手工填写")))</f>
        <v>5573.55</v>
      </c>
      <c r="X253" s="179">
        <f>IF(SUM('附表1-面积统计表'!$D$6)=0,"",SUM(T253)-SUM(W253)-SUM(Y253))</f>
        <v>6873.71</v>
      </c>
      <c r="Y253" s="179">
        <f>IF(SUM('附表1-面积统计表'!$D$6)=0,SUM(T253)-SUM(W253),IF('附表1-面积统计表'!$D$29=0,"",IF(AND(V253="共同成本费用",Z253="总建筑面积法"),ROUND(T253/'附表1-面积统计表'!$D$29*'附表1-面积统计表'!$D$7,2),IF(AND(V253="共同成本费用",Z253="可售建筑面积法"),ROUND(T253/'附表1-面积统计表'!$F$29*'附表1-面积统计表'!$F$7,2),"请手工填写"))))</f>
        <v>2813.14</v>
      </c>
      <c r="Z253" s="181" t="s">
        <v>311</v>
      </c>
      <c r="AA253" s="164"/>
      <c r="AB253" s="182" t="s">
        <v>1686</v>
      </c>
    </row>
    <row r="254" ht="29" hidden="1" customHeight="1" outlineLevel="1" spans="1:28">
      <c r="A254" s="159">
        <v>255</v>
      </c>
      <c r="B254" s="235" t="s">
        <v>2464</v>
      </c>
      <c r="C254" s="236">
        <v>37</v>
      </c>
      <c r="D254" s="162" t="s">
        <v>1700</v>
      </c>
      <c r="E254" s="163" t="s">
        <v>1880</v>
      </c>
      <c r="F254" s="238" t="s">
        <v>2467</v>
      </c>
      <c r="G254" s="165" t="s">
        <v>2290</v>
      </c>
      <c r="H254" s="164" t="str">
        <f>IF(G254="","",VLOOKUP(G254,'附表8-合同明细采集底稿'!B:I,2,0))</f>
        <v>沁春锦苑小区围挡制作</v>
      </c>
      <c r="I254" s="92" t="str">
        <f>IF(G254="","",VLOOKUP(G254,'附表8-合同明细采集底稿'!B:I,3,0))</f>
        <v>承揽合同</v>
      </c>
      <c r="J254" s="164" t="str">
        <f>IF(G254="","",VLOOKUP(G254,'附表8-合同明细采集底稿'!B:I,4,0))</f>
        <v>巴州方程视广告有限公司（刘亭）</v>
      </c>
      <c r="K254" s="164" t="s">
        <v>1711</v>
      </c>
      <c r="L254" s="165"/>
      <c r="M254" s="242" t="s">
        <v>2468</v>
      </c>
      <c r="N254" s="173">
        <v>47855.71</v>
      </c>
      <c r="O254" s="173">
        <v>49291.38</v>
      </c>
      <c r="P254" s="174">
        <v>47855.71</v>
      </c>
      <c r="Q254" s="173">
        <f>139525.2/1.03-40194.17-47855.71</f>
        <v>47411.479223301</v>
      </c>
      <c r="R254" s="173">
        <f t="shared" ref="R254:R278" si="10">P254+Q254</f>
        <v>95267.189223301</v>
      </c>
      <c r="S254" s="177">
        <f>IFERROR(VLOOKUP(G254,'附表8-合同明细采集底稿'!B:M,12,0),100%)</f>
        <v>0.329519901724361</v>
      </c>
      <c r="T254" s="173">
        <f t="shared" ref="T254:T278" si="11">ROUND(SUM(R254)*SUM(S254),2)</f>
        <v>31392.43</v>
      </c>
      <c r="U254" s="208" t="s">
        <v>2448</v>
      </c>
      <c r="V254" s="178" t="s">
        <v>336</v>
      </c>
      <c r="W254" s="179">
        <f>IF('附表1-面积统计表'!$D$29=0,"",IF(AND(V254="共同成本费用",Z254="总建筑面积法"),ROUND(T254/'附表1-面积统计表'!$D$29*'附表1-面积统计表'!$D$5,2),IF(AND(V254="共同成本费用",Z254="可售建筑面积法"),ROUND(T254/'附表1-面积统计表'!$F$29*'附表1-面积统计表'!$F$5,2),"请手工填写")))</f>
        <v>11465.44</v>
      </c>
      <c r="X254" s="179">
        <f>IF(SUM('附表1-面积统计表'!$D$6)=0,"",SUM(T254)-SUM(W254)-SUM(Y254))</f>
        <v>14140.03</v>
      </c>
      <c r="Y254" s="179">
        <f>IF(SUM('附表1-面积统计表'!$D$6)=0,SUM(T254)-SUM(W254),IF('附表1-面积统计表'!$D$29=0,"",IF(AND(V254="共同成本费用",Z254="总建筑面积法"),ROUND(T254/'附表1-面积统计表'!$D$29*'附表1-面积统计表'!$D$7,2),IF(AND(V254="共同成本费用",Z254="可售建筑面积法"),ROUND(T254/'附表1-面积统计表'!$F$29*'附表1-面积统计表'!$F$7,2),"请手工填写"))))</f>
        <v>5786.96</v>
      </c>
      <c r="Z254" s="181" t="s">
        <v>311</v>
      </c>
      <c r="AA254" s="164"/>
      <c r="AB254" s="182" t="s">
        <v>1686</v>
      </c>
    </row>
    <row r="255" ht="29" hidden="1" customHeight="1" outlineLevel="1" spans="1:28">
      <c r="A255" s="159">
        <v>256</v>
      </c>
      <c r="B255" s="235" t="s">
        <v>2464</v>
      </c>
      <c r="C255" s="236">
        <v>45</v>
      </c>
      <c r="D255" s="162" t="s">
        <v>1700</v>
      </c>
      <c r="E255" s="163" t="s">
        <v>1875</v>
      </c>
      <c r="F255" s="238" t="s">
        <v>2469</v>
      </c>
      <c r="G255" s="165" t="s">
        <v>2182</v>
      </c>
      <c r="H255" s="164" t="str">
        <f>IF(G255="","",VLOOKUP(G255,'附表8-合同明细采集底稿'!B:I,2,0))</f>
        <v>沁春景苑幼儿园室外工程</v>
      </c>
      <c r="I255" s="92" t="str">
        <f>IF(G255="","",VLOOKUP(G255,'附表8-合同明细采集底稿'!B:I,3,0))</f>
        <v>建设工程合同</v>
      </c>
      <c r="J255" s="164" t="str">
        <f>IF(G255="","",VLOOKUP(G255,'附表8-合同明细采集底稿'!B:I,4,0))</f>
        <v>新疆精诚所至装饰工程有限责任公司（金克）</v>
      </c>
      <c r="K255" s="164" t="s">
        <v>1711</v>
      </c>
      <c r="L255" s="165"/>
      <c r="M255" s="242" t="s">
        <v>2470</v>
      </c>
      <c r="N255" s="173">
        <v>124209.71</v>
      </c>
      <c r="O255" s="173">
        <v>127936.0013</v>
      </c>
      <c r="P255" s="174">
        <v>124209.71</v>
      </c>
      <c r="Q255" s="173">
        <v>4936.01853143558</v>
      </c>
      <c r="R255" s="173">
        <f t="shared" si="10"/>
        <v>129145.728531436</v>
      </c>
      <c r="S255" s="177">
        <f>IFERROR(VLOOKUP(G255,'附表8-合同明细采集底稿'!B:M,12,0),100%)</f>
        <v>0.329519901724361</v>
      </c>
      <c r="T255" s="173">
        <f t="shared" si="11"/>
        <v>42556.09</v>
      </c>
      <c r="U255" s="208" t="s">
        <v>1889</v>
      </c>
      <c r="V255" s="178" t="s">
        <v>336</v>
      </c>
      <c r="W255" s="179">
        <f>IF('附表1-面积统计表'!$D$29=0,"",IF(AND(V255="共同成本费用",Z255="总建筑面积法"),ROUND(T255/'附表1-面积统计表'!$D$29*'附表1-面积统计表'!$D$5,2),IF(AND(V255="共同成本费用",Z255="可售建筑面积法"),ROUND(T255/'附表1-面积统计表'!$F$29*'附表1-面积统计表'!$F$5,2),"请手工填写")))</f>
        <v>15542.74</v>
      </c>
      <c r="X255" s="179">
        <f>IF(SUM('附表1-面积统计表'!$D$6)=0,"",SUM(T255)-SUM(W255)-SUM(Y255))</f>
        <v>19168.45</v>
      </c>
      <c r="Y255" s="179">
        <f>IF(SUM('附表1-面积统计表'!$D$6)=0,SUM(T255)-SUM(W255),IF('附表1-面积统计表'!$D$29=0,"",IF(AND(V255="共同成本费用",Z255="总建筑面积法"),ROUND(T255/'附表1-面积统计表'!$D$29*'附表1-面积统计表'!$D$7,2),IF(AND(V255="共同成本费用",Z255="可售建筑面积法"),ROUND(T255/'附表1-面积统计表'!$F$29*'附表1-面积统计表'!$F$7,2),"请手工填写"))))</f>
        <v>7844.9</v>
      </c>
      <c r="Z255" s="181" t="s">
        <v>311</v>
      </c>
      <c r="AA255" s="164"/>
      <c r="AB255" s="182" t="s">
        <v>1686</v>
      </c>
    </row>
    <row r="256" ht="29" hidden="1" customHeight="1" outlineLevel="1" spans="1:28">
      <c r="A256" s="159">
        <v>257</v>
      </c>
      <c r="B256" s="231" t="s">
        <v>2471</v>
      </c>
      <c r="C256" s="231" t="s">
        <v>92</v>
      </c>
      <c r="D256" s="162" t="s">
        <v>1700</v>
      </c>
      <c r="E256" s="163" t="s">
        <v>1875</v>
      </c>
      <c r="F256" s="231" t="s">
        <v>2472</v>
      </c>
      <c r="G256" s="165" t="s">
        <v>2300</v>
      </c>
      <c r="H256" s="164" t="str">
        <f>IF(G256="","",VLOOKUP(G256,'附表8-合同明细采集底稿'!B:I,2,0))</f>
        <v>沁春锦苑4-11#16#17#楼31#楼园林景观、道路及停车位、铺装、景观照明工程</v>
      </c>
      <c r="I256" s="92" t="str">
        <f>IF(G256="","",VLOOKUP(G256,'附表8-合同明细采集底稿'!B:I,3,0))</f>
        <v>建设工程合同</v>
      </c>
      <c r="J256" s="164" t="str">
        <f>IF(G256="","",VLOOKUP(G256,'附表8-合同明细采集底稿'!B:I,4,0))</f>
        <v>新疆通力建设集团股份有限公司（杜奇志）</v>
      </c>
      <c r="K256" s="164" t="s">
        <v>1711</v>
      </c>
      <c r="L256" s="165"/>
      <c r="M256" s="242" t="s">
        <v>2473</v>
      </c>
      <c r="N256" s="173">
        <v>10784.4</v>
      </c>
      <c r="O256" s="173">
        <f>N256*1.09</f>
        <v>11754.996</v>
      </c>
      <c r="P256" s="174">
        <v>10784.4</v>
      </c>
      <c r="Q256" s="173"/>
      <c r="R256" s="173">
        <f t="shared" si="10"/>
        <v>10784.4</v>
      </c>
      <c r="S256" s="177">
        <f>IFERROR(VLOOKUP(G256,'附表8-合同明细采集底稿'!B:M,12,0),100%)</f>
        <v>0.329519901724361</v>
      </c>
      <c r="T256" s="173">
        <f t="shared" si="11"/>
        <v>3553.67</v>
      </c>
      <c r="U256" s="208" t="s">
        <v>1889</v>
      </c>
      <c r="V256" s="178" t="s">
        <v>336</v>
      </c>
      <c r="W256" s="179">
        <f>IF('附表1-面积统计表'!$D$29=0,"",IF(AND(V256="共同成本费用",Z256="总建筑面积法"),ROUND(T256/'附表1-面积统计表'!$D$29*'附表1-面积统计表'!$D$5,2),IF(AND(V256="共同成本费用",Z256="可售建筑面积法"),ROUND(T256/'附表1-面积统计表'!$F$29*'附表1-面积统计表'!$F$5,2),"请手工填写")))</f>
        <v>1297.9</v>
      </c>
      <c r="X256" s="179">
        <f>IF(SUM('附表1-面积统计表'!$D$6)=0,"",SUM(T256)-SUM(W256)-SUM(Y256))</f>
        <v>1600.68</v>
      </c>
      <c r="Y256" s="179">
        <f>IF(SUM('附表1-面积统计表'!$D$6)=0,SUM(T256)-SUM(W256),IF('附表1-面积统计表'!$D$29=0,"",IF(AND(V256="共同成本费用",Z256="总建筑面积法"),ROUND(T256/'附表1-面积统计表'!$D$29*'附表1-面积统计表'!$D$7,2),IF(AND(V256="共同成本费用",Z256="可售建筑面积法"),ROUND(T256/'附表1-面积统计表'!$F$29*'附表1-面积统计表'!$F$7,2),"请手工填写"))))</f>
        <v>655.09</v>
      </c>
      <c r="Z256" s="181" t="s">
        <v>311</v>
      </c>
      <c r="AA256" s="164"/>
      <c r="AB256" s="182" t="s">
        <v>1686</v>
      </c>
    </row>
    <row r="257" ht="29" hidden="1" customHeight="1" outlineLevel="1" spans="1:28">
      <c r="A257" s="159">
        <v>258</v>
      </c>
      <c r="B257" s="231" t="s">
        <v>2471</v>
      </c>
      <c r="C257" s="231" t="s">
        <v>95</v>
      </c>
      <c r="D257" s="162" t="s">
        <v>1700</v>
      </c>
      <c r="E257" s="163" t="s">
        <v>1813</v>
      </c>
      <c r="F257" s="231" t="s">
        <v>2474</v>
      </c>
      <c r="G257" s="165" t="s">
        <v>2029</v>
      </c>
      <c r="H257" s="164" t="str">
        <f>IF(G257="","",VLOOKUP(G257,'附表8-合同明细采集底稿'!B:I,2,0))</f>
        <v>沁春锦苑18#、21#、22#楼、37#社区、地下车库及人防部分建设工程（地下人防）</v>
      </c>
      <c r="I257" s="92" t="str">
        <f>IF(G257="","",VLOOKUP(G257,'附表8-合同明细采集底稿'!B:I,3,0))</f>
        <v>建设工程合同</v>
      </c>
      <c r="J257" s="164" t="str">
        <f>IF(G257="","",VLOOKUP(G257,'附表8-合同明细采集底稿'!B:I,4,0))</f>
        <v>新疆通力建设集团股份有限公司（高）</v>
      </c>
      <c r="K257" s="164" t="s">
        <v>1711</v>
      </c>
      <c r="L257" s="165"/>
      <c r="M257" s="572" t="s">
        <v>2475</v>
      </c>
      <c r="N257" s="173">
        <v>1028221.1</v>
      </c>
      <c r="O257" s="173">
        <f>N257*1.09</f>
        <v>1120760.999</v>
      </c>
      <c r="P257" s="174">
        <v>1028221.1</v>
      </c>
      <c r="Q257" s="173">
        <v>264194.493302751</v>
      </c>
      <c r="R257" s="173">
        <f t="shared" si="10"/>
        <v>1292415.59330275</v>
      </c>
      <c r="S257" s="177">
        <f>IFERROR(VLOOKUP(G257,'附表8-合同明细采集底稿'!B:M,12,0),100%)</f>
        <v>0.318696696324277</v>
      </c>
      <c r="T257" s="173">
        <f t="shared" si="11"/>
        <v>411888.58</v>
      </c>
      <c r="U257" s="208" t="s">
        <v>2031</v>
      </c>
      <c r="V257" s="178" t="s">
        <v>336</v>
      </c>
      <c r="W257" s="179">
        <f>IF('附表1-面积统计表'!$D$29=0,"",IF(AND(V257="共同成本费用",Z257="总建筑面积法"),ROUND(T257/'附表1-面积统计表'!$D$29*'附表1-面积统计表'!$D$5,2),IF(AND(V257="共同成本费用",Z257="可售建筑面积法"),ROUND(T257/'附表1-面积统计表'!$F$29*'附表1-面积统计表'!$F$5,2),"请手工填写")))</f>
        <v>150433.82</v>
      </c>
      <c r="X257" s="179">
        <f>IF(SUM('附表1-面积统计表'!$D$6)=0,"",SUM(T257)-SUM(W257)-SUM(Y257))</f>
        <v>185526.11</v>
      </c>
      <c r="Y257" s="179">
        <f>IF(SUM('附表1-面积统计表'!$D$6)=0,SUM(T257)-SUM(W257),IF('附表1-面积统计表'!$D$29=0,"",IF(AND(V257="共同成本费用",Z257="总建筑面积法"),ROUND(T257/'附表1-面积统计表'!$D$29*'附表1-面积统计表'!$D$7,2),IF(AND(V257="共同成本费用",Z257="可售建筑面积法"),ROUND(T257/'附表1-面积统计表'!$F$29*'附表1-面积统计表'!$F$7,2),"请手工填写"))))</f>
        <v>75928.65</v>
      </c>
      <c r="Z257" s="181" t="s">
        <v>311</v>
      </c>
      <c r="AA257" s="164"/>
      <c r="AB257" s="182" t="s">
        <v>1686</v>
      </c>
    </row>
    <row r="258" ht="29" hidden="1" customHeight="1" outlineLevel="1" spans="1:28">
      <c r="A258" s="159">
        <v>260</v>
      </c>
      <c r="B258" s="231" t="s">
        <v>2471</v>
      </c>
      <c r="C258" s="231" t="s">
        <v>102</v>
      </c>
      <c r="D258" s="162" t="s">
        <v>1739</v>
      </c>
      <c r="E258" s="163" t="s">
        <v>1819</v>
      </c>
      <c r="F258" s="231" t="s">
        <v>2476</v>
      </c>
      <c r="G258" s="165" t="s">
        <v>2009</v>
      </c>
      <c r="H258" s="164" t="str">
        <f>IF(G258="","",VLOOKUP(G258,'附表8-合同明细采集底稿'!B:I,2,0))</f>
        <v>沁春锦苑中水处理土建、挡墙、警卫室‘铺装工程</v>
      </c>
      <c r="I258" s="92" t="str">
        <f>IF(G258="","",VLOOKUP(G258,'附表8-合同明细采集底稿'!B:I,3,0))</f>
        <v>建设工程合同</v>
      </c>
      <c r="J258" s="164" t="str">
        <f>IF(G258="","",VLOOKUP(G258,'附表8-合同明细采集底稿'!B:I,4,0))</f>
        <v>新疆通力建设集团股份有限公司（曾建国）</v>
      </c>
      <c r="K258" s="164" t="s">
        <v>1711</v>
      </c>
      <c r="L258" s="165"/>
      <c r="M258" s="242" t="s">
        <v>2477</v>
      </c>
      <c r="N258" s="173">
        <v>215246.68</v>
      </c>
      <c r="O258" s="173">
        <f>N258*1.09</f>
        <v>234618.8812</v>
      </c>
      <c r="P258" s="174">
        <v>215246.68</v>
      </c>
      <c r="Q258" s="173"/>
      <c r="R258" s="173">
        <f t="shared" si="10"/>
        <v>215246.68</v>
      </c>
      <c r="S258" s="177">
        <f>IFERROR(VLOOKUP(G258,'附表8-合同明细采集底稿'!B:M,12,0),100%)</f>
        <v>0.329519901724361</v>
      </c>
      <c r="T258" s="173">
        <f t="shared" si="11"/>
        <v>70928.06</v>
      </c>
      <c r="U258" s="208" t="s">
        <v>2448</v>
      </c>
      <c r="V258" s="178" t="s">
        <v>336</v>
      </c>
      <c r="W258" s="179">
        <f>IF('附表1-面积统计表'!$D$29=0,"",IF(AND(V258="共同成本费用",Z258="总建筑面积法"),ROUND(T258/'附表1-面积统计表'!$D$29*'附表1-面积统计表'!$D$5,2),IF(AND(V258="共同成本费用",Z258="可售建筑面积法"),ROUND(T258/'附表1-面积统计表'!$F$29*'附表1-面积统计表'!$F$5,2),"请手工填写")))</f>
        <v>25905.01</v>
      </c>
      <c r="X258" s="179">
        <f>IF(SUM('附表1-面积统计表'!$D$6)=0,"",SUM(T258)-SUM(W258)-SUM(Y258))</f>
        <v>31947.98</v>
      </c>
      <c r="Y258" s="179">
        <f>IF(SUM('附表1-面积统计表'!$D$6)=0,SUM(T258)-SUM(W258),IF('附表1-面积统计表'!$D$29=0,"",IF(AND(V258="共同成本费用",Z258="总建筑面积法"),ROUND(T258/'附表1-面积统计表'!$D$29*'附表1-面积统计表'!$D$7,2),IF(AND(V258="共同成本费用",Z258="可售建筑面积法"),ROUND(T258/'附表1-面积统计表'!$F$29*'附表1-面积统计表'!$F$7,2),"请手工填写"))))</f>
        <v>13075.07</v>
      </c>
      <c r="Z258" s="181" t="s">
        <v>311</v>
      </c>
      <c r="AA258" s="164"/>
      <c r="AB258" s="182" t="s">
        <v>1686</v>
      </c>
    </row>
    <row r="259" ht="29" customHeight="1" outlineLevel="1" spans="1:28">
      <c r="A259" s="159">
        <v>263</v>
      </c>
      <c r="B259" s="244">
        <v>45536</v>
      </c>
      <c r="C259" s="232">
        <v>32</v>
      </c>
      <c r="D259" s="162" t="s">
        <v>1697</v>
      </c>
      <c r="E259" s="163" t="s">
        <v>2478</v>
      </c>
      <c r="F259" s="231" t="s">
        <v>2479</v>
      </c>
      <c r="G259" s="165" t="s">
        <v>1877</v>
      </c>
      <c r="H259" s="164" t="str">
        <f>IF(G259="","",VLOOKUP(G259,'附表8-合同明细采集底稿'!B:I,2,0))</f>
        <v>沁园春锦BIM咨询服务协议</v>
      </c>
      <c r="I259" s="92" t="str">
        <f>IF(G259="","",VLOOKUP(G259,'附表8-合同明细采集底稿'!B:I,3,0))</f>
        <v>技术合同</v>
      </c>
      <c r="J259" s="164" t="str">
        <f>IF(G259="","",VLOOKUP(G259,'附表8-合同明细采集底稿'!B:I,4,0))</f>
        <v>新疆佳联筑创建筑科技有限公司</v>
      </c>
      <c r="K259" s="164" t="s">
        <v>1711</v>
      </c>
      <c r="L259" s="165"/>
      <c r="M259" s="242" t="s">
        <v>2480</v>
      </c>
      <c r="N259" s="173">
        <v>34653.47</v>
      </c>
      <c r="O259" s="173">
        <f>N259*1.06</f>
        <v>36732.6782</v>
      </c>
      <c r="P259" s="174">
        <v>34653.47</v>
      </c>
      <c r="Q259" s="180">
        <v>13861.3816831683</v>
      </c>
      <c r="R259" s="173">
        <f t="shared" si="10"/>
        <v>48514.8516831683</v>
      </c>
      <c r="S259" s="177">
        <f>IFERROR(VLOOKUP(G259,'附表8-合同明细采集底稿'!B:M,12,0),100%)</f>
        <v>0.329519901724361</v>
      </c>
      <c r="T259" s="173">
        <f t="shared" si="11"/>
        <v>15986.61</v>
      </c>
      <c r="U259" s="208" t="s">
        <v>2448</v>
      </c>
      <c r="V259" s="178" t="s">
        <v>336</v>
      </c>
      <c r="W259" s="179">
        <f>IF('附表1-面积统计表'!$D$29=0,"",IF(AND(V259="共同成本费用",Z259="总建筑面积法"),ROUND(T259/'附表1-面积统计表'!$D$29*'附表1-面积统计表'!$D$5,2),IF(AND(V259="共同成本费用",Z259="可售建筑面积法"),ROUND(T259/'附表1-面积统计表'!$F$29*'附表1-面积统计表'!$F$5,2),"请手工填写")))</f>
        <v>5838.78</v>
      </c>
      <c r="X259" s="179">
        <f>IF(SUM('附表1-面积统计表'!$D$6)=0,"",SUM(T259)-SUM(W259)-SUM(Y259))</f>
        <v>7200.82</v>
      </c>
      <c r="Y259" s="179">
        <f>IF(SUM('附表1-面积统计表'!$D$6)=0,SUM(T259)-SUM(W259),IF('附表1-面积统计表'!$D$29=0,"",IF(AND(V259="共同成本费用",Z259="总建筑面积法"),ROUND(T259/'附表1-面积统计表'!$D$29*'附表1-面积统计表'!$D$7,2),IF(AND(V259="共同成本费用",Z259="可售建筑面积法"),ROUND(T259/'附表1-面积统计表'!$F$29*'附表1-面积统计表'!$F$7,2),"请手工填写"))))</f>
        <v>2947.01</v>
      </c>
      <c r="Z259" s="181" t="s">
        <v>311</v>
      </c>
      <c r="AA259" s="164"/>
      <c r="AB259" s="182" t="s">
        <v>1686</v>
      </c>
    </row>
    <row r="260" ht="29" hidden="1" customHeight="1" outlineLevel="1" spans="1:28">
      <c r="A260" s="159">
        <v>264</v>
      </c>
      <c r="B260" s="231" t="s">
        <v>2481</v>
      </c>
      <c r="C260" s="231" t="s">
        <v>1255</v>
      </c>
      <c r="D260" s="162" t="s">
        <v>1707</v>
      </c>
      <c r="E260" s="163" t="s">
        <v>1708</v>
      </c>
      <c r="F260" s="231" t="s">
        <v>2482</v>
      </c>
      <c r="G260" s="165" t="s">
        <v>1710</v>
      </c>
      <c r="H260" s="164" t="str">
        <f>IF(G260="","",VLOOKUP(G260,'附表8-合同明细采集底稿'!B:I,2,0))</f>
        <v>规划设计合同书</v>
      </c>
      <c r="I260" s="92" t="str">
        <f>IF(G260="","",VLOOKUP(G260,'附表8-合同明细采集底稿'!B:I,3,0))</f>
        <v>技术合同</v>
      </c>
      <c r="J260" s="164" t="str">
        <f>IF(G260="","",VLOOKUP(G260,'附表8-合同明细采集底稿'!B:I,4,0))</f>
        <v>上海联创建筑设计有限公司新疆分公司</v>
      </c>
      <c r="K260" s="164" t="s">
        <v>1711</v>
      </c>
      <c r="L260" s="165"/>
      <c r="M260" s="242" t="s">
        <v>2483</v>
      </c>
      <c r="N260" s="173">
        <v>119686.07</v>
      </c>
      <c r="O260" s="173">
        <f>N260*1.06</f>
        <v>126867.2342</v>
      </c>
      <c r="P260" s="174">
        <v>119686.07</v>
      </c>
      <c r="Q260" s="173"/>
      <c r="R260" s="173">
        <f t="shared" si="10"/>
        <v>119686.07</v>
      </c>
      <c r="S260" s="177">
        <f>IFERROR(VLOOKUP(G260,'附表8-合同明细采集底稿'!B:M,12,0),100%)</f>
        <v>0.329519901724361</v>
      </c>
      <c r="T260" s="173">
        <f t="shared" si="11"/>
        <v>39438.94</v>
      </c>
      <c r="U260" s="243" t="s">
        <v>2448</v>
      </c>
      <c r="V260" s="178" t="s">
        <v>336</v>
      </c>
      <c r="W260" s="179">
        <f>IF('附表1-面积统计表'!$D$29=0,"",IF(AND(V260="共同成本费用",Z260="总建筑面积法"),ROUND(T260/'附表1-面积统计表'!$D$29*'附表1-面积统计表'!$D$5,2),IF(AND(V260="共同成本费用",Z260="可售建筑面积法"),ROUND(T260/'附表1-面积统计表'!$F$29*'附表1-面积统计表'!$F$5,2),"请手工填写")))</f>
        <v>14404.26</v>
      </c>
      <c r="X260" s="179">
        <f>IF(SUM('附表1-面积统计表'!$D$6)=0,"",SUM(T260)-SUM(W260)-SUM(Y260))</f>
        <v>17764.4</v>
      </c>
      <c r="Y260" s="179">
        <f>IF(SUM('附表1-面积统计表'!$D$6)=0,SUM(T260)-SUM(W260),IF('附表1-面积统计表'!$D$29=0,"",IF(AND(V260="共同成本费用",Z260="总建筑面积法"),ROUND(T260/'附表1-面积统计表'!$D$29*'附表1-面积统计表'!$D$7,2),IF(AND(V260="共同成本费用",Z260="可售建筑面积法"),ROUND(T260/'附表1-面积统计表'!$F$29*'附表1-面积统计表'!$F$7,2),"请手工填写"))))</f>
        <v>7270.28</v>
      </c>
      <c r="Z260" s="181" t="s">
        <v>311</v>
      </c>
      <c r="AA260" s="164"/>
      <c r="AB260" s="182" t="s">
        <v>1686</v>
      </c>
    </row>
    <row r="261" ht="29" hidden="1" customHeight="1" outlineLevel="1" spans="1:28">
      <c r="A261" s="159">
        <v>265</v>
      </c>
      <c r="B261" s="231" t="s">
        <v>2484</v>
      </c>
      <c r="C261" s="231" t="s">
        <v>2485</v>
      </c>
      <c r="D261" s="162" t="s">
        <v>1739</v>
      </c>
      <c r="E261" s="163" t="s">
        <v>1819</v>
      </c>
      <c r="F261" s="233" t="s">
        <v>2486</v>
      </c>
      <c r="G261" s="165" t="s">
        <v>2009</v>
      </c>
      <c r="H261" s="164" t="str">
        <f>IF(G261="","",VLOOKUP(G261,'附表8-合同明细采集底稿'!B:I,2,0))</f>
        <v>沁春锦苑中水处理土建、挡墙、警卫室‘铺装工程</v>
      </c>
      <c r="I261" s="92" t="str">
        <f>IF(G261="","",VLOOKUP(G261,'附表8-合同明细采集底稿'!B:I,3,0))</f>
        <v>建设工程合同</v>
      </c>
      <c r="J261" s="164" t="str">
        <f>IF(G261="","",VLOOKUP(G261,'附表8-合同明细采集底稿'!B:I,4,0))</f>
        <v>新疆通力建设集团股份有限公司（曾建国）</v>
      </c>
      <c r="K261" s="164" t="s">
        <v>1711</v>
      </c>
      <c r="L261" s="165"/>
      <c r="M261" s="242" t="s">
        <v>2487</v>
      </c>
      <c r="N261" s="173">
        <v>9174.31</v>
      </c>
      <c r="O261" s="173">
        <f>N261*1.09</f>
        <v>9999.9979</v>
      </c>
      <c r="P261" s="174">
        <v>9174.31</v>
      </c>
      <c r="Q261" s="173"/>
      <c r="R261" s="173">
        <f t="shared" si="10"/>
        <v>9174.31</v>
      </c>
      <c r="S261" s="177">
        <f>IFERROR(VLOOKUP(G261,'附表8-合同明细采集底稿'!B:M,12,0),100%)</f>
        <v>0.329519901724361</v>
      </c>
      <c r="T261" s="173">
        <f t="shared" si="11"/>
        <v>3023.12</v>
      </c>
      <c r="U261" s="119" t="s">
        <v>2448</v>
      </c>
      <c r="V261" s="178" t="s">
        <v>336</v>
      </c>
      <c r="W261" s="179">
        <f>IF('附表1-面积统计表'!$D$29=0,"",IF(AND(V261="共同成本费用",Z261="总建筑面积法"),ROUND(T261/'附表1-面积统计表'!$D$29*'附表1-面积统计表'!$D$5,2),IF(AND(V261="共同成本费用",Z261="可售建筑面积法"),ROUND(T261/'附表1-面积统计表'!$F$29*'附表1-面积统计表'!$F$5,2),"请手工填写")))</f>
        <v>1104.13</v>
      </c>
      <c r="X261" s="179">
        <f>IF(SUM('附表1-面积统计表'!$D$6)=0,"",SUM(T261)-SUM(W261)-SUM(Y261))</f>
        <v>1361.7</v>
      </c>
      <c r="Y261" s="179">
        <f>IF(SUM('附表1-面积统计表'!$D$6)=0,SUM(T261)-SUM(W261),IF('附表1-面积统计表'!$D$29=0,"",IF(AND(V261="共同成本费用",Z261="总建筑面积法"),ROUND(T261/'附表1-面积统计表'!$D$29*'附表1-面积统计表'!$D$7,2),IF(AND(V261="共同成本费用",Z261="可售建筑面积法"),ROUND(T261/'附表1-面积统计表'!$F$29*'附表1-面积统计表'!$F$7,2),"请手工填写"))))</f>
        <v>557.29</v>
      </c>
      <c r="Z261" s="181" t="s">
        <v>311</v>
      </c>
      <c r="AA261" s="164"/>
      <c r="AB261" s="182" t="s">
        <v>1686</v>
      </c>
    </row>
    <row r="262" ht="29" hidden="1" customHeight="1" spans="1:28">
      <c r="A262" s="159">
        <v>266</v>
      </c>
      <c r="B262" s="245" t="s">
        <v>1858</v>
      </c>
      <c r="C262" s="246" t="s">
        <v>1984</v>
      </c>
      <c r="D262" s="162" t="s">
        <v>2488</v>
      </c>
      <c r="E262" s="163" t="s">
        <v>2489</v>
      </c>
      <c r="F262" s="247" t="s">
        <v>1985</v>
      </c>
      <c r="G262" s="165" t="s">
        <v>2490</v>
      </c>
      <c r="H262" s="164" t="str">
        <f>IF(G262="","",VLOOKUP(G262,'附表8-合同明细采集底稿'!B:I,2,0))</f>
        <v>建设工程施工合同12-15#楼38#楼、31#楼.36#幼儿园（36#楼）</v>
      </c>
      <c r="I262" s="92" t="str">
        <f>IF(G262="","",VLOOKUP(G262,'附表8-合同明细采集底稿'!B:I,3,0))</f>
        <v>建设工程合同</v>
      </c>
      <c r="J262" s="164" t="str">
        <f>IF(G262="","",VLOOKUP(G262,'附表8-合同明细采集底稿'!B:I,4,0))</f>
        <v>新疆通力建设集团股份有限公司（顾）</v>
      </c>
      <c r="K262" s="164" t="s">
        <v>1711</v>
      </c>
      <c r="L262" s="165">
        <v>6500193130</v>
      </c>
      <c r="M262" s="227" t="s">
        <v>1986</v>
      </c>
      <c r="N262" s="173">
        <v>212848.63</v>
      </c>
      <c r="O262" s="173">
        <v>232005.0067</v>
      </c>
      <c r="P262" s="174">
        <v>212848.63</v>
      </c>
      <c r="Q262" s="173"/>
      <c r="R262" s="173">
        <f t="shared" si="10"/>
        <v>212848.63</v>
      </c>
      <c r="S262" s="177">
        <f>IFERROR(VLOOKUP(G262,'附表8-合同明细采集底稿'!B:M,12,0),100%)</f>
        <v>1</v>
      </c>
      <c r="T262" s="173">
        <f t="shared" si="11"/>
        <v>212848.63</v>
      </c>
      <c r="U262" s="119" t="s">
        <v>2491</v>
      </c>
      <c r="V262" s="178" t="s">
        <v>335</v>
      </c>
      <c r="W262" s="179">
        <v>0</v>
      </c>
      <c r="X262" s="179">
        <f>IF(SUM('附表1-面积统计表'!$D$6)=0,"",SUM(T262)-SUM(W262)-SUM(Y262))</f>
        <v>0</v>
      </c>
      <c r="Y262" s="179">
        <f>T262</f>
        <v>212848.63</v>
      </c>
      <c r="Z262" s="181" t="s">
        <v>2492</v>
      </c>
      <c r="AA262" s="164"/>
      <c r="AB262" s="182" t="s">
        <v>1686</v>
      </c>
    </row>
    <row r="263" ht="29" hidden="1" customHeight="1" spans="1:28">
      <c r="A263" s="159">
        <v>267</v>
      </c>
      <c r="B263" s="248">
        <v>43373</v>
      </c>
      <c r="C263" s="249" t="s">
        <v>2493</v>
      </c>
      <c r="D263" s="231" t="s">
        <v>1707</v>
      </c>
      <c r="E263" s="163" t="s">
        <v>2451</v>
      </c>
      <c r="F263" s="250" t="s">
        <v>2494</v>
      </c>
      <c r="G263" s="165"/>
      <c r="H263" s="164" t="str">
        <f>IF(G263="","",VLOOKUP(G263,'附表8-合同明细采集底稿'!B:I,2,0))</f>
        <v/>
      </c>
      <c r="I263" s="92" t="str">
        <f>IF(G263="","",VLOOKUP(G263,'附表8-合同明细采集底稿'!B:I,3,0))</f>
        <v/>
      </c>
      <c r="J263" s="164"/>
      <c r="K263" s="164" t="s">
        <v>1711</v>
      </c>
      <c r="L263" s="165" t="s">
        <v>1705</v>
      </c>
      <c r="M263" s="250" t="s">
        <v>2495</v>
      </c>
      <c r="N263" s="173">
        <v>1480.19</v>
      </c>
      <c r="O263" s="173">
        <v>1569</v>
      </c>
      <c r="P263" s="174">
        <v>1480.19</v>
      </c>
      <c r="Q263" s="173"/>
      <c r="R263" s="173">
        <f t="shared" si="10"/>
        <v>1480.19</v>
      </c>
      <c r="S263" s="177">
        <f>IFERROR(VLOOKUP(G263,'附表8-合同明细采集底稿'!B:M,12,0),100%)</f>
        <v>1</v>
      </c>
      <c r="T263" s="173">
        <f t="shared" si="11"/>
        <v>1480.19</v>
      </c>
      <c r="U263" s="119" t="s">
        <v>2496</v>
      </c>
      <c r="V263" s="178" t="s">
        <v>336</v>
      </c>
      <c r="W263" s="179">
        <f>IF('附表1-面积统计表'!$D$29=0,"",IF(AND(V263="共同成本费用",Z263="总建筑面积法"),ROUND(T263/'附表1-面积统计表'!$D$29*'附表1-面积统计表'!$D$5,2),IF(AND(V263="共同成本费用",Z263="可售建筑面积法"),ROUND(T263/'附表1-面积统计表'!$F$29*'附表1-面积统计表'!$F$5,2),"请手工填写")))</f>
        <v>540.61</v>
      </c>
      <c r="X263" s="179">
        <f>IF(SUM('附表1-面积统计表'!$D$6)=0,"",SUM(T263)-SUM(W263)-SUM(Y263))</f>
        <v>666.72</v>
      </c>
      <c r="Y263" s="179">
        <f>IF(SUM('附表1-面积统计表'!$D$6)=0,SUM(T263)-SUM(W263),IF('附表1-面积统计表'!$D$29=0,"",IF(AND(V263="共同成本费用",Z263="总建筑面积法"),ROUND(T263/'附表1-面积统计表'!$D$29*'附表1-面积统计表'!$D$7,2),IF(AND(V263="共同成本费用",Z263="可售建筑面积法"),ROUND(T263/'附表1-面积统计表'!$F$29*'附表1-面积统计表'!$F$7,2),"请手工填写"))))</f>
        <v>272.86</v>
      </c>
      <c r="Z263" s="181" t="s">
        <v>311</v>
      </c>
      <c r="AA263" s="164"/>
      <c r="AB263" s="182" t="s">
        <v>1686</v>
      </c>
    </row>
    <row r="264" ht="29" hidden="1" customHeight="1" spans="1:28">
      <c r="A264" s="159">
        <v>268</v>
      </c>
      <c r="B264" s="248">
        <v>43373</v>
      </c>
      <c r="C264" s="249" t="s">
        <v>2497</v>
      </c>
      <c r="D264" s="231" t="s">
        <v>1707</v>
      </c>
      <c r="E264" s="163" t="s">
        <v>2498</v>
      </c>
      <c r="F264" s="250" t="s">
        <v>2499</v>
      </c>
      <c r="G264" s="165"/>
      <c r="H264" s="164" t="str">
        <f>IF(G264="","",VLOOKUP(G264,'附表8-合同明细采集底稿'!B:I,2,0))</f>
        <v/>
      </c>
      <c r="I264" s="92" t="str">
        <f>IF(G264="","",VLOOKUP(G264,'附表8-合同明细采集底稿'!B:I,3,0))</f>
        <v/>
      </c>
      <c r="J264" s="164" t="s">
        <v>2500</v>
      </c>
      <c r="K264" s="164" t="s">
        <v>1711</v>
      </c>
      <c r="L264" s="165">
        <v>6500192130</v>
      </c>
      <c r="M264" s="227" t="s">
        <v>2501</v>
      </c>
      <c r="N264" s="173">
        <v>1300</v>
      </c>
      <c r="O264" s="173">
        <v>1378</v>
      </c>
      <c r="P264" s="174">
        <v>1300</v>
      </c>
      <c r="Q264" s="173"/>
      <c r="R264" s="173">
        <f t="shared" si="10"/>
        <v>1300</v>
      </c>
      <c r="S264" s="177">
        <f>IFERROR(VLOOKUP(G264,'附表8-合同明细采集底稿'!B:M,12,0),100%)</f>
        <v>1</v>
      </c>
      <c r="T264" s="173">
        <f t="shared" si="11"/>
        <v>1300</v>
      </c>
      <c r="U264" s="119" t="s">
        <v>2496</v>
      </c>
      <c r="V264" s="178" t="s">
        <v>336</v>
      </c>
      <c r="W264" s="179">
        <f>IF('附表1-面积统计表'!$D$29=0,"",IF(AND(V264="共同成本费用",Z264="总建筑面积法"),ROUND(T264/'附表1-面积统计表'!$D$29*'附表1-面积统计表'!$D$5,2),IF(AND(V264="共同成本费用",Z264="可售建筑面积法"),ROUND(T264/'附表1-面积统计表'!$F$29*'附表1-面积统计表'!$F$5,2),"请手工填写")))</f>
        <v>474.8</v>
      </c>
      <c r="X264" s="179">
        <f>IF(SUM('附表1-面积统计表'!$D$6)=0,"",SUM(T264)-SUM(W264)-SUM(Y264))</f>
        <v>585.55</v>
      </c>
      <c r="Y264" s="179">
        <f>IF(SUM('附表1-面积统计表'!$D$6)=0,SUM(T264)-SUM(W264),IF('附表1-面积统计表'!$D$29=0,"",IF(AND(V264="共同成本费用",Z264="总建筑面积法"),ROUND(T264/'附表1-面积统计表'!$D$29*'附表1-面积统计表'!$D$7,2),IF(AND(V264="共同成本费用",Z264="可售建筑面积法"),ROUND(T264/'附表1-面积统计表'!$F$29*'附表1-面积统计表'!$F$7,2),"请手工填写"))))</f>
        <v>239.65</v>
      </c>
      <c r="Z264" s="181" t="s">
        <v>311</v>
      </c>
      <c r="AA264" s="164"/>
      <c r="AB264" s="182" t="s">
        <v>1686</v>
      </c>
    </row>
    <row r="265" ht="29" hidden="1" customHeight="1" spans="1:28">
      <c r="A265" s="159">
        <v>269</v>
      </c>
      <c r="B265" s="248">
        <v>43476</v>
      </c>
      <c r="C265" s="249" t="s">
        <v>2502</v>
      </c>
      <c r="D265" s="231" t="s">
        <v>1707</v>
      </c>
      <c r="E265" s="163" t="s">
        <v>2451</v>
      </c>
      <c r="F265" s="251" t="s">
        <v>2503</v>
      </c>
      <c r="G265" s="165"/>
      <c r="H265" s="164" t="str">
        <f>IF(G265="","",VLOOKUP(G265,'附表8-合同明细采集底稿'!B:I,2,0))</f>
        <v/>
      </c>
      <c r="I265" s="92" t="str">
        <f>IF(G265="","",VLOOKUP(G265,'附表8-合同明细采集底稿'!B:I,3,0))</f>
        <v/>
      </c>
      <c r="J265" s="164" t="s">
        <v>2504</v>
      </c>
      <c r="K265" s="164" t="s">
        <v>1711</v>
      </c>
      <c r="L265" s="165">
        <v>6500191130</v>
      </c>
      <c r="M265" s="573" t="s">
        <v>2505</v>
      </c>
      <c r="N265" s="173">
        <v>118.87</v>
      </c>
      <c r="O265" s="173">
        <v>126</v>
      </c>
      <c r="P265" s="174">
        <v>118.87</v>
      </c>
      <c r="Q265" s="173"/>
      <c r="R265" s="173">
        <f t="shared" si="10"/>
        <v>118.87</v>
      </c>
      <c r="S265" s="177">
        <f>IFERROR(VLOOKUP(G265,'附表8-合同明细采集底稿'!B:M,12,0),100%)</f>
        <v>1</v>
      </c>
      <c r="T265" s="173">
        <f t="shared" si="11"/>
        <v>118.87</v>
      </c>
      <c r="U265" s="119" t="s">
        <v>2496</v>
      </c>
      <c r="V265" s="178" t="s">
        <v>336</v>
      </c>
      <c r="W265" s="179">
        <f>IF('附表1-面积统计表'!$D$29=0,"",IF(AND(V265="共同成本费用",Z265="总建筑面积法"),ROUND(T265/'附表1-面积统计表'!$D$29*'附表1-面积统计表'!$D$5,2),IF(AND(V265="共同成本费用",Z265="可售建筑面积法"),ROUND(T265/'附表1-面积统计表'!$F$29*'附表1-面积统计表'!$F$5,2),"请手工填写")))</f>
        <v>43.41</v>
      </c>
      <c r="X265" s="179">
        <f>IF(SUM('附表1-面积统计表'!$D$6)=0,"",SUM(T265)-SUM(W265)-SUM(Y265))</f>
        <v>53.55</v>
      </c>
      <c r="Y265" s="179">
        <f>IF(SUM('附表1-面积统计表'!$D$6)=0,SUM(T265)-SUM(W265),IF('附表1-面积统计表'!$D$29=0,"",IF(AND(V265="共同成本费用",Z265="总建筑面积法"),ROUND(T265/'附表1-面积统计表'!$D$29*'附表1-面积统计表'!$D$7,2),IF(AND(V265="共同成本费用",Z265="可售建筑面积法"),ROUND(T265/'附表1-面积统计表'!$F$29*'附表1-面积统计表'!$F$7,2),"请手工填写"))))</f>
        <v>21.91</v>
      </c>
      <c r="Z265" s="181" t="s">
        <v>311</v>
      </c>
      <c r="AA265" s="164"/>
      <c r="AB265" s="182" t="s">
        <v>1686</v>
      </c>
    </row>
    <row r="266" ht="29" hidden="1" customHeight="1" spans="1:28">
      <c r="A266" s="159">
        <v>271</v>
      </c>
      <c r="B266" s="248">
        <v>43810</v>
      </c>
      <c r="C266" s="249" t="s">
        <v>1765</v>
      </c>
      <c r="D266" s="231" t="s">
        <v>1707</v>
      </c>
      <c r="E266" s="163" t="s">
        <v>2451</v>
      </c>
      <c r="F266" s="251" t="s">
        <v>2506</v>
      </c>
      <c r="G266" s="165"/>
      <c r="H266" s="164" t="str">
        <f>IF(G266="","",VLOOKUP(G266,'附表8-合同明细采集底稿'!B:I,2,0))</f>
        <v/>
      </c>
      <c r="I266" s="92" t="str">
        <f>IF(G266="","",VLOOKUP(G266,'附表8-合同明细采集底稿'!B:I,3,0))</f>
        <v/>
      </c>
      <c r="J266" s="253" t="s">
        <v>2507</v>
      </c>
      <c r="K266" s="164" t="s">
        <v>2508</v>
      </c>
      <c r="L266" s="165">
        <v>6500192130</v>
      </c>
      <c r="M266" s="227">
        <v>990355906</v>
      </c>
      <c r="N266" s="173">
        <v>931347.48</v>
      </c>
      <c r="O266" s="173">
        <v>931347.48</v>
      </c>
      <c r="P266" s="174">
        <v>931347.48</v>
      </c>
      <c r="Q266" s="173"/>
      <c r="R266" s="173">
        <f t="shared" si="10"/>
        <v>931347.48</v>
      </c>
      <c r="S266" s="177">
        <f>IFERROR(VLOOKUP(G266,'附表8-合同明细采集底稿'!B:M,12,0),100%)</f>
        <v>1</v>
      </c>
      <c r="T266" s="173">
        <f t="shared" si="11"/>
        <v>931347.48</v>
      </c>
      <c r="U266" s="119" t="s">
        <v>2509</v>
      </c>
      <c r="V266" s="178" t="s">
        <v>336</v>
      </c>
      <c r="W266" s="179">
        <f>IF('附表1-面积统计表'!$D$29=0,"",IF(AND(V266="共同成本费用",Z266="总建筑面积法"),ROUND(T266/'附表1-面积统计表'!$D$29*'附表1-面积统计表'!$D$5,2),IF(AND(V266="共同成本费用",Z266="可售建筑面积法"),ROUND(T266/'附表1-面积统计表'!$F$29*'附表1-面积统计表'!$F$5,2),"请手工填写")))</f>
        <v>340155.49</v>
      </c>
      <c r="X266" s="179">
        <f>IF(SUM('附表1-面积统计表'!$D$6)=0,"",SUM(T266)-SUM(W266)-SUM(Y266))</f>
        <v>419504.89</v>
      </c>
      <c r="Y266" s="179">
        <f>IF(SUM('附表1-面积统计表'!$D$6)=0,SUM(T266)-SUM(W266),IF('附表1-面积统计表'!$D$29=0,"",IF(AND(V266="共同成本费用",Z266="总建筑面积法"),ROUND(T266/'附表1-面积统计表'!$D$29*'附表1-面积统计表'!$D$7,2),IF(AND(V266="共同成本费用",Z266="可售建筑面积法"),ROUND(T266/'附表1-面积统计表'!$F$29*'附表1-面积统计表'!$F$7,2),"请手工填写"))))</f>
        <v>171687.1</v>
      </c>
      <c r="Z266" s="181" t="s">
        <v>311</v>
      </c>
      <c r="AA266" s="164"/>
      <c r="AB266" s="182" t="s">
        <v>1686</v>
      </c>
    </row>
    <row r="267" ht="29" hidden="1" customHeight="1" spans="1:28">
      <c r="A267" s="159">
        <v>272</v>
      </c>
      <c r="B267" s="227" t="s">
        <v>1792</v>
      </c>
      <c r="C267" s="227" t="s">
        <v>2510</v>
      </c>
      <c r="D267" s="231" t="s">
        <v>1707</v>
      </c>
      <c r="E267" s="163" t="s">
        <v>2451</v>
      </c>
      <c r="F267" s="229" t="s">
        <v>2511</v>
      </c>
      <c r="G267" s="165" t="s">
        <v>2512</v>
      </c>
      <c r="H267" s="164" t="str">
        <f>IF(G267="","",VLOOKUP(G267,'附表8-合同明细采集底稿'!B:I,2,0))</f>
        <v>2#3#36#11#17#审图费</v>
      </c>
      <c r="I267" s="92" t="str">
        <f>IF(G267="","",VLOOKUP(G267,'附表8-合同明细采集底稿'!B:I,3,0))</f>
        <v>技术合同</v>
      </c>
      <c r="J267" s="164" t="str">
        <f>IF(G267="","",VLOOKUP(G267,'附表8-合同明细采集底稿'!B:I,4,0))</f>
        <v>巴州建筑工程施工图设计文件审查中心</v>
      </c>
      <c r="K267" s="164" t="s">
        <v>1711</v>
      </c>
      <c r="L267" s="165">
        <v>6500192130</v>
      </c>
      <c r="M267" s="574" t="s">
        <v>2513</v>
      </c>
      <c r="N267" s="173">
        <v>18718.87</v>
      </c>
      <c r="O267" s="173">
        <v>19842</v>
      </c>
      <c r="P267" s="174">
        <v>18718.87</v>
      </c>
      <c r="Q267" s="173"/>
      <c r="R267" s="173">
        <f t="shared" si="10"/>
        <v>18718.87</v>
      </c>
      <c r="S267" s="177">
        <f>IFERROR(VLOOKUP(G267,'附表8-合同明细采集底稿'!B:M,12,0),100%)</f>
        <v>1</v>
      </c>
      <c r="T267" s="173">
        <f t="shared" si="11"/>
        <v>18718.87</v>
      </c>
      <c r="U267" s="119" t="s">
        <v>2496</v>
      </c>
      <c r="V267" s="178" t="s">
        <v>336</v>
      </c>
      <c r="W267" s="179">
        <f>IF('附表1-面积统计表'!$D$29=0,"",IF(AND(V267="共同成本费用",Z267="总建筑面积法"),ROUND(T267/'附表1-面积统计表'!$D$29*'附表1-面积统计表'!$D$5,2),IF(AND(V267="共同成本费用",Z267="可售建筑面积法"),ROUND(T267/'附表1-面积统计表'!$F$29*'附表1-面积统计表'!$F$5,2),"请手工填写")))</f>
        <v>6836.68</v>
      </c>
      <c r="X267" s="179">
        <f>IF(SUM('附表1-面积统计表'!$D$6)=0,"",SUM(T267)-SUM(W267)-SUM(Y267))</f>
        <v>8431.5</v>
      </c>
      <c r="Y267" s="179">
        <f>IF(SUM('附表1-面积统计表'!$D$6)=0,SUM(T267)-SUM(W267),IF('附表1-面积统计表'!$D$29=0,"",IF(AND(V267="共同成本费用",Z267="总建筑面积法"),ROUND(T267/'附表1-面积统计表'!$D$29*'附表1-面积统计表'!$D$7,2),IF(AND(V267="共同成本费用",Z267="可售建筑面积法"),ROUND(T267/'附表1-面积统计表'!$F$29*'附表1-面积统计表'!$F$7,2),"请手工填写"))))</f>
        <v>3450.69</v>
      </c>
      <c r="Z267" s="181" t="s">
        <v>311</v>
      </c>
      <c r="AA267" s="164"/>
      <c r="AB267" s="182" t="s">
        <v>1686</v>
      </c>
    </row>
    <row r="268" ht="29" hidden="1" customHeight="1" spans="1:28">
      <c r="A268" s="159">
        <v>273</v>
      </c>
      <c r="B268" s="227" t="s">
        <v>1792</v>
      </c>
      <c r="C268" s="227" t="s">
        <v>1863</v>
      </c>
      <c r="D268" s="231" t="s">
        <v>1707</v>
      </c>
      <c r="E268" s="163" t="s">
        <v>2498</v>
      </c>
      <c r="F268" s="229" t="s">
        <v>2514</v>
      </c>
      <c r="G268" s="119" t="s">
        <v>2515</v>
      </c>
      <c r="H268" s="164" t="str">
        <f>IF(G268="","",VLOOKUP(G268,'附表8-合同明细采集底稿'!B:I,2,0))</f>
        <v>4#-10#16#2#3#11#17#建筑红蓝线图及竣工测</v>
      </c>
      <c r="I268" s="92" t="str">
        <f>IF(G268="","",VLOOKUP(G268,'附表8-合同明细采集底稿'!B:I,3,0))</f>
        <v>技术合同</v>
      </c>
      <c r="J268" s="164" t="str">
        <f>IF(G268="","",VLOOKUP(G268,'附表8-合同明细采集底稿'!B:I,4,0))</f>
        <v>新疆天拓空间信息测绘院有限公司</v>
      </c>
      <c r="K268" s="164" t="s">
        <v>1711</v>
      </c>
      <c r="L268" s="165">
        <v>6500192130</v>
      </c>
      <c r="M268" s="573" t="s">
        <v>2516</v>
      </c>
      <c r="N268" s="173">
        <v>2600</v>
      </c>
      <c r="O268" s="173">
        <v>2756</v>
      </c>
      <c r="P268" s="174">
        <v>2600</v>
      </c>
      <c r="Q268" s="173"/>
      <c r="R268" s="173">
        <f t="shared" si="10"/>
        <v>2600</v>
      </c>
      <c r="S268" s="177">
        <f>IFERROR(VLOOKUP(G268,'附表8-合同明细采集底稿'!B:M,12,0),100%)</f>
        <v>1</v>
      </c>
      <c r="T268" s="173">
        <f t="shared" si="11"/>
        <v>2600</v>
      </c>
      <c r="U268" s="119" t="s">
        <v>2496</v>
      </c>
      <c r="V268" s="178" t="s">
        <v>336</v>
      </c>
      <c r="W268" s="179">
        <f>IF('附表1-面积统计表'!$D$29=0,"",IF(AND(V268="共同成本费用",Z268="总建筑面积法"),ROUND(T268/'附表1-面积统计表'!$D$29*'附表1-面积统计表'!$D$5,2),IF(AND(V268="共同成本费用",Z268="可售建筑面积法"),ROUND(T268/'附表1-面积统计表'!$F$29*'附表1-面积统计表'!$F$5,2),"请手工填写")))</f>
        <v>949.6</v>
      </c>
      <c r="X268" s="179">
        <f>IF(SUM('附表1-面积统计表'!$D$6)=0,"",SUM(T268)-SUM(W268)-SUM(Y268))</f>
        <v>1171.11</v>
      </c>
      <c r="Y268" s="179">
        <f>IF(SUM('附表1-面积统计表'!$D$6)=0,SUM(T268)-SUM(W268),IF('附表1-面积统计表'!$D$29=0,"",IF(AND(V268="共同成本费用",Z268="总建筑面积法"),ROUND(T268/'附表1-面积统计表'!$D$29*'附表1-面积统计表'!$D$7,2),IF(AND(V268="共同成本费用",Z268="可售建筑面积法"),ROUND(T268/'附表1-面积统计表'!$F$29*'附表1-面积统计表'!$F$7,2),"请手工填写"))))</f>
        <v>479.29</v>
      </c>
      <c r="Z268" s="181" t="s">
        <v>311</v>
      </c>
      <c r="AA268" s="164"/>
      <c r="AB268" s="182" t="s">
        <v>1686</v>
      </c>
    </row>
    <row r="269" ht="29" hidden="1" customHeight="1" spans="1:28">
      <c r="A269" s="159">
        <v>274</v>
      </c>
      <c r="B269" s="227" t="s">
        <v>141</v>
      </c>
      <c r="C269" s="227" t="s">
        <v>2427</v>
      </c>
      <c r="D269" s="231" t="s">
        <v>1707</v>
      </c>
      <c r="E269" s="163" t="s">
        <v>1708</v>
      </c>
      <c r="F269" s="229" t="s">
        <v>2517</v>
      </c>
      <c r="G269" s="165" t="s">
        <v>2518</v>
      </c>
      <c r="H269" s="164" t="str">
        <f>IF(G269="","",VLOOKUP(G269,'附表8-合同明细采集底稿'!B:I,2,0))</f>
        <v>4#-10#建设工程设计合同（民用建设工程设计合同）</v>
      </c>
      <c r="I269" s="92" t="str">
        <f>IF(G269="","",VLOOKUP(G269,'附表8-合同明细采集底稿'!B:I,3,0))</f>
        <v>技术合同</v>
      </c>
      <c r="J269" s="164" t="str">
        <f>IF(G269="","",VLOOKUP(G269,'附表8-合同明细采集底稿'!B:I,4,0))</f>
        <v>新疆益诚开拓空间规划建筑设计研究院有限公司</v>
      </c>
      <c r="K269" s="164" t="s">
        <v>1711</v>
      </c>
      <c r="L269" s="165">
        <v>6500193160</v>
      </c>
      <c r="M269" s="573" t="s">
        <v>2519</v>
      </c>
      <c r="N269" s="173">
        <v>162221.7</v>
      </c>
      <c r="O269" s="173">
        <v>171955</v>
      </c>
      <c r="P269" s="174">
        <v>162221.7</v>
      </c>
      <c r="Q269" s="173"/>
      <c r="R269" s="173">
        <f t="shared" si="10"/>
        <v>162221.7</v>
      </c>
      <c r="S269" s="177">
        <f>IFERROR(VLOOKUP(G269,'附表8-合同明细采集底稿'!B:M,12,0),100%)</f>
        <v>1</v>
      </c>
      <c r="T269" s="173">
        <f t="shared" si="11"/>
        <v>162221.7</v>
      </c>
      <c r="U269" s="119" t="s">
        <v>2496</v>
      </c>
      <c r="V269" s="178" t="s">
        <v>336</v>
      </c>
      <c r="W269" s="179">
        <f>IF('附表1-面积统计表'!$D$29=0,"",IF(AND(V269="共同成本费用",Z269="总建筑面积法"),ROUND(T269/'附表1-面积统计表'!$D$29*'附表1-面积统计表'!$D$5,2),IF(AND(V269="共同成本费用",Z269="可售建筑面积法"),ROUND(T269/'附表1-面积统计表'!$F$29*'附表1-面积统计表'!$F$5,2),"请手工填写")))</f>
        <v>59248.14</v>
      </c>
      <c r="X269" s="179">
        <f>IF(SUM('附表1-面积统计表'!$D$6)=0,"",SUM(T269)-SUM(W269)-SUM(Y269))</f>
        <v>73069.18</v>
      </c>
      <c r="Y269" s="179">
        <f>IF(SUM('附表1-面积统计表'!$D$6)=0,SUM(T269)-SUM(W269),IF('附表1-面积统计表'!$D$29=0,"",IF(AND(V269="共同成本费用",Z269="总建筑面积法"),ROUND(T269/'附表1-面积统计表'!$D$29*'附表1-面积统计表'!$D$7,2),IF(AND(V269="共同成本费用",Z269="可售建筑面积法"),ROUND(T269/'附表1-面积统计表'!$F$29*'附表1-面积统计表'!$F$7,2),"请手工填写"))))</f>
        <v>29904.38</v>
      </c>
      <c r="Z269" s="181" t="s">
        <v>311</v>
      </c>
      <c r="AA269" s="164"/>
      <c r="AB269" s="182" t="s">
        <v>1686</v>
      </c>
    </row>
    <row r="270" ht="29" hidden="1" customHeight="1" spans="1:28">
      <c r="A270" s="159">
        <v>275</v>
      </c>
      <c r="B270" s="227" t="s">
        <v>141</v>
      </c>
      <c r="C270" s="227" t="s">
        <v>2069</v>
      </c>
      <c r="D270" s="231" t="s">
        <v>1707</v>
      </c>
      <c r="E270" s="163" t="s">
        <v>1708</v>
      </c>
      <c r="F270" s="229" t="s">
        <v>2520</v>
      </c>
      <c r="G270" s="165" t="s">
        <v>2518</v>
      </c>
      <c r="H270" s="164" t="str">
        <f>IF(G270="","",VLOOKUP(G270,'附表8-合同明细采集底稿'!B:I,2,0))</f>
        <v>4#-10#建设工程设计合同（民用建设工程设计合同）</v>
      </c>
      <c r="I270" s="92" t="str">
        <f>IF(G270="","",VLOOKUP(G270,'附表8-合同明细采集底稿'!B:I,3,0))</f>
        <v>技术合同</v>
      </c>
      <c r="J270" s="164" t="str">
        <f>IF(G270="","",VLOOKUP(G270,'附表8-合同明细采集底稿'!B:I,4,0))</f>
        <v>新疆益诚开拓空间规划建筑设计研究院有限公司</v>
      </c>
      <c r="K270" s="164" t="s">
        <v>1711</v>
      </c>
      <c r="L270" s="165">
        <v>6500193130</v>
      </c>
      <c r="M270" s="573" t="s">
        <v>2521</v>
      </c>
      <c r="N270" s="173">
        <v>46415.09</v>
      </c>
      <c r="O270" s="173">
        <v>49200</v>
      </c>
      <c r="P270" s="174">
        <v>46415.09</v>
      </c>
      <c r="Q270" s="173">
        <v>23108.49</v>
      </c>
      <c r="R270" s="173">
        <f t="shared" si="10"/>
        <v>69523.58</v>
      </c>
      <c r="S270" s="177">
        <f>IFERROR(VLOOKUP(G270,'附表8-合同明细采集底稿'!B:M,12,0),100%)</f>
        <v>1</v>
      </c>
      <c r="T270" s="173">
        <f t="shared" si="11"/>
        <v>69523.58</v>
      </c>
      <c r="U270" s="119" t="s">
        <v>2496</v>
      </c>
      <c r="V270" s="178" t="s">
        <v>336</v>
      </c>
      <c r="W270" s="179">
        <f>IF('附表1-面积统计表'!$D$29=0,"",IF(AND(V270="共同成本费用",Z270="总建筑面积法"),ROUND(T270/'附表1-面积统计表'!$D$29*'附表1-面积统计表'!$D$5,2),IF(AND(V270="共同成本费用",Z270="可售建筑面积法"),ROUND(T270/'附表1-面积统计表'!$F$29*'附表1-面积统计表'!$F$5,2),"请手工填写")))</f>
        <v>25392.06</v>
      </c>
      <c r="X270" s="179">
        <f>IF(SUM('附表1-面积统计表'!$D$6)=0,"",SUM(T270)-SUM(W270)-SUM(Y270))</f>
        <v>31315.36</v>
      </c>
      <c r="Y270" s="179">
        <f>IF(SUM('附表1-面积统计表'!$D$6)=0,SUM(T270)-SUM(W270),IF('附表1-面积统计表'!$D$29=0,"",IF(AND(V270="共同成本费用",Z270="总建筑面积法"),ROUND(T270/'附表1-面积统计表'!$D$29*'附表1-面积统计表'!$D$7,2),IF(AND(V270="共同成本费用",Z270="可售建筑面积法"),ROUND(T270/'附表1-面积统计表'!$F$29*'附表1-面积统计表'!$F$7,2),"请手工填写"))))</f>
        <v>12816.16</v>
      </c>
      <c r="Z270" s="181" t="s">
        <v>311</v>
      </c>
      <c r="AA270" s="164"/>
      <c r="AB270" s="182" t="s">
        <v>1686</v>
      </c>
    </row>
    <row r="271" ht="29" hidden="1" customHeight="1" spans="1:28">
      <c r="A271" s="159">
        <v>276</v>
      </c>
      <c r="B271" s="227" t="s">
        <v>141</v>
      </c>
      <c r="C271" s="227" t="s">
        <v>2072</v>
      </c>
      <c r="D271" s="231" t="s">
        <v>1707</v>
      </c>
      <c r="E271" s="163" t="s">
        <v>1708</v>
      </c>
      <c r="F271" s="229" t="s">
        <v>2522</v>
      </c>
      <c r="G271" s="165" t="s">
        <v>2523</v>
      </c>
      <c r="H271" s="164" t="str">
        <f>IF(G271="","",VLOOKUP(G271,'附表8-合同明细采集底稿'!B:I,2,0))</f>
        <v>2#3#11#17#建设工程设计合同（民用建设工程设计合同）</v>
      </c>
      <c r="I271" s="92" t="str">
        <f>IF(G271="","",VLOOKUP(G271,'附表8-合同明细采集底稿'!B:I,3,0))</f>
        <v>技术合同</v>
      </c>
      <c r="J271" s="164" t="str">
        <f>IF(G271="","",VLOOKUP(G271,'附表8-合同明细采集底稿'!B:I,4,0))</f>
        <v>新疆益诚开拓空间规划建筑设计研究院有限公司</v>
      </c>
      <c r="K271" s="164" t="s">
        <v>1711</v>
      </c>
      <c r="L271" s="165">
        <v>6500193130</v>
      </c>
      <c r="M271" s="573" t="s">
        <v>2524</v>
      </c>
      <c r="N271" s="173">
        <v>83971.7</v>
      </c>
      <c r="O271" s="173">
        <v>89010</v>
      </c>
      <c r="P271" s="174">
        <v>83971.7</v>
      </c>
      <c r="Q271" s="173">
        <v>-23108.49</v>
      </c>
      <c r="R271" s="173">
        <f t="shared" si="10"/>
        <v>60863.21</v>
      </c>
      <c r="S271" s="177">
        <f>IFERROR(VLOOKUP(G271,'附表8-合同明细采集底稿'!B:M,12,0),100%)</f>
        <v>1</v>
      </c>
      <c r="T271" s="173">
        <f t="shared" si="11"/>
        <v>60863.21</v>
      </c>
      <c r="U271" s="119" t="s">
        <v>2496</v>
      </c>
      <c r="V271" s="178" t="s">
        <v>336</v>
      </c>
      <c r="W271" s="179">
        <f>IF('附表1-面积统计表'!$D$29=0,"",IF(AND(V271="共同成本费用",Z271="总建筑面积法"),ROUND(T271/'附表1-面积统计表'!$D$29*'附表1-面积统计表'!$D$5,2),IF(AND(V271="共同成本费用",Z271="可售建筑面积法"),ROUND(T271/'附表1-面积统计表'!$F$29*'附表1-面积统计表'!$F$5,2),"请手工填写")))</f>
        <v>22229.03</v>
      </c>
      <c r="X271" s="179">
        <f>IF(SUM('附表1-面积统计表'!$D$6)=0,"",SUM(T271)-SUM(W271)-SUM(Y271))</f>
        <v>27414.49</v>
      </c>
      <c r="Y271" s="179">
        <f>IF(SUM('附表1-面积统计表'!$D$6)=0,SUM(T271)-SUM(W271),IF('附表1-面积统计表'!$D$29=0,"",IF(AND(V271="共同成本费用",Z271="总建筑面积法"),ROUND(T271/'附表1-面积统计表'!$D$29*'附表1-面积统计表'!$D$7,2),IF(AND(V271="共同成本费用",Z271="可售建筑面积法"),ROUND(T271/'附表1-面积统计表'!$F$29*'附表1-面积统计表'!$F$7,2),"请手工填写"))))</f>
        <v>11219.69</v>
      </c>
      <c r="Z271" s="181" t="s">
        <v>311</v>
      </c>
      <c r="AA271" s="164"/>
      <c r="AB271" s="182" t="s">
        <v>1686</v>
      </c>
    </row>
    <row r="272" ht="29" hidden="1" customHeight="1" spans="1:28">
      <c r="A272" s="159">
        <v>277</v>
      </c>
      <c r="B272" s="227" t="s">
        <v>2525</v>
      </c>
      <c r="C272" s="227" t="s">
        <v>2526</v>
      </c>
      <c r="D272" s="162" t="s">
        <v>2488</v>
      </c>
      <c r="E272" s="163" t="s">
        <v>2489</v>
      </c>
      <c r="F272" s="229" t="s">
        <v>2527</v>
      </c>
      <c r="G272" s="165" t="s">
        <v>2528</v>
      </c>
      <c r="H272" s="164" t="str">
        <f>IF(G272="","",VLOOKUP(G272,'附表8-合同明细采集底稿'!B:I,2,0))</f>
        <v>建设工程监理合同</v>
      </c>
      <c r="I272" s="92" t="str">
        <f>IF(G272="","",VLOOKUP(G272,'附表8-合同明细采集底稿'!B:I,3,0))</f>
        <v>技术合同</v>
      </c>
      <c r="J272" s="164" t="str">
        <f>IF(G272="","",VLOOKUP(G272,'附表8-合同明细采集底稿'!B:I,4,0))</f>
        <v>巴州智诚工程项目管理服务有限公司（朱金桥）</v>
      </c>
      <c r="K272" s="164" t="s">
        <v>1711</v>
      </c>
      <c r="L272" s="165">
        <v>6500193130</v>
      </c>
      <c r="M272" s="573" t="s">
        <v>2529</v>
      </c>
      <c r="N272" s="173">
        <v>83801.98</v>
      </c>
      <c r="O272" s="173">
        <v>84640</v>
      </c>
      <c r="P272" s="174">
        <v>83801.98</v>
      </c>
      <c r="Q272" s="173"/>
      <c r="R272" s="173">
        <f t="shared" si="10"/>
        <v>83801.98</v>
      </c>
      <c r="S272" s="177">
        <f>IFERROR(VLOOKUP(G272,'附表8-合同明细采集底稿'!B:M,12,0),100%)</f>
        <v>1</v>
      </c>
      <c r="T272" s="173">
        <f t="shared" si="11"/>
        <v>83801.98</v>
      </c>
      <c r="U272" s="119" t="s">
        <v>2496</v>
      </c>
      <c r="V272" s="178" t="s">
        <v>336</v>
      </c>
      <c r="W272" s="179">
        <f>IF('附表1-面积统计表'!$D$29=0,"",IF(AND(V272="共同成本费用",Z272="总建筑面积法"),ROUND(T272/'附表1-面积统计表'!$D$29*'附表1-面积统计表'!$D$5,2),IF(AND(V272="共同成本费用",Z272="可售建筑面积法"),ROUND(T272/'附表1-面积统计表'!$F$29*'附表1-面积统计表'!$F$5,2),"请手工填写")))</f>
        <v>30606.95</v>
      </c>
      <c r="X272" s="179">
        <f>IF(SUM('附表1-面积统计表'!$D$6)=0,"",SUM(T272)-SUM(W272)-SUM(Y272))</f>
        <v>37746.75</v>
      </c>
      <c r="Y272" s="179">
        <f>IF(SUM('附表1-面积统计表'!$D$6)=0,SUM(T272)-SUM(W272),IF('附表1-面积统计表'!$D$29=0,"",IF(AND(V272="共同成本费用",Z272="总建筑面积法"),ROUND(T272/'附表1-面积统计表'!$D$29*'附表1-面积统计表'!$D$7,2),IF(AND(V272="共同成本费用",Z272="可售建筑面积法"),ROUND(T272/'附表1-面积统计表'!$F$29*'附表1-面积统计表'!$F$7,2),"请手工填写"))))</f>
        <v>15448.28</v>
      </c>
      <c r="Z272" s="181" t="s">
        <v>311</v>
      </c>
      <c r="AA272" s="164"/>
      <c r="AB272" s="182" t="s">
        <v>1686</v>
      </c>
    </row>
    <row r="273" ht="29" hidden="1" customHeight="1" spans="1:28">
      <c r="A273" s="159">
        <v>278</v>
      </c>
      <c r="B273" s="227" t="s">
        <v>2530</v>
      </c>
      <c r="C273" s="227" t="s">
        <v>1843</v>
      </c>
      <c r="D273" s="231" t="s">
        <v>1707</v>
      </c>
      <c r="E273" s="163" t="s">
        <v>2451</v>
      </c>
      <c r="F273" s="229" t="s">
        <v>2531</v>
      </c>
      <c r="G273" s="165" t="s">
        <v>2532</v>
      </c>
      <c r="H273" s="164" t="str">
        <f>IF(G273="","",VLOOKUP(G273,'附表8-合同明细采集底稿'!B:I,2,0))</f>
        <v>建设工程勘察合同（4-10#楼、16#楼，2#3#36#商业楼、幼儿园）-三期</v>
      </c>
      <c r="I273" s="92" t="str">
        <f>IF(G273="","",VLOOKUP(G273,'附表8-合同明细采集底稿'!B:I,3,0))</f>
        <v>技术合同</v>
      </c>
      <c r="J273" s="164" t="str">
        <f>IF(G273="","",VLOOKUP(G273,'附表8-合同明细采集底稿'!B:I,4,0))</f>
        <v>巴州基安岩土工程勘察设计有限责任公司</v>
      </c>
      <c r="K273" s="164" t="s">
        <v>1711</v>
      </c>
      <c r="L273" s="165">
        <v>6500193130</v>
      </c>
      <c r="M273" s="573" t="s">
        <v>2533</v>
      </c>
      <c r="N273" s="173">
        <v>35660.38</v>
      </c>
      <c r="O273" s="173">
        <v>37800</v>
      </c>
      <c r="P273" s="174">
        <v>35660.38</v>
      </c>
      <c r="Q273" s="173"/>
      <c r="R273" s="173">
        <f t="shared" si="10"/>
        <v>35660.38</v>
      </c>
      <c r="S273" s="177">
        <f>IFERROR(VLOOKUP(G273,'附表8-合同明细采集底稿'!B:M,12,0),100%)</f>
        <v>1</v>
      </c>
      <c r="T273" s="173">
        <f t="shared" si="11"/>
        <v>35660.38</v>
      </c>
      <c r="U273" s="119" t="s">
        <v>2496</v>
      </c>
      <c r="V273" s="178" t="s">
        <v>336</v>
      </c>
      <c r="W273" s="179">
        <f>IF('附表1-面积统计表'!$D$29=0,"",IF(AND(V273="共同成本费用",Z273="总建筑面积法"),ROUND(T273/'附表1-面积统计表'!$D$29*'附表1-面积统计表'!$D$5,2),IF(AND(V273="共同成本费用",Z273="可售建筑面积法"),ROUND(T273/'附表1-面积统计表'!$F$29*'附表1-面积统计表'!$F$5,2),"请手工填写")))</f>
        <v>13024.22</v>
      </c>
      <c r="X273" s="179">
        <f>IF(SUM('附表1-面积统计表'!$D$6)=0,"",SUM(T273)-SUM(W273)-SUM(Y273))</f>
        <v>16062.43</v>
      </c>
      <c r="Y273" s="179">
        <f>IF(SUM('附表1-面积统计表'!$D$6)=0,SUM(T273)-SUM(W273),IF('附表1-面积统计表'!$D$29=0,"",IF(AND(V273="共同成本费用",Z273="总建筑面积法"),ROUND(T273/'附表1-面积统计表'!$D$29*'附表1-面积统计表'!$D$7,2),IF(AND(V273="共同成本费用",Z273="可售建筑面积法"),ROUND(T273/'附表1-面积统计表'!$F$29*'附表1-面积统计表'!$F$7,2),"请手工填写"))))</f>
        <v>6573.73</v>
      </c>
      <c r="Z273" s="181" t="s">
        <v>311</v>
      </c>
      <c r="AA273" s="164"/>
      <c r="AB273" s="182" t="s">
        <v>1686</v>
      </c>
    </row>
    <row r="274" ht="29" hidden="1" customHeight="1" spans="1:28">
      <c r="A274" s="159">
        <v>279</v>
      </c>
      <c r="B274" s="227" t="s">
        <v>2534</v>
      </c>
      <c r="C274" s="227" t="s">
        <v>2535</v>
      </c>
      <c r="D274" s="162" t="s">
        <v>2488</v>
      </c>
      <c r="E274" s="163" t="s">
        <v>2489</v>
      </c>
      <c r="F274" s="229" t="s">
        <v>2536</v>
      </c>
      <c r="G274" s="165" t="s">
        <v>2537</v>
      </c>
      <c r="H274" s="164" t="str">
        <f>IF(G274="","",VLOOKUP(G274,'附表8-合同明细采集底稿'!B:I,2,0))</f>
        <v>沁春锦苑4#-11#、16.17.住宅楼，2#3#36#商业楼建设工程施工合同（4-11/16/17#）</v>
      </c>
      <c r="I274" s="92" t="str">
        <f>IF(G274="","",VLOOKUP(G274,'附表8-合同明细采集底稿'!B:I,3,0))</f>
        <v>建设工程合同</v>
      </c>
      <c r="J274" s="164" t="str">
        <f>IF(G274="","",VLOOKUP(G274,'附表8-合同明细采集底稿'!B:I,4,0))</f>
        <v>新疆通力建设集团股份有限公司（邓）</v>
      </c>
      <c r="K274" s="164" t="s">
        <v>1711</v>
      </c>
      <c r="L274" s="165">
        <v>6500193130</v>
      </c>
      <c r="M274" s="227" t="s">
        <v>2538</v>
      </c>
      <c r="N274" s="173">
        <v>11009174.32</v>
      </c>
      <c r="O274" s="173">
        <v>12000000</v>
      </c>
      <c r="P274" s="174">
        <v>11009174.32</v>
      </c>
      <c r="Q274" s="173"/>
      <c r="R274" s="173">
        <f t="shared" si="10"/>
        <v>11009174.32</v>
      </c>
      <c r="S274" s="177">
        <f>IFERROR(VLOOKUP(G274,'附表8-合同明细采集底稿'!B:M,12,0),100%)</f>
        <v>1</v>
      </c>
      <c r="T274" s="173">
        <f t="shared" si="11"/>
        <v>11009174.32</v>
      </c>
      <c r="U274" s="119" t="s">
        <v>2509</v>
      </c>
      <c r="V274" s="178" t="s">
        <v>335</v>
      </c>
      <c r="W274" s="179">
        <f>ROUND(T274*成本分摊比例!$I$53,2)</f>
        <v>4361834.87</v>
      </c>
      <c r="X274" s="179">
        <f>IF(SUM('附表1-面积统计表'!$D$6)=0,"",SUM(T274)-SUM(W274)-SUM(Y274))</f>
        <v>5379082.57</v>
      </c>
      <c r="Y274" s="179">
        <f>ROUND(T274*成本分摊比例!$K$53,2)</f>
        <v>1268256.88</v>
      </c>
      <c r="Z274" s="181" t="s">
        <v>2492</v>
      </c>
      <c r="AA274" s="164"/>
      <c r="AB274" s="182" t="s">
        <v>1686</v>
      </c>
    </row>
    <row r="275" ht="29" hidden="1" customHeight="1" spans="1:28">
      <c r="A275" s="159">
        <v>280</v>
      </c>
      <c r="B275" s="227" t="s">
        <v>1822</v>
      </c>
      <c r="C275" s="227" t="s">
        <v>2539</v>
      </c>
      <c r="D275" s="231" t="s">
        <v>1707</v>
      </c>
      <c r="E275" s="163" t="s">
        <v>2498</v>
      </c>
      <c r="F275" s="229" t="s">
        <v>2540</v>
      </c>
      <c r="G275" s="165" t="s">
        <v>2541</v>
      </c>
      <c r="H275" s="164" t="str">
        <f>IF(G275="","",VLOOKUP(G275,'附表8-合同明细采集底稿'!B:I,2,0))</f>
        <v>测绘合同书（4#-11#、16#17#）</v>
      </c>
      <c r="I275" s="92" t="str">
        <f>IF(G275="","",VLOOKUP(G275,'附表8-合同明细采集底稿'!B:I,3,0))</f>
        <v>技术合同</v>
      </c>
      <c r="J275" s="164" t="str">
        <f>IF(G275="","",VLOOKUP(G275,'附表8-合同明细采集底稿'!B:I,4,0))</f>
        <v>库尔勒天平房地产价格评估事务所（有限责任公司）</v>
      </c>
      <c r="K275" s="164" t="s">
        <v>1711</v>
      </c>
      <c r="L275" s="165">
        <v>6500193130</v>
      </c>
      <c r="M275" s="573" t="s">
        <v>2542</v>
      </c>
      <c r="N275" s="173">
        <v>29029.7</v>
      </c>
      <c r="O275" s="173">
        <v>29320</v>
      </c>
      <c r="P275" s="174">
        <v>29029.7</v>
      </c>
      <c r="Q275" s="180">
        <f>-P275</f>
        <v>-29029.7</v>
      </c>
      <c r="R275" s="173">
        <f t="shared" si="10"/>
        <v>0</v>
      </c>
      <c r="S275" s="177">
        <f>IFERROR(VLOOKUP(G275,'附表8-合同明细采集底稿'!B:M,12,0),100%)</f>
        <v>1</v>
      </c>
      <c r="T275" s="173">
        <f t="shared" ref="T275:T331" si="12">ROUND(SUM(R275)*SUM(S275),2)</f>
        <v>0</v>
      </c>
      <c r="U275" s="119" t="s">
        <v>2509</v>
      </c>
      <c r="V275" s="178" t="s">
        <v>335</v>
      </c>
      <c r="W275" s="179">
        <f>ROUND(T275*成本分摊比例!$I$53,2)</f>
        <v>0</v>
      </c>
      <c r="X275" s="179">
        <f>IF(SUM('附表1-面积统计表'!$D$6)=0,"",SUM(T275)-SUM(W275)-SUM(Y275))</f>
        <v>0</v>
      </c>
      <c r="Y275" s="179">
        <f>ROUND(T275*成本分摊比例!$K$53,2)</f>
        <v>0</v>
      </c>
      <c r="Z275" s="181" t="s">
        <v>2492</v>
      </c>
      <c r="AA275" s="164"/>
      <c r="AB275" s="182" t="s">
        <v>1686</v>
      </c>
    </row>
    <row r="276" ht="29" hidden="1" customHeight="1" spans="1:28">
      <c r="A276" s="159">
        <v>281</v>
      </c>
      <c r="B276" s="227" t="s">
        <v>2543</v>
      </c>
      <c r="C276" s="227" t="s">
        <v>2430</v>
      </c>
      <c r="D276" s="162" t="s">
        <v>2488</v>
      </c>
      <c r="E276" s="163" t="s">
        <v>2489</v>
      </c>
      <c r="F276" s="229" t="s">
        <v>2544</v>
      </c>
      <c r="G276" s="165" t="s">
        <v>2537</v>
      </c>
      <c r="H276" s="164" t="str">
        <f>IF(G276="","",VLOOKUP(G276,'附表8-合同明细采集底稿'!B:I,2,0))</f>
        <v>沁春锦苑4#-11#、16.17.住宅楼，2#3#36#商业楼建设工程施工合同（4-11/16/17#）</v>
      </c>
      <c r="I276" s="92" t="str">
        <f>IF(G276="","",VLOOKUP(G276,'附表8-合同明细采集底稿'!B:I,3,0))</f>
        <v>建设工程合同</v>
      </c>
      <c r="J276" s="164" t="str">
        <f>IF(G276="","",VLOOKUP(G276,'附表8-合同明细采集底稿'!B:I,4,0))</f>
        <v>新疆通力建设集团股份有限公司（邓）</v>
      </c>
      <c r="K276" s="164" t="s">
        <v>1711</v>
      </c>
      <c r="L276" s="165">
        <v>6500192130</v>
      </c>
      <c r="M276" s="573" t="s">
        <v>2545</v>
      </c>
      <c r="N276" s="173">
        <v>1213761.47</v>
      </c>
      <c r="O276" s="173">
        <v>1323000</v>
      </c>
      <c r="P276" s="174">
        <v>1213761.47</v>
      </c>
      <c r="Q276" s="173"/>
      <c r="R276" s="173">
        <f t="shared" si="10"/>
        <v>1213761.47</v>
      </c>
      <c r="S276" s="177">
        <f>IFERROR(VLOOKUP(G276,'附表8-合同明细采集底稿'!B:M,12,0),100%)</f>
        <v>1</v>
      </c>
      <c r="T276" s="173">
        <f t="shared" si="12"/>
        <v>1213761.47</v>
      </c>
      <c r="U276" s="119" t="s">
        <v>2509</v>
      </c>
      <c r="V276" s="178" t="s">
        <v>335</v>
      </c>
      <c r="W276" s="179">
        <f>ROUND(T276*成本分摊比例!$I$53,2)</f>
        <v>480892.29</v>
      </c>
      <c r="X276" s="179">
        <f>IF(SUM('附表1-面积统计表'!$D$6)=0,"",SUM(T276)-SUM(W276)-SUM(Y276))</f>
        <v>593043.86</v>
      </c>
      <c r="Y276" s="179">
        <f>ROUND(T276*成本分摊比例!$K$53,2)</f>
        <v>139825.32</v>
      </c>
      <c r="Z276" s="181" t="s">
        <v>2492</v>
      </c>
      <c r="AA276" s="164"/>
      <c r="AB276" s="182" t="s">
        <v>1686</v>
      </c>
    </row>
    <row r="277" ht="29" hidden="1" customHeight="1" spans="1:28">
      <c r="A277" s="159">
        <v>282</v>
      </c>
      <c r="B277" s="227" t="s">
        <v>2543</v>
      </c>
      <c r="C277" s="227" t="s">
        <v>1812</v>
      </c>
      <c r="D277" s="231" t="s">
        <v>1707</v>
      </c>
      <c r="E277" s="163" t="s">
        <v>2451</v>
      </c>
      <c r="F277" s="229" t="s">
        <v>2546</v>
      </c>
      <c r="G277" s="119" t="s">
        <v>2515</v>
      </c>
      <c r="H277" s="164" t="str">
        <f>IF(G277="","",VLOOKUP(G277,'附表8-合同明细采集底稿'!B:I,2,0))</f>
        <v>4#-10#16#2#3#11#17#建筑红蓝线图及竣工测</v>
      </c>
      <c r="I277" s="92" t="str">
        <f>IF(G277="","",VLOOKUP(G277,'附表8-合同明细采集底稿'!B:I,3,0))</f>
        <v>技术合同</v>
      </c>
      <c r="J277" s="164" t="str">
        <f>IF(G277="","",VLOOKUP(G277,'附表8-合同明细采集底稿'!B:I,4,0))</f>
        <v>新疆天拓空间信息测绘院有限公司</v>
      </c>
      <c r="K277" s="164" t="s">
        <v>1711</v>
      </c>
      <c r="L277" s="165">
        <v>6500203130</v>
      </c>
      <c r="M277" s="573" t="s">
        <v>2547</v>
      </c>
      <c r="N277" s="173">
        <v>1300</v>
      </c>
      <c r="O277" s="173">
        <v>1378</v>
      </c>
      <c r="P277" s="174">
        <v>1300</v>
      </c>
      <c r="Q277" s="173"/>
      <c r="R277" s="173">
        <f t="shared" si="10"/>
        <v>1300</v>
      </c>
      <c r="S277" s="177">
        <f>IFERROR(VLOOKUP(G277,'附表8-合同明细采集底稿'!B:M,12,0),100%)</f>
        <v>1</v>
      </c>
      <c r="T277" s="173">
        <f t="shared" si="12"/>
        <v>1300</v>
      </c>
      <c r="U277" s="119" t="s">
        <v>2496</v>
      </c>
      <c r="V277" s="178" t="s">
        <v>336</v>
      </c>
      <c r="W277" s="179">
        <f>IF('附表1-面积统计表'!$D$29=0,"",IF(AND(V277="共同成本费用",Z277="总建筑面积法"),ROUND(T277/'附表1-面积统计表'!$D$29*'附表1-面积统计表'!$D$5,2),IF(AND(V277="共同成本费用",Z277="可售建筑面积法"),ROUND(T277/'附表1-面积统计表'!$F$29*'附表1-面积统计表'!$F$5,2),"请手工填写")))</f>
        <v>474.8</v>
      </c>
      <c r="X277" s="179">
        <f>IF(SUM('附表1-面积统计表'!$D$6)=0,"",SUM(T277)-SUM(W277)-SUM(Y277))</f>
        <v>585.55</v>
      </c>
      <c r="Y277" s="179">
        <f>IF(SUM('附表1-面积统计表'!$D$6)=0,SUM(T277)-SUM(W277),IF('附表1-面积统计表'!$D$29=0,"",IF(AND(V277="共同成本费用",Z277="总建筑面积法"),ROUND(T277/'附表1-面积统计表'!$D$29*'附表1-面积统计表'!$D$7,2),IF(AND(V277="共同成本费用",Z277="可售建筑面积法"),ROUND(T277/'附表1-面积统计表'!$F$29*'附表1-面积统计表'!$F$7,2),"请手工填写"))))</f>
        <v>239.65</v>
      </c>
      <c r="Z277" s="181" t="s">
        <v>311</v>
      </c>
      <c r="AA277" s="164"/>
      <c r="AB277" s="182" t="s">
        <v>1686</v>
      </c>
    </row>
    <row r="278" ht="29" hidden="1" customHeight="1" spans="1:28">
      <c r="A278" s="159">
        <v>283</v>
      </c>
      <c r="B278" s="227" t="s">
        <v>910</v>
      </c>
      <c r="C278" s="227" t="s">
        <v>2548</v>
      </c>
      <c r="D278" s="162" t="s">
        <v>2488</v>
      </c>
      <c r="E278" s="163" t="s">
        <v>2489</v>
      </c>
      <c r="F278" s="229" t="s">
        <v>2549</v>
      </c>
      <c r="G278" s="165" t="s">
        <v>2537</v>
      </c>
      <c r="H278" s="164" t="str">
        <f>IF(G278="","",VLOOKUP(G278,'附表8-合同明细采集底稿'!B:I,2,0))</f>
        <v>沁春锦苑4#-11#、16.17.住宅楼，2#3#36#商业楼建设工程施工合同（4-11/16/17#）</v>
      </c>
      <c r="I278" s="92" t="str">
        <f>IF(G278="","",VLOOKUP(G278,'附表8-合同明细采集底稿'!B:I,3,0))</f>
        <v>建设工程合同</v>
      </c>
      <c r="J278" s="164" t="str">
        <f>IF(G278="","",VLOOKUP(G278,'附表8-合同明细采集底稿'!B:I,4,0))</f>
        <v>新疆通力建设集团股份有限公司（邓）</v>
      </c>
      <c r="K278" s="164" t="s">
        <v>1711</v>
      </c>
      <c r="L278" s="165">
        <v>6500203130</v>
      </c>
      <c r="M278" s="574" t="s">
        <v>2550</v>
      </c>
      <c r="N278" s="173">
        <v>5963302.75</v>
      </c>
      <c r="O278" s="173">
        <v>6500000</v>
      </c>
      <c r="P278" s="174">
        <v>5963302.75</v>
      </c>
      <c r="Q278" s="173"/>
      <c r="R278" s="173">
        <f t="shared" ref="R278:R341" si="13">P278+Q278</f>
        <v>5963302.75</v>
      </c>
      <c r="S278" s="177">
        <f>IFERROR(VLOOKUP(G278,'附表8-合同明细采集底稿'!B:M,12,0),100%)</f>
        <v>1</v>
      </c>
      <c r="T278" s="173">
        <f t="shared" si="12"/>
        <v>5963302.75</v>
      </c>
      <c r="U278" s="119" t="s">
        <v>2509</v>
      </c>
      <c r="V278" s="178" t="s">
        <v>335</v>
      </c>
      <c r="W278" s="179">
        <f>ROUND(T278*成本分摊比例!$I$53,2)</f>
        <v>2362660.55</v>
      </c>
      <c r="X278" s="179">
        <f>IF(SUM('附表1-面积统计表'!$D$6)=0,"",SUM(T278)-SUM(W278)-SUM(Y278))</f>
        <v>2913669.72</v>
      </c>
      <c r="Y278" s="179">
        <f>ROUND(T278*成本分摊比例!$K$53,2)</f>
        <v>686972.48</v>
      </c>
      <c r="Z278" s="181" t="s">
        <v>2492</v>
      </c>
      <c r="AA278" s="164"/>
      <c r="AB278" s="182" t="s">
        <v>1686</v>
      </c>
    </row>
    <row r="279" ht="29" hidden="1" customHeight="1" spans="1:28">
      <c r="A279" s="159">
        <v>284</v>
      </c>
      <c r="B279" s="227" t="s">
        <v>587</v>
      </c>
      <c r="C279" s="227" t="s">
        <v>2372</v>
      </c>
      <c r="D279" s="231" t="s">
        <v>1707</v>
      </c>
      <c r="E279" s="163" t="s">
        <v>2498</v>
      </c>
      <c r="F279" s="229" t="s">
        <v>2551</v>
      </c>
      <c r="G279" s="165" t="s">
        <v>2552</v>
      </c>
      <c r="H279" s="164" t="str">
        <f>IF(G279="","",VLOOKUP(G279,'附表8-合同明细采集底稿'!B:I,2,0))</f>
        <v>测绘合同书1#2#3#35#36#测绘</v>
      </c>
      <c r="I279" s="92" t="str">
        <f>IF(G279="","",VLOOKUP(G279,'附表8-合同明细采集底稿'!B:I,3,0))</f>
        <v>技术合同</v>
      </c>
      <c r="J279" s="164" t="str">
        <f>IF(G279="","",VLOOKUP(G279,'附表8-合同明细采集底稿'!B:I,4,0))</f>
        <v>库尔勒天平房地产价格评估事务所（有限责任公司）</v>
      </c>
      <c r="K279" s="164" t="s">
        <v>1711</v>
      </c>
      <c r="L279" s="165">
        <v>6500203130</v>
      </c>
      <c r="M279" s="573" t="s">
        <v>2553</v>
      </c>
      <c r="N279" s="173">
        <v>2486.61</v>
      </c>
      <c r="O279" s="173">
        <v>2511.47831818497</v>
      </c>
      <c r="P279" s="174">
        <v>2486.61</v>
      </c>
      <c r="Q279" s="180">
        <f>-P279</f>
        <v>-2486.61</v>
      </c>
      <c r="R279" s="173">
        <f t="shared" si="13"/>
        <v>0</v>
      </c>
      <c r="S279" s="177">
        <f>IFERROR(VLOOKUP(G279,'附表8-合同明细采集底稿'!B:M,12,0),100%)</f>
        <v>1</v>
      </c>
      <c r="T279" s="173">
        <f t="shared" si="12"/>
        <v>0</v>
      </c>
      <c r="U279" s="119" t="s">
        <v>2491</v>
      </c>
      <c r="V279" s="178" t="s">
        <v>335</v>
      </c>
      <c r="W279" s="179">
        <v>0</v>
      </c>
      <c r="X279" s="179">
        <f>IF(SUM('附表1-面积统计表'!$D$6)=0,"",SUM(T279)-SUM(W279)-SUM(Y279))</f>
        <v>0</v>
      </c>
      <c r="Y279" s="179">
        <f>T279</f>
        <v>0</v>
      </c>
      <c r="Z279" s="181" t="s">
        <v>2492</v>
      </c>
      <c r="AA279" s="164"/>
      <c r="AB279" s="182" t="s">
        <v>1686</v>
      </c>
    </row>
    <row r="280" ht="29" hidden="1" customHeight="1" spans="1:28">
      <c r="A280" s="159">
        <v>285</v>
      </c>
      <c r="B280" s="227" t="s">
        <v>595</v>
      </c>
      <c r="C280" s="227" t="s">
        <v>2554</v>
      </c>
      <c r="D280" s="162" t="s">
        <v>1739</v>
      </c>
      <c r="E280" s="163" t="s">
        <v>1788</v>
      </c>
      <c r="F280" s="229" t="s">
        <v>2555</v>
      </c>
      <c r="G280" s="165"/>
      <c r="H280" s="164" t="str">
        <f>IF(G280="","",VLOOKUP(G280,'附表8-合同明细采集底稿'!B:I,2,0))</f>
        <v/>
      </c>
      <c r="I280" s="92" t="str">
        <f>IF(G280="","",VLOOKUP(G280,'附表8-合同明细采集底稿'!B:I,3,0))</f>
        <v/>
      </c>
      <c r="J280" s="164" t="s">
        <v>2556</v>
      </c>
      <c r="K280" s="164" t="s">
        <v>1711</v>
      </c>
      <c r="L280" s="165">
        <v>6500203130</v>
      </c>
      <c r="M280" s="573" t="s">
        <v>2557</v>
      </c>
      <c r="N280" s="173">
        <v>13168.14</v>
      </c>
      <c r="O280" s="173">
        <v>14880</v>
      </c>
      <c r="P280" s="174">
        <v>13168.14</v>
      </c>
      <c r="Q280" s="173"/>
      <c r="R280" s="173">
        <f t="shared" si="13"/>
        <v>13168.14</v>
      </c>
      <c r="S280" s="177">
        <f>IFERROR(VLOOKUP(G280,'附表8-合同明细采集底稿'!B:M,12,0),100%)</f>
        <v>1</v>
      </c>
      <c r="T280" s="173">
        <f t="shared" si="12"/>
        <v>13168.14</v>
      </c>
      <c r="U280" s="119" t="s">
        <v>2496</v>
      </c>
      <c r="V280" s="178" t="s">
        <v>336</v>
      </c>
      <c r="W280" s="179">
        <f>IF('附表1-面积统计表'!$D$29=0,"",IF(AND(V280="共同成本费用",Z280="总建筑面积法"),ROUND(T280/'附表1-面积统计表'!$D$29*'附表1-面积统计表'!$D$5,2),IF(AND(V280="共同成本费用",Z280="可售建筑面积法"),ROUND(T280/'附表1-面积统计表'!$F$29*'附表1-面积统计表'!$F$5,2),"请手工填写")))</f>
        <v>4809.39</v>
      </c>
      <c r="X280" s="179">
        <f>IF(SUM('附表1-面积统计表'!$D$6)=0,"",SUM(T280)-SUM(W280)-SUM(Y280))</f>
        <v>5931.3</v>
      </c>
      <c r="Y280" s="179">
        <f>IF(SUM('附表1-面积统计表'!$D$6)=0,SUM(T280)-SUM(W280),IF('附表1-面积统计表'!$D$29=0,"",IF(AND(V280="共同成本费用",Z280="总建筑面积法"),ROUND(T280/'附表1-面积统计表'!$D$29*'附表1-面积统计表'!$D$7,2),IF(AND(V280="共同成本费用",Z280="可售建筑面积法"),ROUND(T280/'附表1-面积统计表'!$F$29*'附表1-面积统计表'!$F$7,2),"请手工填写"))))</f>
        <v>2427.45</v>
      </c>
      <c r="Z280" s="181" t="s">
        <v>311</v>
      </c>
      <c r="AA280" s="164"/>
      <c r="AB280" s="182" t="s">
        <v>1686</v>
      </c>
    </row>
    <row r="281" ht="29" hidden="1" customHeight="1" spans="1:28">
      <c r="A281" s="159">
        <v>286</v>
      </c>
      <c r="B281" s="227" t="s">
        <v>1858</v>
      </c>
      <c r="C281" s="227" t="s">
        <v>1984</v>
      </c>
      <c r="D281" s="162" t="s">
        <v>2488</v>
      </c>
      <c r="E281" s="163" t="s">
        <v>2489</v>
      </c>
      <c r="F281" s="229" t="s">
        <v>1985</v>
      </c>
      <c r="G281" s="165" t="s">
        <v>2537</v>
      </c>
      <c r="H281" s="164" t="str">
        <f>IF(G281="","",VLOOKUP(G281,'附表8-合同明细采集底稿'!B:I,2,0))</f>
        <v>沁春锦苑4#-11#、16.17.住宅楼，2#3#36#商业楼建设工程施工合同（4-11/16/17#）</v>
      </c>
      <c r="I281" s="92" t="str">
        <f>IF(G281="","",VLOOKUP(G281,'附表8-合同明细采集底稿'!B:I,3,0))</f>
        <v>建设工程合同</v>
      </c>
      <c r="J281" s="164" t="str">
        <f>IF(G281="","",VLOOKUP(G281,'附表8-合同明细采集底稿'!B:I,4,0))</f>
        <v>新疆通力建设集团股份有限公司（邓）</v>
      </c>
      <c r="K281" s="164" t="s">
        <v>1711</v>
      </c>
      <c r="L281" s="165">
        <v>6500203130</v>
      </c>
      <c r="M281" s="227" t="s">
        <v>2558</v>
      </c>
      <c r="N281" s="173">
        <v>9288073.4</v>
      </c>
      <c r="O281" s="173">
        <v>10141910.3880185</v>
      </c>
      <c r="P281" s="174">
        <v>9288073.4</v>
      </c>
      <c r="Q281" s="173"/>
      <c r="R281" s="173">
        <f t="shared" si="13"/>
        <v>9288073.4</v>
      </c>
      <c r="S281" s="177">
        <f>IFERROR(VLOOKUP(G281,'附表8-合同明细采集底稿'!B:M,12,0),100%)</f>
        <v>1</v>
      </c>
      <c r="T281" s="173">
        <f t="shared" si="12"/>
        <v>9288073.4</v>
      </c>
      <c r="U281" s="119" t="s">
        <v>2509</v>
      </c>
      <c r="V281" s="178" t="s">
        <v>335</v>
      </c>
      <c r="W281" s="179">
        <f>ROUND(T281*成本分摊比例!$I$53,2)</f>
        <v>3679934.68</v>
      </c>
      <c r="X281" s="179">
        <f>IF(SUM('附表1-面积统计表'!$D$6)=0,"",SUM(T281)-SUM(W281)-SUM(Y281))</f>
        <v>4538152.66</v>
      </c>
      <c r="Y281" s="179">
        <f>ROUND(T281*成本分摊比例!$K$53,2)</f>
        <v>1069986.06</v>
      </c>
      <c r="Z281" s="181" t="s">
        <v>2492</v>
      </c>
      <c r="AA281" s="164"/>
      <c r="AB281" s="182" t="s">
        <v>1686</v>
      </c>
    </row>
    <row r="282" ht="29" hidden="1" customHeight="1" spans="1:28">
      <c r="A282" s="159">
        <v>287</v>
      </c>
      <c r="B282" s="227" t="s">
        <v>786</v>
      </c>
      <c r="C282" s="227" t="s">
        <v>2323</v>
      </c>
      <c r="D282" s="162" t="s">
        <v>2488</v>
      </c>
      <c r="E282" s="163" t="s">
        <v>2489</v>
      </c>
      <c r="F282" s="229" t="s">
        <v>2559</v>
      </c>
      <c r="G282" s="165" t="s">
        <v>2528</v>
      </c>
      <c r="H282" s="164" t="str">
        <f>IF(G282="","",VLOOKUP(G282,'附表8-合同明细采集底稿'!B:I,2,0))</f>
        <v>建设工程监理合同</v>
      </c>
      <c r="I282" s="92" t="str">
        <f>IF(G282="","",VLOOKUP(G282,'附表8-合同明细采集底稿'!B:I,3,0))</f>
        <v>技术合同</v>
      </c>
      <c r="J282" s="164" t="str">
        <f>IF(G282="","",VLOOKUP(G282,'附表8-合同明细采集底稿'!B:I,4,0))</f>
        <v>巴州智诚工程项目管理服务有限公司（朱金桥）</v>
      </c>
      <c r="K282" s="164" t="s">
        <v>1711</v>
      </c>
      <c r="L282" s="165">
        <v>6500203130</v>
      </c>
      <c r="M282" s="573" t="s">
        <v>2560</v>
      </c>
      <c r="N282" s="173">
        <v>109193.98</v>
      </c>
      <c r="O282" s="173">
        <v>110285.9200606</v>
      </c>
      <c r="P282" s="174">
        <v>109193.98</v>
      </c>
      <c r="Q282" s="173"/>
      <c r="R282" s="173">
        <f t="shared" si="13"/>
        <v>109193.98</v>
      </c>
      <c r="S282" s="177">
        <f>IFERROR(VLOOKUP(G282,'附表8-合同明细采集底稿'!B:M,12,0),100%)</f>
        <v>1</v>
      </c>
      <c r="T282" s="173">
        <f t="shared" si="12"/>
        <v>109193.98</v>
      </c>
      <c r="U282" s="119" t="s">
        <v>2496</v>
      </c>
      <c r="V282" s="178" t="s">
        <v>336</v>
      </c>
      <c r="W282" s="179">
        <f>IF('附表1-面积统计表'!$D$29=0,"",IF(AND(V282="共同成本费用",Z282="总建筑面积法"),ROUND(T282/'附表1-面积统计表'!$D$29*'附表1-面积统计表'!$D$5,2),IF(AND(V282="共同成本费用",Z282="可售建筑面积法"),ROUND(T282/'附表1-面积统计表'!$F$29*'附表1-面积统计表'!$F$5,2),"请手工填写")))</f>
        <v>39880.85</v>
      </c>
      <c r="X282" s="179">
        <f>IF(SUM('附表1-面积统计表'!$D$6)=0,"",SUM(T282)-SUM(W282)-SUM(Y282))</f>
        <v>49184.02</v>
      </c>
      <c r="Y282" s="179">
        <f>IF(SUM('附表1-面积统计表'!$D$6)=0,SUM(T282)-SUM(W282),IF('附表1-面积统计表'!$D$29=0,"",IF(AND(V282="共同成本费用",Z282="总建筑面积法"),ROUND(T282/'附表1-面积统计表'!$D$29*'附表1-面积统计表'!$D$7,2),IF(AND(V282="共同成本费用",Z282="可售建筑面积法"),ROUND(T282/'附表1-面积统计表'!$F$29*'附表1-面积统计表'!$F$7,2),"请手工填写"))))</f>
        <v>20129.11</v>
      </c>
      <c r="Z282" s="181" t="s">
        <v>311</v>
      </c>
      <c r="AA282" s="164"/>
      <c r="AB282" s="182" t="s">
        <v>1686</v>
      </c>
    </row>
    <row r="283" ht="29" hidden="1" customHeight="1" spans="1:28">
      <c r="A283" s="159">
        <v>288</v>
      </c>
      <c r="B283" s="227" t="s">
        <v>786</v>
      </c>
      <c r="C283" s="227" t="s">
        <v>2323</v>
      </c>
      <c r="D283" s="162" t="s">
        <v>2488</v>
      </c>
      <c r="E283" s="163" t="s">
        <v>2489</v>
      </c>
      <c r="F283" s="229" t="s">
        <v>2559</v>
      </c>
      <c r="G283" s="165" t="s">
        <v>2528</v>
      </c>
      <c r="H283" s="164" t="str">
        <f>IF(G283="","",VLOOKUP(G283,'附表8-合同明细采集底稿'!B:I,2,0))</f>
        <v>建设工程监理合同</v>
      </c>
      <c r="I283" s="92" t="str">
        <f>IF(G283="","",VLOOKUP(G283,'附表8-合同明细采集底稿'!B:I,3,0))</f>
        <v>技术合同</v>
      </c>
      <c r="J283" s="164" t="str">
        <f>IF(G283="","",VLOOKUP(G283,'附表8-合同明细采集底稿'!B:I,4,0))</f>
        <v>巴州智诚工程项目管理服务有限公司（朱金桥）</v>
      </c>
      <c r="K283" s="164" t="s">
        <v>1711</v>
      </c>
      <c r="L283" s="165">
        <v>6500203130</v>
      </c>
      <c r="M283" s="573" t="s">
        <v>2560</v>
      </c>
      <c r="N283" s="173">
        <v>16508.99</v>
      </c>
      <c r="O283" s="173">
        <v>16674.0799394</v>
      </c>
      <c r="P283" s="174">
        <v>16508.99</v>
      </c>
      <c r="Q283" s="173"/>
      <c r="R283" s="173">
        <f t="shared" si="13"/>
        <v>16508.99</v>
      </c>
      <c r="S283" s="177">
        <f>IFERROR(VLOOKUP(G283,'附表8-合同明细采集底稿'!B:M,12,0),100%)</f>
        <v>1</v>
      </c>
      <c r="T283" s="173">
        <f t="shared" si="12"/>
        <v>16508.99</v>
      </c>
      <c r="U283" s="119" t="s">
        <v>2496</v>
      </c>
      <c r="V283" s="178" t="s">
        <v>336</v>
      </c>
      <c r="W283" s="179">
        <f>IF('附表1-面积统计表'!$D$29=0,"",IF(AND(V283="共同成本费用",Z283="总建筑面积法"),ROUND(T283/'附表1-面积统计表'!$D$29*'附表1-面积统计表'!$D$5,2),IF(AND(V283="共同成本费用",Z283="可售建筑面积法"),ROUND(T283/'附表1-面积统计表'!$F$29*'附表1-面积统计表'!$F$5,2),"请手工填写")))</f>
        <v>6029.57</v>
      </c>
      <c r="X283" s="179">
        <f>IF(SUM('附表1-面积统计表'!$D$6)=0,"",SUM(T283)-SUM(W283)-SUM(Y283))</f>
        <v>7436.11</v>
      </c>
      <c r="Y283" s="179">
        <f>IF(SUM('附表1-面积统计表'!$D$6)=0,SUM(T283)-SUM(W283),IF('附表1-面积统计表'!$D$29=0,"",IF(AND(V283="共同成本费用",Z283="总建筑面积法"),ROUND(T283/'附表1-面积统计表'!$D$29*'附表1-面积统计表'!$D$7,2),IF(AND(V283="共同成本费用",Z283="可售建筑面积法"),ROUND(T283/'附表1-面积统计表'!$F$29*'附表1-面积统计表'!$F$7,2),"请手工填写"))))</f>
        <v>3043.31</v>
      </c>
      <c r="Z283" s="181" t="s">
        <v>311</v>
      </c>
      <c r="AA283" s="164"/>
      <c r="AB283" s="182" t="s">
        <v>1686</v>
      </c>
    </row>
    <row r="284" ht="29" hidden="1" customHeight="1" spans="1:28">
      <c r="A284" s="159">
        <v>289</v>
      </c>
      <c r="B284" s="227" t="s">
        <v>982</v>
      </c>
      <c r="C284" s="227" t="s">
        <v>2389</v>
      </c>
      <c r="D284" s="231" t="s">
        <v>1707</v>
      </c>
      <c r="E284" s="163" t="s">
        <v>2451</v>
      </c>
      <c r="F284" s="229" t="s">
        <v>2561</v>
      </c>
      <c r="G284" s="165"/>
      <c r="H284" s="164" t="str">
        <f>IF(G284="","",VLOOKUP(G284,'附表8-合同明细采集底稿'!B:I,2,0))</f>
        <v/>
      </c>
      <c r="I284" s="92" t="str">
        <f>IF(G284="","",VLOOKUP(G284,'附表8-合同明细采集底稿'!B:I,3,0))</f>
        <v/>
      </c>
      <c r="J284" s="164" t="s">
        <v>2562</v>
      </c>
      <c r="K284" s="164" t="s">
        <v>1711</v>
      </c>
      <c r="L284" s="165">
        <v>6500203130</v>
      </c>
      <c r="M284" s="573" t="s">
        <v>2563</v>
      </c>
      <c r="N284" s="173">
        <v>3654.72</v>
      </c>
      <c r="O284" s="173">
        <v>3874</v>
      </c>
      <c r="P284" s="174">
        <v>3654.72</v>
      </c>
      <c r="Q284" s="173"/>
      <c r="R284" s="173">
        <f t="shared" si="13"/>
        <v>3654.72</v>
      </c>
      <c r="S284" s="177">
        <f>IFERROR(VLOOKUP(G284,'附表8-合同明细采集底稿'!B:M,12,0),100%)</f>
        <v>1</v>
      </c>
      <c r="T284" s="173">
        <f t="shared" si="12"/>
        <v>3654.72</v>
      </c>
      <c r="U284" s="119" t="s">
        <v>2491</v>
      </c>
      <c r="V284" s="178" t="s">
        <v>335</v>
      </c>
      <c r="W284" s="179">
        <v>0</v>
      </c>
      <c r="X284" s="179">
        <f>IF(SUM('附表1-面积统计表'!$D$6)=0,"",SUM(T284)-SUM(W284)-SUM(Y284))</f>
        <v>0</v>
      </c>
      <c r="Y284" s="179">
        <f>T284</f>
        <v>3654.72</v>
      </c>
      <c r="Z284" s="181" t="s">
        <v>2492</v>
      </c>
      <c r="AA284" s="164"/>
      <c r="AB284" s="182" t="s">
        <v>1686</v>
      </c>
    </row>
    <row r="285" ht="29" hidden="1" customHeight="1" spans="1:28">
      <c r="A285" s="159">
        <v>290</v>
      </c>
      <c r="B285" s="227" t="s">
        <v>1884</v>
      </c>
      <c r="C285" s="227" t="s">
        <v>2564</v>
      </c>
      <c r="D285" s="162" t="s">
        <v>2488</v>
      </c>
      <c r="E285" s="163" t="s">
        <v>2489</v>
      </c>
      <c r="F285" s="229" t="s">
        <v>2565</v>
      </c>
      <c r="G285" s="165" t="s">
        <v>2537</v>
      </c>
      <c r="H285" s="164" t="str">
        <f>IF(G285="","",VLOOKUP(G285,'附表8-合同明细采集底稿'!B:I,2,0))</f>
        <v>沁春锦苑4#-11#、16.17.住宅楼，2#3#36#商业楼建设工程施工合同（4-11/16/17#）</v>
      </c>
      <c r="I285" s="92" t="str">
        <f>IF(G285="","",VLOOKUP(G285,'附表8-合同明细采集底稿'!B:I,3,0))</f>
        <v>建设工程合同</v>
      </c>
      <c r="J285" s="164" t="str">
        <f>IF(G285="","",VLOOKUP(G285,'附表8-合同明细采集底稿'!B:I,4,0))</f>
        <v>新疆通力建设集团股份有限公司（邓）</v>
      </c>
      <c r="K285" s="164" t="s">
        <v>1711</v>
      </c>
      <c r="L285" s="165">
        <v>6500203130</v>
      </c>
      <c r="M285" s="227" t="s">
        <v>2566</v>
      </c>
      <c r="N285" s="173">
        <v>3328750.46</v>
      </c>
      <c r="O285" s="173">
        <v>3628338</v>
      </c>
      <c r="P285" s="174">
        <v>3328750.46</v>
      </c>
      <c r="Q285" s="173"/>
      <c r="R285" s="173">
        <f t="shared" si="13"/>
        <v>3328750.46</v>
      </c>
      <c r="S285" s="177">
        <f>IFERROR(VLOOKUP(G285,'附表8-合同明细采集底稿'!B:M,12,0),100%)</f>
        <v>1</v>
      </c>
      <c r="T285" s="173">
        <f t="shared" si="12"/>
        <v>3328750.46</v>
      </c>
      <c r="U285" s="119" t="s">
        <v>2509</v>
      </c>
      <c r="V285" s="178" t="s">
        <v>335</v>
      </c>
      <c r="W285" s="179">
        <f>ROUND(T285*成本分摊比例!$I$53,2)</f>
        <v>1318850.93</v>
      </c>
      <c r="X285" s="179">
        <f>IF(SUM('附表1-面积统计表'!$D$6)=0,"",SUM(T285)-SUM(W285)-SUM(Y285))</f>
        <v>1626427.48</v>
      </c>
      <c r="Y285" s="179">
        <f>ROUND(T285*成本分摊比例!$K$53,2)</f>
        <v>383472.05</v>
      </c>
      <c r="Z285" s="181" t="s">
        <v>2492</v>
      </c>
      <c r="AA285" s="164"/>
      <c r="AB285" s="182" t="s">
        <v>1686</v>
      </c>
    </row>
    <row r="286" ht="29" hidden="1" customHeight="1" spans="1:28">
      <c r="A286" s="159">
        <v>291</v>
      </c>
      <c r="B286" s="227" t="s">
        <v>1884</v>
      </c>
      <c r="C286" s="227" t="s">
        <v>1885</v>
      </c>
      <c r="D286" s="162" t="s">
        <v>2488</v>
      </c>
      <c r="E286" s="163" t="s">
        <v>2489</v>
      </c>
      <c r="F286" s="229" t="s">
        <v>1886</v>
      </c>
      <c r="G286" s="165" t="s">
        <v>2490</v>
      </c>
      <c r="H286" s="164" t="str">
        <f>IF(G286="","",VLOOKUP(G286,'附表8-合同明细采集底稿'!B:I,2,0))</f>
        <v>建设工程施工合同12-15#楼38#楼、31#楼.36#幼儿园（36#楼）</v>
      </c>
      <c r="I286" s="92" t="str">
        <f>IF(G286="","",VLOOKUP(G286,'附表8-合同明细采集底稿'!B:I,3,0))</f>
        <v>建设工程合同</v>
      </c>
      <c r="J286" s="164" t="str">
        <f>IF(G286="","",VLOOKUP(G286,'附表8-合同明细采集底稿'!B:I,4,0))</f>
        <v>新疆通力建设集团股份有限公司（顾）</v>
      </c>
      <c r="K286" s="164" t="s">
        <v>1711</v>
      </c>
      <c r="L286" s="165" t="s">
        <v>1705</v>
      </c>
      <c r="M286" s="573" t="s">
        <v>1888</v>
      </c>
      <c r="N286" s="173">
        <v>319273.4</v>
      </c>
      <c r="O286" s="173">
        <v>348008.006</v>
      </c>
      <c r="P286" s="174">
        <v>319273.4</v>
      </c>
      <c r="Q286" s="173"/>
      <c r="R286" s="173">
        <f t="shared" si="13"/>
        <v>319273.4</v>
      </c>
      <c r="S286" s="177">
        <f>IFERROR(VLOOKUP(G286,'附表8-合同明细采集底稿'!B:M,12,0),100%)</f>
        <v>1</v>
      </c>
      <c r="T286" s="173">
        <f t="shared" si="12"/>
        <v>319273.4</v>
      </c>
      <c r="U286" s="119" t="s">
        <v>2491</v>
      </c>
      <c r="V286" s="178" t="s">
        <v>335</v>
      </c>
      <c r="W286" s="179">
        <v>0</v>
      </c>
      <c r="X286" s="179">
        <f>IF(SUM('附表1-面积统计表'!$D$6)=0,"",SUM(T286)-SUM(W286)-SUM(Y286))</f>
        <v>0</v>
      </c>
      <c r="Y286" s="179">
        <f t="shared" ref="Y286:Y289" si="14">T286</f>
        <v>319273.4</v>
      </c>
      <c r="Z286" s="181" t="s">
        <v>2492</v>
      </c>
      <c r="AA286" s="164"/>
      <c r="AB286" s="182" t="s">
        <v>1686</v>
      </c>
    </row>
    <row r="287" ht="29" hidden="1" customHeight="1" spans="1:28">
      <c r="A287" s="159">
        <v>292</v>
      </c>
      <c r="B287" s="227" t="s">
        <v>1500</v>
      </c>
      <c r="C287" s="227" t="s">
        <v>2567</v>
      </c>
      <c r="D287" s="162" t="s">
        <v>2488</v>
      </c>
      <c r="E287" s="163" t="s">
        <v>2489</v>
      </c>
      <c r="F287" s="229" t="s">
        <v>2568</v>
      </c>
      <c r="G287" s="165" t="s">
        <v>2569</v>
      </c>
      <c r="H287" s="164" t="str">
        <f>IF(G287="","",VLOOKUP(G287,'附表8-合同明细采集底稿'!B:I,2,0))</f>
        <v>沁春锦苑2#5#7#9#10#17#楼铝合金门窗</v>
      </c>
      <c r="I287" s="92" t="str">
        <f>IF(G287="","",VLOOKUP(G287,'附表8-合同明细采集底稿'!B:I,3,0))</f>
        <v>技术合同</v>
      </c>
      <c r="J287" s="164" t="str">
        <f>IF(G287="","",VLOOKUP(G287,'附表8-合同明细采集底稿'!B:I,4,0))</f>
        <v>巴州全福门窗加工有限公司（杨全福）</v>
      </c>
      <c r="K287" s="164" t="s">
        <v>1711</v>
      </c>
      <c r="L287" s="165">
        <v>650020330</v>
      </c>
      <c r="M287" s="227" t="s">
        <v>2570</v>
      </c>
      <c r="N287" s="173">
        <v>530973.48</v>
      </c>
      <c r="O287" s="173">
        <v>600000</v>
      </c>
      <c r="P287" s="174">
        <v>530973.48</v>
      </c>
      <c r="Q287" s="173"/>
      <c r="R287" s="173">
        <f t="shared" si="13"/>
        <v>530973.48</v>
      </c>
      <c r="S287" s="177">
        <f>IFERROR(VLOOKUP(G287,'附表8-合同明细采集底稿'!B:M,12,0),100%)</f>
        <v>1</v>
      </c>
      <c r="T287" s="173">
        <f t="shared" si="12"/>
        <v>530973.48</v>
      </c>
      <c r="U287" s="119" t="s">
        <v>2509</v>
      </c>
      <c r="V287" s="178" t="s">
        <v>335</v>
      </c>
      <c r="W287" s="179">
        <f>ROUND(T287*成本分摊比例!$I$53,2)</f>
        <v>210371.69</v>
      </c>
      <c r="X287" s="179">
        <f>IF(SUM('附表1-面积统计表'!$D$6)=0,"",SUM(T287)-SUM(W287)-SUM(Y287))</f>
        <v>259433.65</v>
      </c>
      <c r="Y287" s="179">
        <f>ROUND(T287*成本分摊比例!$K$53,2)</f>
        <v>61168.14</v>
      </c>
      <c r="Z287" s="181" t="s">
        <v>2492</v>
      </c>
      <c r="AA287" s="164"/>
      <c r="AB287" s="182" t="s">
        <v>1686</v>
      </c>
    </row>
    <row r="288" ht="29" hidden="1" customHeight="1" spans="1:28">
      <c r="A288" s="159">
        <v>293</v>
      </c>
      <c r="B288" s="227" t="s">
        <v>1890</v>
      </c>
      <c r="C288" s="227" t="s">
        <v>2571</v>
      </c>
      <c r="D288" s="162" t="s">
        <v>2488</v>
      </c>
      <c r="E288" s="163" t="s">
        <v>2489</v>
      </c>
      <c r="F288" s="229" t="s">
        <v>2572</v>
      </c>
      <c r="G288" s="165" t="s">
        <v>2573</v>
      </c>
      <c r="H288" s="164" t="str">
        <f>IF(G288="","",VLOOKUP(G288,'附表8-合同明细采集底稿'!B:I,2,0))</f>
        <v>沁春锦苑2#3#36#楼外墙装修合同</v>
      </c>
      <c r="I288" s="92" t="str">
        <f>IF(G288="","",VLOOKUP(G288,'附表8-合同明细采集底稿'!B:I,3,0))</f>
        <v>建设工程合同</v>
      </c>
      <c r="J288" s="164" t="str">
        <f>IF(G288="","",VLOOKUP(G288,'附表8-合同明细采集底稿'!B:I,4,0))</f>
        <v>新疆通力建设集团股份有限公司（倪）</v>
      </c>
      <c r="K288" s="164" t="s">
        <v>1711</v>
      </c>
      <c r="L288" s="165" t="s">
        <v>1705</v>
      </c>
      <c r="M288" s="573" t="s">
        <v>2574</v>
      </c>
      <c r="N288" s="173">
        <v>607360.128440367</v>
      </c>
      <c r="O288" s="173">
        <v>662022.54</v>
      </c>
      <c r="P288" s="174">
        <v>607360.128440367</v>
      </c>
      <c r="Q288" s="173"/>
      <c r="R288" s="173">
        <f t="shared" si="13"/>
        <v>607360.128440367</v>
      </c>
      <c r="S288" s="177">
        <f>IFERROR(VLOOKUP(G288,'附表8-合同明细采集底稿'!B:M,12,0),100%)</f>
        <v>1</v>
      </c>
      <c r="T288" s="173">
        <f t="shared" si="12"/>
        <v>607360.13</v>
      </c>
      <c r="U288" s="119" t="s">
        <v>2491</v>
      </c>
      <c r="V288" s="178" t="s">
        <v>335</v>
      </c>
      <c r="W288" s="179">
        <v>0</v>
      </c>
      <c r="X288" s="179">
        <f>IF(SUM('附表1-面积统计表'!$D$6)=0,"",SUM(T288)-SUM(W288)-SUM(Y288))</f>
        <v>0</v>
      </c>
      <c r="Y288" s="179">
        <f t="shared" si="14"/>
        <v>607360.13</v>
      </c>
      <c r="Z288" s="181" t="s">
        <v>2492</v>
      </c>
      <c r="AA288" s="164"/>
      <c r="AB288" s="182" t="s">
        <v>1686</v>
      </c>
    </row>
    <row r="289" ht="29" hidden="1" customHeight="1" spans="1:28">
      <c r="A289" s="159">
        <v>294</v>
      </c>
      <c r="B289" s="227" t="s">
        <v>1890</v>
      </c>
      <c r="C289" s="227" t="s">
        <v>2571</v>
      </c>
      <c r="D289" s="162" t="s">
        <v>2488</v>
      </c>
      <c r="E289" s="163" t="s">
        <v>2489</v>
      </c>
      <c r="F289" s="229" t="s">
        <v>2572</v>
      </c>
      <c r="G289" s="165" t="s">
        <v>2573</v>
      </c>
      <c r="H289" s="164" t="str">
        <f>IF(G289="","",VLOOKUP(G289,'附表8-合同明细采集底稿'!B:I,2,0))</f>
        <v>沁春锦苑2#3#36#楼外墙装修合同</v>
      </c>
      <c r="I289" s="92" t="str">
        <f>IF(G289="","",VLOOKUP(G289,'附表8-合同明细采集底稿'!B:I,3,0))</f>
        <v>建设工程合同</v>
      </c>
      <c r="J289" s="164" t="str">
        <f>IF(G289="","",VLOOKUP(G289,'附表8-合同明细采集底稿'!B:I,4,0))</f>
        <v>新疆通力建设集团股份有限公司（倪）</v>
      </c>
      <c r="K289" s="164" t="s">
        <v>1711</v>
      </c>
      <c r="L289" s="165">
        <v>6500203130</v>
      </c>
      <c r="M289" s="573" t="s">
        <v>2574</v>
      </c>
      <c r="N289" s="173">
        <v>530254.551559633</v>
      </c>
      <c r="O289" s="173">
        <v>577977.4612</v>
      </c>
      <c r="P289" s="174">
        <v>530254.551559633</v>
      </c>
      <c r="Q289" s="173"/>
      <c r="R289" s="173">
        <f t="shared" si="13"/>
        <v>530254.551559633</v>
      </c>
      <c r="S289" s="177">
        <f>IFERROR(VLOOKUP(G289,'附表8-合同明细采集底稿'!B:M,12,0),100%)</f>
        <v>1</v>
      </c>
      <c r="T289" s="173">
        <f t="shared" si="12"/>
        <v>530254.55</v>
      </c>
      <c r="U289" s="119" t="s">
        <v>2491</v>
      </c>
      <c r="V289" s="178" t="s">
        <v>335</v>
      </c>
      <c r="W289" s="179">
        <v>0</v>
      </c>
      <c r="X289" s="179">
        <f>IF(SUM('附表1-面积统计表'!$D$6)=0,"",SUM(T289)-SUM(W289)-SUM(Y289))</f>
        <v>0</v>
      </c>
      <c r="Y289" s="179">
        <f t="shared" si="14"/>
        <v>530254.55</v>
      </c>
      <c r="Z289" s="181" t="s">
        <v>2492</v>
      </c>
      <c r="AA289" s="164"/>
      <c r="AB289" s="182" t="s">
        <v>1686</v>
      </c>
    </row>
    <row r="290" ht="29" hidden="1" customHeight="1" spans="1:28">
      <c r="A290" s="159">
        <v>295</v>
      </c>
      <c r="B290" s="227" t="s">
        <v>2374</v>
      </c>
      <c r="C290" s="227" t="s">
        <v>2575</v>
      </c>
      <c r="D290" s="162" t="s">
        <v>1707</v>
      </c>
      <c r="E290" s="163" t="s">
        <v>2451</v>
      </c>
      <c r="F290" s="229" t="s">
        <v>2576</v>
      </c>
      <c r="G290" s="165"/>
      <c r="H290" s="164" t="str">
        <f>IF(G290="","",VLOOKUP(G290,'附表8-合同明细采集底稿'!B:I,2,0))</f>
        <v/>
      </c>
      <c r="I290" s="92" t="str">
        <f>IF(G290="","",VLOOKUP(G290,'附表8-合同明细采集底稿'!B:I,3,0))</f>
        <v/>
      </c>
      <c r="J290" s="164" t="s">
        <v>2577</v>
      </c>
      <c r="K290" s="164" t="s">
        <v>1711</v>
      </c>
      <c r="L290" s="165" t="s">
        <v>1705</v>
      </c>
      <c r="M290" s="573" t="s">
        <v>2578</v>
      </c>
      <c r="N290" s="173">
        <v>967.26</v>
      </c>
      <c r="O290" s="173">
        <v>1093</v>
      </c>
      <c r="P290" s="174">
        <v>967.26</v>
      </c>
      <c r="Q290" s="180">
        <f>-P290</f>
        <v>-967.26</v>
      </c>
      <c r="R290" s="173">
        <f t="shared" si="13"/>
        <v>0</v>
      </c>
      <c r="S290" s="177">
        <f>IFERROR(VLOOKUP(G290,'附表8-合同明细采集底稿'!B:M,12,0),100%)</f>
        <v>1</v>
      </c>
      <c r="T290" s="173">
        <f t="shared" si="12"/>
        <v>0</v>
      </c>
      <c r="U290" s="119" t="s">
        <v>2496</v>
      </c>
      <c r="V290" s="178" t="s">
        <v>336</v>
      </c>
      <c r="W290" s="179">
        <f>IF('附表1-面积统计表'!$D$29=0,"",IF(AND(V290="共同成本费用",Z290="总建筑面积法"),ROUND(T290/'附表1-面积统计表'!$D$29*'附表1-面积统计表'!$D$5,2),IF(AND(V290="共同成本费用",Z290="可售建筑面积法"),ROUND(T290/'附表1-面积统计表'!$F$29*'附表1-面积统计表'!$F$5,2),"请手工填写")))</f>
        <v>0</v>
      </c>
      <c r="X290" s="179">
        <f>IF(SUM('附表1-面积统计表'!$D$6)=0,"",SUM(T290)-SUM(W290)-SUM(Y290))</f>
        <v>0</v>
      </c>
      <c r="Y290" s="179">
        <f>IF(SUM('附表1-面积统计表'!$D$6)=0,SUM(T290)-SUM(W290),IF('附表1-面积统计表'!$D$29=0,"",IF(AND(V290="共同成本费用",Z290="总建筑面积法"),ROUND(T290/'附表1-面积统计表'!$D$29*'附表1-面积统计表'!$D$7,2),IF(AND(V290="共同成本费用",Z290="可售建筑面积法"),ROUND(T290/'附表1-面积统计表'!$F$29*'附表1-面积统计表'!$F$7,2),"请手工填写"))))</f>
        <v>0</v>
      </c>
      <c r="Z290" s="181" t="s">
        <v>311</v>
      </c>
      <c r="AA290" s="164"/>
      <c r="AB290" s="182" t="s">
        <v>1686</v>
      </c>
    </row>
    <row r="291" ht="29" hidden="1" customHeight="1" spans="1:28">
      <c r="A291" s="159">
        <v>296</v>
      </c>
      <c r="B291" s="227" t="s">
        <v>2579</v>
      </c>
      <c r="C291" s="227" t="s">
        <v>1846</v>
      </c>
      <c r="D291" s="162" t="s">
        <v>2488</v>
      </c>
      <c r="E291" s="163" t="s">
        <v>2489</v>
      </c>
      <c r="F291" s="229" t="s">
        <v>2580</v>
      </c>
      <c r="G291" s="165" t="s">
        <v>2581</v>
      </c>
      <c r="H291" s="164" t="str">
        <f>IF(G291="","",VLOOKUP(G291,'附表8-合同明细采集底稿'!B:I,2,0))</f>
        <v>4-11、16、17#楼电梯安装</v>
      </c>
      <c r="I291" s="92" t="str">
        <f>IF(G291="","",VLOOKUP(G291,'附表8-合同明细采集底稿'!B:I,3,0))</f>
        <v>买卖合同</v>
      </c>
      <c r="J291" s="164" t="str">
        <f>IF(G291="","",VLOOKUP(G291,'附表8-合同明细采集底稿'!B:I,4,0))</f>
        <v>新疆华汇建安机械设备有限公司（许林）</v>
      </c>
      <c r="K291" s="164" t="s">
        <v>1711</v>
      </c>
      <c r="L291" s="165">
        <v>6500201160</v>
      </c>
      <c r="M291" s="227" t="s">
        <v>2582</v>
      </c>
      <c r="N291" s="173">
        <v>2350717.42</v>
      </c>
      <c r="O291" s="173">
        <v>2600000</v>
      </c>
      <c r="P291" s="174">
        <v>2350717.42</v>
      </c>
      <c r="Q291" s="173"/>
      <c r="R291" s="173">
        <f t="shared" si="13"/>
        <v>2350717.42</v>
      </c>
      <c r="S291" s="177">
        <f>IFERROR(VLOOKUP(G291,'附表8-合同明细采集底稿'!B:M,12,0),100%)</f>
        <v>1</v>
      </c>
      <c r="T291" s="173">
        <f t="shared" si="12"/>
        <v>2350717.42</v>
      </c>
      <c r="U291" s="119" t="s">
        <v>2509</v>
      </c>
      <c r="V291" s="178" t="s">
        <v>335</v>
      </c>
      <c r="W291" s="179">
        <f>ROUND(T291*成本分摊比例!$I$53,2)</f>
        <v>931354.24</v>
      </c>
      <c r="X291" s="179">
        <f>IF(SUM('附表1-面积统计表'!$D$6)=0,"",SUM(T291)-SUM(W291)-SUM(Y291))</f>
        <v>1148560.53</v>
      </c>
      <c r="Y291" s="179">
        <f>ROUND(T291*成本分摊比例!$K$53,2)</f>
        <v>270802.65</v>
      </c>
      <c r="Z291" s="181" t="s">
        <v>2492</v>
      </c>
      <c r="AA291" s="164"/>
      <c r="AB291" s="182" t="s">
        <v>1686</v>
      </c>
    </row>
    <row r="292" ht="29" hidden="1" customHeight="1" spans="1:28">
      <c r="A292" s="159">
        <v>297</v>
      </c>
      <c r="B292" s="227" t="s">
        <v>2583</v>
      </c>
      <c r="C292" s="227" t="s">
        <v>2433</v>
      </c>
      <c r="D292" s="162" t="s">
        <v>2488</v>
      </c>
      <c r="E292" s="163" t="s">
        <v>2489</v>
      </c>
      <c r="F292" s="229" t="s">
        <v>2584</v>
      </c>
      <c r="G292" s="165" t="s">
        <v>2585</v>
      </c>
      <c r="H292" s="164" t="str">
        <f>IF(G292="","",VLOOKUP(G292,'附表8-合同明细采集底稿'!B:I,2,0))</f>
        <v>沁春锦苑4#6#8#11#16#31#、36#楼铝合金门窗</v>
      </c>
      <c r="I292" s="92" t="str">
        <f>IF(G292="","",VLOOKUP(G292,'附表8-合同明细采集底稿'!B:I,3,0))</f>
        <v>建设工程合同</v>
      </c>
      <c r="J292" s="164" t="str">
        <f>IF(G292="","",VLOOKUP(G292,'附表8-合同明细采集底稿'!B:I,4,0))</f>
        <v>库尔勒坚乐美建筑工程有限责任公司（郑长银）</v>
      </c>
      <c r="K292" s="164" t="s">
        <v>1711</v>
      </c>
      <c r="L292" s="165">
        <v>6500201160</v>
      </c>
      <c r="M292" s="227" t="s">
        <v>2586</v>
      </c>
      <c r="N292" s="173">
        <v>486020.38</v>
      </c>
      <c r="O292" s="173">
        <v>549203</v>
      </c>
      <c r="P292" s="174">
        <v>486020.38</v>
      </c>
      <c r="Q292" s="173"/>
      <c r="R292" s="173">
        <f t="shared" si="13"/>
        <v>486020.38</v>
      </c>
      <c r="S292" s="177">
        <f>IFERROR(VLOOKUP(G292,'附表8-合同明细采集底稿'!B:M,12,0),100%)</f>
        <v>1</v>
      </c>
      <c r="T292" s="173">
        <f t="shared" si="12"/>
        <v>486020.38</v>
      </c>
      <c r="U292" s="119" t="s">
        <v>2509</v>
      </c>
      <c r="V292" s="178" t="s">
        <v>335</v>
      </c>
      <c r="W292" s="179">
        <f>ROUND(T292*成本分摊比例!$I$53,2)</f>
        <v>192561.27</v>
      </c>
      <c r="X292" s="179">
        <f>IF(SUM('附表1-面积统计表'!$D$6)=0,"",SUM(T292)-SUM(W292)-SUM(Y292))</f>
        <v>237469.56</v>
      </c>
      <c r="Y292" s="179">
        <f>ROUND(T292*成本分摊比例!$K$53,2)</f>
        <v>55989.55</v>
      </c>
      <c r="Z292" s="181" t="s">
        <v>2492</v>
      </c>
      <c r="AA292" s="164"/>
      <c r="AB292" s="182" t="s">
        <v>1686</v>
      </c>
    </row>
    <row r="293" ht="29" hidden="1" customHeight="1" spans="1:28">
      <c r="A293" s="159">
        <v>298</v>
      </c>
      <c r="B293" s="227" t="s">
        <v>1895</v>
      </c>
      <c r="C293" s="227" t="s">
        <v>2539</v>
      </c>
      <c r="D293" s="162" t="s">
        <v>2488</v>
      </c>
      <c r="E293" s="163" t="s">
        <v>2489</v>
      </c>
      <c r="F293" s="229" t="s">
        <v>2587</v>
      </c>
      <c r="G293" s="165" t="s">
        <v>2588</v>
      </c>
      <c r="H293" s="164" t="str">
        <f>IF(G293="","",VLOOKUP(G293,'附表8-合同明细采集底稿'!B:I,2,0))</f>
        <v>沁春锦苑4#-11#、16#17#楼防火门防盗门</v>
      </c>
      <c r="I293" s="92" t="str">
        <f>IF(G293="","",VLOOKUP(G293,'附表8-合同明细采集底稿'!B:I,3,0))</f>
        <v>买卖合同</v>
      </c>
      <c r="J293" s="164" t="str">
        <f>IF(G293="","",VLOOKUP(G293,'附表8-合同明细采集底稿'!B:I,4,0))</f>
        <v>库尔勒永绍商贸有限公司（项邵于）</v>
      </c>
      <c r="K293" s="164" t="s">
        <v>1711</v>
      </c>
      <c r="L293" s="165">
        <v>6500162160</v>
      </c>
      <c r="M293" s="227" t="s">
        <v>2589</v>
      </c>
      <c r="N293" s="173">
        <v>306283.19</v>
      </c>
      <c r="O293" s="173">
        <v>346100</v>
      </c>
      <c r="P293" s="174">
        <v>306283.19</v>
      </c>
      <c r="Q293" s="173"/>
      <c r="R293" s="173">
        <f t="shared" si="13"/>
        <v>306283.19</v>
      </c>
      <c r="S293" s="177">
        <f>IFERROR(VLOOKUP(G293,'附表8-合同明细采集底稿'!B:M,12,0),100%)</f>
        <v>1</v>
      </c>
      <c r="T293" s="173">
        <f t="shared" si="12"/>
        <v>306283.19</v>
      </c>
      <c r="U293" s="119" t="s">
        <v>2509</v>
      </c>
      <c r="V293" s="178" t="s">
        <v>335</v>
      </c>
      <c r="W293" s="179">
        <f>ROUND(T293*成本分摊比例!$I$53,2)</f>
        <v>121349.4</v>
      </c>
      <c r="X293" s="179">
        <f>IF(SUM('附表1-面积统计表'!$D$6)=0,"",SUM(T293)-SUM(W293)-SUM(Y293))</f>
        <v>149649.97</v>
      </c>
      <c r="Y293" s="179">
        <f>ROUND(T293*成本分摊比例!$K$53,2)</f>
        <v>35283.82</v>
      </c>
      <c r="Z293" s="181" t="s">
        <v>2492</v>
      </c>
      <c r="AA293" s="164"/>
      <c r="AB293" s="182" t="s">
        <v>1686</v>
      </c>
    </row>
    <row r="294" ht="29" hidden="1" customHeight="1" spans="1:28">
      <c r="A294" s="159">
        <v>299</v>
      </c>
      <c r="B294" s="227" t="s">
        <v>2590</v>
      </c>
      <c r="C294" s="227" t="s">
        <v>2591</v>
      </c>
      <c r="D294" s="162" t="s">
        <v>2488</v>
      </c>
      <c r="E294" s="163" t="s">
        <v>2489</v>
      </c>
      <c r="F294" s="229" t="s">
        <v>2592</v>
      </c>
      <c r="G294" s="165" t="s">
        <v>2593</v>
      </c>
      <c r="H294" s="164" t="str">
        <f>IF(G294="","",VLOOKUP(G294,'附表8-合同明细采集底稿'!B:I,2,0))</f>
        <v>沁春锦苑3#楼内、外装修合同</v>
      </c>
      <c r="I294" s="92" t="str">
        <f>IF(G294="","",VLOOKUP(G294,'附表8-合同明细采集底稿'!B:I,3,0))</f>
        <v>建设工程合同</v>
      </c>
      <c r="J294" s="164" t="str">
        <f>IF(G294="","",VLOOKUP(G294,'附表8-合同明细采集底稿'!B:I,4,0))</f>
        <v>巴州水木堂建筑装饰有限公司（倪）</v>
      </c>
      <c r="K294" s="164" t="s">
        <v>1704</v>
      </c>
      <c r="L294" s="165">
        <v>6500203130</v>
      </c>
      <c r="M294" s="227">
        <v>59699026</v>
      </c>
      <c r="N294" s="173">
        <v>31000</v>
      </c>
      <c r="O294" s="173">
        <v>31000</v>
      </c>
      <c r="P294" s="254">
        <v>31000</v>
      </c>
      <c r="Q294" s="173">
        <f t="shared" ref="Q294:Q299" si="15">-P294</f>
        <v>-31000</v>
      </c>
      <c r="R294" s="173">
        <f t="shared" si="13"/>
        <v>0</v>
      </c>
      <c r="S294" s="177">
        <f>IFERROR(VLOOKUP(G294,'附表8-合同明细采集底稿'!B:M,12,0),100%)</f>
        <v>1</v>
      </c>
      <c r="T294" s="173">
        <f t="shared" si="12"/>
        <v>0</v>
      </c>
      <c r="U294" s="164" t="s">
        <v>2594</v>
      </c>
      <c r="V294" s="178" t="s">
        <v>335</v>
      </c>
      <c r="W294" s="179">
        <v>0</v>
      </c>
      <c r="X294" s="179">
        <f>IF(SUM('附表1-面积统计表'!$D$6)=0,"",SUM(T294)-SUM(W294)-SUM(Y294))</f>
        <v>0</v>
      </c>
      <c r="Y294" s="179">
        <f t="shared" ref="Y291:Y299" si="16">T294</f>
        <v>0</v>
      </c>
      <c r="Z294" s="181" t="s">
        <v>2492</v>
      </c>
      <c r="AA294" s="164"/>
      <c r="AB294" s="182" t="s">
        <v>1686</v>
      </c>
    </row>
    <row r="295" ht="29" hidden="1" customHeight="1" spans="1:28">
      <c r="A295" s="159">
        <v>300</v>
      </c>
      <c r="B295" s="227" t="s">
        <v>2595</v>
      </c>
      <c r="C295" s="227" t="s">
        <v>2596</v>
      </c>
      <c r="D295" s="162" t="s">
        <v>2488</v>
      </c>
      <c r="E295" s="163" t="s">
        <v>2489</v>
      </c>
      <c r="F295" s="229" t="s">
        <v>2597</v>
      </c>
      <c r="G295" s="165" t="s">
        <v>2573</v>
      </c>
      <c r="H295" s="164" t="str">
        <f>IF(G295="","",VLOOKUP(G295,'附表8-合同明细采集底稿'!B:I,2,0))</f>
        <v>沁春锦苑2#3#36#楼外墙装修合同</v>
      </c>
      <c r="I295" s="92" t="str">
        <f>IF(G295="","",VLOOKUP(G295,'附表8-合同明细采集底稿'!B:I,3,0))</f>
        <v>建设工程合同</v>
      </c>
      <c r="J295" s="164" t="str">
        <f>IF(G295="","",VLOOKUP(G295,'附表8-合同明细采集底稿'!B:I,4,0))</f>
        <v>新疆通力建设集团股份有限公司（倪）</v>
      </c>
      <c r="K295" s="164" t="s">
        <v>1711</v>
      </c>
      <c r="L295" s="165">
        <v>6500213130</v>
      </c>
      <c r="M295" s="573" t="s">
        <v>2598</v>
      </c>
      <c r="N295" s="173">
        <v>366972.48</v>
      </c>
      <c r="O295" s="173">
        <v>400000</v>
      </c>
      <c r="P295" s="174">
        <v>366972.48</v>
      </c>
      <c r="Q295" s="173"/>
      <c r="R295" s="173">
        <f t="shared" si="13"/>
        <v>366972.48</v>
      </c>
      <c r="S295" s="177">
        <f>IFERROR(VLOOKUP(G295,'附表8-合同明细采集底稿'!B:M,12,0),100%)</f>
        <v>1</v>
      </c>
      <c r="T295" s="173">
        <f t="shared" si="12"/>
        <v>366972.48</v>
      </c>
      <c r="U295" s="119" t="s">
        <v>2491</v>
      </c>
      <c r="V295" s="178" t="s">
        <v>335</v>
      </c>
      <c r="W295" s="179">
        <v>0</v>
      </c>
      <c r="X295" s="179">
        <f>IF(SUM('附表1-面积统计表'!$D$6)=0,"",SUM(T295)-SUM(W295)-SUM(Y295))</f>
        <v>0</v>
      </c>
      <c r="Y295" s="179">
        <f t="shared" si="16"/>
        <v>366972.48</v>
      </c>
      <c r="Z295" s="181" t="s">
        <v>2492</v>
      </c>
      <c r="AA295" s="164"/>
      <c r="AB295" s="182" t="s">
        <v>1686</v>
      </c>
    </row>
    <row r="296" ht="29" hidden="1" customHeight="1" spans="1:28">
      <c r="A296" s="159">
        <v>302</v>
      </c>
      <c r="B296" s="227" t="s">
        <v>2599</v>
      </c>
      <c r="C296" s="227" t="s">
        <v>2600</v>
      </c>
      <c r="D296" s="162" t="s">
        <v>2488</v>
      </c>
      <c r="E296" s="163" t="s">
        <v>2489</v>
      </c>
      <c r="F296" s="229" t="s">
        <v>2601</v>
      </c>
      <c r="G296" s="165"/>
      <c r="H296" s="164" t="str">
        <f>IF(G296="","",VLOOKUP(G296,'附表8-合同明细采集底稿'!B:I,2,0))</f>
        <v/>
      </c>
      <c r="I296" s="92" t="str">
        <f>IF(G296="","",VLOOKUP(G296,'附表8-合同明细采集底稿'!B:I,3,0))</f>
        <v/>
      </c>
      <c r="J296" s="164" t="s">
        <v>2602</v>
      </c>
      <c r="K296" s="164" t="s">
        <v>1704</v>
      </c>
      <c r="L296" s="165">
        <v>6500213130</v>
      </c>
      <c r="M296" s="227" t="s">
        <v>2603</v>
      </c>
      <c r="N296" s="173">
        <v>20000</v>
      </c>
      <c r="O296" s="173">
        <v>20000</v>
      </c>
      <c r="P296" s="174">
        <v>20000</v>
      </c>
      <c r="Q296" s="180">
        <f t="shared" si="15"/>
        <v>-20000</v>
      </c>
      <c r="R296" s="173">
        <f t="shared" si="13"/>
        <v>0</v>
      </c>
      <c r="S296" s="177">
        <f>IFERROR(VLOOKUP(G296,'附表8-合同明细采集底稿'!B:M,12,0),100%)</f>
        <v>1</v>
      </c>
      <c r="T296" s="173">
        <f t="shared" si="12"/>
        <v>0</v>
      </c>
      <c r="U296" s="119" t="s">
        <v>2491</v>
      </c>
      <c r="V296" s="178" t="s">
        <v>335</v>
      </c>
      <c r="W296" s="179">
        <v>0</v>
      </c>
      <c r="X296" s="179">
        <f>IF(SUM('附表1-面积统计表'!$D$6)=0,"",SUM(T296)-SUM(W296)-SUM(Y296))</f>
        <v>0</v>
      </c>
      <c r="Y296" s="179">
        <f t="shared" si="16"/>
        <v>0</v>
      </c>
      <c r="Z296" s="181" t="s">
        <v>2492</v>
      </c>
      <c r="AA296" s="164"/>
      <c r="AB296" s="182" t="s">
        <v>1686</v>
      </c>
    </row>
    <row r="297" ht="29" hidden="1" customHeight="1" spans="1:28">
      <c r="A297" s="159">
        <v>303</v>
      </c>
      <c r="B297" s="227" t="s">
        <v>1900</v>
      </c>
      <c r="C297" s="227" t="s">
        <v>1901</v>
      </c>
      <c r="D297" s="162" t="s">
        <v>2488</v>
      </c>
      <c r="E297" s="163" t="s">
        <v>2489</v>
      </c>
      <c r="F297" s="229" t="s">
        <v>1902</v>
      </c>
      <c r="G297" s="165" t="s">
        <v>2490</v>
      </c>
      <c r="H297" s="164" t="str">
        <f>IF(G297="","",VLOOKUP(G297,'附表8-合同明细采集底稿'!B:I,2,0))</f>
        <v>建设工程施工合同12-15#楼38#楼、31#楼.36#幼儿园（36#楼）</v>
      </c>
      <c r="I297" s="92" t="str">
        <f>IF(G297="","",VLOOKUP(G297,'附表8-合同明细采集底稿'!B:I,3,0))</f>
        <v>建设工程合同</v>
      </c>
      <c r="J297" s="164" t="str">
        <f>IF(G297="","",VLOOKUP(G297,'附表8-合同明细采集底稿'!B:I,4,0))</f>
        <v>新疆通力建设集团股份有限公司（顾）</v>
      </c>
      <c r="K297" s="164" t="s">
        <v>1711</v>
      </c>
      <c r="L297" s="165">
        <v>6500213130</v>
      </c>
      <c r="M297" s="573" t="s">
        <v>1903</v>
      </c>
      <c r="N297" s="173">
        <v>133030.28</v>
      </c>
      <c r="O297" s="173">
        <v>195890.24</v>
      </c>
      <c r="P297" s="174">
        <v>133030.28</v>
      </c>
      <c r="Q297" s="173"/>
      <c r="R297" s="173">
        <f t="shared" si="13"/>
        <v>133030.28</v>
      </c>
      <c r="S297" s="177">
        <f>IFERROR(VLOOKUP(G297,'附表8-合同明细采集底稿'!B:M,12,0),100%)</f>
        <v>1</v>
      </c>
      <c r="T297" s="173">
        <f t="shared" si="12"/>
        <v>133030.28</v>
      </c>
      <c r="U297" s="119" t="s">
        <v>2491</v>
      </c>
      <c r="V297" s="178" t="s">
        <v>335</v>
      </c>
      <c r="W297" s="179">
        <v>0</v>
      </c>
      <c r="X297" s="179">
        <f>IF(SUM('附表1-面积统计表'!$D$6)=0,"",SUM(T297)-SUM(W297)-SUM(Y297))</f>
        <v>0</v>
      </c>
      <c r="Y297" s="179">
        <f t="shared" si="16"/>
        <v>133030.28</v>
      </c>
      <c r="Z297" s="181" t="s">
        <v>2492</v>
      </c>
      <c r="AA297" s="164"/>
      <c r="AB297" s="182" t="s">
        <v>1686</v>
      </c>
    </row>
    <row r="298" ht="29" hidden="1" customHeight="1" spans="1:28">
      <c r="A298" s="159">
        <v>304</v>
      </c>
      <c r="B298" s="245" t="s">
        <v>2015</v>
      </c>
      <c r="C298" s="246" t="s">
        <v>2016</v>
      </c>
      <c r="D298" s="162" t="s">
        <v>2488</v>
      </c>
      <c r="E298" s="163" t="s">
        <v>2489</v>
      </c>
      <c r="F298" s="247" t="s">
        <v>2017</v>
      </c>
      <c r="G298" s="165" t="s">
        <v>2490</v>
      </c>
      <c r="H298" s="164" t="str">
        <f>IF(G298="","",VLOOKUP(G298,'附表8-合同明细采集底稿'!B:I,2,0))</f>
        <v>建设工程施工合同12-15#楼38#楼、31#楼.36#幼儿园（36#楼）</v>
      </c>
      <c r="I298" s="92" t="str">
        <f>IF(G298="","",VLOOKUP(G298,'附表8-合同明细采集底稿'!B:I,3,0))</f>
        <v>建设工程合同</v>
      </c>
      <c r="J298" s="164" t="str">
        <f>IF(G298="","",VLOOKUP(G298,'附表8-合同明细采集底稿'!B:I,4,0))</f>
        <v>新疆通力建设集团股份有限公司（顾）</v>
      </c>
      <c r="K298" s="164" t="s">
        <v>1711</v>
      </c>
      <c r="L298" s="165" t="s">
        <v>1705</v>
      </c>
      <c r="M298" s="227" t="s">
        <v>2018</v>
      </c>
      <c r="N298" s="173">
        <v>185897.88</v>
      </c>
      <c r="O298" s="173">
        <v>202628.696880734</v>
      </c>
      <c r="P298" s="174">
        <v>185897.88</v>
      </c>
      <c r="Q298" s="173"/>
      <c r="R298" s="173">
        <f t="shared" si="13"/>
        <v>185897.88</v>
      </c>
      <c r="S298" s="177">
        <f>IFERROR(VLOOKUP(G298,'附表8-合同明细采集底稿'!B:M,12,0),100%)</f>
        <v>1</v>
      </c>
      <c r="T298" s="173">
        <f t="shared" si="12"/>
        <v>185897.88</v>
      </c>
      <c r="U298" s="119" t="s">
        <v>2491</v>
      </c>
      <c r="V298" s="178" t="s">
        <v>335</v>
      </c>
      <c r="W298" s="179">
        <v>0</v>
      </c>
      <c r="X298" s="179">
        <f>IF(SUM('附表1-面积统计表'!$D$6)=0,"",SUM(T298)-SUM(W298)-SUM(Y298))</f>
        <v>0</v>
      </c>
      <c r="Y298" s="179">
        <f t="shared" si="16"/>
        <v>185897.88</v>
      </c>
      <c r="Z298" s="181" t="s">
        <v>2492</v>
      </c>
      <c r="AA298" s="164"/>
      <c r="AB298" s="182" t="s">
        <v>1686</v>
      </c>
    </row>
    <row r="299" ht="29" hidden="1" customHeight="1" spans="1:28">
      <c r="A299" s="159">
        <v>305</v>
      </c>
      <c r="B299" s="227" t="s">
        <v>2604</v>
      </c>
      <c r="C299" s="227" t="s">
        <v>2605</v>
      </c>
      <c r="D299" s="162" t="s">
        <v>2488</v>
      </c>
      <c r="E299" s="163" t="s">
        <v>2489</v>
      </c>
      <c r="F299" s="229" t="s">
        <v>2606</v>
      </c>
      <c r="G299" s="165"/>
      <c r="H299" s="164" t="str">
        <f>IF(G299="","",VLOOKUP(G299,'附表8-合同明细采集底稿'!B:I,2,0))</f>
        <v/>
      </c>
      <c r="I299" s="92" t="str">
        <f>IF(G299="","",VLOOKUP(G299,'附表8-合同明细采集底稿'!B:I,3,0))</f>
        <v/>
      </c>
      <c r="J299" s="164" t="s">
        <v>2607</v>
      </c>
      <c r="K299" s="164" t="s">
        <v>1711</v>
      </c>
      <c r="L299" s="165">
        <v>6500203130</v>
      </c>
      <c r="M299" s="573" t="s">
        <v>2608</v>
      </c>
      <c r="N299" s="173">
        <v>15929.2</v>
      </c>
      <c r="O299" s="173">
        <v>18000</v>
      </c>
      <c r="P299" s="174">
        <v>15929.2</v>
      </c>
      <c r="Q299" s="180">
        <f t="shared" si="15"/>
        <v>-15929.2</v>
      </c>
      <c r="R299" s="173">
        <f t="shared" si="13"/>
        <v>0</v>
      </c>
      <c r="S299" s="177">
        <f>IFERROR(VLOOKUP(G299,'附表8-合同明细采集底稿'!B:M,12,0),100%)</f>
        <v>1</v>
      </c>
      <c r="T299" s="173">
        <f t="shared" si="12"/>
        <v>0</v>
      </c>
      <c r="U299" s="119" t="s">
        <v>2491</v>
      </c>
      <c r="V299" s="178" t="s">
        <v>335</v>
      </c>
      <c r="W299" s="179">
        <v>0</v>
      </c>
      <c r="X299" s="179">
        <f>IF(SUM('附表1-面积统计表'!$D$6)=0,"",SUM(T299)-SUM(W299)-SUM(Y299))</f>
        <v>0</v>
      </c>
      <c r="Y299" s="179">
        <f t="shared" si="16"/>
        <v>0</v>
      </c>
      <c r="Z299" s="181" t="s">
        <v>2492</v>
      </c>
      <c r="AA299" s="164"/>
      <c r="AB299" s="182" t="s">
        <v>1686</v>
      </c>
    </row>
    <row r="300" ht="29" hidden="1" customHeight="1" spans="1:28">
      <c r="A300" s="159">
        <v>306</v>
      </c>
      <c r="B300" s="227" t="s">
        <v>2343</v>
      </c>
      <c r="C300" s="227" t="s">
        <v>2609</v>
      </c>
      <c r="D300" s="162" t="s">
        <v>1739</v>
      </c>
      <c r="E300" s="163" t="s">
        <v>1788</v>
      </c>
      <c r="F300" s="229" t="s">
        <v>2610</v>
      </c>
      <c r="G300" s="165" t="s">
        <v>2611</v>
      </c>
      <c r="H300" s="164" t="str">
        <f>IF(G300="","",VLOOKUP(G300,'附表8-合同明细采集底稿'!B:I,2,0))</f>
        <v>二期、三期给排水、消防工程施工合同-二期</v>
      </c>
      <c r="I300" s="92" t="str">
        <f>IF(G300="","",VLOOKUP(G300,'附表8-合同明细采集底稿'!B:I,3,0))</f>
        <v>建设工程合同</v>
      </c>
      <c r="J300" s="164" t="str">
        <f>IF(G300="","",VLOOKUP(G300,'附表8-合同明细采集底稿'!B:I,4,0))</f>
        <v>江苏中义消防工程有限公司巴州分公司（巩红卫）</v>
      </c>
      <c r="K300" s="164" t="s">
        <v>1711</v>
      </c>
      <c r="L300" s="165" t="s">
        <v>1705</v>
      </c>
      <c r="M300" s="227" t="s">
        <v>2612</v>
      </c>
      <c r="N300" s="173">
        <v>667258.4</v>
      </c>
      <c r="O300" s="173">
        <v>727311.65</v>
      </c>
      <c r="P300" s="174">
        <v>667258.4</v>
      </c>
      <c r="Q300" s="173"/>
      <c r="R300" s="173">
        <f t="shared" si="13"/>
        <v>667258.4</v>
      </c>
      <c r="S300" s="177">
        <f>IFERROR(VLOOKUP(G300,'附表8-合同明细采集底稿'!B:M,12,0),100%)</f>
        <v>1</v>
      </c>
      <c r="T300" s="173">
        <f t="shared" si="12"/>
        <v>667258.4</v>
      </c>
      <c r="U300" s="119" t="s">
        <v>2509</v>
      </c>
      <c r="V300" s="178" t="s">
        <v>335</v>
      </c>
      <c r="W300" s="179">
        <f>ROUND(T300*成本分摊比例!$I$53,2)</f>
        <v>264367.78</v>
      </c>
      <c r="X300" s="179">
        <f>IF(SUM('附表1-面积统计表'!$D$6)=0,"",SUM(T300)-SUM(W300)-SUM(Y300))</f>
        <v>326022.45</v>
      </c>
      <c r="Y300" s="179">
        <f>ROUND(T300*成本分摊比例!$K$53,2)</f>
        <v>76868.17</v>
      </c>
      <c r="Z300" s="181" t="s">
        <v>2492</v>
      </c>
      <c r="AA300" s="164"/>
      <c r="AB300" s="182" t="s">
        <v>1686</v>
      </c>
    </row>
    <row r="301" ht="29" hidden="1" customHeight="1" spans="1:28">
      <c r="A301" s="159">
        <v>308</v>
      </c>
      <c r="B301" s="227" t="s">
        <v>2284</v>
      </c>
      <c r="C301" s="227" t="s">
        <v>2613</v>
      </c>
      <c r="D301" s="162" t="s">
        <v>2488</v>
      </c>
      <c r="E301" s="163" t="s">
        <v>2489</v>
      </c>
      <c r="F301" s="229" t="s">
        <v>2614</v>
      </c>
      <c r="G301" s="165" t="s">
        <v>2588</v>
      </c>
      <c r="H301" s="164" t="str">
        <f>IF(G301="","",VLOOKUP(G301,'附表8-合同明细采集底稿'!B:I,2,0))</f>
        <v>沁春锦苑4#-11#、16#17#楼防火门防盗门</v>
      </c>
      <c r="I301" s="92" t="str">
        <f>IF(G301="","",VLOOKUP(G301,'附表8-合同明细采集底稿'!B:I,3,0))</f>
        <v>买卖合同</v>
      </c>
      <c r="J301" s="164" t="str">
        <f>IF(G301="","",VLOOKUP(G301,'附表8-合同明细采集底稿'!B:I,4,0))</f>
        <v>库尔勒永绍商贸有限公司（项邵于）</v>
      </c>
      <c r="K301" s="164" t="s">
        <v>1711</v>
      </c>
      <c r="L301" s="165" t="s">
        <v>2615</v>
      </c>
      <c r="M301" s="227" t="s">
        <v>2616</v>
      </c>
      <c r="N301" s="173">
        <v>305782.3</v>
      </c>
      <c r="O301" s="173">
        <v>345534</v>
      </c>
      <c r="P301" s="174">
        <v>305782.3</v>
      </c>
      <c r="Q301" s="173"/>
      <c r="R301" s="173">
        <f t="shared" si="13"/>
        <v>305782.3</v>
      </c>
      <c r="S301" s="177">
        <f>IFERROR(VLOOKUP(G301,'附表8-合同明细采集底稿'!B:M,12,0),100%)</f>
        <v>1</v>
      </c>
      <c r="T301" s="173">
        <f t="shared" si="12"/>
        <v>305782.3</v>
      </c>
      <c r="U301" s="119" t="s">
        <v>2509</v>
      </c>
      <c r="V301" s="178" t="s">
        <v>335</v>
      </c>
      <c r="W301" s="179">
        <f>ROUND(T301*成本分摊比例!$I$53,2)</f>
        <v>121150.95</v>
      </c>
      <c r="X301" s="179">
        <f>IF(SUM('附表1-面积统计表'!$D$6)=0,"",SUM(T301)-SUM(W301)-SUM(Y301))</f>
        <v>149405.23</v>
      </c>
      <c r="Y301" s="179">
        <f>ROUND(T301*成本分摊比例!$K$53,2)</f>
        <v>35226.12</v>
      </c>
      <c r="Z301" s="181" t="s">
        <v>2492</v>
      </c>
      <c r="AA301" s="164"/>
      <c r="AB301" s="182" t="s">
        <v>1686</v>
      </c>
    </row>
    <row r="302" ht="29" hidden="1" customHeight="1" spans="1:28">
      <c r="A302" s="159">
        <v>309</v>
      </c>
      <c r="B302" s="227" t="s">
        <v>625</v>
      </c>
      <c r="C302" s="227" t="s">
        <v>2617</v>
      </c>
      <c r="D302" s="231" t="s">
        <v>1707</v>
      </c>
      <c r="E302" s="163" t="s">
        <v>2451</v>
      </c>
      <c r="F302" s="229" t="s">
        <v>2618</v>
      </c>
      <c r="G302" s="165" t="s">
        <v>2619</v>
      </c>
      <c r="H302" s="164" t="str">
        <f>IF(G302="","",VLOOKUP(G302,'附表8-合同明细采集底稿'!B:I,2,0))</f>
        <v>建设工程勘察合同（11#17#13#14#15#楼12#38#18#22#21#37#社区）</v>
      </c>
      <c r="I302" s="92" t="str">
        <f>IF(G302="","",VLOOKUP(G302,'附表8-合同明细采集底稿'!B:I,3,0))</f>
        <v>技术合同</v>
      </c>
      <c r="J302" s="164" t="str">
        <f>IF(G302="","",VLOOKUP(G302,'附表8-合同明细采集底稿'!B:I,4,0))</f>
        <v>巴州基安岩土工程勘察设计有限责任公司</v>
      </c>
      <c r="K302" s="164" t="s">
        <v>1711</v>
      </c>
      <c r="L302" s="165">
        <v>6500221130</v>
      </c>
      <c r="M302" s="573" t="s">
        <v>2620</v>
      </c>
      <c r="N302" s="173">
        <v>55188.68</v>
      </c>
      <c r="O302" s="173">
        <v>58500</v>
      </c>
      <c r="P302" s="174">
        <v>55188.68</v>
      </c>
      <c r="Q302" s="173">
        <f>10606.89-55188.68</f>
        <v>-44581.79</v>
      </c>
      <c r="R302" s="173">
        <f t="shared" si="13"/>
        <v>10606.89</v>
      </c>
      <c r="S302" s="177">
        <f>IFERROR(VLOOKUP(G302,'附表8-合同明细采集底稿'!B:M,12,0),100%)</f>
        <v>1</v>
      </c>
      <c r="T302" s="173">
        <f t="shared" si="12"/>
        <v>10606.89</v>
      </c>
      <c r="U302" s="119" t="s">
        <v>2509</v>
      </c>
      <c r="V302" s="178" t="s">
        <v>335</v>
      </c>
      <c r="W302" s="179">
        <f>ROUND(T302*成本分摊比例!$I$53,2)</f>
        <v>4202.45</v>
      </c>
      <c r="X302" s="179">
        <f>IF(SUM('附表1-面积统计表'!$D$6)=0,"",SUM(T302)-SUM(W302)-SUM(Y302))</f>
        <v>5182.53</v>
      </c>
      <c r="Y302" s="179">
        <f>ROUND(T302*成本分摊比例!$K$53,2)</f>
        <v>1221.91</v>
      </c>
      <c r="Z302" s="181" t="s">
        <v>2492</v>
      </c>
      <c r="AA302" s="164"/>
      <c r="AB302" s="182" t="s">
        <v>1686</v>
      </c>
    </row>
    <row r="303" ht="29" hidden="1" customHeight="1" spans="1:28">
      <c r="A303" s="159">
        <v>310</v>
      </c>
      <c r="B303" s="227" t="s">
        <v>1987</v>
      </c>
      <c r="C303" s="227" t="s">
        <v>2621</v>
      </c>
      <c r="D303" s="162" t="s">
        <v>2488</v>
      </c>
      <c r="E303" s="163" t="s">
        <v>2489</v>
      </c>
      <c r="F303" s="229" t="s">
        <v>2622</v>
      </c>
      <c r="G303" s="165" t="s">
        <v>2593</v>
      </c>
      <c r="H303" s="164" t="str">
        <f>IF(G303="","",VLOOKUP(G303,'附表8-合同明细采集底稿'!B:I,2,0))</f>
        <v>沁春锦苑3#楼内、外装修合同</v>
      </c>
      <c r="I303" s="92" t="str">
        <f>IF(G303="","",VLOOKUP(G303,'附表8-合同明细采集底稿'!B:I,3,0))</f>
        <v>建设工程合同</v>
      </c>
      <c r="J303" s="164" t="str">
        <f>IF(G303="","",VLOOKUP(G303,'附表8-合同明细采集底稿'!B:I,4,0))</f>
        <v>巴州水木堂建筑装饰有限公司（倪）</v>
      </c>
      <c r="K303" s="164" t="s">
        <v>1704</v>
      </c>
      <c r="L303" s="165">
        <v>6500221130</v>
      </c>
      <c r="M303" s="227" t="s">
        <v>2623</v>
      </c>
      <c r="N303" s="173">
        <v>2400000</v>
      </c>
      <c r="O303" s="173">
        <v>2400000</v>
      </c>
      <c r="P303" s="254">
        <v>2400000</v>
      </c>
      <c r="Q303" s="173">
        <f>-P303</f>
        <v>-2400000</v>
      </c>
      <c r="R303" s="173">
        <f t="shared" si="13"/>
        <v>0</v>
      </c>
      <c r="S303" s="177">
        <f>IFERROR(VLOOKUP(G303,'附表8-合同明细采集底稿'!B:M,12,0),100%)</f>
        <v>1</v>
      </c>
      <c r="T303" s="173">
        <f t="shared" si="12"/>
        <v>0</v>
      </c>
      <c r="U303" s="119" t="s">
        <v>2594</v>
      </c>
      <c r="V303" s="178" t="s">
        <v>335</v>
      </c>
      <c r="W303" s="179">
        <v>0</v>
      </c>
      <c r="X303" s="179">
        <f>IF(SUM('附表1-面积统计表'!$D$6)=0,"",SUM(T303)-SUM(W303)-SUM(Y303))</f>
        <v>0</v>
      </c>
      <c r="Y303" s="179">
        <f t="shared" ref="Y301:Y304" si="17">T303</f>
        <v>0</v>
      </c>
      <c r="Z303" s="181" t="s">
        <v>2492</v>
      </c>
      <c r="AA303" s="164"/>
      <c r="AB303" s="182" t="s">
        <v>1686</v>
      </c>
    </row>
    <row r="304" ht="29" hidden="1" customHeight="1" spans="1:28">
      <c r="A304" s="159">
        <v>311</v>
      </c>
      <c r="B304" s="227" t="s">
        <v>2306</v>
      </c>
      <c r="C304" s="227" t="s">
        <v>1948</v>
      </c>
      <c r="D304" s="162" t="s">
        <v>1739</v>
      </c>
      <c r="E304" s="163" t="s">
        <v>1772</v>
      </c>
      <c r="F304" s="229" t="s">
        <v>2307</v>
      </c>
      <c r="G304" s="165" t="s">
        <v>2624</v>
      </c>
      <c r="H304" s="164" t="str">
        <f>IF(G304="","",VLOOKUP(G304,'附表8-合同明细采集底稿'!B:I,2,0))</f>
        <v>电缆采购合同-三期商业</v>
      </c>
      <c r="I304" s="92" t="str">
        <f>IF(G304="","",VLOOKUP(G304,'附表8-合同明细采集底稿'!B:I,3,0))</f>
        <v>买卖合同</v>
      </c>
      <c r="J304" s="164" t="str">
        <f>IF(G304="","",VLOOKUP(G304,'附表8-合同明细采集底稿'!B:I,4,0))</f>
        <v>泰丰线缆有限公司</v>
      </c>
      <c r="K304" s="164" t="s">
        <v>1711</v>
      </c>
      <c r="L304" s="165" t="s">
        <v>1705</v>
      </c>
      <c r="M304" s="573" t="s">
        <v>2308</v>
      </c>
      <c r="N304" s="173">
        <v>77145.1398230089</v>
      </c>
      <c r="O304" s="173">
        <v>87174.008</v>
      </c>
      <c r="P304" s="174">
        <v>77145.1398230089</v>
      </c>
      <c r="Q304" s="173"/>
      <c r="R304" s="173">
        <f t="shared" si="13"/>
        <v>77145.1398230089</v>
      </c>
      <c r="S304" s="177">
        <f>IFERROR(VLOOKUP(G304,'附表8-合同明细采集底稿'!B:M,12,0),100%)</f>
        <v>1</v>
      </c>
      <c r="T304" s="173">
        <f t="shared" si="12"/>
        <v>77145.14</v>
      </c>
      <c r="U304" s="119" t="s">
        <v>2491</v>
      </c>
      <c r="V304" s="178" t="s">
        <v>335</v>
      </c>
      <c r="W304" s="179">
        <v>0</v>
      </c>
      <c r="X304" s="179">
        <f>IF(SUM('附表1-面积统计表'!$D$6)=0,"",SUM(T304)-SUM(W304)-SUM(Y304))</f>
        <v>0</v>
      </c>
      <c r="Y304" s="179">
        <f t="shared" si="17"/>
        <v>77145.14</v>
      </c>
      <c r="Z304" s="181" t="s">
        <v>2492</v>
      </c>
      <c r="AA304" s="164"/>
      <c r="AB304" s="182" t="s">
        <v>1686</v>
      </c>
    </row>
    <row r="305" ht="29" hidden="1" customHeight="1" spans="1:28">
      <c r="A305" s="159">
        <v>312</v>
      </c>
      <c r="B305" s="227" t="s">
        <v>2306</v>
      </c>
      <c r="C305" s="227" t="s">
        <v>1948</v>
      </c>
      <c r="D305" s="162" t="s">
        <v>1739</v>
      </c>
      <c r="E305" s="163" t="s">
        <v>1772</v>
      </c>
      <c r="F305" s="229" t="s">
        <v>2307</v>
      </c>
      <c r="G305" s="165" t="s">
        <v>2625</v>
      </c>
      <c r="H305" s="164" t="str">
        <f>IF(G305="","",VLOOKUP(G305,'附表8-合同明细采集底稿'!B:I,2,0))</f>
        <v>电缆采购合同-三期</v>
      </c>
      <c r="I305" s="92" t="str">
        <f>IF(G305="","",VLOOKUP(G305,'附表8-合同明细采集底稿'!B:I,3,0))</f>
        <v>买卖合同</v>
      </c>
      <c r="J305" s="164" t="str">
        <f>IF(G305="","",VLOOKUP(G305,'附表8-合同明细采集底稿'!B:I,4,0))</f>
        <v>泰丰线缆有限公司</v>
      </c>
      <c r="K305" s="164" t="s">
        <v>1711</v>
      </c>
      <c r="L305" s="165">
        <v>6500213130</v>
      </c>
      <c r="M305" s="573" t="s">
        <v>2308</v>
      </c>
      <c r="N305" s="173">
        <v>497768.14159292</v>
      </c>
      <c r="O305" s="173">
        <v>562478</v>
      </c>
      <c r="P305" s="174">
        <v>497768.14159292</v>
      </c>
      <c r="Q305" s="173"/>
      <c r="R305" s="173">
        <f t="shared" si="13"/>
        <v>497768.14159292</v>
      </c>
      <c r="S305" s="177">
        <f>IFERROR(VLOOKUP(G305,'附表8-合同明细采集底稿'!B:M,12,0),100%)</f>
        <v>1</v>
      </c>
      <c r="T305" s="173">
        <f t="shared" si="12"/>
        <v>497768.14</v>
      </c>
      <c r="U305" s="119" t="s">
        <v>2509</v>
      </c>
      <c r="V305" s="178" t="s">
        <v>335</v>
      </c>
      <c r="W305" s="179">
        <f>ROUND(T305*成本分摊比例!$I$53,2)</f>
        <v>197215.74</v>
      </c>
      <c r="X305" s="179">
        <f>IF(SUM('附表1-面积统计表'!$D$6)=0,"",SUM(T305)-SUM(W305)-SUM(Y305))</f>
        <v>243209.51</v>
      </c>
      <c r="Y305" s="179">
        <f>ROUND(T305*成本分摊比例!$K$53,2)</f>
        <v>57342.89</v>
      </c>
      <c r="Z305" s="181" t="s">
        <v>2492</v>
      </c>
      <c r="AA305" s="164"/>
      <c r="AB305" s="182" t="s">
        <v>1686</v>
      </c>
    </row>
    <row r="306" ht="29" hidden="1" customHeight="1" spans="1:28">
      <c r="A306" s="159">
        <v>314</v>
      </c>
      <c r="B306" s="227" t="s">
        <v>2626</v>
      </c>
      <c r="C306" s="227" t="s">
        <v>1995</v>
      </c>
      <c r="D306" s="162" t="s">
        <v>2488</v>
      </c>
      <c r="E306" s="163" t="s">
        <v>2489</v>
      </c>
      <c r="F306" s="229" t="s">
        <v>2627</v>
      </c>
      <c r="G306" s="165" t="s">
        <v>2573</v>
      </c>
      <c r="H306" s="164" t="str">
        <f>IF(G306="","",VLOOKUP(G306,'附表8-合同明细采集底稿'!B:I,2,0))</f>
        <v>沁春锦苑2#3#36#楼外墙装修合同</v>
      </c>
      <c r="I306" s="92" t="str">
        <f>IF(G306="","",VLOOKUP(G306,'附表8-合同明细采集底稿'!B:I,3,0))</f>
        <v>建设工程合同</v>
      </c>
      <c r="J306" s="164" t="str">
        <f>IF(G306="","",VLOOKUP(G306,'附表8-合同明细采集底稿'!B:I,4,0))</f>
        <v>新疆通力建设集团股份有限公司（倪）</v>
      </c>
      <c r="K306" s="164" t="s">
        <v>1711</v>
      </c>
      <c r="L306" s="165">
        <v>6500201160</v>
      </c>
      <c r="M306" s="574" t="s">
        <v>2628</v>
      </c>
      <c r="N306" s="173">
        <v>201834.86</v>
      </c>
      <c r="O306" s="173">
        <v>220000</v>
      </c>
      <c r="P306" s="174">
        <v>201834.86</v>
      </c>
      <c r="Q306" s="173"/>
      <c r="R306" s="173">
        <f t="shared" si="13"/>
        <v>201834.86</v>
      </c>
      <c r="S306" s="177">
        <f>IFERROR(VLOOKUP(G306,'附表8-合同明细采集底稿'!B:M,12,0),100%)</f>
        <v>1</v>
      </c>
      <c r="T306" s="173">
        <f t="shared" si="12"/>
        <v>201834.86</v>
      </c>
      <c r="U306" s="119" t="s">
        <v>2491</v>
      </c>
      <c r="V306" s="178" t="s">
        <v>335</v>
      </c>
      <c r="W306" s="179">
        <v>0</v>
      </c>
      <c r="X306" s="179">
        <f>IF(SUM('附表1-面积统计表'!$D$6)=0,"",SUM(T306)-SUM(W306)-SUM(Y306))</f>
        <v>0</v>
      </c>
      <c r="Y306" s="179">
        <f>T306</f>
        <v>201834.86</v>
      </c>
      <c r="Z306" s="181" t="s">
        <v>2492</v>
      </c>
      <c r="AA306" s="164"/>
      <c r="AB306" s="182" t="s">
        <v>1686</v>
      </c>
    </row>
    <row r="307" ht="29" hidden="1" customHeight="1" spans="1:28">
      <c r="A307" s="159">
        <v>316</v>
      </c>
      <c r="B307" s="227" t="s">
        <v>2629</v>
      </c>
      <c r="C307" s="227" t="s">
        <v>2371</v>
      </c>
      <c r="D307" s="162" t="s">
        <v>2488</v>
      </c>
      <c r="E307" s="163" t="s">
        <v>2489</v>
      </c>
      <c r="F307" s="229" t="s">
        <v>2630</v>
      </c>
      <c r="G307" s="165" t="s">
        <v>2569</v>
      </c>
      <c r="H307" s="164" t="str">
        <f>IF(G307="","",VLOOKUP(G307,'附表8-合同明细采集底稿'!B:I,2,0))</f>
        <v>沁春锦苑2#5#7#9#10#17#楼铝合金门窗</v>
      </c>
      <c r="I307" s="92" t="str">
        <f>IF(G307="","",VLOOKUP(G307,'附表8-合同明细采集底稿'!B:I,3,0))</f>
        <v>技术合同</v>
      </c>
      <c r="J307" s="164" t="str">
        <f>IF(G307="","",VLOOKUP(G307,'附表8-合同明细采集底稿'!B:I,4,0))</f>
        <v>巴州全福门窗加工有限公司（杨全福）</v>
      </c>
      <c r="K307" s="164" t="s">
        <v>1711</v>
      </c>
      <c r="L307" s="165" t="s">
        <v>1705</v>
      </c>
      <c r="M307" s="227" t="s">
        <v>2631</v>
      </c>
      <c r="N307" s="173">
        <v>265486.74</v>
      </c>
      <c r="O307" s="173">
        <v>300000</v>
      </c>
      <c r="P307" s="174">
        <v>265486.74</v>
      </c>
      <c r="Q307" s="173"/>
      <c r="R307" s="173">
        <f t="shared" si="13"/>
        <v>265486.74</v>
      </c>
      <c r="S307" s="177">
        <f>IFERROR(VLOOKUP(G307,'附表8-合同明细采集底稿'!B:M,12,0),100%)</f>
        <v>1</v>
      </c>
      <c r="T307" s="173">
        <f t="shared" si="12"/>
        <v>265486.74</v>
      </c>
      <c r="U307" s="119" t="s">
        <v>2509</v>
      </c>
      <c r="V307" s="178" t="s">
        <v>335</v>
      </c>
      <c r="W307" s="179">
        <f>ROUND(T307*成本分摊比例!$I$53,2)</f>
        <v>105185.85</v>
      </c>
      <c r="X307" s="179">
        <f>IF(SUM('附表1-面积统计表'!$D$6)=0,"",SUM(T307)-SUM(W307)-SUM(Y307))</f>
        <v>129716.82</v>
      </c>
      <c r="Y307" s="179">
        <f>ROUND(T307*成本分摊比例!$K$53,2)</f>
        <v>30584.07</v>
      </c>
      <c r="Z307" s="181" t="s">
        <v>2492</v>
      </c>
      <c r="AA307" s="164"/>
      <c r="AB307" s="182" t="s">
        <v>1686</v>
      </c>
    </row>
    <row r="308" ht="29" hidden="1" customHeight="1" spans="1:28">
      <c r="A308" s="159">
        <v>318</v>
      </c>
      <c r="B308" s="227" t="s">
        <v>2629</v>
      </c>
      <c r="C308" s="227" t="s">
        <v>2365</v>
      </c>
      <c r="D308" s="162" t="s">
        <v>2488</v>
      </c>
      <c r="E308" s="163" t="s">
        <v>2489</v>
      </c>
      <c r="F308" s="229" t="s">
        <v>2632</v>
      </c>
      <c r="G308" s="165" t="s">
        <v>2585</v>
      </c>
      <c r="H308" s="164" t="str">
        <f>IF(G308="","",VLOOKUP(G308,'附表8-合同明细采集底稿'!B:I,2,0))</f>
        <v>沁春锦苑4#6#8#11#16#31#、36#楼铝合金门窗</v>
      </c>
      <c r="I308" s="92" t="str">
        <f>IF(G308="","",VLOOKUP(G308,'附表8-合同明细采集底稿'!B:I,3,0))</f>
        <v>建设工程合同</v>
      </c>
      <c r="J308" s="164" t="str">
        <f>IF(G308="","",VLOOKUP(G308,'附表8-合同明细采集底稿'!B:I,4,0))</f>
        <v>库尔勒坚乐美建筑工程有限责任公司（郑长银）</v>
      </c>
      <c r="K308" s="164" t="s">
        <v>1711</v>
      </c>
      <c r="L308" s="165">
        <v>6500203130</v>
      </c>
      <c r="M308" s="227" t="s">
        <v>2633</v>
      </c>
      <c r="N308" s="173">
        <v>265486.74</v>
      </c>
      <c r="O308" s="173">
        <v>300000</v>
      </c>
      <c r="P308" s="174">
        <v>265486.74</v>
      </c>
      <c r="Q308" s="173"/>
      <c r="R308" s="173">
        <f t="shared" si="13"/>
        <v>265486.74</v>
      </c>
      <c r="S308" s="177">
        <f>IFERROR(VLOOKUP(G308,'附表8-合同明细采集底稿'!B:M,12,0),100%)</f>
        <v>1</v>
      </c>
      <c r="T308" s="173">
        <f t="shared" si="12"/>
        <v>265486.74</v>
      </c>
      <c r="U308" s="119" t="s">
        <v>2509</v>
      </c>
      <c r="V308" s="178" t="s">
        <v>335</v>
      </c>
      <c r="W308" s="179">
        <f>ROUND(T308*成本分摊比例!$I$53,2)</f>
        <v>105185.85</v>
      </c>
      <c r="X308" s="179">
        <f>IF(SUM('附表1-面积统计表'!$D$6)=0,"",SUM(T308)-SUM(W308)-SUM(Y308))</f>
        <v>129716.82</v>
      </c>
      <c r="Y308" s="179">
        <f>ROUND(T308*成本分摊比例!$K$53,2)</f>
        <v>30584.07</v>
      </c>
      <c r="Z308" s="181" t="s">
        <v>2492</v>
      </c>
      <c r="AA308" s="164"/>
      <c r="AB308" s="182" t="s">
        <v>1686</v>
      </c>
    </row>
    <row r="309" ht="29" hidden="1" customHeight="1" spans="1:28">
      <c r="A309" s="159">
        <v>319</v>
      </c>
      <c r="B309" s="227" t="s">
        <v>2634</v>
      </c>
      <c r="C309" s="227" t="s">
        <v>2635</v>
      </c>
      <c r="D309" s="162" t="s">
        <v>2488</v>
      </c>
      <c r="E309" s="163" t="s">
        <v>2489</v>
      </c>
      <c r="F309" s="229" t="s">
        <v>2636</v>
      </c>
      <c r="G309" s="165" t="s">
        <v>2569</v>
      </c>
      <c r="H309" s="164" t="str">
        <f>IF(G309="","",VLOOKUP(G309,'附表8-合同明细采集底稿'!B:I,2,0))</f>
        <v>沁春锦苑2#5#7#9#10#17#楼铝合金门窗</v>
      </c>
      <c r="I309" s="92" t="str">
        <f>IF(G309="","",VLOOKUP(G309,'附表8-合同明细采集底稿'!B:I,3,0))</f>
        <v>技术合同</v>
      </c>
      <c r="J309" s="164" t="str">
        <f>IF(G309="","",VLOOKUP(G309,'附表8-合同明细采集底稿'!B:I,4,0))</f>
        <v>巴州全福门窗加工有限公司（杨全福）</v>
      </c>
      <c r="K309" s="164" t="s">
        <v>1711</v>
      </c>
      <c r="L309" s="165">
        <v>6500212130</v>
      </c>
      <c r="M309" s="227" t="s">
        <v>2637</v>
      </c>
      <c r="N309" s="173">
        <v>442477.9</v>
      </c>
      <c r="O309" s="173">
        <v>500000</v>
      </c>
      <c r="P309" s="174">
        <v>442477.9</v>
      </c>
      <c r="Q309" s="173"/>
      <c r="R309" s="173">
        <f t="shared" si="13"/>
        <v>442477.9</v>
      </c>
      <c r="S309" s="177">
        <f>IFERROR(VLOOKUP(G309,'附表8-合同明细采集底稿'!B:M,12,0),100%)</f>
        <v>1</v>
      </c>
      <c r="T309" s="173">
        <f t="shared" si="12"/>
        <v>442477.9</v>
      </c>
      <c r="U309" s="119" t="s">
        <v>2509</v>
      </c>
      <c r="V309" s="178" t="s">
        <v>335</v>
      </c>
      <c r="W309" s="179">
        <f>ROUND(T309*成本分摊比例!$I$53,2)</f>
        <v>175309.74</v>
      </c>
      <c r="X309" s="179">
        <f>IF(SUM('附表1-面积统计表'!$D$6)=0,"",SUM(T309)-SUM(W309)-SUM(Y309))</f>
        <v>216194.71</v>
      </c>
      <c r="Y309" s="179">
        <f>ROUND(T309*成本分摊比例!$K$53,2)</f>
        <v>50973.45</v>
      </c>
      <c r="Z309" s="181" t="s">
        <v>2492</v>
      </c>
      <c r="AA309" s="164"/>
      <c r="AB309" s="182" t="s">
        <v>1686</v>
      </c>
    </row>
    <row r="310" ht="29" hidden="1" customHeight="1" spans="1:28">
      <c r="A310" s="159">
        <v>320</v>
      </c>
      <c r="B310" s="227" t="s">
        <v>2638</v>
      </c>
      <c r="C310" s="227" t="s">
        <v>1934</v>
      </c>
      <c r="D310" s="162" t="s">
        <v>1739</v>
      </c>
      <c r="E310" s="163" t="s">
        <v>2639</v>
      </c>
      <c r="F310" s="229" t="s">
        <v>2640</v>
      </c>
      <c r="G310" s="165" t="s">
        <v>2641</v>
      </c>
      <c r="H310" s="164" t="str">
        <f>IF(G310="","",VLOOKUP(G310,'附表8-合同明细采集底稿'!B:I,2,0))</f>
        <v>3#楼监控系统安装</v>
      </c>
      <c r="I310" s="92" t="str">
        <f>IF(G310="","",VLOOKUP(G310,'附表8-合同明细采集底稿'!B:I,3,0))</f>
        <v>建设工程合同</v>
      </c>
      <c r="J310" s="164" t="str">
        <f>IF(G310="","",VLOOKUP(G310,'附表8-合同明细采集底稿'!B:I,4,0))</f>
        <v>巴州青橄榄电子科技有限公司（党曌）</v>
      </c>
      <c r="K310" s="164" t="s">
        <v>1711</v>
      </c>
      <c r="L310" s="165">
        <v>6500212130</v>
      </c>
      <c r="M310" s="573" t="s">
        <v>2642</v>
      </c>
      <c r="N310" s="173">
        <v>49504.95</v>
      </c>
      <c r="O310" s="173">
        <v>50000</v>
      </c>
      <c r="P310" s="174">
        <v>49504.95</v>
      </c>
      <c r="Q310" s="180">
        <f t="shared" ref="Q310:Q315" si="18">-P310</f>
        <v>-49504.95</v>
      </c>
      <c r="R310" s="173">
        <f t="shared" si="13"/>
        <v>0</v>
      </c>
      <c r="S310" s="177">
        <f>IFERROR(VLOOKUP(G310,'附表8-合同明细采集底稿'!B:M,12,0),100%)</f>
        <v>1</v>
      </c>
      <c r="T310" s="173">
        <f t="shared" si="12"/>
        <v>0</v>
      </c>
      <c r="U310" s="119" t="s">
        <v>2491</v>
      </c>
      <c r="V310" s="178" t="s">
        <v>335</v>
      </c>
      <c r="W310" s="179">
        <v>0</v>
      </c>
      <c r="X310" s="179">
        <f>IF(SUM('附表1-面积统计表'!$D$6)=0,"",SUM(T310)-SUM(W310)-SUM(Y310))</f>
        <v>0</v>
      </c>
      <c r="Y310" s="179">
        <f t="shared" ref="Y310:Y315" si="19">T310</f>
        <v>0</v>
      </c>
      <c r="Z310" s="181" t="s">
        <v>2492</v>
      </c>
      <c r="AA310" s="164"/>
      <c r="AB310" s="182" t="s">
        <v>1686</v>
      </c>
    </row>
    <row r="311" ht="29" hidden="1" customHeight="1" spans="1:28">
      <c r="A311" s="159">
        <v>321</v>
      </c>
      <c r="B311" s="227" t="s">
        <v>2643</v>
      </c>
      <c r="C311" s="227" t="s">
        <v>2416</v>
      </c>
      <c r="D311" s="162" t="s">
        <v>1739</v>
      </c>
      <c r="E311" s="163" t="s">
        <v>1788</v>
      </c>
      <c r="F311" s="229" t="s">
        <v>2644</v>
      </c>
      <c r="G311" s="165" t="s">
        <v>2645</v>
      </c>
      <c r="H311" s="164" t="str">
        <f>IF(G311="","",VLOOKUP(G311,'附表8-合同明细采集底稿'!B:I,2,0))</f>
        <v>沁春锦苑4#-17#楼可视对讲安装工程</v>
      </c>
      <c r="I311" s="92" t="str">
        <f>IF(G311="","",VLOOKUP(G311,'附表8-合同明细采集底稿'!B:I,3,0))</f>
        <v>建设工程合同</v>
      </c>
      <c r="J311" s="164" t="str">
        <f>IF(G311="","",VLOOKUP(G311,'附表8-合同明细采集底稿'!B:I,4,0))</f>
        <v>巴州青橄榄电子科技有限公司（党曌）</v>
      </c>
      <c r="K311" s="164" t="s">
        <v>1711</v>
      </c>
      <c r="L311" s="165">
        <v>6500212130</v>
      </c>
      <c r="M311" s="573" t="s">
        <v>2646</v>
      </c>
      <c r="N311" s="173">
        <v>71287.13</v>
      </c>
      <c r="O311" s="173">
        <v>72000</v>
      </c>
      <c r="P311" s="174">
        <v>71287.13</v>
      </c>
      <c r="Q311" s="173"/>
      <c r="R311" s="173">
        <f t="shared" si="13"/>
        <v>71287.13</v>
      </c>
      <c r="S311" s="177">
        <f>IFERROR(VLOOKUP(G311,'附表8-合同明细采集底稿'!B:M,12,0),100%)</f>
        <v>1</v>
      </c>
      <c r="T311" s="173">
        <f t="shared" si="12"/>
        <v>71287.13</v>
      </c>
      <c r="U311" s="119" t="s">
        <v>2509</v>
      </c>
      <c r="V311" s="178" t="s">
        <v>335</v>
      </c>
      <c r="W311" s="179">
        <f>ROUND(T311*成本分摊比例!$I$53,2)</f>
        <v>28243.96</v>
      </c>
      <c r="X311" s="179">
        <f>IF(SUM('附表1-面积统计表'!$D$6)=0,"",SUM(T311)-SUM(W311)-SUM(Y311))</f>
        <v>34830.89</v>
      </c>
      <c r="Y311" s="179">
        <f>ROUND(T311*成本分摊比例!$K$53,2)</f>
        <v>8212.28</v>
      </c>
      <c r="Z311" s="181" t="s">
        <v>2492</v>
      </c>
      <c r="AA311" s="164"/>
      <c r="AB311" s="182" t="s">
        <v>1686</v>
      </c>
    </row>
    <row r="312" ht="29" hidden="1" customHeight="1" spans="1:28">
      <c r="A312" s="159">
        <v>322</v>
      </c>
      <c r="B312" s="227" t="s">
        <v>2647</v>
      </c>
      <c r="C312" s="227" t="s">
        <v>2510</v>
      </c>
      <c r="D312" s="162" t="s">
        <v>2488</v>
      </c>
      <c r="E312" s="163" t="s">
        <v>2489</v>
      </c>
      <c r="F312" s="229" t="s">
        <v>2648</v>
      </c>
      <c r="G312" s="165"/>
      <c r="H312" s="164" t="str">
        <f>IF(G312="","",VLOOKUP(G312,'附表8-合同明细采集底稿'!B:I,2,0))</f>
        <v/>
      </c>
      <c r="I312" s="92" t="str">
        <f>IF(G312="","",VLOOKUP(G312,'附表8-合同明细采集底稿'!B:I,3,0))</f>
        <v/>
      </c>
      <c r="J312" s="164" t="s">
        <v>2649</v>
      </c>
      <c r="K312" s="164" t="s">
        <v>1711</v>
      </c>
      <c r="L312" s="165">
        <v>6500212130</v>
      </c>
      <c r="M312" s="227">
        <v>15516834</v>
      </c>
      <c r="N312" s="173">
        <v>19057.52</v>
      </c>
      <c r="O312" s="173">
        <v>21535</v>
      </c>
      <c r="P312" s="174">
        <v>19057.52</v>
      </c>
      <c r="Q312" s="180">
        <f t="shared" si="18"/>
        <v>-19057.52</v>
      </c>
      <c r="R312" s="173">
        <f t="shared" si="13"/>
        <v>0</v>
      </c>
      <c r="S312" s="177">
        <f>IFERROR(VLOOKUP(G312,'附表8-合同明细采集底稿'!B:M,12,0),100%)</f>
        <v>1</v>
      </c>
      <c r="T312" s="173">
        <f t="shared" si="12"/>
        <v>0</v>
      </c>
      <c r="U312" s="119" t="s">
        <v>2496</v>
      </c>
      <c r="V312" s="178" t="s">
        <v>336</v>
      </c>
      <c r="W312" s="179">
        <f>IF('附表1-面积统计表'!$D$29=0,"",IF(AND(V312="共同成本费用",Z312="总建筑面积法"),ROUND(T312/'附表1-面积统计表'!$D$29*'附表1-面积统计表'!$D$5,2),IF(AND(V312="共同成本费用",Z312="可售建筑面积法"),ROUND(T312/'附表1-面积统计表'!$F$29*'附表1-面积统计表'!$F$5,2),"请手工填写")))</f>
        <v>0</v>
      </c>
      <c r="X312" s="179">
        <f>IF(SUM('附表1-面积统计表'!$D$6)=0,"",SUM(T312)-SUM(W312)-SUM(Y312))</f>
        <v>0</v>
      </c>
      <c r="Y312" s="179">
        <f>IF(SUM('附表1-面积统计表'!$D$6)=0,SUM(T312)-SUM(W312),IF('附表1-面积统计表'!$D$29=0,"",IF(AND(V312="共同成本费用",Z312="总建筑面积法"),ROUND(T312/'附表1-面积统计表'!$D$29*'附表1-面积统计表'!$D$7,2),IF(AND(V312="共同成本费用",Z312="可售建筑面积法"),ROUND(T312/'附表1-面积统计表'!$F$29*'附表1-面积统计表'!$F$7,2),"请手工填写"))))</f>
        <v>0</v>
      </c>
      <c r="Z312" s="181" t="s">
        <v>311</v>
      </c>
      <c r="AA312" s="164"/>
      <c r="AB312" s="182" t="s">
        <v>1686</v>
      </c>
    </row>
    <row r="313" ht="29" hidden="1" customHeight="1" spans="1:28">
      <c r="A313" s="159">
        <v>323</v>
      </c>
      <c r="B313" s="227" t="s">
        <v>2647</v>
      </c>
      <c r="C313" s="227" t="s">
        <v>1843</v>
      </c>
      <c r="D313" s="162" t="s">
        <v>1739</v>
      </c>
      <c r="E313" s="163" t="s">
        <v>1788</v>
      </c>
      <c r="F313" s="229" t="s">
        <v>2650</v>
      </c>
      <c r="G313" s="165"/>
      <c r="H313" s="164" t="str">
        <f>IF(G313="","",VLOOKUP(G313,'附表8-合同明细采集底稿'!B:I,2,0))</f>
        <v/>
      </c>
      <c r="I313" s="92" t="str">
        <f>IF(G313="","",VLOOKUP(G313,'附表8-合同明细采集底稿'!B:I,3,0))</f>
        <v/>
      </c>
      <c r="J313" s="164" t="s">
        <v>2651</v>
      </c>
      <c r="K313" s="164" t="s">
        <v>1704</v>
      </c>
      <c r="L313" s="165">
        <v>6500203130</v>
      </c>
      <c r="M313" s="227">
        <v>19747057</v>
      </c>
      <c r="N313" s="173">
        <v>34200</v>
      </c>
      <c r="O313" s="173">
        <v>34200</v>
      </c>
      <c r="P313" s="174">
        <v>34200</v>
      </c>
      <c r="Q313" s="173">
        <f t="shared" si="18"/>
        <v>-34200</v>
      </c>
      <c r="R313" s="173">
        <f t="shared" si="13"/>
        <v>0</v>
      </c>
      <c r="S313" s="177">
        <f>IFERROR(VLOOKUP(G313,'附表8-合同明细采集底稿'!B:M,12,0),100%)</f>
        <v>1</v>
      </c>
      <c r="T313" s="173">
        <f t="shared" si="12"/>
        <v>0</v>
      </c>
      <c r="U313" s="119" t="s">
        <v>2594</v>
      </c>
      <c r="V313" s="178" t="s">
        <v>335</v>
      </c>
      <c r="W313" s="179">
        <v>0</v>
      </c>
      <c r="X313" s="179">
        <f>IF(SUM('附表1-面积统计表'!$D$6)=0,"",SUM(T313)-SUM(W313)-SUM(Y313))</f>
        <v>0</v>
      </c>
      <c r="Y313" s="179">
        <f t="shared" si="19"/>
        <v>0</v>
      </c>
      <c r="Z313" s="181" t="s">
        <v>2492</v>
      </c>
      <c r="AA313" s="164"/>
      <c r="AB313" s="182" t="s">
        <v>1686</v>
      </c>
    </row>
    <row r="314" ht="29" hidden="1" customHeight="1" spans="1:28">
      <c r="A314" s="159">
        <v>324</v>
      </c>
      <c r="B314" s="227" t="s">
        <v>2652</v>
      </c>
      <c r="C314" s="227" t="s">
        <v>1914</v>
      </c>
      <c r="D314" s="162" t="s">
        <v>1739</v>
      </c>
      <c r="E314" s="163" t="s">
        <v>2639</v>
      </c>
      <c r="F314" s="229" t="s">
        <v>2653</v>
      </c>
      <c r="G314" s="165" t="s">
        <v>2654</v>
      </c>
      <c r="H314" s="164" t="str">
        <f>IF(G314="","",VLOOKUP(G314,'附表8-合同明细采集底稿'!B:I,2,0))</f>
        <v>沁春锦苑一期、二期、三期三网合一FTTH工程施工合同（绿）</v>
      </c>
      <c r="I314" s="92" t="str">
        <f>IF(G314="","",VLOOKUP(G314,'附表8-合同明细采集底稿'!B:I,3,0))</f>
        <v>建设工程合同</v>
      </c>
      <c r="J314" s="164" t="str">
        <f>IF(G314="","",VLOOKUP(G314,'附表8-合同明细采集底稿'!B:I,4,0))</f>
        <v>新疆鑫宇恒建设工程有限公司（蒋华）</v>
      </c>
      <c r="K314" s="164" t="s">
        <v>1711</v>
      </c>
      <c r="L314" s="165">
        <v>6500203130</v>
      </c>
      <c r="M314" s="573" t="s">
        <v>2655</v>
      </c>
      <c r="N314" s="173">
        <v>11471.5596330275</v>
      </c>
      <c r="O314" s="173">
        <v>71148</v>
      </c>
      <c r="P314" s="174">
        <v>11471.5596330275</v>
      </c>
      <c r="Q314" s="173"/>
      <c r="R314" s="173">
        <f t="shared" si="13"/>
        <v>11471.5596330275</v>
      </c>
      <c r="S314" s="177">
        <f>IFERROR(VLOOKUP(G314,'附表8-合同明细采集底稿'!B:M,12,0),100%)</f>
        <v>1</v>
      </c>
      <c r="T314" s="173">
        <f t="shared" si="12"/>
        <v>11471.56</v>
      </c>
      <c r="U314" s="119" t="s">
        <v>2509</v>
      </c>
      <c r="V314" s="178" t="s">
        <v>335</v>
      </c>
      <c r="W314" s="179">
        <f>ROUND(T314*成本分摊比例!$I$53,2)</f>
        <v>4545.03</v>
      </c>
      <c r="X314" s="179">
        <f>IF(SUM('附表1-面积统计表'!$D$6)=0,"",SUM(T314)-SUM(W314)-SUM(Y314))</f>
        <v>5605.01</v>
      </c>
      <c r="Y314" s="179">
        <f>ROUND(T314*成本分摊比例!$K$53,2)</f>
        <v>1321.52</v>
      </c>
      <c r="Z314" s="181" t="s">
        <v>2492</v>
      </c>
      <c r="AA314" s="164"/>
      <c r="AB314" s="182" t="s">
        <v>1686</v>
      </c>
    </row>
    <row r="315" ht="29" hidden="1" customHeight="1" spans="1:28">
      <c r="A315" s="159">
        <v>325</v>
      </c>
      <c r="B315" s="227" t="s">
        <v>1904</v>
      </c>
      <c r="C315" s="227" t="s">
        <v>1905</v>
      </c>
      <c r="D315" s="231" t="s">
        <v>1707</v>
      </c>
      <c r="E315" s="163" t="s">
        <v>1708</v>
      </c>
      <c r="F315" s="229" t="s">
        <v>1906</v>
      </c>
      <c r="G315" s="165" t="s">
        <v>2656</v>
      </c>
      <c r="H315" s="164" t="str">
        <f>IF(G315="","",VLOOKUP(G315,'附表8-合同明细采集底稿'!B:I,2,0))</f>
        <v>沁春锦苑3#楼商业消防改造</v>
      </c>
      <c r="I315" s="92" t="str">
        <f>IF(G315="","",VLOOKUP(G315,'附表8-合同明细采集底稿'!B:I,3,0))</f>
        <v>建设工程合同</v>
      </c>
      <c r="J315" s="164" t="str">
        <f>IF(G315="","",VLOOKUP(G315,'附表8-合同明细采集底稿'!B:I,4,0))</f>
        <v>新疆益诚开拓空间规划建筑设计研究院有限公司</v>
      </c>
      <c r="K315" s="164" t="s">
        <v>1711</v>
      </c>
      <c r="L315" s="165">
        <v>6500203130</v>
      </c>
      <c r="M315" s="573" t="s">
        <v>2657</v>
      </c>
      <c r="N315" s="173">
        <v>11886.79</v>
      </c>
      <c r="O315" s="173">
        <v>12600</v>
      </c>
      <c r="P315" s="174">
        <v>11886.79</v>
      </c>
      <c r="Q315" s="180">
        <f t="shared" si="18"/>
        <v>-11886.79</v>
      </c>
      <c r="R315" s="173">
        <f t="shared" si="13"/>
        <v>0</v>
      </c>
      <c r="S315" s="177">
        <f>IFERROR(VLOOKUP(G315,'附表8-合同明细采集底稿'!B:M,12,0),100%)</f>
        <v>1</v>
      </c>
      <c r="T315" s="173">
        <f t="shared" si="12"/>
        <v>0</v>
      </c>
      <c r="U315" s="119" t="s">
        <v>2491</v>
      </c>
      <c r="V315" s="178" t="s">
        <v>335</v>
      </c>
      <c r="W315" s="179">
        <v>0</v>
      </c>
      <c r="X315" s="179">
        <f>IF(SUM('附表1-面积统计表'!$D$6)=0,"",SUM(T315)-SUM(W315)-SUM(Y315))</f>
        <v>0</v>
      </c>
      <c r="Y315" s="179">
        <f t="shared" si="19"/>
        <v>0</v>
      </c>
      <c r="Z315" s="181" t="s">
        <v>2492</v>
      </c>
      <c r="AA315" s="164"/>
      <c r="AB315" s="182" t="s">
        <v>1686</v>
      </c>
    </row>
    <row r="316" ht="29" hidden="1" customHeight="1" spans="1:28">
      <c r="A316" s="159">
        <v>326</v>
      </c>
      <c r="B316" s="227" t="s">
        <v>2658</v>
      </c>
      <c r="C316" s="227" t="s">
        <v>2659</v>
      </c>
      <c r="D316" s="162" t="s">
        <v>2488</v>
      </c>
      <c r="E316" s="163" t="s">
        <v>2489</v>
      </c>
      <c r="F316" s="229" t="s">
        <v>2660</v>
      </c>
      <c r="G316" s="165" t="s">
        <v>2585</v>
      </c>
      <c r="H316" s="164" t="str">
        <f>IF(G316="","",VLOOKUP(G316,'附表8-合同明细采集底稿'!B:I,2,0))</f>
        <v>沁春锦苑4#6#8#11#16#31#、36#楼铝合金门窗</v>
      </c>
      <c r="I316" s="92" t="str">
        <f>IF(G316="","",VLOOKUP(G316,'附表8-合同明细采集底稿'!B:I,3,0))</f>
        <v>建设工程合同</v>
      </c>
      <c r="J316" s="164" t="str">
        <f>IF(G316="","",VLOOKUP(G316,'附表8-合同明细采集底稿'!B:I,4,0))</f>
        <v>库尔勒坚乐美建筑工程有限责任公司（郑长银）</v>
      </c>
      <c r="K316" s="164" t="s">
        <v>1711</v>
      </c>
      <c r="L316" s="165">
        <v>6500193130</v>
      </c>
      <c r="M316" s="227" t="s">
        <v>2661</v>
      </c>
      <c r="N316" s="173">
        <v>400238.96</v>
      </c>
      <c r="O316" s="173">
        <v>452270</v>
      </c>
      <c r="P316" s="174">
        <v>400238.96</v>
      </c>
      <c r="Q316" s="173"/>
      <c r="R316" s="173">
        <f t="shared" si="13"/>
        <v>400238.96</v>
      </c>
      <c r="S316" s="177">
        <f>IFERROR(VLOOKUP(G316,'附表8-合同明细采集底稿'!B:M,12,0),100%)</f>
        <v>1</v>
      </c>
      <c r="T316" s="173">
        <f t="shared" si="12"/>
        <v>400238.96</v>
      </c>
      <c r="U316" s="119" t="s">
        <v>2509</v>
      </c>
      <c r="V316" s="178" t="s">
        <v>335</v>
      </c>
      <c r="W316" s="179">
        <f>ROUND(T316*成本分摊比例!$I$53,2)</f>
        <v>158574.68</v>
      </c>
      <c r="X316" s="179">
        <f>IF(SUM('附表1-面积统计表'!$D$6)=0,"",SUM(T316)-SUM(W316)-SUM(Y316))</f>
        <v>195556.75</v>
      </c>
      <c r="Y316" s="179">
        <f>ROUND(T316*成本分摊比例!$K$53,2)</f>
        <v>46107.53</v>
      </c>
      <c r="Z316" s="181" t="s">
        <v>2492</v>
      </c>
      <c r="AA316" s="164"/>
      <c r="AB316" s="182" t="s">
        <v>1686</v>
      </c>
    </row>
    <row r="317" ht="29" hidden="1" customHeight="1" spans="1:28">
      <c r="A317" s="159">
        <v>327</v>
      </c>
      <c r="B317" s="227" t="s">
        <v>2662</v>
      </c>
      <c r="C317" s="227" t="s">
        <v>2575</v>
      </c>
      <c r="D317" s="162" t="s">
        <v>1739</v>
      </c>
      <c r="E317" s="163" t="s">
        <v>2663</v>
      </c>
      <c r="F317" s="229" t="s">
        <v>2664</v>
      </c>
      <c r="G317" s="165" t="s">
        <v>2665</v>
      </c>
      <c r="H317" s="164" t="str">
        <f>IF(G317="","",VLOOKUP(G317,'附表8-合同明细采集底稿'!B:I,2,0))</f>
        <v>电气外网供货安装合同（4#-17#31#-36#、12#-38#）4-11.16/17#</v>
      </c>
      <c r="I317" s="92" t="str">
        <f>IF(G317="","",VLOOKUP(G317,'附表8-合同明细采集底稿'!B:I,3,0))</f>
        <v>建设工程合同</v>
      </c>
      <c r="J317" s="164" t="str">
        <f>IF(G317="","",VLOOKUP(G317,'附表8-合同明细采集底稿'!B:I,4,0))</f>
        <v>巴州鑫磊机电设备开关有限责任公司（张国宏）</v>
      </c>
      <c r="K317" s="164" t="s">
        <v>1711</v>
      </c>
      <c r="L317" s="165">
        <v>6500193130</v>
      </c>
      <c r="M317" s="227" t="s">
        <v>2666</v>
      </c>
      <c r="N317" s="173">
        <v>196902.66</v>
      </c>
      <c r="O317" s="173">
        <v>222500</v>
      </c>
      <c r="P317" s="174">
        <v>196902.66</v>
      </c>
      <c r="Q317" s="173"/>
      <c r="R317" s="173">
        <f t="shared" si="13"/>
        <v>196902.66</v>
      </c>
      <c r="S317" s="177">
        <f>IFERROR(VLOOKUP(G317,'附表8-合同明细采集底稿'!B:M,12,0),100%)</f>
        <v>1</v>
      </c>
      <c r="T317" s="173">
        <f t="shared" si="12"/>
        <v>196902.66</v>
      </c>
      <c r="U317" s="119" t="s">
        <v>2509</v>
      </c>
      <c r="V317" s="178" t="s">
        <v>335</v>
      </c>
      <c r="W317" s="179">
        <f>ROUND(T317*成本分摊比例!$I$53,2)</f>
        <v>78012.83</v>
      </c>
      <c r="X317" s="179">
        <f>IF(SUM('附表1-面积统计表'!$D$6)=0,"",SUM(T317)-SUM(W317)-SUM(Y317))</f>
        <v>96206.64</v>
      </c>
      <c r="Y317" s="179">
        <f>ROUND(T317*成本分摊比例!$K$53,2)</f>
        <v>22683.19</v>
      </c>
      <c r="Z317" s="181" t="s">
        <v>2492</v>
      </c>
      <c r="AA317" s="164"/>
      <c r="AB317" s="182" t="s">
        <v>1686</v>
      </c>
    </row>
    <row r="318" ht="29" hidden="1" customHeight="1" spans="1:28">
      <c r="A318" s="159">
        <v>328</v>
      </c>
      <c r="B318" s="227" t="s">
        <v>2006</v>
      </c>
      <c r="C318" s="227" t="s">
        <v>1808</v>
      </c>
      <c r="D318" s="162" t="s">
        <v>2488</v>
      </c>
      <c r="E318" s="163" t="s">
        <v>2489</v>
      </c>
      <c r="F318" s="229" t="s">
        <v>2667</v>
      </c>
      <c r="G318" s="165" t="s">
        <v>2537</v>
      </c>
      <c r="H318" s="164" t="str">
        <f>IF(G318="","",VLOOKUP(G318,'附表8-合同明细采集底稿'!B:I,2,0))</f>
        <v>沁春锦苑4#-11#、16.17.住宅楼，2#3#36#商业楼建设工程施工合同（4-11/16/17#）</v>
      </c>
      <c r="I318" s="92" t="str">
        <f>IF(G318="","",VLOOKUP(G318,'附表8-合同明细采集底稿'!B:I,3,0))</f>
        <v>建设工程合同</v>
      </c>
      <c r="J318" s="164" t="str">
        <f>IF(G318="","",VLOOKUP(G318,'附表8-合同明细采集底稿'!B:I,4,0))</f>
        <v>新疆通力建设集团股份有限公司（邓）</v>
      </c>
      <c r="K318" s="164" t="s">
        <v>1711</v>
      </c>
      <c r="L318" s="165" t="s">
        <v>1705</v>
      </c>
      <c r="M318" s="573" t="s">
        <v>2668</v>
      </c>
      <c r="N318" s="173">
        <v>1797663.3</v>
      </c>
      <c r="O318" s="173">
        <v>1959453</v>
      </c>
      <c r="P318" s="174">
        <v>1797663.3</v>
      </c>
      <c r="Q318" s="173"/>
      <c r="R318" s="173">
        <f t="shared" si="13"/>
        <v>1797663.3</v>
      </c>
      <c r="S318" s="177">
        <f>IFERROR(VLOOKUP(G318,'附表8-合同明细采集底稿'!B:M,12,0),100%)</f>
        <v>1</v>
      </c>
      <c r="T318" s="173">
        <f t="shared" si="12"/>
        <v>1797663.3</v>
      </c>
      <c r="U318" s="119" t="s">
        <v>2509</v>
      </c>
      <c r="V318" s="178" t="s">
        <v>335</v>
      </c>
      <c r="W318" s="179">
        <f>ROUND(T318*成本分摊比例!$I$53,2)</f>
        <v>712234.2</v>
      </c>
      <c r="X318" s="179">
        <f>IF(SUM('附表1-面积统计表'!$D$6)=0,"",SUM(T318)-SUM(W318)-SUM(Y318))</f>
        <v>878338.29</v>
      </c>
      <c r="Y318" s="179">
        <f>ROUND(T318*成本分摊比例!$K$53,2)</f>
        <v>207090.81</v>
      </c>
      <c r="Z318" s="181" t="s">
        <v>2492</v>
      </c>
      <c r="AA318" s="164"/>
      <c r="AB318" s="182" t="s">
        <v>1686</v>
      </c>
    </row>
    <row r="319" ht="29" hidden="1" customHeight="1" spans="1:28">
      <c r="A319" s="159">
        <v>329</v>
      </c>
      <c r="B319" s="227" t="s">
        <v>2669</v>
      </c>
      <c r="C319" s="227" t="s">
        <v>2335</v>
      </c>
      <c r="D319" s="162" t="s">
        <v>1739</v>
      </c>
      <c r="E319" s="163" t="s">
        <v>2663</v>
      </c>
      <c r="F319" s="229" t="s">
        <v>2670</v>
      </c>
      <c r="G319" s="165" t="s">
        <v>2671</v>
      </c>
      <c r="H319" s="164" t="str">
        <f>IF(G319="","",VLOOKUP(G319,'附表8-合同明细采集底稿'!B:I,2,0))</f>
        <v>电气外网供货安装合同（4#-17#31#-36#、12#-38#）4-11.16/17#</v>
      </c>
      <c r="I319" s="92" t="str">
        <f>IF(G319="","",VLOOKUP(G319,'附表8-合同明细采集底稿'!B:I,3,0))</f>
        <v>建设工程合同</v>
      </c>
      <c r="J319" s="164" t="str">
        <f>IF(G319="","",VLOOKUP(G319,'附表8-合同明细采集底稿'!B:I,4,0))</f>
        <v>新疆拓宇电力建设工程有限公司（何永权）</v>
      </c>
      <c r="K319" s="164" t="s">
        <v>1711</v>
      </c>
      <c r="L319" s="165">
        <v>6500203130</v>
      </c>
      <c r="M319" s="573" t="s">
        <v>2672</v>
      </c>
      <c r="N319" s="173">
        <v>30913.7614678899</v>
      </c>
      <c r="O319" s="173">
        <v>33696</v>
      </c>
      <c r="P319" s="174">
        <v>30913.7614678899</v>
      </c>
      <c r="Q319" s="173"/>
      <c r="R319" s="173">
        <f t="shared" si="13"/>
        <v>30913.7614678899</v>
      </c>
      <c r="S319" s="177">
        <f>IFERROR(VLOOKUP(G319,'附表8-合同明细采集底稿'!B:M,12,0),100%)</f>
        <v>1</v>
      </c>
      <c r="T319" s="173">
        <f t="shared" si="12"/>
        <v>30913.76</v>
      </c>
      <c r="U319" s="119" t="s">
        <v>2496</v>
      </c>
      <c r="V319" s="178" t="s">
        <v>336</v>
      </c>
      <c r="W319" s="179">
        <f>IF('附表1-面积统计表'!$D$29=0,"",IF(AND(V319="共同成本费用",Z319="总建筑面积法"),ROUND(T319/'附表1-面积统计表'!$D$29*'附表1-面积统计表'!$D$5,2),IF(AND(V319="共同成本费用",Z319="可售建筑面积法"),ROUND(T319/'附表1-面积统计表'!$F$29*'附表1-面积统计表'!$F$5,2),"请手工填写")))</f>
        <v>11290.61</v>
      </c>
      <c r="X319" s="179">
        <f>IF(SUM('附表1-面积统计表'!$D$6)=0,"",SUM(T319)-SUM(W319)-SUM(Y319))</f>
        <v>13924.42</v>
      </c>
      <c r="Y319" s="179">
        <f>IF(SUM('附表1-面积统计表'!$D$6)=0,SUM(T319)-SUM(W319),IF('附表1-面积统计表'!$D$29=0,"",IF(AND(V319="共同成本费用",Z319="总建筑面积法"),ROUND(T319/'附表1-面积统计表'!$D$29*'附表1-面积统计表'!$D$7,2),IF(AND(V319="共同成本费用",Z319="可售建筑面积法"),ROUND(T319/'附表1-面积统计表'!$F$29*'附表1-面积统计表'!$F$7,2),"请手工填写"))))</f>
        <v>5698.73</v>
      </c>
      <c r="Z319" s="181" t="s">
        <v>311</v>
      </c>
      <c r="AA319" s="164"/>
      <c r="AB319" s="182" t="s">
        <v>1686</v>
      </c>
    </row>
    <row r="320" ht="29" hidden="1" customHeight="1" spans="1:28">
      <c r="A320" s="159">
        <v>330</v>
      </c>
      <c r="B320" s="227" t="s">
        <v>2673</v>
      </c>
      <c r="C320" s="227" t="s">
        <v>2069</v>
      </c>
      <c r="D320" s="162" t="s">
        <v>1739</v>
      </c>
      <c r="E320" s="163" t="s">
        <v>2639</v>
      </c>
      <c r="F320" s="229" t="s">
        <v>2674</v>
      </c>
      <c r="G320" s="165" t="s">
        <v>2641</v>
      </c>
      <c r="H320" s="164" t="str">
        <f>IF(G320="","",VLOOKUP(G320,'附表8-合同明细采集底稿'!B:I,2,0))</f>
        <v>3#楼监控系统安装</v>
      </c>
      <c r="I320" s="92" t="str">
        <f>IF(G320="","",VLOOKUP(G320,'附表8-合同明细采集底稿'!B:I,3,0))</f>
        <v>建设工程合同</v>
      </c>
      <c r="J320" s="164" t="str">
        <f>IF(G320="","",VLOOKUP(G320,'附表8-合同明细采集底稿'!B:I,4,0))</f>
        <v>巴州青橄榄电子科技有限公司（党曌）</v>
      </c>
      <c r="K320" s="164" t="s">
        <v>1711</v>
      </c>
      <c r="L320" s="165">
        <v>6500203130</v>
      </c>
      <c r="M320" s="573" t="s">
        <v>2675</v>
      </c>
      <c r="N320" s="173">
        <v>39603.96</v>
      </c>
      <c r="O320" s="173">
        <v>40000</v>
      </c>
      <c r="P320" s="174">
        <v>39603.96</v>
      </c>
      <c r="Q320" s="180">
        <f>-P320</f>
        <v>-39603.96</v>
      </c>
      <c r="R320" s="173">
        <f t="shared" si="13"/>
        <v>0</v>
      </c>
      <c r="S320" s="177">
        <f>IFERROR(VLOOKUP(G320,'附表8-合同明细采集底稿'!B:M,12,0),100%)</f>
        <v>1</v>
      </c>
      <c r="T320" s="173">
        <f t="shared" si="12"/>
        <v>0</v>
      </c>
      <c r="U320" s="119" t="s">
        <v>2491</v>
      </c>
      <c r="V320" s="178" t="s">
        <v>335</v>
      </c>
      <c r="W320" s="179">
        <v>0</v>
      </c>
      <c r="X320" s="179">
        <f>IF(SUM('附表1-面积统计表'!$D$6)=0,"",SUM(T320)-SUM(W320)-SUM(Y320))</f>
        <v>0</v>
      </c>
      <c r="Y320" s="179">
        <f t="shared" ref="Y320:Y325" si="20">T320</f>
        <v>0</v>
      </c>
      <c r="Z320" s="181" t="s">
        <v>2492</v>
      </c>
      <c r="AA320" s="164"/>
      <c r="AB320" s="182" t="s">
        <v>1686</v>
      </c>
    </row>
    <row r="321" ht="29" hidden="1" customHeight="1" spans="1:28">
      <c r="A321" s="159">
        <v>331</v>
      </c>
      <c r="B321" s="227" t="s">
        <v>2676</v>
      </c>
      <c r="C321" s="227" t="s">
        <v>2027</v>
      </c>
      <c r="D321" s="162" t="s">
        <v>1707</v>
      </c>
      <c r="E321" s="163" t="s">
        <v>2451</v>
      </c>
      <c r="F321" s="229" t="s">
        <v>2677</v>
      </c>
      <c r="G321" s="165"/>
      <c r="H321" s="164" t="str">
        <f>IF(G321="","",VLOOKUP(G321,'附表8-合同明细采集底稿'!B:I,2,0))</f>
        <v/>
      </c>
      <c r="I321" s="92" t="str">
        <f>IF(G321="","",VLOOKUP(G321,'附表8-合同明细采集底稿'!B:I,3,0))</f>
        <v/>
      </c>
      <c r="J321" s="255" t="s">
        <v>21</v>
      </c>
      <c r="K321" s="164" t="s">
        <v>1698</v>
      </c>
      <c r="L321" s="165"/>
      <c r="M321" s="573" t="s">
        <v>2678</v>
      </c>
      <c r="N321" s="173">
        <v>27940.42</v>
      </c>
      <c r="O321" s="173">
        <v>27940.42</v>
      </c>
      <c r="P321" s="174">
        <v>27940.42</v>
      </c>
      <c r="Q321" s="173"/>
      <c r="R321" s="173">
        <f t="shared" si="13"/>
        <v>27940.42</v>
      </c>
      <c r="S321" s="177">
        <f>IFERROR(VLOOKUP(G321,'附表8-合同明细采集底稿'!B:M,12,0),100%)</f>
        <v>1</v>
      </c>
      <c r="T321" s="173">
        <f t="shared" si="12"/>
        <v>27940.42</v>
      </c>
      <c r="U321" s="119" t="s">
        <v>2496</v>
      </c>
      <c r="V321" s="178" t="s">
        <v>336</v>
      </c>
      <c r="W321" s="179">
        <f>IF('附表1-面积统计表'!$D$29=0,"",IF(AND(V321="共同成本费用",Z321="总建筑面积法"),ROUND(T321/'附表1-面积统计表'!$D$29*'附表1-面积统计表'!$D$5,2),IF(AND(V321="共同成本费用",Z321="可售建筑面积法"),ROUND(T321/'附表1-面积统计表'!$F$29*'附表1-面积统计表'!$F$5,2),"请手工填写")))</f>
        <v>10204.66</v>
      </c>
      <c r="X321" s="179">
        <f>IF(SUM('附表1-面积统计表'!$D$6)=0,"",SUM(T321)-SUM(W321)-SUM(Y321))</f>
        <v>12585.15</v>
      </c>
      <c r="Y321" s="179">
        <f>IF(SUM('附表1-面积统计表'!$D$6)=0,SUM(T321)-SUM(W321),IF('附表1-面积统计表'!$D$29=0,"",IF(AND(V321="共同成本费用",Z321="总建筑面积法"),ROUND(T321/'附表1-面积统计表'!$D$29*'附表1-面积统计表'!$D$7,2),IF(AND(V321="共同成本费用",Z321="可售建筑面积法"),ROUND(T321/'附表1-面积统计表'!$F$29*'附表1-面积统计表'!$F$7,2),"请手工填写"))))</f>
        <v>5150.61</v>
      </c>
      <c r="Z321" s="181" t="s">
        <v>311</v>
      </c>
      <c r="AA321" s="164"/>
      <c r="AB321" s="182" t="s">
        <v>1686</v>
      </c>
    </row>
    <row r="322" ht="29" hidden="1" customHeight="1" spans="1:28">
      <c r="A322" s="159">
        <v>332</v>
      </c>
      <c r="B322" s="227" t="s">
        <v>2679</v>
      </c>
      <c r="C322" s="227" t="s">
        <v>2680</v>
      </c>
      <c r="D322" s="162" t="s">
        <v>2488</v>
      </c>
      <c r="E322" s="163" t="s">
        <v>2489</v>
      </c>
      <c r="F322" s="229" t="s">
        <v>2681</v>
      </c>
      <c r="G322" s="165" t="s">
        <v>2682</v>
      </c>
      <c r="H322" s="164" t="str">
        <f>IF(G322="","",VLOOKUP(G322,'附表8-合同明细采集底稿'!B:I,2,0))</f>
        <v>沁春锦苑3#楼电梯销售</v>
      </c>
      <c r="I322" s="92" t="str">
        <f>IF(G322="","",VLOOKUP(G322,'附表8-合同明细采集底稿'!B:I,3,0))</f>
        <v>买卖合同</v>
      </c>
      <c r="J322" s="164" t="str">
        <f>IF(G322="","",VLOOKUP(G322,'附表8-合同明细采集底稿'!B:I,4,0))</f>
        <v>新疆华汇建安机械设备有限公司（许林）</v>
      </c>
      <c r="K322" s="164" t="s">
        <v>1711</v>
      </c>
      <c r="L322" s="165">
        <v>6500213130</v>
      </c>
      <c r="M322" s="573" t="s">
        <v>2683</v>
      </c>
      <c r="N322" s="173">
        <v>97345.13</v>
      </c>
      <c r="O322" s="173">
        <v>110000</v>
      </c>
      <c r="P322" s="174">
        <v>97345.13</v>
      </c>
      <c r="Q322" s="173"/>
      <c r="R322" s="173">
        <f t="shared" si="13"/>
        <v>97345.13</v>
      </c>
      <c r="S322" s="177">
        <f>IFERROR(VLOOKUP(G322,'附表8-合同明细采集底稿'!B:M,12,0),100%)</f>
        <v>1</v>
      </c>
      <c r="T322" s="173">
        <f t="shared" si="12"/>
        <v>97345.13</v>
      </c>
      <c r="U322" s="119" t="s">
        <v>2491</v>
      </c>
      <c r="V322" s="178" t="s">
        <v>335</v>
      </c>
      <c r="W322" s="179">
        <v>0</v>
      </c>
      <c r="X322" s="179">
        <f>IF(SUM('附表1-面积统计表'!$D$6)=0,"",SUM(T322)-SUM(W322)-SUM(Y322))</f>
        <v>0</v>
      </c>
      <c r="Y322" s="179">
        <f t="shared" si="20"/>
        <v>97345.13</v>
      </c>
      <c r="Z322" s="181" t="s">
        <v>2492</v>
      </c>
      <c r="AA322" s="164"/>
      <c r="AB322" s="182" t="s">
        <v>1686</v>
      </c>
    </row>
    <row r="323" ht="29" hidden="1" customHeight="1" spans="1:28">
      <c r="A323" s="159">
        <v>333</v>
      </c>
      <c r="B323" s="227" t="s">
        <v>2679</v>
      </c>
      <c r="C323" s="227" t="s">
        <v>2684</v>
      </c>
      <c r="D323" s="162" t="s">
        <v>1739</v>
      </c>
      <c r="E323" s="163" t="s">
        <v>1788</v>
      </c>
      <c r="F323" s="229" t="s">
        <v>2685</v>
      </c>
      <c r="G323" s="165" t="s">
        <v>2611</v>
      </c>
      <c r="H323" s="164" t="str">
        <f>IF(G323="","",VLOOKUP(G323,'附表8-合同明细采集底稿'!B:I,2,0))</f>
        <v>二期、三期给排水、消防工程施工合同-二期</v>
      </c>
      <c r="I323" s="92" t="str">
        <f>IF(G323="","",VLOOKUP(G323,'附表8-合同明细采集底稿'!B:I,3,0))</f>
        <v>建设工程合同</v>
      </c>
      <c r="J323" s="164" t="str">
        <f>IF(G323="","",VLOOKUP(G323,'附表8-合同明细采集底稿'!B:I,4,0))</f>
        <v>江苏中义消防工程有限公司巴州分公司（巩红卫）</v>
      </c>
      <c r="K323" s="164" t="s">
        <v>1711</v>
      </c>
      <c r="L323" s="165">
        <v>6500201160</v>
      </c>
      <c r="M323" s="227" t="s">
        <v>2686</v>
      </c>
      <c r="N323" s="173">
        <v>415551.75</v>
      </c>
      <c r="O323" s="173">
        <v>452951.4</v>
      </c>
      <c r="P323" s="174">
        <v>415551.75</v>
      </c>
      <c r="Q323" s="173"/>
      <c r="R323" s="173">
        <f t="shared" si="13"/>
        <v>415551.75</v>
      </c>
      <c r="S323" s="177">
        <f>IFERROR(VLOOKUP(G323,'附表8-合同明细采集底稿'!B:M,12,0),100%)</f>
        <v>1</v>
      </c>
      <c r="T323" s="173">
        <f t="shared" si="12"/>
        <v>415551.75</v>
      </c>
      <c r="U323" s="119" t="s">
        <v>2509</v>
      </c>
      <c r="V323" s="178" t="s">
        <v>335</v>
      </c>
      <c r="W323" s="179">
        <f>ROUND(T323*成本分摊比例!$I$53,2)</f>
        <v>164641.6</v>
      </c>
      <c r="X323" s="179">
        <f>IF(SUM('附表1-面积统计表'!$D$6)=0,"",SUM(T323)-SUM(W323)-SUM(Y323))</f>
        <v>203038.59</v>
      </c>
      <c r="Y323" s="179">
        <f>ROUND(T323*成本分摊比例!$K$53,2)</f>
        <v>47871.56</v>
      </c>
      <c r="Z323" s="181" t="s">
        <v>2492</v>
      </c>
      <c r="AA323" s="164"/>
      <c r="AB323" s="182" t="s">
        <v>1686</v>
      </c>
    </row>
    <row r="324" ht="29" hidden="1" customHeight="1" spans="1:28">
      <c r="A324" s="159">
        <v>335</v>
      </c>
      <c r="B324" s="227" t="s">
        <v>2379</v>
      </c>
      <c r="C324" s="227" t="s">
        <v>2687</v>
      </c>
      <c r="D324" s="162" t="s">
        <v>2488</v>
      </c>
      <c r="E324" s="163" t="s">
        <v>2489</v>
      </c>
      <c r="F324" s="229" t="s">
        <v>2688</v>
      </c>
      <c r="G324" s="165"/>
      <c r="H324" s="164" t="str">
        <f>IF(G324="","",VLOOKUP(G324,'附表8-合同明细采集底稿'!B:I,2,0))</f>
        <v/>
      </c>
      <c r="I324" s="92" t="str">
        <f>IF(G324="","",VLOOKUP(G324,'附表8-合同明细采集底稿'!B:I,3,0))</f>
        <v/>
      </c>
      <c r="J324" s="164" t="s">
        <v>2651</v>
      </c>
      <c r="K324" s="164" t="s">
        <v>1704</v>
      </c>
      <c r="L324" s="165">
        <v>6500201160</v>
      </c>
      <c r="M324" s="227" t="s">
        <v>2689</v>
      </c>
      <c r="N324" s="173">
        <v>229744.06</v>
      </c>
      <c r="O324" s="173">
        <v>232041.5</v>
      </c>
      <c r="P324" s="174">
        <v>229744.06</v>
      </c>
      <c r="Q324" s="173">
        <f>-P324</f>
        <v>-229744.06</v>
      </c>
      <c r="R324" s="173">
        <f t="shared" si="13"/>
        <v>0</v>
      </c>
      <c r="S324" s="177">
        <f>IFERROR(VLOOKUP(G324,'附表8-合同明细采集底稿'!B:M,12,0),100%)</f>
        <v>1</v>
      </c>
      <c r="T324" s="173">
        <f t="shared" si="12"/>
        <v>0</v>
      </c>
      <c r="U324" s="119" t="s">
        <v>2594</v>
      </c>
      <c r="V324" s="178" t="s">
        <v>335</v>
      </c>
      <c r="W324" s="179">
        <v>0</v>
      </c>
      <c r="X324" s="179">
        <f>IF(SUM('附表1-面积统计表'!$D$6)=0,"",SUM(T324)-SUM(W324)-SUM(Y324))</f>
        <v>0</v>
      </c>
      <c r="Y324" s="179">
        <f t="shared" si="20"/>
        <v>0</v>
      </c>
      <c r="Z324" s="181" t="s">
        <v>2492</v>
      </c>
      <c r="AA324" s="164"/>
      <c r="AB324" s="182" t="s">
        <v>1686</v>
      </c>
    </row>
    <row r="325" ht="29" hidden="1" customHeight="1" spans="1:28">
      <c r="A325" s="159">
        <v>336</v>
      </c>
      <c r="B325" s="227" t="s">
        <v>1202</v>
      </c>
      <c r="C325" s="227" t="s">
        <v>2690</v>
      </c>
      <c r="D325" s="162" t="s">
        <v>2488</v>
      </c>
      <c r="E325" s="163" t="s">
        <v>2489</v>
      </c>
      <c r="F325" s="229" t="s">
        <v>2691</v>
      </c>
      <c r="G325" s="165" t="s">
        <v>2692</v>
      </c>
      <c r="H325" s="164" t="str">
        <f>IF(G325="","",VLOOKUP(G325,'附表8-合同明细采集底稿'!B:I,2,0))</f>
        <v>3#楼电梯井钢结构安装</v>
      </c>
      <c r="I325" s="92" t="str">
        <f>IF(G325="","",VLOOKUP(G325,'附表8-合同明细采集底稿'!B:I,3,0))</f>
        <v>建设工程合同</v>
      </c>
      <c r="J325" s="164" t="str">
        <f>IF(G325="","",VLOOKUP(G325,'附表8-合同明细采集底稿'!B:I,4,0))</f>
        <v>库尔勒坚乐美建筑工程有限责任公司（郑长银）</v>
      </c>
      <c r="K325" s="164" t="s">
        <v>1711</v>
      </c>
      <c r="L325" s="165">
        <v>6500213130</v>
      </c>
      <c r="M325" s="227" t="s">
        <v>2693</v>
      </c>
      <c r="N325" s="173">
        <v>66654.87</v>
      </c>
      <c r="O325" s="173">
        <v>75320</v>
      </c>
      <c r="P325" s="174">
        <v>66654.87</v>
      </c>
      <c r="Q325" s="173"/>
      <c r="R325" s="173">
        <f t="shared" si="13"/>
        <v>66654.87</v>
      </c>
      <c r="S325" s="177">
        <f>IFERROR(VLOOKUP(G325,'附表8-合同明细采集底稿'!B:M,12,0),100%)</f>
        <v>1</v>
      </c>
      <c r="T325" s="173">
        <f t="shared" si="12"/>
        <v>66654.87</v>
      </c>
      <c r="U325" s="119" t="s">
        <v>2491</v>
      </c>
      <c r="V325" s="178" t="s">
        <v>335</v>
      </c>
      <c r="W325" s="179">
        <v>0</v>
      </c>
      <c r="X325" s="179">
        <f>IF(SUM('附表1-面积统计表'!$D$6)=0,"",SUM(T325)-SUM(W325)-SUM(Y325))</f>
        <v>0</v>
      </c>
      <c r="Y325" s="179">
        <f t="shared" si="20"/>
        <v>66654.87</v>
      </c>
      <c r="Z325" s="181" t="s">
        <v>2492</v>
      </c>
      <c r="AA325" s="164"/>
      <c r="AB325" s="182" t="s">
        <v>1686</v>
      </c>
    </row>
    <row r="326" ht="29" hidden="1" customHeight="1" spans="1:28">
      <c r="A326" s="159">
        <v>337</v>
      </c>
      <c r="B326" s="227" t="s">
        <v>2015</v>
      </c>
      <c r="C326" s="227" t="s">
        <v>2016</v>
      </c>
      <c r="D326" s="162" t="s">
        <v>2488</v>
      </c>
      <c r="E326" s="163" t="s">
        <v>2489</v>
      </c>
      <c r="F326" s="229" t="s">
        <v>2017</v>
      </c>
      <c r="G326" s="165" t="s">
        <v>2537</v>
      </c>
      <c r="H326" s="164" t="str">
        <f>IF(G326="","",VLOOKUP(G326,'附表8-合同明细采集底稿'!B:I,2,0))</f>
        <v>沁春锦苑4#-11#、16.17.住宅楼，2#3#36#商业楼建设工程施工合同（4-11/16/17#）</v>
      </c>
      <c r="I326" s="92" t="str">
        <f>IF(G326="","",VLOOKUP(G326,'附表8-合同明细采集底稿'!B:I,3,0))</f>
        <v>建设工程合同</v>
      </c>
      <c r="J326" s="164" t="str">
        <f>IF(G326="","",VLOOKUP(G326,'附表8-合同明细采集底稿'!B:I,4,0))</f>
        <v>新疆通力建设集团股份有限公司（邓）</v>
      </c>
      <c r="K326" s="164" t="s">
        <v>1711</v>
      </c>
      <c r="L326" s="165">
        <v>6500213130</v>
      </c>
      <c r="M326" s="227" t="s">
        <v>2694</v>
      </c>
      <c r="N326" s="173">
        <v>3211009.17</v>
      </c>
      <c r="O326" s="173">
        <v>3500000</v>
      </c>
      <c r="P326" s="174">
        <v>3211009.17</v>
      </c>
      <c r="Q326" s="173"/>
      <c r="R326" s="173">
        <f t="shared" si="13"/>
        <v>3211009.17</v>
      </c>
      <c r="S326" s="177">
        <f>IFERROR(VLOOKUP(G326,'附表8-合同明细采集底稿'!B:M,12,0),100%)</f>
        <v>1</v>
      </c>
      <c r="T326" s="173">
        <f t="shared" si="12"/>
        <v>3211009.17</v>
      </c>
      <c r="U326" s="119" t="s">
        <v>2509</v>
      </c>
      <c r="V326" s="178" t="s">
        <v>335</v>
      </c>
      <c r="W326" s="179">
        <f>ROUND(T326*成本分摊比例!$I$53,2)</f>
        <v>1272201.83</v>
      </c>
      <c r="X326" s="179">
        <f>IF(SUM('附表1-面积统计表'!$D$6)=0,"",SUM(T326)-SUM(W326)-SUM(Y326))</f>
        <v>1568899.08</v>
      </c>
      <c r="Y326" s="179">
        <f>ROUND(T326*成本分摊比例!$K$53,2)</f>
        <v>369908.26</v>
      </c>
      <c r="Z326" s="181" t="s">
        <v>2492</v>
      </c>
      <c r="AA326" s="164"/>
      <c r="AB326" s="182" t="s">
        <v>1686</v>
      </c>
    </row>
    <row r="327" ht="29" hidden="1" customHeight="1" spans="1:28">
      <c r="A327" s="159">
        <v>338</v>
      </c>
      <c r="B327" s="227" t="s">
        <v>2015</v>
      </c>
      <c r="C327" s="227" t="s">
        <v>2016</v>
      </c>
      <c r="D327" s="162" t="s">
        <v>2488</v>
      </c>
      <c r="E327" s="163" t="s">
        <v>2489</v>
      </c>
      <c r="F327" s="229" t="s">
        <v>2017</v>
      </c>
      <c r="G327" s="165" t="s">
        <v>2537</v>
      </c>
      <c r="H327" s="164" t="str">
        <f>IF(G327="","",VLOOKUP(G327,'附表8-合同明细采集底稿'!B:I,2,0))</f>
        <v>沁春锦苑4#-11#、16.17.住宅楼，2#3#36#商业楼建设工程施工合同（4-11/16/17#）</v>
      </c>
      <c r="I327" s="92" t="str">
        <f>IF(G327="","",VLOOKUP(G327,'附表8-合同明细采集底稿'!B:I,3,0))</f>
        <v>建设工程合同</v>
      </c>
      <c r="J327" s="164" t="str">
        <f>IF(G327="","",VLOOKUP(G327,'附表8-合同明细采集底稿'!B:I,4,0))</f>
        <v>新疆通力建设集团股份有限公司（邓）</v>
      </c>
      <c r="K327" s="164" t="s">
        <v>1711</v>
      </c>
      <c r="L327" s="165">
        <v>6500213130</v>
      </c>
      <c r="M327" s="227" t="s">
        <v>2695</v>
      </c>
      <c r="N327" s="173">
        <v>1914539.45</v>
      </c>
      <c r="O327" s="173">
        <v>2086848</v>
      </c>
      <c r="P327" s="174">
        <v>1914539.45</v>
      </c>
      <c r="Q327" s="173"/>
      <c r="R327" s="173">
        <f t="shared" si="13"/>
        <v>1914539.45</v>
      </c>
      <c r="S327" s="177">
        <f>IFERROR(VLOOKUP(G327,'附表8-合同明细采集底稿'!B:M,12,0),100%)</f>
        <v>1</v>
      </c>
      <c r="T327" s="173">
        <f t="shared" si="12"/>
        <v>1914539.45</v>
      </c>
      <c r="U327" s="119" t="s">
        <v>2509</v>
      </c>
      <c r="V327" s="178" t="s">
        <v>335</v>
      </c>
      <c r="W327" s="179">
        <f>ROUND(T327*成本分摊比例!$I$53,2)</f>
        <v>758540.53</v>
      </c>
      <c r="X327" s="179">
        <f>IF(SUM('附表1-面积统计表'!$D$6)=0,"",SUM(T327)-SUM(W327)-SUM(Y327))</f>
        <v>935443.98</v>
      </c>
      <c r="Y327" s="179">
        <f>ROUND(T327*成本分摊比例!$K$53,2)</f>
        <v>220554.94</v>
      </c>
      <c r="Z327" s="181" t="s">
        <v>2492</v>
      </c>
      <c r="AA327" s="164"/>
      <c r="AB327" s="182" t="s">
        <v>1686</v>
      </c>
    </row>
    <row r="328" ht="29" hidden="1" customHeight="1" spans="1:28">
      <c r="A328" s="159">
        <v>339</v>
      </c>
      <c r="B328" s="227" t="s">
        <v>2015</v>
      </c>
      <c r="C328" s="227" t="s">
        <v>2016</v>
      </c>
      <c r="D328" s="162" t="s">
        <v>2488</v>
      </c>
      <c r="E328" s="163" t="s">
        <v>2489</v>
      </c>
      <c r="F328" s="229" t="s">
        <v>2017</v>
      </c>
      <c r="G328" s="165" t="s">
        <v>2573</v>
      </c>
      <c r="H328" s="164" t="str">
        <f>IF(G328="","",VLOOKUP(G328,'附表8-合同明细采集底稿'!B:I,2,0))</f>
        <v>沁春锦苑2#3#36#楼外墙装修合同</v>
      </c>
      <c r="I328" s="92" t="str">
        <f>IF(G328="","",VLOOKUP(G328,'附表8-合同明细采集底稿'!B:I,3,0))</f>
        <v>建设工程合同</v>
      </c>
      <c r="J328" s="164" t="str">
        <f>IF(G328="","",VLOOKUP(G328,'附表8-合同明细采集底稿'!B:I,4,0))</f>
        <v>新疆通力建设集团股份有限公司（倪）</v>
      </c>
      <c r="K328" s="164" t="s">
        <v>1711</v>
      </c>
      <c r="L328" s="165">
        <v>6500213130</v>
      </c>
      <c r="M328" s="227" t="s">
        <v>2696</v>
      </c>
      <c r="N328" s="173">
        <v>995412.84</v>
      </c>
      <c r="O328" s="173">
        <v>1085000</v>
      </c>
      <c r="P328" s="174">
        <v>995412.84</v>
      </c>
      <c r="Q328" s="173"/>
      <c r="R328" s="173">
        <f t="shared" si="13"/>
        <v>995412.84</v>
      </c>
      <c r="S328" s="177">
        <f>IFERROR(VLOOKUP(G328,'附表8-合同明细采集底稿'!B:M,12,0),100%)</f>
        <v>1</v>
      </c>
      <c r="T328" s="173">
        <f t="shared" si="12"/>
        <v>995412.84</v>
      </c>
      <c r="U328" s="119" t="s">
        <v>2491</v>
      </c>
      <c r="V328" s="178" t="s">
        <v>335</v>
      </c>
      <c r="W328" s="179">
        <v>0</v>
      </c>
      <c r="X328" s="179">
        <f>IF(SUM('附表1-面积统计表'!$D$6)=0,"",SUM(T328)-SUM(W328)-SUM(Y328))</f>
        <v>0</v>
      </c>
      <c r="Y328" s="179">
        <f>T328</f>
        <v>995412.84</v>
      </c>
      <c r="Z328" s="181" t="s">
        <v>2492</v>
      </c>
      <c r="AA328" s="164"/>
      <c r="AB328" s="182" t="s">
        <v>1686</v>
      </c>
    </row>
    <row r="329" ht="29" hidden="1" customHeight="1" spans="1:28">
      <c r="A329" s="159">
        <v>340</v>
      </c>
      <c r="B329" s="227" t="s">
        <v>2697</v>
      </c>
      <c r="C329" s="227" t="s">
        <v>1852</v>
      </c>
      <c r="D329" s="162" t="s">
        <v>2488</v>
      </c>
      <c r="E329" s="163" t="s">
        <v>2489</v>
      </c>
      <c r="F329" s="229" t="s">
        <v>2698</v>
      </c>
      <c r="G329" s="165"/>
      <c r="H329" s="164" t="str">
        <f>IF(G329="","",VLOOKUP(G329,'附表8-合同明细采集底稿'!B:I,2,0))</f>
        <v/>
      </c>
      <c r="I329" s="92" t="str">
        <f>IF(G329="","",VLOOKUP(G329,'附表8-合同明细采集底稿'!B:I,3,0))</f>
        <v/>
      </c>
      <c r="J329" s="164" t="str">
        <f>IF(G329="","",VLOOKUP(G329,'附表8-合同明细采集底稿'!B:I,4,0))</f>
        <v/>
      </c>
      <c r="K329" s="164" t="s">
        <v>1704</v>
      </c>
      <c r="L329" s="165">
        <v>6500213130</v>
      </c>
      <c r="M329" s="227" t="s">
        <v>2699</v>
      </c>
      <c r="N329" s="173">
        <v>415700</v>
      </c>
      <c r="O329" s="173">
        <f>N329</f>
        <v>415700</v>
      </c>
      <c r="P329" s="174">
        <v>415700</v>
      </c>
      <c r="Q329" s="173">
        <f>-P329</f>
        <v>-415700</v>
      </c>
      <c r="R329" s="173">
        <f t="shared" si="13"/>
        <v>0</v>
      </c>
      <c r="S329" s="177">
        <f>IFERROR(VLOOKUP(G329,'附表8-合同明细采集底稿'!B:M,12,0),100%)</f>
        <v>1</v>
      </c>
      <c r="T329" s="173">
        <f t="shared" si="12"/>
        <v>0</v>
      </c>
      <c r="U329" s="119" t="s">
        <v>2700</v>
      </c>
      <c r="V329" s="178" t="s">
        <v>336</v>
      </c>
      <c r="W329" s="179">
        <f>IF('附表1-面积统计表'!$D$29=0,"",IF(AND(V329="共同成本费用",Z329="总建筑面积法"),ROUND(T329/'附表1-面积统计表'!$D$29*'附表1-面积统计表'!$D$5,2),IF(AND(V329="共同成本费用",Z329="可售建筑面积法"),ROUND(T329/'附表1-面积统计表'!$F$29*'附表1-面积统计表'!$F$5,2),"请手工填写")))</f>
        <v>0</v>
      </c>
      <c r="X329" s="179">
        <f>IF(SUM('附表1-面积统计表'!$D$6)=0,"",SUM(T329)-SUM(W329)-SUM(Y329))</f>
        <v>0</v>
      </c>
      <c r="Y329" s="179">
        <f>IF(SUM('附表1-面积统计表'!$D$6)=0,SUM(T329)-SUM(W329),IF('附表1-面积统计表'!$D$29=0,"",IF(AND(V329="共同成本费用",Z329="总建筑面积法"),ROUND(T329/'附表1-面积统计表'!$D$29*'附表1-面积统计表'!$D$7,2),IF(AND(V329="共同成本费用",Z329="可售建筑面积法"),ROUND(T329/'附表1-面积统计表'!$F$29*'附表1-面积统计表'!$F$7,2),"请手工填写"))))</f>
        <v>0</v>
      </c>
      <c r="Z329" s="181" t="s">
        <v>311</v>
      </c>
      <c r="AA329" s="164"/>
      <c r="AB329" s="182" t="s">
        <v>1686</v>
      </c>
    </row>
    <row r="330" ht="29" hidden="1" customHeight="1" spans="1:28">
      <c r="A330" s="159">
        <v>341</v>
      </c>
      <c r="B330" s="227" t="s">
        <v>2701</v>
      </c>
      <c r="C330" s="227" t="s">
        <v>1923</v>
      </c>
      <c r="D330" s="162" t="s">
        <v>2488</v>
      </c>
      <c r="E330" s="163" t="s">
        <v>2489</v>
      </c>
      <c r="F330" s="229" t="s">
        <v>2702</v>
      </c>
      <c r="G330" s="165"/>
      <c r="H330" s="164" t="str">
        <f>IF(G330="","",VLOOKUP(G330,'附表8-合同明细采集底稿'!B:I,2,0))</f>
        <v/>
      </c>
      <c r="I330" s="92" t="str">
        <f>IF(G330="","",VLOOKUP(G330,'附表8-合同明细采集底稿'!B:I,3,0))</f>
        <v/>
      </c>
      <c r="J330" s="164" t="s">
        <v>2703</v>
      </c>
      <c r="K330" s="164" t="s">
        <v>1704</v>
      </c>
      <c r="L330" s="165">
        <v>6500221130</v>
      </c>
      <c r="M330" s="227" t="s">
        <v>2704</v>
      </c>
      <c r="N330" s="173">
        <v>7326.73</v>
      </c>
      <c r="O330" s="173">
        <v>7400</v>
      </c>
      <c r="P330" s="174">
        <v>7326.73</v>
      </c>
      <c r="Q330" s="180">
        <f>-P330</f>
        <v>-7326.73</v>
      </c>
      <c r="R330" s="173">
        <f t="shared" si="13"/>
        <v>0</v>
      </c>
      <c r="S330" s="177">
        <f>IFERROR(VLOOKUP(G330,'附表8-合同明细采集底稿'!B:M,12,0),100%)</f>
        <v>1</v>
      </c>
      <c r="T330" s="173">
        <f t="shared" si="12"/>
        <v>0</v>
      </c>
      <c r="U330" s="119" t="s">
        <v>2491</v>
      </c>
      <c r="V330" s="178" t="s">
        <v>335</v>
      </c>
      <c r="W330" s="179">
        <v>0</v>
      </c>
      <c r="X330" s="179">
        <f>IF(SUM('附表1-面积统计表'!$D$6)=0,"",SUM(T330)-SUM(W330)-SUM(Y330))</f>
        <v>0</v>
      </c>
      <c r="Y330" s="179">
        <f>T330</f>
        <v>0</v>
      </c>
      <c r="Z330" s="181" t="s">
        <v>2492</v>
      </c>
      <c r="AA330" s="164"/>
      <c r="AB330" s="182" t="s">
        <v>1686</v>
      </c>
    </row>
    <row r="331" ht="29" hidden="1" customHeight="1" spans="1:28">
      <c r="A331" s="159">
        <v>342</v>
      </c>
      <c r="B331" s="227" t="s">
        <v>2705</v>
      </c>
      <c r="C331" s="227" t="s">
        <v>2567</v>
      </c>
      <c r="D331" s="162" t="s">
        <v>1739</v>
      </c>
      <c r="E331" s="163" t="s">
        <v>1788</v>
      </c>
      <c r="F331" s="229" t="s">
        <v>2706</v>
      </c>
      <c r="G331" s="165" t="s">
        <v>2611</v>
      </c>
      <c r="H331" s="164" t="str">
        <f>IF(G331="","",VLOOKUP(G331,'附表8-合同明细采集底稿'!B:I,2,0))</f>
        <v>二期、三期给排水、消防工程施工合同-二期</v>
      </c>
      <c r="I331" s="92" t="str">
        <f>IF(G331="","",VLOOKUP(G331,'附表8-合同明细采集底稿'!B:I,3,0))</f>
        <v>建设工程合同</v>
      </c>
      <c r="J331" s="164" t="str">
        <f>IF(G331="","",VLOOKUP(G331,'附表8-合同明细采集底稿'!B:I,4,0))</f>
        <v>江苏中义消防工程有限公司巴州分公司（巩红卫）</v>
      </c>
      <c r="K331" s="164" t="s">
        <v>1711</v>
      </c>
      <c r="L331" s="165">
        <v>6500221130</v>
      </c>
      <c r="M331" s="227" t="s">
        <v>2707</v>
      </c>
      <c r="N331" s="173">
        <v>484810.37</v>
      </c>
      <c r="O331" s="173">
        <v>528443.3033</v>
      </c>
      <c r="P331" s="174">
        <v>484810.37</v>
      </c>
      <c r="Q331" s="173"/>
      <c r="R331" s="173">
        <f t="shared" si="13"/>
        <v>484810.37</v>
      </c>
      <c r="S331" s="177">
        <f>IFERROR(VLOOKUP(G331,'附表8-合同明细采集底稿'!B:M,12,0),100%)</f>
        <v>1</v>
      </c>
      <c r="T331" s="173">
        <f t="shared" si="12"/>
        <v>484810.37</v>
      </c>
      <c r="U331" s="119" t="s">
        <v>2509</v>
      </c>
      <c r="V331" s="178" t="s">
        <v>335</v>
      </c>
      <c r="W331" s="179">
        <f>ROUND(T331*成本分摊比例!$I$53,2)</f>
        <v>192081.87</v>
      </c>
      <c r="X331" s="179">
        <f>IF(SUM('附表1-面积统计表'!$D$6)=0,"",SUM(T331)-SUM(W331)-SUM(Y331))</f>
        <v>236878.35</v>
      </c>
      <c r="Y331" s="179">
        <f>ROUND(T331*成本分摊比例!$K$53,2)</f>
        <v>55850.15</v>
      </c>
      <c r="Z331" s="181" t="s">
        <v>2492</v>
      </c>
      <c r="AA331" s="164"/>
      <c r="AB331" s="182" t="s">
        <v>1686</v>
      </c>
    </row>
    <row r="332" ht="29" hidden="1" customHeight="1" spans="1:28">
      <c r="A332" s="159">
        <v>344</v>
      </c>
      <c r="B332" s="227" t="s">
        <v>2023</v>
      </c>
      <c r="C332" s="227" t="s">
        <v>1976</v>
      </c>
      <c r="D332" s="231" t="s">
        <v>1707</v>
      </c>
      <c r="E332" s="163" t="s">
        <v>2451</v>
      </c>
      <c r="F332" s="229" t="s">
        <v>2024</v>
      </c>
      <c r="G332" s="119" t="s">
        <v>2708</v>
      </c>
      <c r="H332" s="164" t="str">
        <f>IF(G332="","",VLOOKUP(G332,'附表8-合同明细采集底稿'!B:I,2,0))</f>
        <v>2#3#36#楼竣工测</v>
      </c>
      <c r="I332" s="92" t="str">
        <f>IF(G332="","",VLOOKUP(G332,'附表8-合同明细采集底稿'!B:I,3,0))</f>
        <v>技术合同</v>
      </c>
      <c r="J332" s="164" t="str">
        <f>IF(G332="","",VLOOKUP(G332,'附表8-合同明细采集底稿'!B:I,4,0))</f>
        <v>新疆天拓空间信息测绘院有限公司</v>
      </c>
      <c r="K332" s="164" t="s">
        <v>1711</v>
      </c>
      <c r="L332" s="165">
        <v>6500221130</v>
      </c>
      <c r="M332" s="242" t="s">
        <v>2026</v>
      </c>
      <c r="N332" s="173">
        <v>17379.72</v>
      </c>
      <c r="O332" s="173">
        <f>N332*1.06</f>
        <v>18422.5032</v>
      </c>
      <c r="P332" s="174">
        <v>17379.72</v>
      </c>
      <c r="Q332" s="173"/>
      <c r="R332" s="173">
        <f t="shared" si="13"/>
        <v>17379.72</v>
      </c>
      <c r="S332" s="177">
        <f>IFERROR(VLOOKUP(G332,'附表8-合同明细采集底稿'!B:M,12,0),100%)</f>
        <v>1</v>
      </c>
      <c r="T332" s="173">
        <f t="shared" ref="T332:T370" si="21">ROUND(SUM(R332)*SUM(S332),2)</f>
        <v>17379.72</v>
      </c>
      <c r="U332" s="119" t="s">
        <v>2496</v>
      </c>
      <c r="V332" s="178" t="s">
        <v>336</v>
      </c>
      <c r="W332" s="179">
        <f>IF('附表1-面积统计表'!$D$29=0,"",IF(AND(V332="共同成本费用",Z332="总建筑面积法"),ROUND(T332/'附表1-面积统计表'!$D$29*'附表1-面积统计表'!$D$5,2),IF(AND(V332="共同成本费用",Z332="可售建筑面积法"),ROUND(T332/'附表1-面积统计表'!$F$29*'附表1-面积统计表'!$F$5,2),"请手工填写")))</f>
        <v>6347.58</v>
      </c>
      <c r="X332" s="179">
        <f>IF(SUM('附表1-面积统计表'!$D$6)=0,"",SUM(T332)-SUM(W332)-SUM(Y332))</f>
        <v>7828.32</v>
      </c>
      <c r="Y332" s="179">
        <f>IF(SUM('附表1-面积统计表'!$D$6)=0,SUM(T332)-SUM(W332),IF('附表1-面积统计表'!$D$29=0,"",IF(AND(V332="共同成本费用",Z332="总建筑面积法"),ROUND(T332/'附表1-面积统计表'!$D$29*'附表1-面积统计表'!$D$7,2),IF(AND(V332="共同成本费用",Z332="可售建筑面积法"),ROUND(T332/'附表1-面积统计表'!$F$29*'附表1-面积统计表'!$F$7,2),"请手工填写"))))</f>
        <v>3203.82</v>
      </c>
      <c r="Z332" s="181" t="s">
        <v>311</v>
      </c>
      <c r="AA332" s="164"/>
      <c r="AB332" s="182" t="s">
        <v>1686</v>
      </c>
    </row>
    <row r="333" ht="29" hidden="1" customHeight="1" spans="1:28">
      <c r="A333" s="159">
        <v>345</v>
      </c>
      <c r="B333" s="227" t="s">
        <v>1005</v>
      </c>
      <c r="C333" s="227" t="s">
        <v>2069</v>
      </c>
      <c r="D333" s="162" t="s">
        <v>1739</v>
      </c>
      <c r="E333" s="163" t="s">
        <v>2639</v>
      </c>
      <c r="F333" s="229" t="s">
        <v>2709</v>
      </c>
      <c r="G333" s="165"/>
      <c r="H333" s="164" t="str">
        <f>IF(G333="","",VLOOKUP(G333,'附表8-合同明细采集底稿'!B:I,2,0))</f>
        <v/>
      </c>
      <c r="I333" s="92"/>
      <c r="J333" s="164"/>
      <c r="K333" s="164" t="s">
        <v>1711</v>
      </c>
      <c r="L333" s="165" t="s">
        <v>1705</v>
      </c>
      <c r="M333" s="242" t="s">
        <v>2710</v>
      </c>
      <c r="N333" s="173">
        <v>49435.64</v>
      </c>
      <c r="O333" s="173">
        <v>49930</v>
      </c>
      <c r="P333" s="174">
        <v>49435.64</v>
      </c>
      <c r="Q333" s="173">
        <v>-5656.21</v>
      </c>
      <c r="R333" s="173">
        <f t="shared" si="13"/>
        <v>43779.43</v>
      </c>
      <c r="S333" s="177">
        <f>IFERROR(VLOOKUP(G333,'附表8-合同明细采集底稿'!B:M,12,0),100%)</f>
        <v>1</v>
      </c>
      <c r="T333" s="173">
        <f t="shared" si="21"/>
        <v>43779.43</v>
      </c>
      <c r="U333" s="119" t="s">
        <v>2711</v>
      </c>
      <c r="V333" s="178" t="s">
        <v>336</v>
      </c>
      <c r="W333" s="179">
        <f>IF('附表1-面积统计表'!$D$29=0,"",IF(AND(V333="共同成本费用",Z333="总建筑面积法"),ROUND(T333/'附表1-面积统计表'!$D$29*'附表1-面积统计表'!$D$5,2),IF(AND(V333="共同成本费用",Z333="可售建筑面积法"),ROUND(T333/'附表1-面积统计表'!$F$29*'附表1-面积统计表'!$F$5,2),"请手工填写")))</f>
        <v>15989.54</v>
      </c>
      <c r="X333" s="179">
        <f>IF(SUM('附表1-面积统计表'!$D$6)=0,"",SUM(T333)-SUM(W333)-SUM(Y333))</f>
        <v>19719.47</v>
      </c>
      <c r="Y333" s="179">
        <f>IF(SUM('附表1-面积统计表'!$D$6)=0,SUM(T333)-SUM(W333),IF('附表1-面积统计表'!$D$29=0,"",IF(AND(V333="共同成本费用",Z333="总建筑面积法"),ROUND(T333/'附表1-面积统计表'!$D$29*'附表1-面积统计表'!$D$7,2),IF(AND(V333="共同成本费用",Z333="可售建筑面积法"),ROUND(T333/'附表1-面积统计表'!$F$29*'附表1-面积统计表'!$F$7,2),"请手工填写"))))</f>
        <v>8070.42</v>
      </c>
      <c r="Z333" s="181" t="s">
        <v>311</v>
      </c>
      <c r="AA333" s="164"/>
      <c r="AB333" s="182" t="s">
        <v>1686</v>
      </c>
    </row>
    <row r="334" ht="29" hidden="1" customHeight="1" spans="1:28">
      <c r="A334" s="159">
        <v>346</v>
      </c>
      <c r="B334" s="227" t="s">
        <v>1005</v>
      </c>
      <c r="C334" s="227" t="s">
        <v>2539</v>
      </c>
      <c r="D334" s="162" t="s">
        <v>2488</v>
      </c>
      <c r="E334" s="163" t="s">
        <v>2489</v>
      </c>
      <c r="F334" s="229" t="s">
        <v>2712</v>
      </c>
      <c r="G334" s="165" t="s">
        <v>2537</v>
      </c>
      <c r="H334" s="164" t="str">
        <f>IF(G334="","",VLOOKUP(G334,'附表8-合同明细采集底稿'!B:I,2,0))</f>
        <v>沁春锦苑4#-11#、16.17.住宅楼，2#3#36#商业楼建设工程施工合同（4-11/16/17#）</v>
      </c>
      <c r="I334" s="92" t="str">
        <f>IF(G334="","",VLOOKUP(G334,'附表8-合同明细采集底稿'!B:I,3,0))</f>
        <v>建设工程合同</v>
      </c>
      <c r="J334" s="164" t="str">
        <f>IF(G334="","",VLOOKUP(G334,'附表8-合同明细采集底稿'!B:I,4,0))</f>
        <v>新疆通力建设集团股份有限公司（邓）</v>
      </c>
      <c r="K334" s="164" t="s">
        <v>1711</v>
      </c>
      <c r="L334" s="165">
        <v>6500221130</v>
      </c>
      <c r="M334" s="242" t="s">
        <v>2713</v>
      </c>
      <c r="N334" s="173">
        <v>1972477.06</v>
      </c>
      <c r="O334" s="173">
        <v>2150000</v>
      </c>
      <c r="P334" s="174">
        <v>1972477.06</v>
      </c>
      <c r="Q334" s="173"/>
      <c r="R334" s="173">
        <f t="shared" si="13"/>
        <v>1972477.06</v>
      </c>
      <c r="S334" s="177">
        <f>IFERROR(VLOOKUP(G334,'附表8-合同明细采集底稿'!B:M,12,0),100%)</f>
        <v>1</v>
      </c>
      <c r="T334" s="173">
        <f t="shared" si="21"/>
        <v>1972477.06</v>
      </c>
      <c r="U334" s="119" t="s">
        <v>2509</v>
      </c>
      <c r="V334" s="178" t="s">
        <v>335</v>
      </c>
      <c r="W334" s="179">
        <f>ROUND(T334*成本分摊比例!$I$53,2)</f>
        <v>781495.41</v>
      </c>
      <c r="X334" s="179">
        <f>IF(SUM('附表1-面积统计表'!$D$6)=0,"",SUM(T334)-SUM(W334)-SUM(Y334))</f>
        <v>963752.29</v>
      </c>
      <c r="Y334" s="179">
        <f>ROUND(T334*成本分摊比例!$K$53,2)</f>
        <v>227229.36</v>
      </c>
      <c r="Z334" s="181" t="s">
        <v>2492</v>
      </c>
      <c r="AA334" s="164"/>
      <c r="AB334" s="182" t="s">
        <v>1686</v>
      </c>
    </row>
    <row r="335" ht="29" hidden="1" customHeight="1" spans="1:28">
      <c r="A335" s="159">
        <v>347</v>
      </c>
      <c r="B335" s="227" t="s">
        <v>1005</v>
      </c>
      <c r="C335" s="227" t="s">
        <v>2012</v>
      </c>
      <c r="D335" s="162" t="s">
        <v>2488</v>
      </c>
      <c r="E335" s="163" t="s">
        <v>2489</v>
      </c>
      <c r="F335" s="229" t="s">
        <v>2714</v>
      </c>
      <c r="G335" s="165" t="s">
        <v>2537</v>
      </c>
      <c r="H335" s="164" t="str">
        <f>IF(G335="","",VLOOKUP(G335,'附表8-合同明细采集底稿'!B:I,2,0))</f>
        <v>沁春锦苑4#-11#、16.17.住宅楼，2#3#36#商业楼建设工程施工合同（4-11/16/17#）</v>
      </c>
      <c r="I335" s="92" t="str">
        <f>IF(G335="","",VLOOKUP(G335,'附表8-合同明细采集底稿'!B:I,3,0))</f>
        <v>建设工程合同</v>
      </c>
      <c r="J335" s="164" t="str">
        <f>IF(G335="","",VLOOKUP(G335,'附表8-合同明细采集底稿'!B:I,4,0))</f>
        <v>新疆通力建设集团股份有限公司（邓）</v>
      </c>
      <c r="K335" s="164" t="s">
        <v>1711</v>
      </c>
      <c r="L335" s="165">
        <v>6500221130</v>
      </c>
      <c r="M335" s="242" t="s">
        <v>2715</v>
      </c>
      <c r="N335" s="173">
        <v>1183486.24</v>
      </c>
      <c r="O335" s="173">
        <v>1290000</v>
      </c>
      <c r="P335" s="174">
        <v>1183486.24</v>
      </c>
      <c r="Q335" s="173"/>
      <c r="R335" s="173">
        <f t="shared" si="13"/>
        <v>1183486.24</v>
      </c>
      <c r="S335" s="177">
        <f>IFERROR(VLOOKUP(G335,'附表8-合同明细采集底稿'!B:M,12,0),100%)</f>
        <v>1</v>
      </c>
      <c r="T335" s="173">
        <f t="shared" si="21"/>
        <v>1183486.24</v>
      </c>
      <c r="U335" s="119" t="s">
        <v>2509</v>
      </c>
      <c r="V335" s="178" t="s">
        <v>335</v>
      </c>
      <c r="W335" s="179">
        <f>ROUND(T335*成本分摊比例!$I$53,2)</f>
        <v>468897.25</v>
      </c>
      <c r="X335" s="179">
        <f>IF(SUM('附表1-面积统计表'!$D$6)=0,"",SUM(T335)-SUM(W335)-SUM(Y335))</f>
        <v>578251.38</v>
      </c>
      <c r="Y335" s="179">
        <f>ROUND(T335*成本分摊比例!$K$53,2)</f>
        <v>136337.61</v>
      </c>
      <c r="Z335" s="181" t="s">
        <v>2492</v>
      </c>
      <c r="AA335" s="164"/>
      <c r="AB335" s="182" t="s">
        <v>1686</v>
      </c>
    </row>
    <row r="336" ht="29" hidden="1" customHeight="1" spans="1:28">
      <c r="A336" s="159">
        <v>348</v>
      </c>
      <c r="B336" s="227" t="s">
        <v>2032</v>
      </c>
      <c r="C336" s="227" t="s">
        <v>2716</v>
      </c>
      <c r="D336" s="231" t="s">
        <v>1707</v>
      </c>
      <c r="E336" s="163" t="s">
        <v>2498</v>
      </c>
      <c r="F336" s="229" t="s">
        <v>2717</v>
      </c>
      <c r="G336" s="165"/>
      <c r="H336" s="164" t="str">
        <f>IF(G336="","",VLOOKUP(G336,'附表8-合同明细采集底稿'!B:I,2,0))</f>
        <v/>
      </c>
      <c r="I336" s="92" t="str">
        <f>IF(G336="","",VLOOKUP(G336,'附表8-合同明细采集底稿'!B:I,3,0))</f>
        <v/>
      </c>
      <c r="J336" s="164" t="s">
        <v>2718</v>
      </c>
      <c r="K336" s="164" t="s">
        <v>1711</v>
      </c>
      <c r="L336" s="165">
        <v>6500223130</v>
      </c>
      <c r="M336" s="227" t="s">
        <v>2719</v>
      </c>
      <c r="N336" s="173">
        <v>565.49</v>
      </c>
      <c r="O336" s="173">
        <v>17722</v>
      </c>
      <c r="P336" s="174">
        <v>565.49</v>
      </c>
      <c r="Q336" s="173"/>
      <c r="R336" s="173">
        <f t="shared" si="13"/>
        <v>565.49</v>
      </c>
      <c r="S336" s="177">
        <f>IFERROR(VLOOKUP(G336,'附表8-合同明细采集底稿'!B:M,12,0),100%)</f>
        <v>1</v>
      </c>
      <c r="T336" s="173">
        <f t="shared" si="21"/>
        <v>565.49</v>
      </c>
      <c r="U336" s="119" t="s">
        <v>2491</v>
      </c>
      <c r="V336" s="178" t="s">
        <v>335</v>
      </c>
      <c r="W336" s="179">
        <v>0</v>
      </c>
      <c r="X336" s="179">
        <f>IF(SUM('附表1-面积统计表'!$D$6)=0,"",SUM(T336)-SUM(W336)-SUM(Y336))</f>
        <v>0</v>
      </c>
      <c r="Y336" s="179">
        <f>T336</f>
        <v>565.49</v>
      </c>
      <c r="Z336" s="181" t="s">
        <v>2492</v>
      </c>
      <c r="AA336" s="164"/>
      <c r="AB336" s="182" t="s">
        <v>1686</v>
      </c>
    </row>
    <row r="337" ht="29" hidden="1" customHeight="1" spans="1:28">
      <c r="A337" s="159">
        <v>349</v>
      </c>
      <c r="B337" s="227" t="s">
        <v>2032</v>
      </c>
      <c r="C337" s="227" t="s">
        <v>2716</v>
      </c>
      <c r="D337" s="231" t="s">
        <v>1707</v>
      </c>
      <c r="E337" s="163" t="s">
        <v>2498</v>
      </c>
      <c r="F337" s="229" t="s">
        <v>2717</v>
      </c>
      <c r="G337" s="165"/>
      <c r="H337" s="164" t="str">
        <f>IF(G337="","",VLOOKUP(G337,'附表8-合同明细采集底稿'!B:I,2,0))</f>
        <v/>
      </c>
      <c r="I337" s="92" t="str">
        <f>IF(G337="","",VLOOKUP(G337,'附表8-合同明细采集底稿'!B:I,3,0))</f>
        <v/>
      </c>
      <c r="J337" s="164" t="s">
        <v>2718</v>
      </c>
      <c r="K337" s="164" t="s">
        <v>1711</v>
      </c>
      <c r="L337" s="165">
        <v>6500223130</v>
      </c>
      <c r="M337" s="250" t="s">
        <v>2719</v>
      </c>
      <c r="N337" s="173">
        <v>15305</v>
      </c>
      <c r="O337" s="173">
        <f>N337*1.06</f>
        <v>16223.3</v>
      </c>
      <c r="P337" s="174">
        <v>15305</v>
      </c>
      <c r="Q337" s="173"/>
      <c r="R337" s="173">
        <f t="shared" si="13"/>
        <v>15305</v>
      </c>
      <c r="S337" s="177">
        <f>IFERROR(VLOOKUP(G337,'附表8-合同明细采集底稿'!B:M,12,0),100%)</f>
        <v>1</v>
      </c>
      <c r="T337" s="173">
        <f t="shared" si="21"/>
        <v>15305</v>
      </c>
      <c r="U337" s="119" t="s">
        <v>2509</v>
      </c>
      <c r="V337" s="178" t="s">
        <v>335</v>
      </c>
      <c r="W337" s="179">
        <f>ROUND(T337*成本分摊比例!$I$53,2)</f>
        <v>6063.84</v>
      </c>
      <c r="X337" s="179">
        <f>IF(SUM('附表1-面积统计表'!$D$6)=0,"",SUM(T337)-SUM(W337)-SUM(Y337))</f>
        <v>7478.02</v>
      </c>
      <c r="Y337" s="179">
        <f>ROUND(T337*成本分摊比例!$K$53,2)</f>
        <v>1763.14</v>
      </c>
      <c r="Z337" s="181" t="s">
        <v>2492</v>
      </c>
      <c r="AA337" s="164"/>
      <c r="AB337" s="182" t="s">
        <v>1686</v>
      </c>
    </row>
    <row r="338" ht="29" hidden="1" customHeight="1" spans="1:28">
      <c r="A338" s="159">
        <v>350</v>
      </c>
      <c r="B338" s="227" t="s">
        <v>2032</v>
      </c>
      <c r="C338" s="227" t="s">
        <v>2716</v>
      </c>
      <c r="D338" s="231" t="s">
        <v>1707</v>
      </c>
      <c r="E338" s="163" t="s">
        <v>2498</v>
      </c>
      <c r="F338" s="229" t="s">
        <v>2717</v>
      </c>
      <c r="G338" s="165"/>
      <c r="H338" s="164" t="str">
        <f>IF(G338="","",VLOOKUP(G338,'附表8-合同明细采集底稿'!B:I,2,0))</f>
        <v/>
      </c>
      <c r="I338" s="92" t="str">
        <f>IF(G338="","",VLOOKUP(G338,'附表8-合同明细采集底稿'!B:I,3,0))</f>
        <v/>
      </c>
      <c r="J338" s="164" t="s">
        <v>2718</v>
      </c>
      <c r="K338" s="164" t="s">
        <v>1711</v>
      </c>
      <c r="L338" s="165">
        <v>6500221130</v>
      </c>
      <c r="M338" s="227" t="s">
        <v>2719</v>
      </c>
      <c r="N338" s="173">
        <v>466.03</v>
      </c>
      <c r="O338" s="173">
        <f>N338*1.06</f>
        <v>493.9918</v>
      </c>
      <c r="P338" s="174">
        <v>466.03</v>
      </c>
      <c r="Q338" s="173"/>
      <c r="R338" s="173">
        <f t="shared" si="13"/>
        <v>466.03</v>
      </c>
      <c r="S338" s="177">
        <f>IFERROR(VLOOKUP(G338,'附表8-合同明细采集底稿'!B:M,12,0),100%)</f>
        <v>1</v>
      </c>
      <c r="T338" s="173">
        <f t="shared" si="21"/>
        <v>466.03</v>
      </c>
      <c r="U338" s="119" t="s">
        <v>2491</v>
      </c>
      <c r="V338" s="178" t="s">
        <v>335</v>
      </c>
      <c r="W338" s="179">
        <v>0</v>
      </c>
      <c r="X338" s="179">
        <f>IF(SUM('附表1-面积统计表'!$D$6)=0,"",SUM(T338)-SUM(W338)-SUM(Y338))</f>
        <v>0</v>
      </c>
      <c r="Y338" s="179">
        <f>T338</f>
        <v>466.03</v>
      </c>
      <c r="Z338" s="181" t="s">
        <v>2492</v>
      </c>
      <c r="AA338" s="164"/>
      <c r="AB338" s="182" t="s">
        <v>1686</v>
      </c>
    </row>
    <row r="339" ht="29" hidden="1" customHeight="1" spans="1:28">
      <c r="A339" s="159">
        <v>351</v>
      </c>
      <c r="B339" s="227" t="s">
        <v>2720</v>
      </c>
      <c r="C339" s="227" t="s">
        <v>2721</v>
      </c>
      <c r="D339" s="162" t="s">
        <v>2488</v>
      </c>
      <c r="E339" s="163" t="s">
        <v>2489</v>
      </c>
      <c r="F339" s="229" t="s">
        <v>2722</v>
      </c>
      <c r="G339" s="165" t="s">
        <v>2581</v>
      </c>
      <c r="H339" s="164" t="str">
        <f>IF(G339="","",VLOOKUP(G339,'附表8-合同明细采集底稿'!B:I,2,0))</f>
        <v>4-11、16、17#楼电梯安装</v>
      </c>
      <c r="I339" s="92" t="str">
        <f>IF(G339="","",VLOOKUP(G339,'附表8-合同明细采集底稿'!B:I,3,0))</f>
        <v>买卖合同</v>
      </c>
      <c r="J339" s="164" t="str">
        <f>IF(G339="","",VLOOKUP(G339,'附表8-合同明细采集底稿'!B:I,4,0))</f>
        <v>新疆华汇建安机械设备有限公司（许林）</v>
      </c>
      <c r="K339" s="164" t="s">
        <v>1711</v>
      </c>
      <c r="L339" s="165">
        <v>6500223130</v>
      </c>
      <c r="M339" s="227" t="s">
        <v>2723</v>
      </c>
      <c r="N339" s="173">
        <v>563106.8</v>
      </c>
      <c r="O339" s="173">
        <v>580000</v>
      </c>
      <c r="P339" s="174">
        <v>563106.8</v>
      </c>
      <c r="Q339" s="173"/>
      <c r="R339" s="173">
        <f t="shared" si="13"/>
        <v>563106.8</v>
      </c>
      <c r="S339" s="177">
        <f>IFERROR(VLOOKUP(G339,'附表8-合同明细采集底稿'!B:M,12,0),100%)</f>
        <v>1</v>
      </c>
      <c r="T339" s="173">
        <f t="shared" si="21"/>
        <v>563106.8</v>
      </c>
      <c r="U339" s="119" t="s">
        <v>2509</v>
      </c>
      <c r="V339" s="178" t="s">
        <v>335</v>
      </c>
      <c r="W339" s="179">
        <f>ROUND(T339*成本分摊比例!$I$53,2)</f>
        <v>223102.91</v>
      </c>
      <c r="X339" s="179">
        <f>IF(SUM('附表1-面积统计表'!$D$6)=0,"",SUM(T339)-SUM(W339)-SUM(Y339))</f>
        <v>275133.99</v>
      </c>
      <c r="Y339" s="179">
        <f>ROUND(T339*成本分摊比例!$K$53,2)</f>
        <v>64869.9</v>
      </c>
      <c r="Z339" s="181" t="s">
        <v>2492</v>
      </c>
      <c r="AA339" s="164"/>
      <c r="AB339" s="182" t="s">
        <v>1686</v>
      </c>
    </row>
    <row r="340" ht="29" hidden="1" customHeight="1" spans="1:28">
      <c r="A340" s="159">
        <v>353</v>
      </c>
      <c r="B340" s="227" t="s">
        <v>2041</v>
      </c>
      <c r="C340" s="227" t="s">
        <v>2591</v>
      </c>
      <c r="D340" s="162" t="s">
        <v>2488</v>
      </c>
      <c r="E340" s="163" t="s">
        <v>2489</v>
      </c>
      <c r="F340" s="229" t="s">
        <v>2724</v>
      </c>
      <c r="G340" s="165" t="s">
        <v>2537</v>
      </c>
      <c r="H340" s="164" t="str">
        <f>IF(G340="","",VLOOKUP(G340,'附表8-合同明细采集底稿'!B:I,2,0))</f>
        <v>沁春锦苑4#-11#、16.17.住宅楼，2#3#36#商业楼建设工程施工合同（4-11/16/17#）</v>
      </c>
      <c r="I340" s="92" t="str">
        <f>IF(G340="","",VLOOKUP(G340,'附表8-合同明细采集底稿'!B:I,3,0))</f>
        <v>建设工程合同</v>
      </c>
      <c r="J340" s="164" t="str">
        <f>IF(G340="","",VLOOKUP(G340,'附表8-合同明细采集底稿'!B:I,4,0))</f>
        <v>新疆通力建设集团股份有限公司（邓）</v>
      </c>
      <c r="K340" s="164" t="s">
        <v>1711</v>
      </c>
      <c r="L340" s="165">
        <v>6500231130</v>
      </c>
      <c r="M340" s="250" t="s">
        <v>2725</v>
      </c>
      <c r="N340" s="173">
        <v>4681648.62</v>
      </c>
      <c r="O340" s="173">
        <v>5102997</v>
      </c>
      <c r="P340" s="174">
        <v>4681648.62</v>
      </c>
      <c r="Q340" s="173"/>
      <c r="R340" s="173">
        <f t="shared" si="13"/>
        <v>4681648.62</v>
      </c>
      <c r="S340" s="177">
        <f>IFERROR(VLOOKUP(G340,'附表8-合同明细采集底稿'!B:M,12,0),100%)</f>
        <v>1</v>
      </c>
      <c r="T340" s="173">
        <f t="shared" si="21"/>
        <v>4681648.62</v>
      </c>
      <c r="U340" s="119" t="s">
        <v>2509</v>
      </c>
      <c r="V340" s="178" t="s">
        <v>335</v>
      </c>
      <c r="W340" s="179">
        <f>ROUND(T340*成本分摊比例!$I$53,2)</f>
        <v>1854869.18</v>
      </c>
      <c r="X340" s="179">
        <f>IF(SUM('附表1-面积统计表'!$D$6)=0,"",SUM(T340)-SUM(W340)-SUM(Y340))</f>
        <v>2287453.52</v>
      </c>
      <c r="Y340" s="179">
        <f>ROUND(T340*成本分摊比例!$K$53,2)</f>
        <v>539325.92</v>
      </c>
      <c r="Z340" s="181" t="s">
        <v>2492</v>
      </c>
      <c r="AA340" s="164"/>
      <c r="AB340" s="182" t="s">
        <v>1686</v>
      </c>
    </row>
    <row r="341" ht="29" hidden="1" customHeight="1" spans="1:28">
      <c r="A341" s="159">
        <v>354</v>
      </c>
      <c r="B341" s="227" t="s">
        <v>2041</v>
      </c>
      <c r="C341" s="227" t="s">
        <v>2726</v>
      </c>
      <c r="D341" s="162" t="s">
        <v>2488</v>
      </c>
      <c r="E341" s="163" t="s">
        <v>2489</v>
      </c>
      <c r="F341" s="229" t="s">
        <v>2727</v>
      </c>
      <c r="G341" s="165" t="s">
        <v>2537</v>
      </c>
      <c r="H341" s="164" t="str">
        <f>IF(G341="","",VLOOKUP(G341,'附表8-合同明细采集底稿'!B:I,2,0))</f>
        <v>沁春锦苑4#-11#、16.17.住宅楼，2#3#36#商业楼建设工程施工合同（4-11/16/17#）</v>
      </c>
      <c r="I341" s="92" t="str">
        <f>IF(G341="","",VLOOKUP(G341,'附表8-合同明细采集底稿'!B:I,3,0))</f>
        <v>建设工程合同</v>
      </c>
      <c r="J341" s="164" t="str">
        <f>IF(G341="","",VLOOKUP(G341,'附表8-合同明细采集底稿'!B:I,4,0))</f>
        <v>新疆通力建设集团股份有限公司（邓）</v>
      </c>
      <c r="K341" s="164" t="s">
        <v>1711</v>
      </c>
      <c r="L341" s="165">
        <v>6500231130</v>
      </c>
      <c r="M341" s="250" t="s">
        <v>2728</v>
      </c>
      <c r="N341" s="173">
        <v>3963302.75</v>
      </c>
      <c r="O341" s="173">
        <v>4320000</v>
      </c>
      <c r="P341" s="174">
        <v>3963302.75</v>
      </c>
      <c r="Q341" s="173"/>
      <c r="R341" s="173">
        <f t="shared" si="13"/>
        <v>3963302.75</v>
      </c>
      <c r="S341" s="177">
        <f>IFERROR(VLOOKUP(G341,'附表8-合同明细采集底稿'!B:M,12,0),100%)</f>
        <v>1</v>
      </c>
      <c r="T341" s="173">
        <f t="shared" si="21"/>
        <v>3963302.75</v>
      </c>
      <c r="U341" s="119" t="s">
        <v>2509</v>
      </c>
      <c r="V341" s="178" t="s">
        <v>335</v>
      </c>
      <c r="W341" s="179">
        <f>ROUND(T341*成本分摊比例!$I$53,2)</f>
        <v>1570260.55</v>
      </c>
      <c r="X341" s="179">
        <f>IF(SUM('附表1-面积统计表'!$D$6)=0,"",SUM(T341)-SUM(W341)-SUM(Y341))</f>
        <v>1936469.72</v>
      </c>
      <c r="Y341" s="179">
        <f>ROUND(T341*成本分摊比例!$K$53,2)</f>
        <v>456572.48</v>
      </c>
      <c r="Z341" s="181" t="s">
        <v>2492</v>
      </c>
      <c r="AA341" s="164"/>
      <c r="AB341" s="182" t="s">
        <v>1686</v>
      </c>
    </row>
    <row r="342" ht="29" hidden="1" customHeight="1" spans="1:28">
      <c r="A342" s="159">
        <v>355</v>
      </c>
      <c r="B342" s="227" t="s">
        <v>2041</v>
      </c>
      <c r="C342" s="227" t="s">
        <v>2635</v>
      </c>
      <c r="D342" s="162" t="s">
        <v>1739</v>
      </c>
      <c r="E342" s="163" t="s">
        <v>1788</v>
      </c>
      <c r="F342" s="229" t="s">
        <v>2729</v>
      </c>
      <c r="G342" s="165" t="s">
        <v>2730</v>
      </c>
      <c r="H342" s="164" t="str">
        <f>IF(G342="","",VLOOKUP(G342,'附表8-合同明细采集底稿'!B:I,2,0))</f>
        <v>沁春锦苑4-11#16#17#楼31#楼园林景观、道路及停车位、铺装、景观照明工程</v>
      </c>
      <c r="I342" s="92" t="str">
        <f>IF(G342="","",VLOOKUP(G342,'附表8-合同明细采集底稿'!B:I,3,0))</f>
        <v>建设工程合同</v>
      </c>
      <c r="J342" s="164" t="str">
        <f>IF(G342="","",VLOOKUP(G342,'附表8-合同明细采集底稿'!B:I,4,0))</f>
        <v>新疆通力建设集团股份有限公司（杜奇志）</v>
      </c>
      <c r="K342" s="164" t="s">
        <v>1711</v>
      </c>
      <c r="L342" s="165" t="s">
        <v>2218</v>
      </c>
      <c r="M342" s="250" t="s">
        <v>2731</v>
      </c>
      <c r="N342" s="173">
        <v>1610502.75</v>
      </c>
      <c r="O342" s="173">
        <v>1755448</v>
      </c>
      <c r="P342" s="174">
        <v>1610502.75</v>
      </c>
      <c r="Q342" s="173"/>
      <c r="R342" s="173">
        <f t="shared" ref="R342:R405" si="22">P342+Q342</f>
        <v>1610502.75</v>
      </c>
      <c r="S342" s="177">
        <f>IFERROR(VLOOKUP(G342,'附表8-合同明细采集底稿'!B:M,12,0),100%)</f>
        <v>1</v>
      </c>
      <c r="T342" s="173">
        <f t="shared" si="21"/>
        <v>1610502.75</v>
      </c>
      <c r="U342" s="119" t="s">
        <v>2496</v>
      </c>
      <c r="V342" s="178" t="s">
        <v>336</v>
      </c>
      <c r="W342" s="179">
        <f>IF('附表1-面积统计表'!$D$29=0,"",IF(AND(V342="共同成本费用",Z342="总建筑面积法"),ROUND(T342/'附表1-面积统计表'!$D$29*'附表1-面积统计表'!$D$5,2),IF(AND(V342="共同成本费用",Z342="可售建筑面积法"),ROUND(T342/'附表1-面积统计表'!$F$29*'附表1-面积统计表'!$F$5,2),"请手工填写")))</f>
        <v>588202.97</v>
      </c>
      <c r="X342" s="179">
        <f>IF(SUM('附表1-面积统计表'!$D$6)=0,"",SUM(T342)-SUM(W342)-SUM(Y342))</f>
        <v>725415.38</v>
      </c>
      <c r="Y342" s="179">
        <f>IF(SUM('附表1-面积统计表'!$D$6)=0,SUM(T342)-SUM(W342),IF('附表1-面积统计表'!$D$29=0,"",IF(AND(V342="共同成本费用",Z342="总建筑面积法"),ROUND(T342/'附表1-面积统计表'!$D$29*'附表1-面积统计表'!$D$7,2),IF(AND(V342="共同成本费用",Z342="可售建筑面积法"),ROUND(T342/'附表1-面积统计表'!$F$29*'附表1-面积统计表'!$F$7,2),"请手工填写"))))</f>
        <v>296884.4</v>
      </c>
      <c r="Z342" s="181" t="s">
        <v>311</v>
      </c>
      <c r="AA342" s="164"/>
      <c r="AB342" s="182" t="s">
        <v>1686</v>
      </c>
    </row>
    <row r="343" ht="29" hidden="1" customHeight="1" spans="1:28">
      <c r="A343" s="159">
        <v>356</v>
      </c>
      <c r="B343" s="227" t="s">
        <v>2732</v>
      </c>
      <c r="C343" s="227" t="s">
        <v>1909</v>
      </c>
      <c r="D343" s="162" t="s">
        <v>2488</v>
      </c>
      <c r="E343" s="163" t="s">
        <v>2489</v>
      </c>
      <c r="F343" s="229" t="s">
        <v>2733</v>
      </c>
      <c r="G343" s="119"/>
      <c r="H343" s="164" t="str">
        <f>IF(G343="","",VLOOKUP(G343,'附表8-合同明细采集底稿'!B:I,2,0))</f>
        <v/>
      </c>
      <c r="I343" s="92" t="str">
        <f>IF(G343="","",VLOOKUP(G343,'附表8-合同明细采集底稿'!B:I,3,0))</f>
        <v/>
      </c>
      <c r="J343" s="164" t="s">
        <v>2734</v>
      </c>
      <c r="K343" s="164" t="s">
        <v>1704</v>
      </c>
      <c r="L343" s="165">
        <v>6500183130</v>
      </c>
      <c r="M343" s="250" t="s">
        <v>2735</v>
      </c>
      <c r="N343" s="173">
        <v>10262.97</v>
      </c>
      <c r="O343" s="173">
        <v>10365.6</v>
      </c>
      <c r="P343" s="174">
        <v>10262.97</v>
      </c>
      <c r="Q343" s="180">
        <f>-P343</f>
        <v>-10262.97</v>
      </c>
      <c r="R343" s="173">
        <f t="shared" si="22"/>
        <v>0</v>
      </c>
      <c r="S343" s="177">
        <f>IFERROR(VLOOKUP(G343,'附表8-合同明细采集底稿'!B:M,12,0),100%)</f>
        <v>1</v>
      </c>
      <c r="T343" s="173">
        <f t="shared" si="21"/>
        <v>0</v>
      </c>
      <c r="U343" s="119" t="s">
        <v>2491</v>
      </c>
      <c r="V343" s="178" t="s">
        <v>335</v>
      </c>
      <c r="W343" s="179">
        <v>0</v>
      </c>
      <c r="X343" s="179">
        <f>IF(SUM('附表1-面积统计表'!$D$6)=0,"",SUM(T343)-SUM(W343)-SUM(Y343))</f>
        <v>0</v>
      </c>
      <c r="Y343" s="179">
        <f>T343</f>
        <v>0</v>
      </c>
      <c r="Z343" s="181" t="s">
        <v>2492</v>
      </c>
      <c r="AA343" s="164"/>
      <c r="AB343" s="182" t="s">
        <v>1686</v>
      </c>
    </row>
    <row r="344" ht="29" hidden="1" customHeight="1" spans="1:28">
      <c r="A344" s="159">
        <v>357</v>
      </c>
      <c r="B344" s="227" t="s">
        <v>2732</v>
      </c>
      <c r="C344" s="227" t="s">
        <v>2736</v>
      </c>
      <c r="D344" s="231" t="s">
        <v>1707</v>
      </c>
      <c r="E344" s="163" t="s">
        <v>2451</v>
      </c>
      <c r="F344" s="229" t="s">
        <v>2737</v>
      </c>
      <c r="G344" s="119" t="s">
        <v>2515</v>
      </c>
      <c r="H344" s="164" t="str">
        <f>IF(G344="","",VLOOKUP(G344,'附表8-合同明细采集底稿'!B:I,2,0))</f>
        <v>4#-10#16#2#3#11#17#建筑红蓝线图及竣工测</v>
      </c>
      <c r="I344" s="92" t="str">
        <f>IF(G344="","",VLOOKUP(G344,'附表8-合同明细采集底稿'!B:I,3,0))</f>
        <v>技术合同</v>
      </c>
      <c r="J344" s="164" t="str">
        <f>IF(G344="","",VLOOKUP(G344,'附表8-合同明细采集底稿'!B:I,4,0))</f>
        <v>新疆天拓空间信息测绘院有限公司</v>
      </c>
      <c r="K344" s="164" t="s">
        <v>1711</v>
      </c>
      <c r="L344" s="165">
        <v>6500183130</v>
      </c>
      <c r="M344" s="250" t="s">
        <v>2738</v>
      </c>
      <c r="N344" s="173">
        <v>65073.58</v>
      </c>
      <c r="O344" s="173">
        <v>68978</v>
      </c>
      <c r="P344" s="174">
        <v>65073.58</v>
      </c>
      <c r="Q344" s="173"/>
      <c r="R344" s="173">
        <f t="shared" si="22"/>
        <v>65073.58</v>
      </c>
      <c r="S344" s="177">
        <f>IFERROR(VLOOKUP(G344,'附表8-合同明细采集底稿'!B:M,12,0),100%)</f>
        <v>1</v>
      </c>
      <c r="T344" s="173">
        <f t="shared" si="21"/>
        <v>65073.58</v>
      </c>
      <c r="U344" s="119" t="s">
        <v>2496</v>
      </c>
      <c r="V344" s="178" t="s">
        <v>336</v>
      </c>
      <c r="W344" s="179">
        <f>IF('附表1-面积统计表'!$D$29=0,"",IF(AND(V344="共同成本费用",Z344="总建筑面积法"),ROUND(T344/'附表1-面积统计表'!$D$29*'附表1-面积统计表'!$D$5,2),IF(AND(V344="共同成本费用",Z344="可售建筑面积法"),ROUND(T344/'附表1-面积统计表'!$F$29*'附表1-面积统计表'!$F$5,2),"请手工填写")))</f>
        <v>23766.79</v>
      </c>
      <c r="X344" s="179">
        <f>IF(SUM('附表1-面积统计表'!$D$6)=0,"",SUM(T344)-SUM(W344)-SUM(Y344))</f>
        <v>29310.95</v>
      </c>
      <c r="Y344" s="179">
        <f>IF(SUM('附表1-面积统计表'!$D$6)=0,SUM(T344)-SUM(W344),IF('附表1-面积统计表'!$D$29=0,"",IF(AND(V344="共同成本费用",Z344="总建筑面积法"),ROUND(T344/'附表1-面积统计表'!$D$29*'附表1-面积统计表'!$D$7,2),IF(AND(V344="共同成本费用",Z344="可售建筑面积法"),ROUND(T344/'附表1-面积统计表'!$F$29*'附表1-面积统计表'!$F$7,2),"请手工填写"))))</f>
        <v>11995.84</v>
      </c>
      <c r="Z344" s="181" t="s">
        <v>311</v>
      </c>
      <c r="AA344" s="164"/>
      <c r="AB344" s="182" t="s">
        <v>1686</v>
      </c>
    </row>
    <row r="345" ht="29" hidden="1" customHeight="1" spans="1:28">
      <c r="A345" s="159">
        <v>358</v>
      </c>
      <c r="B345" s="227" t="s">
        <v>1938</v>
      </c>
      <c r="C345" s="227" t="s">
        <v>2739</v>
      </c>
      <c r="D345" s="162" t="s">
        <v>2488</v>
      </c>
      <c r="E345" s="163" t="s">
        <v>2489</v>
      </c>
      <c r="F345" s="229" t="s">
        <v>2740</v>
      </c>
      <c r="G345" s="119" t="s">
        <v>2741</v>
      </c>
      <c r="H345" s="164" t="str">
        <f>IF(G345="","",VLOOKUP(G345,'附表8-合同明细采集底稿'!B:I,2,0))</f>
        <v>沁春锦苑4#-11#、16#17#楼门斗装修</v>
      </c>
      <c r="I345" s="92" t="str">
        <f>IF(G345="","",VLOOKUP(G345,'附表8-合同明细采集底稿'!B:I,3,0))</f>
        <v>建设工程合同</v>
      </c>
      <c r="J345" s="164" t="str">
        <f>IF(G345="","",VLOOKUP(G345,'附表8-合同明细采集底稿'!B:I,4,0))</f>
        <v>巴州水木堂建筑装饰有限公司（倪）</v>
      </c>
      <c r="K345" s="164" t="s">
        <v>1711</v>
      </c>
      <c r="L345" s="165"/>
      <c r="M345" s="250" t="s">
        <v>2742</v>
      </c>
      <c r="N345" s="173">
        <v>1752079.19</v>
      </c>
      <c r="O345" s="173">
        <v>1769600</v>
      </c>
      <c r="P345" s="174">
        <v>1752079.19</v>
      </c>
      <c r="Q345" s="173"/>
      <c r="R345" s="173">
        <f t="shared" si="22"/>
        <v>1752079.19</v>
      </c>
      <c r="S345" s="177">
        <f>IFERROR(VLOOKUP(G345,'附表8-合同明细采集底稿'!B:M,12,0),100%)</f>
        <v>1</v>
      </c>
      <c r="T345" s="173">
        <f t="shared" si="21"/>
        <v>1752079.19</v>
      </c>
      <c r="U345" s="119" t="s">
        <v>2509</v>
      </c>
      <c r="V345" s="178" t="s">
        <v>335</v>
      </c>
      <c r="W345" s="179">
        <f>ROUND(T345*成本分摊比例!$I$53,2)</f>
        <v>694173.78</v>
      </c>
      <c r="X345" s="179">
        <f>IF(SUM('附表1-面积统计表'!$D$6)=0,"",SUM(T345)-SUM(W345)-SUM(Y345))</f>
        <v>856065.89</v>
      </c>
      <c r="Y345" s="179">
        <f>ROUND(T345*成本分摊比例!$K$53,2)</f>
        <v>201839.52</v>
      </c>
      <c r="Z345" s="181" t="s">
        <v>2492</v>
      </c>
      <c r="AA345" s="164"/>
      <c r="AB345" s="182" t="s">
        <v>1686</v>
      </c>
    </row>
    <row r="346" ht="29" hidden="1" customHeight="1" spans="1:28">
      <c r="A346" s="159">
        <v>359</v>
      </c>
      <c r="B346" s="227" t="s">
        <v>2743</v>
      </c>
      <c r="C346" s="227" t="s">
        <v>2744</v>
      </c>
      <c r="D346" s="162" t="s">
        <v>1739</v>
      </c>
      <c r="E346" s="163" t="s">
        <v>1788</v>
      </c>
      <c r="F346" s="229" t="s">
        <v>2745</v>
      </c>
      <c r="G346" s="119" t="s">
        <v>2654</v>
      </c>
      <c r="H346" s="164" t="str">
        <f>IF(G346="","",VLOOKUP(G346,'附表8-合同明细采集底稿'!B:I,2,0))</f>
        <v>沁春锦苑一期、二期、三期三网合一FTTH工程施工合同（绿）</v>
      </c>
      <c r="I346" s="92" t="str">
        <f>IF(G346="","",VLOOKUP(G346,'附表8-合同明细采集底稿'!B:I,3,0))</f>
        <v>建设工程合同</v>
      </c>
      <c r="J346" s="164" t="str">
        <f>IF(G346="","",VLOOKUP(G346,'附表8-合同明细采集底稿'!B:I,4,0))</f>
        <v>新疆鑫宇恒建设工程有限公司（蒋华）</v>
      </c>
      <c r="K346" s="164" t="s">
        <v>1711</v>
      </c>
      <c r="L346" s="165">
        <v>6500223130</v>
      </c>
      <c r="M346" s="250" t="s">
        <v>2746</v>
      </c>
      <c r="N346" s="173">
        <v>51033.03</v>
      </c>
      <c r="O346" s="173">
        <v>55626</v>
      </c>
      <c r="P346" s="174">
        <v>51033.03</v>
      </c>
      <c r="Q346" s="173"/>
      <c r="R346" s="173">
        <f t="shared" si="22"/>
        <v>51033.03</v>
      </c>
      <c r="S346" s="177">
        <f>IFERROR(VLOOKUP(G346,'附表8-合同明细采集底稿'!B:M,12,0),100%)</f>
        <v>1</v>
      </c>
      <c r="T346" s="173">
        <f t="shared" si="21"/>
        <v>51033.03</v>
      </c>
      <c r="U346" s="119" t="s">
        <v>2509</v>
      </c>
      <c r="V346" s="178" t="s">
        <v>335</v>
      </c>
      <c r="W346" s="179">
        <f>ROUND(T346*成本分摊比例!$I$53,2)</f>
        <v>20219.29</v>
      </c>
      <c r="X346" s="179">
        <f>IF(SUM('附表1-面积统计表'!$D$6)=0,"",SUM(T346)-SUM(W346)-SUM(Y346))</f>
        <v>24934.73</v>
      </c>
      <c r="Y346" s="179">
        <f>ROUND(T346*成本分摊比例!$K$53,2)</f>
        <v>5879.01</v>
      </c>
      <c r="Z346" s="181" t="s">
        <v>2492</v>
      </c>
      <c r="AA346" s="164"/>
      <c r="AB346" s="182" t="s">
        <v>1686</v>
      </c>
    </row>
    <row r="347" ht="29" hidden="1" customHeight="1" spans="1:28">
      <c r="A347" s="159">
        <v>360</v>
      </c>
      <c r="B347" s="227" t="s">
        <v>2743</v>
      </c>
      <c r="C347" s="227" t="s">
        <v>2747</v>
      </c>
      <c r="D347" s="162" t="s">
        <v>1707</v>
      </c>
      <c r="E347" s="163" t="s">
        <v>2451</v>
      </c>
      <c r="F347" s="229" t="s">
        <v>2748</v>
      </c>
      <c r="G347" s="165"/>
      <c r="H347" s="164" t="str">
        <f>IF(G347="","",VLOOKUP(G347,'附表8-合同明细采集底稿'!B:I,2,0))</f>
        <v/>
      </c>
      <c r="I347" s="92" t="str">
        <f>IF(G347="","",VLOOKUP(G347,'附表8-合同明细采集底稿'!B:I,3,0))</f>
        <v/>
      </c>
      <c r="J347" s="256" t="s">
        <v>2749</v>
      </c>
      <c r="K347" s="164" t="s">
        <v>2508</v>
      </c>
      <c r="L347" s="165">
        <v>6500223130</v>
      </c>
      <c r="M347" s="250" t="s">
        <v>2750</v>
      </c>
      <c r="N347" s="173">
        <v>6000</v>
      </c>
      <c r="O347" s="173">
        <v>6000</v>
      </c>
      <c r="P347" s="174">
        <v>6000</v>
      </c>
      <c r="Q347" s="180">
        <f>-P347</f>
        <v>-6000</v>
      </c>
      <c r="R347" s="173">
        <f t="shared" si="22"/>
        <v>0</v>
      </c>
      <c r="S347" s="177">
        <f>IFERROR(VLOOKUP(G347,'附表8-合同明细采集底稿'!B:M,12,0),100%)</f>
        <v>1</v>
      </c>
      <c r="T347" s="173">
        <f t="shared" si="21"/>
        <v>0</v>
      </c>
      <c r="U347" s="119" t="s">
        <v>2491</v>
      </c>
      <c r="V347" s="178" t="s">
        <v>335</v>
      </c>
      <c r="W347" s="179">
        <v>0</v>
      </c>
      <c r="X347" s="179">
        <f>IF(SUM('附表1-面积统计表'!$D$6)=0,"",SUM(T347)-SUM(W347)-SUM(Y347))</f>
        <v>0</v>
      </c>
      <c r="Y347" s="179">
        <f>T347</f>
        <v>0</v>
      </c>
      <c r="Z347" s="181" t="s">
        <v>2492</v>
      </c>
      <c r="AA347" s="164"/>
      <c r="AB347" s="182" t="s">
        <v>1686</v>
      </c>
    </row>
    <row r="348" ht="29" hidden="1" customHeight="1" spans="1:28">
      <c r="A348" s="159">
        <v>361</v>
      </c>
      <c r="B348" s="227" t="s">
        <v>2390</v>
      </c>
      <c r="C348" s="227" t="s">
        <v>2069</v>
      </c>
      <c r="D348" s="162" t="s">
        <v>1739</v>
      </c>
      <c r="E348" s="163" t="s">
        <v>1745</v>
      </c>
      <c r="F348" s="229" t="s">
        <v>2751</v>
      </c>
      <c r="G348" s="165" t="s">
        <v>2752</v>
      </c>
      <c r="H348" s="164" t="str">
        <f>IF(G348="","",VLOOKUP(G348,'附表8-合同明细采集底稿'!B:I,2,0))</f>
        <v>沁春锦苑小区2#36#商业亮化工程</v>
      </c>
      <c r="I348" s="92" t="str">
        <f>IF(G348="","",VLOOKUP(G348,'附表8-合同明细采集底稿'!B:I,3,0))</f>
        <v>买卖合同</v>
      </c>
      <c r="J348" s="164" t="str">
        <f>IF(G348="","",VLOOKUP(G348,'附表8-合同明细采集底稿'!B:I,4,0))</f>
        <v>巴州方程视广告有限公司</v>
      </c>
      <c r="K348" s="164" t="s">
        <v>1711</v>
      </c>
      <c r="L348" s="165">
        <v>6500223130</v>
      </c>
      <c r="M348" s="250" t="s">
        <v>2753</v>
      </c>
      <c r="N348" s="173">
        <v>99009.9</v>
      </c>
      <c r="O348" s="173">
        <v>100000</v>
      </c>
      <c r="P348" s="174">
        <v>99009.9</v>
      </c>
      <c r="Q348" s="173"/>
      <c r="R348" s="173">
        <f t="shared" si="22"/>
        <v>99009.9</v>
      </c>
      <c r="S348" s="177">
        <f>IFERROR(VLOOKUP(G348,'附表8-合同明细采集底稿'!B:M,12,0),100%)</f>
        <v>1</v>
      </c>
      <c r="T348" s="173">
        <f t="shared" si="21"/>
        <v>99009.9</v>
      </c>
      <c r="U348" s="119" t="s">
        <v>2491</v>
      </c>
      <c r="V348" s="178" t="s">
        <v>336</v>
      </c>
      <c r="W348" s="179">
        <f>IF('附表1-面积统计表'!$D$29=0,"",IF(AND(V348="共同成本费用",Z348="总建筑面积法"),ROUND(T348/'附表1-面积统计表'!$D$29*'附表1-面积统计表'!$D$5,2),IF(AND(V348="共同成本费用",Z348="可售建筑面积法"),ROUND(T348/'附表1-面积统计表'!$F$29*'附表1-面积统计表'!$F$5,2),"请手工填写")))</f>
        <v>36161.33</v>
      </c>
      <c r="X348" s="179">
        <f>IF(SUM('附表1-面积统计表'!$D$6)=0,"",SUM(T348)-SUM(W348)-SUM(Y348))</f>
        <v>44596.82</v>
      </c>
      <c r="Y348" s="179">
        <f>IF(SUM('附表1-面积统计表'!$D$6)=0,SUM(T348)-SUM(W348),IF('附表1-面积统计表'!$D$29=0,"",IF(AND(V348="共同成本费用",Z348="总建筑面积法"),ROUND(T348/'附表1-面积统计表'!$D$29*'附表1-面积统计表'!$D$7,2),IF(AND(V348="共同成本费用",Z348="可售建筑面积法"),ROUND(T348/'附表1-面积统计表'!$F$29*'附表1-面积统计表'!$F$7,2),"请手工填写"))))</f>
        <v>18251.75</v>
      </c>
      <c r="Z348" s="181" t="s">
        <v>311</v>
      </c>
      <c r="AA348" s="164"/>
      <c r="AB348" s="182" t="s">
        <v>1686</v>
      </c>
    </row>
    <row r="349" ht="29" hidden="1" customHeight="1" spans="1:28">
      <c r="A349" s="159">
        <v>362</v>
      </c>
      <c r="B349" s="227" t="s">
        <v>2390</v>
      </c>
      <c r="C349" s="227" t="s">
        <v>2072</v>
      </c>
      <c r="D349" s="162" t="s">
        <v>1739</v>
      </c>
      <c r="E349" s="163" t="s">
        <v>1788</v>
      </c>
      <c r="F349" s="229" t="s">
        <v>2754</v>
      </c>
      <c r="G349" s="165" t="s">
        <v>2755</v>
      </c>
      <c r="H349" s="164" t="str">
        <f>IF(G349="","",VLOOKUP(G349,'附表8-合同明细采集底稿'!B:I,2,0))</f>
        <v>沁春锦苑4#-17#楼栋牌、单元牌、楼层牌、户室牌制作安装合同</v>
      </c>
      <c r="I349" s="92" t="str">
        <f>IF(G349="","",VLOOKUP(G349,'附表8-合同明细采集底稿'!B:I,3,0))</f>
        <v>买卖合同</v>
      </c>
      <c r="J349" s="164" t="str">
        <f>IF(G349="","",VLOOKUP(G349,'附表8-合同明细采集底稿'!B:I,4,0))</f>
        <v>巴州方程视广告有限公司（刘亭）</v>
      </c>
      <c r="K349" s="164" t="s">
        <v>1711</v>
      </c>
      <c r="L349" s="165">
        <v>6500223130</v>
      </c>
      <c r="M349" s="227" t="s">
        <v>2756</v>
      </c>
      <c r="N349" s="173">
        <v>40594.06</v>
      </c>
      <c r="O349" s="173">
        <v>41000</v>
      </c>
      <c r="P349" s="174">
        <v>40594.06</v>
      </c>
      <c r="Q349" s="173"/>
      <c r="R349" s="173">
        <f t="shared" si="22"/>
        <v>40594.06</v>
      </c>
      <c r="S349" s="177">
        <f>IFERROR(VLOOKUP(G349,'附表8-合同明细采集底稿'!B:M,12,0),100%)</f>
        <v>1</v>
      </c>
      <c r="T349" s="173">
        <f t="shared" si="21"/>
        <v>40594.06</v>
      </c>
      <c r="U349" s="119" t="s">
        <v>2509</v>
      </c>
      <c r="V349" s="178" t="s">
        <v>335</v>
      </c>
      <c r="W349" s="179">
        <f>ROUND(T349*成本分摊比例!$I$53,2)</f>
        <v>16083.37</v>
      </c>
      <c r="X349" s="179">
        <f>IF(SUM('附表1-面积统计表'!$D$6)=0,"",SUM(T349)-SUM(W349)-SUM(Y349))</f>
        <v>19834.25</v>
      </c>
      <c r="Y349" s="179">
        <f>ROUND(T349*成本分摊比例!$K$53,2)</f>
        <v>4676.44</v>
      </c>
      <c r="Z349" s="181" t="s">
        <v>2492</v>
      </c>
      <c r="AA349" s="164"/>
      <c r="AB349" s="182" t="s">
        <v>1686</v>
      </c>
    </row>
    <row r="350" ht="29" hidden="1" customHeight="1" spans="1:28">
      <c r="A350" s="159">
        <v>363</v>
      </c>
      <c r="B350" s="227" t="s">
        <v>2757</v>
      </c>
      <c r="C350" s="227" t="s">
        <v>2621</v>
      </c>
      <c r="D350" s="162" t="s">
        <v>2488</v>
      </c>
      <c r="E350" s="163" t="s">
        <v>2489</v>
      </c>
      <c r="F350" s="229" t="s">
        <v>2758</v>
      </c>
      <c r="G350" s="165" t="s">
        <v>2528</v>
      </c>
      <c r="H350" s="164" t="str">
        <f>IF(G350="","",VLOOKUP(G350,'附表8-合同明细采集底稿'!B:I,2,0))</f>
        <v>建设工程监理合同</v>
      </c>
      <c r="I350" s="92" t="str">
        <f>IF(G350="","",VLOOKUP(G350,'附表8-合同明细采集底稿'!B:I,3,0))</f>
        <v>技术合同</v>
      </c>
      <c r="J350" s="164" t="str">
        <f>IF(G350="","",VLOOKUP(G350,'附表8-合同明细采集底稿'!B:I,4,0))</f>
        <v>巴州智诚工程项目管理服务有限公司（朱金桥）</v>
      </c>
      <c r="K350" s="164" t="s">
        <v>1711</v>
      </c>
      <c r="L350" s="165">
        <v>6500223130</v>
      </c>
      <c r="M350" s="227" t="s">
        <v>2759</v>
      </c>
      <c r="N350" s="173">
        <v>167603.96</v>
      </c>
      <c r="O350" s="173">
        <v>169280</v>
      </c>
      <c r="P350" s="174">
        <v>167603.96</v>
      </c>
      <c r="Q350" s="173"/>
      <c r="R350" s="173">
        <f t="shared" si="22"/>
        <v>167603.96</v>
      </c>
      <c r="S350" s="177">
        <f>IFERROR(VLOOKUP(G350,'附表8-合同明细采集底稿'!B:M,12,0),100%)</f>
        <v>1</v>
      </c>
      <c r="T350" s="173">
        <f t="shared" si="21"/>
        <v>167603.96</v>
      </c>
      <c r="U350" s="119" t="s">
        <v>2496</v>
      </c>
      <c r="V350" s="178" t="s">
        <v>336</v>
      </c>
      <c r="W350" s="179">
        <f>IF('附表1-面积统计表'!$D$29=0,"",IF(AND(V350="共同成本费用",Z350="总建筑面积法"),ROUND(T350/'附表1-面积统计表'!$D$29*'附表1-面积统计表'!$D$5,2),IF(AND(V350="共同成本费用",Z350="可售建筑面积法"),ROUND(T350/'附表1-面积统计表'!$F$29*'附表1-面积统计表'!$F$5,2),"请手工填写")))</f>
        <v>61213.9</v>
      </c>
      <c r="X350" s="179">
        <f>IF(SUM('附表1-面积统计表'!$D$6)=0,"",SUM(T350)-SUM(W350)-SUM(Y350))</f>
        <v>75493.5</v>
      </c>
      <c r="Y350" s="179">
        <f>IF(SUM('附表1-面积统计表'!$D$6)=0,SUM(T350)-SUM(W350),IF('附表1-面积统计表'!$D$29=0,"",IF(AND(V350="共同成本费用",Z350="总建筑面积法"),ROUND(T350/'附表1-面积统计表'!$D$29*'附表1-面积统计表'!$D$7,2),IF(AND(V350="共同成本费用",Z350="可售建筑面积法"),ROUND(T350/'附表1-面积统计表'!$F$29*'附表1-面积统计表'!$F$7,2),"请手工填写"))))</f>
        <v>30896.56</v>
      </c>
      <c r="Z350" s="181" t="s">
        <v>311</v>
      </c>
      <c r="AA350" s="164"/>
      <c r="AB350" s="182" t="s">
        <v>1686</v>
      </c>
    </row>
    <row r="351" ht="29" hidden="1" customHeight="1" spans="1:28">
      <c r="A351" s="159">
        <v>364</v>
      </c>
      <c r="B351" s="227" t="s">
        <v>2757</v>
      </c>
      <c r="C351" s="227" t="s">
        <v>2365</v>
      </c>
      <c r="D351" s="162" t="s">
        <v>1739</v>
      </c>
      <c r="E351" s="163" t="s">
        <v>2760</v>
      </c>
      <c r="F351" s="229" t="s">
        <v>2761</v>
      </c>
      <c r="G351" s="165" t="s">
        <v>2762</v>
      </c>
      <c r="H351" s="164" t="str">
        <f>IF(G351="","",VLOOKUP(G351,'附表8-合同明细采集底稿'!B:I,2,0))</f>
        <v>2#3#天然气安装工程委托建设管理协议书</v>
      </c>
      <c r="I351" s="92" t="str">
        <f>IF(G351="","",VLOOKUP(G351,'附表8-合同明细采集底稿'!B:I,3,0))</f>
        <v>建设工程合同</v>
      </c>
      <c r="J351" s="164" t="str">
        <f>IF(G351="","",VLOOKUP(G351,'附表8-合同明细采集底稿'!B:I,4,0))</f>
        <v>新疆南天城建（集团）股份有限公司</v>
      </c>
      <c r="K351" s="164" t="s">
        <v>1711</v>
      </c>
      <c r="L351" s="165">
        <v>6500223130</v>
      </c>
      <c r="M351" s="227" t="s">
        <v>2763</v>
      </c>
      <c r="N351" s="173">
        <v>248730.86</v>
      </c>
      <c r="O351" s="173">
        <v>271116.64</v>
      </c>
      <c r="P351" s="174">
        <v>248730.86</v>
      </c>
      <c r="Q351" s="173"/>
      <c r="R351" s="173">
        <f t="shared" si="22"/>
        <v>248730.86</v>
      </c>
      <c r="S351" s="177">
        <f>IFERROR(VLOOKUP(G351,'附表8-合同明细采集底稿'!B:M,12,0),100%)</f>
        <v>1</v>
      </c>
      <c r="T351" s="173">
        <f t="shared" si="21"/>
        <v>248730.86</v>
      </c>
      <c r="U351" s="119" t="s">
        <v>2491</v>
      </c>
      <c r="V351" s="178" t="s">
        <v>335</v>
      </c>
      <c r="W351" s="179">
        <v>0</v>
      </c>
      <c r="X351" s="179">
        <f>IF(SUM('附表1-面积统计表'!$D$6)=0,"",SUM(T351)-SUM(W351)-SUM(Y351))</f>
        <v>0</v>
      </c>
      <c r="Y351" s="179">
        <f t="shared" ref="Y351:Y355" si="23">T351</f>
        <v>248730.86</v>
      </c>
      <c r="Z351" s="181" t="s">
        <v>2492</v>
      </c>
      <c r="AA351" s="164"/>
      <c r="AB351" s="182" t="s">
        <v>1686</v>
      </c>
    </row>
    <row r="352" ht="29" hidden="1" customHeight="1" spans="1:28">
      <c r="A352" s="159">
        <v>365</v>
      </c>
      <c r="B352" s="227" t="s">
        <v>2764</v>
      </c>
      <c r="C352" s="227" t="s">
        <v>2016</v>
      </c>
      <c r="D352" s="162" t="s">
        <v>2488</v>
      </c>
      <c r="E352" s="163" t="s">
        <v>2489</v>
      </c>
      <c r="F352" s="229" t="s">
        <v>2765</v>
      </c>
      <c r="G352" s="165" t="s">
        <v>2569</v>
      </c>
      <c r="H352" s="164" t="str">
        <f>IF(G352="","",VLOOKUP(G352,'附表8-合同明细采集底稿'!B:I,2,0))</f>
        <v>沁春锦苑2#5#7#9#10#17#楼铝合金门窗</v>
      </c>
      <c r="I352" s="92" t="str">
        <f>IF(G352="","",VLOOKUP(G352,'附表8-合同明细采集底稿'!B:I,3,0))</f>
        <v>技术合同</v>
      </c>
      <c r="J352" s="164" t="str">
        <f>IF(G352="","",VLOOKUP(G352,'附表8-合同明细采集底稿'!B:I,4,0))</f>
        <v>巴州全福门窗加工有限公司（杨全福）</v>
      </c>
      <c r="K352" s="164" t="s">
        <v>1711</v>
      </c>
      <c r="L352" s="165">
        <v>6500223130</v>
      </c>
      <c r="M352" s="229" t="s">
        <v>2766</v>
      </c>
      <c r="N352" s="173">
        <v>88495.58</v>
      </c>
      <c r="O352" s="173">
        <v>100000</v>
      </c>
      <c r="P352" s="174">
        <v>88495.58</v>
      </c>
      <c r="Q352" s="173"/>
      <c r="R352" s="173">
        <f t="shared" si="22"/>
        <v>88495.58</v>
      </c>
      <c r="S352" s="177">
        <f>IFERROR(VLOOKUP(G352,'附表8-合同明细采集底稿'!B:M,12,0),100%)</f>
        <v>1</v>
      </c>
      <c r="T352" s="173">
        <f t="shared" si="21"/>
        <v>88495.58</v>
      </c>
      <c r="U352" s="119" t="s">
        <v>2509</v>
      </c>
      <c r="V352" s="178" t="s">
        <v>335</v>
      </c>
      <c r="W352" s="179">
        <f>ROUND(T352*成本分摊比例!$I$53,2)</f>
        <v>35061.95</v>
      </c>
      <c r="X352" s="179">
        <f>IF(SUM('附表1-面积统计表'!$D$6)=0,"",SUM(T352)-SUM(W352)-SUM(Y352))</f>
        <v>43238.94</v>
      </c>
      <c r="Y352" s="179">
        <f>ROUND(T352*成本分摊比例!$K$53,2)</f>
        <v>10194.69</v>
      </c>
      <c r="Z352" s="181" t="s">
        <v>2492</v>
      </c>
      <c r="AA352" s="164"/>
      <c r="AB352" s="182" t="s">
        <v>1686</v>
      </c>
    </row>
    <row r="353" ht="29" hidden="1" customHeight="1" spans="1:28">
      <c r="A353" s="159">
        <v>366</v>
      </c>
      <c r="B353" s="227" t="s">
        <v>2764</v>
      </c>
      <c r="C353" s="227" t="s">
        <v>2016</v>
      </c>
      <c r="D353" s="162" t="s">
        <v>2488</v>
      </c>
      <c r="E353" s="163" t="s">
        <v>2489</v>
      </c>
      <c r="F353" s="229" t="s">
        <v>2765</v>
      </c>
      <c r="G353" s="165" t="s">
        <v>2569</v>
      </c>
      <c r="H353" s="164" t="str">
        <f>IF(G353="","",VLOOKUP(G353,'附表8-合同明细采集底稿'!B:I,2,0))</f>
        <v>沁春锦苑2#5#7#9#10#17#楼铝合金门窗</v>
      </c>
      <c r="I353" s="92" t="str">
        <f>IF(G353="","",VLOOKUP(G353,'附表8-合同明细采集底稿'!B:I,3,0))</f>
        <v>技术合同</v>
      </c>
      <c r="J353" s="164" t="str">
        <f>IF(G353="","",VLOOKUP(G353,'附表8-合同明细采集底稿'!B:I,4,0))</f>
        <v>巴州全福门窗加工有限公司（杨全福）</v>
      </c>
      <c r="K353" s="164" t="s">
        <v>1711</v>
      </c>
      <c r="L353" s="165">
        <v>6500221130</v>
      </c>
      <c r="M353" s="229" t="s">
        <v>2766</v>
      </c>
      <c r="N353" s="173">
        <v>88495.58</v>
      </c>
      <c r="O353" s="173">
        <v>100000</v>
      </c>
      <c r="P353" s="174">
        <v>88495.58</v>
      </c>
      <c r="Q353" s="173"/>
      <c r="R353" s="173">
        <f t="shared" si="22"/>
        <v>88495.58</v>
      </c>
      <c r="S353" s="177">
        <f>IFERROR(VLOOKUP(G353,'附表8-合同明细采集底稿'!B:M,12,0),100%)</f>
        <v>1</v>
      </c>
      <c r="T353" s="173">
        <f t="shared" si="21"/>
        <v>88495.58</v>
      </c>
      <c r="U353" s="119" t="s">
        <v>2509</v>
      </c>
      <c r="V353" s="178" t="s">
        <v>335</v>
      </c>
      <c r="W353" s="179">
        <f>ROUND(T353*成本分摊比例!$I$53,2)</f>
        <v>35061.95</v>
      </c>
      <c r="X353" s="179">
        <f>IF(SUM('附表1-面积统计表'!$D$6)=0,"",SUM(T353)-SUM(W353)-SUM(Y353))</f>
        <v>43238.94</v>
      </c>
      <c r="Y353" s="179">
        <f>ROUND(T353*成本分摊比例!$K$53,2)</f>
        <v>10194.69</v>
      </c>
      <c r="Z353" s="181" t="s">
        <v>2492</v>
      </c>
      <c r="AA353" s="164"/>
      <c r="AB353" s="182" t="s">
        <v>1686</v>
      </c>
    </row>
    <row r="354" ht="29" hidden="1" customHeight="1" spans="1:28">
      <c r="A354" s="159">
        <v>368</v>
      </c>
      <c r="B354" s="227" t="s">
        <v>2764</v>
      </c>
      <c r="C354" s="227" t="s">
        <v>2767</v>
      </c>
      <c r="D354" s="162" t="s">
        <v>2488</v>
      </c>
      <c r="E354" s="163" t="s">
        <v>2489</v>
      </c>
      <c r="F354" s="229" t="s">
        <v>2768</v>
      </c>
      <c r="G354" s="165" t="s">
        <v>2769</v>
      </c>
      <c r="H354" s="164" t="str">
        <f>IF(G354="","",VLOOKUP(G354,'附表8-合同明细采集底稿'!B:I,2,0))</f>
        <v>沁春锦苑3#楼铝合金门窗制作安装</v>
      </c>
      <c r="I354" s="92" t="str">
        <f>IF(G354="","",VLOOKUP(G354,'附表8-合同明细采集底稿'!B:I,3,0))</f>
        <v>建设工程合同</v>
      </c>
      <c r="J354" s="164" t="str">
        <f>IF(G354="","",VLOOKUP(G354,'附表8-合同明细采集底稿'!B:I,4,0))</f>
        <v>巴州全福门窗加工有限公司（杨全福）</v>
      </c>
      <c r="K354" s="164" t="s">
        <v>1711</v>
      </c>
      <c r="L354" s="165">
        <v>6500223130</v>
      </c>
      <c r="M354" s="227" t="s">
        <v>2770</v>
      </c>
      <c r="N354" s="173">
        <v>166637.17</v>
      </c>
      <c r="O354" s="173">
        <v>200000</v>
      </c>
      <c r="P354" s="174">
        <v>166637.17</v>
      </c>
      <c r="Q354" s="173"/>
      <c r="R354" s="173">
        <f t="shared" si="22"/>
        <v>166637.17</v>
      </c>
      <c r="S354" s="177">
        <f>IFERROR(VLOOKUP(G354,'附表8-合同明细采集底稿'!B:M,12,0),100%)</f>
        <v>1</v>
      </c>
      <c r="T354" s="173">
        <f t="shared" si="21"/>
        <v>166637.17</v>
      </c>
      <c r="U354" s="119" t="s">
        <v>2491</v>
      </c>
      <c r="V354" s="178" t="s">
        <v>335</v>
      </c>
      <c r="W354" s="179">
        <v>0</v>
      </c>
      <c r="X354" s="179">
        <f>IF(SUM('附表1-面积统计表'!$D$6)=0,"",SUM(T354)-SUM(W354)-SUM(Y354))</f>
        <v>0</v>
      </c>
      <c r="Y354" s="179">
        <f t="shared" si="23"/>
        <v>166637.17</v>
      </c>
      <c r="Z354" s="181" t="s">
        <v>2492</v>
      </c>
      <c r="AA354" s="164"/>
      <c r="AB354" s="182" t="s">
        <v>1686</v>
      </c>
    </row>
    <row r="355" ht="29" hidden="1" customHeight="1" spans="1:28">
      <c r="A355" s="159">
        <v>369</v>
      </c>
      <c r="B355" s="227" t="s">
        <v>1943</v>
      </c>
      <c r="C355" s="227" t="s">
        <v>1944</v>
      </c>
      <c r="D355" s="162" t="s">
        <v>1739</v>
      </c>
      <c r="E355" s="163" t="s">
        <v>1772</v>
      </c>
      <c r="F355" s="229" t="s">
        <v>1945</v>
      </c>
      <c r="G355" s="165" t="s">
        <v>2624</v>
      </c>
      <c r="H355" s="164" t="str">
        <f>IF(G355="","",VLOOKUP(G355,'附表8-合同明细采集底稿'!B:I,2,0))</f>
        <v>电缆采购合同-三期商业</v>
      </c>
      <c r="I355" s="92" t="str">
        <f>IF(G355="","",VLOOKUP(G355,'附表8-合同明细采集底稿'!B:I,3,0))</f>
        <v>买卖合同</v>
      </c>
      <c r="J355" s="164" t="str">
        <f>IF(G355="","",VLOOKUP(G355,'附表8-合同明细采集底稿'!B:I,4,0))</f>
        <v>泰丰线缆有限公司</v>
      </c>
      <c r="K355" s="164" t="s">
        <v>1711</v>
      </c>
      <c r="L355" s="165">
        <v>6500231130</v>
      </c>
      <c r="M355" s="227" t="s">
        <v>1946</v>
      </c>
      <c r="N355" s="173">
        <v>36858.4</v>
      </c>
      <c r="O355" s="173">
        <v>41649.992</v>
      </c>
      <c r="P355" s="174">
        <v>36858.4</v>
      </c>
      <c r="Q355" s="173"/>
      <c r="R355" s="173">
        <f t="shared" si="22"/>
        <v>36858.4</v>
      </c>
      <c r="S355" s="177">
        <f>IFERROR(VLOOKUP(G355,'附表8-合同明细采集底稿'!B:M,12,0),100%)</f>
        <v>1</v>
      </c>
      <c r="T355" s="173">
        <f t="shared" si="21"/>
        <v>36858.4</v>
      </c>
      <c r="U355" s="119" t="s">
        <v>2491</v>
      </c>
      <c r="V355" s="178" t="s">
        <v>335</v>
      </c>
      <c r="W355" s="179">
        <v>0</v>
      </c>
      <c r="X355" s="179">
        <f>IF(SUM('附表1-面积统计表'!$D$6)=0,"",SUM(T355)-SUM(W355)-SUM(Y355))</f>
        <v>0</v>
      </c>
      <c r="Y355" s="179">
        <f t="shared" si="23"/>
        <v>36858.4</v>
      </c>
      <c r="Z355" s="181" t="s">
        <v>2492</v>
      </c>
      <c r="AA355" s="164"/>
      <c r="AB355" s="182" t="s">
        <v>1686</v>
      </c>
    </row>
    <row r="356" ht="29" hidden="1" customHeight="1" spans="1:28">
      <c r="A356" s="159">
        <v>370</v>
      </c>
      <c r="B356" s="227" t="s">
        <v>1947</v>
      </c>
      <c r="C356" s="227" t="s">
        <v>1948</v>
      </c>
      <c r="D356" s="162" t="s">
        <v>1739</v>
      </c>
      <c r="E356" s="163" t="s">
        <v>1745</v>
      </c>
      <c r="F356" s="229" t="s">
        <v>1949</v>
      </c>
      <c r="G356" s="165" t="s">
        <v>2771</v>
      </c>
      <c r="H356" s="164" t="str">
        <f>IF(G356="","",VLOOKUP(G356,'附表8-合同明细采集底稿'!B:I,2,0))</f>
        <v>4-11、16、17#楼31#楼景观绿化（住宅）</v>
      </c>
      <c r="I356" s="92" t="str">
        <f>IF(G356="","",VLOOKUP(G356,'附表8-合同明细采集底稿'!B:I,3,0))</f>
        <v>建设工程合同</v>
      </c>
      <c r="J356" s="164" t="str">
        <f>IF(G356="","",VLOOKUP(G356,'附表8-合同明细采集底稿'!B:I,4,0))</f>
        <v>新疆通力建设集团股份有限公司（蔚晓芳）</v>
      </c>
      <c r="K356" s="164" t="s">
        <v>1711</v>
      </c>
      <c r="L356" s="165">
        <v>6500231130</v>
      </c>
      <c r="M356" s="227" t="s">
        <v>1951</v>
      </c>
      <c r="N356" s="173">
        <v>420711.93</v>
      </c>
      <c r="O356" s="173">
        <v>458576.0037</v>
      </c>
      <c r="P356" s="174">
        <v>420711.93</v>
      </c>
      <c r="Q356" s="173"/>
      <c r="R356" s="173">
        <f t="shared" si="22"/>
        <v>420711.93</v>
      </c>
      <c r="S356" s="177">
        <f>IFERROR(VLOOKUP(G356,'附表8-合同明细采集底稿'!B:M,12,0),100%)</f>
        <v>1</v>
      </c>
      <c r="T356" s="173">
        <f t="shared" si="21"/>
        <v>420711.93</v>
      </c>
      <c r="U356" s="119" t="s">
        <v>2496</v>
      </c>
      <c r="V356" s="178" t="s">
        <v>336</v>
      </c>
      <c r="W356" s="179">
        <f>IF('附表1-面积统计表'!$D$29=0,"",IF(AND(V356="共同成本费用",Z356="总建筑面积法"),ROUND(T356/'附表1-面积统计表'!$D$29*'附表1-面积统计表'!$D$5,2),IF(AND(V356="共同成本费用",Z356="可售建筑面积法"),ROUND(T356/'附表1-面积统计表'!$F$29*'附表1-面积统计表'!$F$5,2),"请手工填写")))</f>
        <v>153656.37</v>
      </c>
      <c r="X356" s="179">
        <f>IF(SUM('附表1-面积统计表'!$D$6)=0,"",SUM(T356)-SUM(W356)-SUM(Y356))</f>
        <v>189500.39</v>
      </c>
      <c r="Y356" s="179">
        <f>IF(SUM('附表1-面积统计表'!$D$6)=0,SUM(T356)-SUM(W356),IF('附表1-面积统计表'!$D$29=0,"",IF(AND(V356="共同成本费用",Z356="总建筑面积法"),ROUND(T356/'附表1-面积统计表'!$D$29*'附表1-面积统计表'!$D$7,2),IF(AND(V356="共同成本费用",Z356="可售建筑面积法"),ROUND(T356/'附表1-面积统计表'!$F$29*'附表1-面积统计表'!$F$7,2),"请手工填写"))))</f>
        <v>77555.17</v>
      </c>
      <c r="Z356" s="181" t="s">
        <v>311</v>
      </c>
      <c r="AA356" s="164"/>
      <c r="AB356" s="182" t="s">
        <v>1686</v>
      </c>
    </row>
    <row r="357" ht="29" hidden="1" customHeight="1" spans="1:28">
      <c r="A357" s="159">
        <v>372</v>
      </c>
      <c r="B357" s="245" t="s">
        <v>2772</v>
      </c>
      <c r="C357" s="246">
        <v>42</v>
      </c>
      <c r="D357" s="162" t="s">
        <v>2488</v>
      </c>
      <c r="E357" s="163" t="s">
        <v>2489</v>
      </c>
      <c r="F357" s="247" t="s">
        <v>2773</v>
      </c>
      <c r="G357" s="165" t="s">
        <v>2588</v>
      </c>
      <c r="H357" s="164" t="str">
        <f>IF(G357="","",VLOOKUP(G357,'附表8-合同明细采集底稿'!B:I,2,0))</f>
        <v>沁春锦苑4#-11#、16#17#楼防火门防盗门</v>
      </c>
      <c r="I357" s="92" t="str">
        <f>IF(G357="","",VLOOKUP(G357,'附表8-合同明细采集底稿'!B:I,3,0))</f>
        <v>买卖合同</v>
      </c>
      <c r="J357" s="164" t="str">
        <f>IF(G357="","",VLOOKUP(G357,'附表8-合同明细采集底稿'!B:I,4,0))</f>
        <v>库尔勒永绍商贸有限公司（项邵于）</v>
      </c>
      <c r="K357" s="164" t="s">
        <v>1711</v>
      </c>
      <c r="L357" s="165">
        <v>6500221130</v>
      </c>
      <c r="M357" s="227"/>
      <c r="N357" s="173">
        <v>55241.77</v>
      </c>
      <c r="O357" s="173">
        <v>62423.2001</v>
      </c>
      <c r="P357" s="174">
        <v>55241.77</v>
      </c>
      <c r="Q357" s="173"/>
      <c r="R357" s="173">
        <f t="shared" si="22"/>
        <v>55241.77</v>
      </c>
      <c r="S357" s="177">
        <f>IFERROR(VLOOKUP(G357,'附表8-合同明细采集底稿'!B:M,12,0),100%)</f>
        <v>1</v>
      </c>
      <c r="T357" s="173">
        <f t="shared" si="21"/>
        <v>55241.77</v>
      </c>
      <c r="U357" s="119" t="s">
        <v>2509</v>
      </c>
      <c r="V357" s="178" t="s">
        <v>335</v>
      </c>
      <c r="W357" s="179">
        <f>ROUND(T357*成本分摊比例!$I$53,2)</f>
        <v>21886.79</v>
      </c>
      <c r="X357" s="179">
        <f>IF(SUM('附表1-面积统计表'!$D$6)=0,"",SUM(T357)-SUM(W357)-SUM(Y357))</f>
        <v>26991.13</v>
      </c>
      <c r="Y357" s="179">
        <f>ROUND(T357*成本分摊比例!$K$53,2)</f>
        <v>6363.85</v>
      </c>
      <c r="Z357" s="181" t="s">
        <v>2492</v>
      </c>
      <c r="AA357" s="164"/>
      <c r="AB357" s="182" t="s">
        <v>1686</v>
      </c>
    </row>
    <row r="358" ht="29" hidden="1" customHeight="1" spans="1:28">
      <c r="A358" s="159">
        <v>377</v>
      </c>
      <c r="B358" s="245" t="s">
        <v>2772</v>
      </c>
      <c r="C358" s="246">
        <v>52</v>
      </c>
      <c r="D358" s="162" t="s">
        <v>2488</v>
      </c>
      <c r="E358" s="163" t="s">
        <v>2489</v>
      </c>
      <c r="F358" s="247" t="s">
        <v>2774</v>
      </c>
      <c r="G358" s="165" t="s">
        <v>2775</v>
      </c>
      <c r="H358" s="164" t="str">
        <f>IF(G358="","",VLOOKUP(G358,'附表8-合同明细采集底稿'!B:I,2,0))</f>
        <v>沁春锦苑4#-11#、16.17.住宅楼，2#3#36#商业楼建设工程施工合同(2.3#.)</v>
      </c>
      <c r="I358" s="92" t="str">
        <f>IF(G358="","",VLOOKUP(G358,'附表8-合同明细采集底稿'!B:I,3,0))</f>
        <v>建设工程合同</v>
      </c>
      <c r="J358" s="164" t="str">
        <f>IF(G358="","",VLOOKUP(G358,'附表8-合同明细采集底稿'!B:I,4,0))</f>
        <v>新疆通力建设集团股份有限公司（邓）</v>
      </c>
      <c r="K358" s="164" t="s">
        <v>1711</v>
      </c>
      <c r="L358" s="165">
        <v>6500231130</v>
      </c>
      <c r="M358" s="227" t="s">
        <v>2776</v>
      </c>
      <c r="N358" s="173">
        <v>1541284.4</v>
      </c>
      <c r="O358" s="173">
        <v>1679999.996</v>
      </c>
      <c r="P358" s="174">
        <v>1541284.4</v>
      </c>
      <c r="Q358" s="173"/>
      <c r="R358" s="173">
        <f t="shared" si="22"/>
        <v>1541284.4</v>
      </c>
      <c r="S358" s="177">
        <f>IFERROR(VLOOKUP(G358,'附表8-合同明细采集底稿'!B:M,12,0),100%)</f>
        <v>1</v>
      </c>
      <c r="T358" s="173">
        <f t="shared" si="21"/>
        <v>1541284.4</v>
      </c>
      <c r="U358" s="119" t="s">
        <v>2491</v>
      </c>
      <c r="V358" s="178" t="s">
        <v>335</v>
      </c>
      <c r="W358" s="179">
        <v>0</v>
      </c>
      <c r="X358" s="179">
        <f>IF(SUM('附表1-面积统计表'!$D$6)=0,"",SUM(T358)-SUM(W358)-SUM(Y358))</f>
        <v>0</v>
      </c>
      <c r="Y358" s="179">
        <f>T358</f>
        <v>1541284.4</v>
      </c>
      <c r="Z358" s="181" t="s">
        <v>2492</v>
      </c>
      <c r="AA358" s="164"/>
      <c r="AB358" s="182" t="s">
        <v>1686</v>
      </c>
    </row>
    <row r="359" ht="29" hidden="1" customHeight="1" spans="1:28">
      <c r="A359" s="159">
        <v>379</v>
      </c>
      <c r="B359" s="245" t="s">
        <v>2100</v>
      </c>
      <c r="C359" s="246">
        <v>75</v>
      </c>
      <c r="D359" s="162" t="s">
        <v>1739</v>
      </c>
      <c r="E359" s="163" t="s">
        <v>2639</v>
      </c>
      <c r="F359" s="247" t="s">
        <v>2101</v>
      </c>
      <c r="G359" s="165" t="s">
        <v>2645</v>
      </c>
      <c r="H359" s="164" t="str">
        <f>IF(G359="","",VLOOKUP(G359,'附表8-合同明细采集底稿'!B:I,2,0))</f>
        <v>沁春锦苑4#-17#楼可视对讲安装工程</v>
      </c>
      <c r="I359" s="92" t="str">
        <f>IF(G359="","",VLOOKUP(G359,'附表8-合同明细采集底稿'!B:I,3,0))</f>
        <v>建设工程合同</v>
      </c>
      <c r="J359" s="164" t="str">
        <f>IF(G359="","",VLOOKUP(G359,'附表8-合同明细采集底稿'!B:I,4,0))</f>
        <v>巴州青橄榄电子科技有限公司（党曌）</v>
      </c>
      <c r="K359" s="164" t="s">
        <v>1711</v>
      </c>
      <c r="L359" s="165">
        <v>6500231130</v>
      </c>
      <c r="M359" s="227" t="s">
        <v>2777</v>
      </c>
      <c r="N359" s="173">
        <v>46601.94</v>
      </c>
      <c r="O359" s="173">
        <v>47999.9982</v>
      </c>
      <c r="P359" s="174">
        <v>46601.94</v>
      </c>
      <c r="Q359" s="173"/>
      <c r="R359" s="173">
        <f t="shared" si="22"/>
        <v>46601.94</v>
      </c>
      <c r="S359" s="177">
        <f>IFERROR(VLOOKUP(G359,'附表8-合同明细采集底稿'!B:M,12,0),100%)</f>
        <v>1</v>
      </c>
      <c r="T359" s="173">
        <f t="shared" si="21"/>
        <v>46601.94</v>
      </c>
      <c r="U359" s="119" t="s">
        <v>2509</v>
      </c>
      <c r="V359" s="178" t="s">
        <v>335</v>
      </c>
      <c r="W359" s="179">
        <f>ROUND(T359*成本分摊比例!$I$53,2)</f>
        <v>18463.69</v>
      </c>
      <c r="X359" s="179">
        <f>IF(SUM('附表1-面积统计表'!$D$6)=0,"",SUM(T359)-SUM(W359)-SUM(Y359))</f>
        <v>22769.71</v>
      </c>
      <c r="Y359" s="179">
        <f>ROUND(T359*成本分摊比例!$K$53,2)</f>
        <v>5368.54</v>
      </c>
      <c r="Z359" s="181" t="s">
        <v>2492</v>
      </c>
      <c r="AA359" s="164"/>
      <c r="AB359" s="182" t="s">
        <v>1686</v>
      </c>
    </row>
    <row r="360" ht="29" hidden="1" customHeight="1" spans="1:28">
      <c r="A360" s="159">
        <v>380</v>
      </c>
      <c r="B360" s="245" t="s">
        <v>2100</v>
      </c>
      <c r="C360" s="246">
        <v>75</v>
      </c>
      <c r="D360" s="162" t="s">
        <v>1739</v>
      </c>
      <c r="E360" s="163" t="s">
        <v>2639</v>
      </c>
      <c r="F360" s="247" t="s">
        <v>2101</v>
      </c>
      <c r="G360" s="119" t="s">
        <v>2778</v>
      </c>
      <c r="H360" s="164" t="str">
        <f>IF(G360="","",VLOOKUP(G360,'附表8-合同明细采集底稿'!B:I,2,0))</f>
        <v>沁春锦苑二期、三期（2-18、21、22、38）楼弱电及弱电管道、监控、道闸、单元人脸识别、高空抛物、电子围栏预埋工程合同（2-17）</v>
      </c>
      <c r="I360" s="92" t="str">
        <f>IF(G360="","",VLOOKUP(G360,'附表8-合同明细采集底稿'!B:I,3,0))</f>
        <v>建设工程合同</v>
      </c>
      <c r="J360" s="164" t="str">
        <f>IF(G360="","",VLOOKUP(G360,'附表8-合同明细采集底稿'!B:I,4,0))</f>
        <v>巴州青橄榄电子科技有限公司（党曌）</v>
      </c>
      <c r="K360" s="164" t="s">
        <v>1711</v>
      </c>
      <c r="L360" s="165">
        <v>6500231130</v>
      </c>
      <c r="M360" s="227" t="s">
        <v>2779</v>
      </c>
      <c r="N360" s="173">
        <v>73017.48</v>
      </c>
      <c r="O360" s="173">
        <v>75208</v>
      </c>
      <c r="P360" s="174">
        <v>73017.48</v>
      </c>
      <c r="Q360" s="173"/>
      <c r="R360" s="173">
        <f t="shared" si="22"/>
        <v>73017.48</v>
      </c>
      <c r="S360" s="177">
        <f>IFERROR(VLOOKUP(G360,'附表8-合同明细采集底稿'!B:M,12,0),100%)</f>
        <v>1</v>
      </c>
      <c r="T360" s="173">
        <f t="shared" si="21"/>
        <v>73017.48</v>
      </c>
      <c r="U360" s="119" t="s">
        <v>2509</v>
      </c>
      <c r="V360" s="178" t="s">
        <v>335</v>
      </c>
      <c r="W360" s="179">
        <f>ROUND(T360*成本分摊比例!$I$53,2)</f>
        <v>28929.53</v>
      </c>
      <c r="X360" s="179">
        <f>IF(SUM('附表1-面积统计表'!$D$6)=0,"",SUM(T360)-SUM(W360)-SUM(Y360))</f>
        <v>35676.34</v>
      </c>
      <c r="Y360" s="179">
        <f>ROUND(T360*成本分摊比例!$K$53,2)</f>
        <v>8411.61</v>
      </c>
      <c r="Z360" s="181" t="s">
        <v>2492</v>
      </c>
      <c r="AA360" s="164"/>
      <c r="AB360" s="182" t="s">
        <v>1686</v>
      </c>
    </row>
    <row r="361" ht="29" hidden="1" customHeight="1" spans="1:28">
      <c r="A361" s="159">
        <v>383</v>
      </c>
      <c r="B361" s="227" t="s">
        <v>2780</v>
      </c>
      <c r="C361" s="227" t="s">
        <v>2430</v>
      </c>
      <c r="D361" s="162" t="s">
        <v>2488</v>
      </c>
      <c r="E361" s="163" t="s">
        <v>2489</v>
      </c>
      <c r="F361" s="229" t="s">
        <v>2781</v>
      </c>
      <c r="G361" s="165" t="s">
        <v>2782</v>
      </c>
      <c r="H361" s="164" t="str">
        <f>IF(G361="","",VLOOKUP(G361,'附表8-合同明细采集底稿'!B:I,2,0))</f>
        <v>4-11\16\17#楼进户门智能锁安装</v>
      </c>
      <c r="I361" s="92" t="str">
        <f>IF(G361="","",VLOOKUP(G361,'附表8-合同明细采集底稿'!B:I,3,0))</f>
        <v>买卖合同</v>
      </c>
      <c r="J361" s="164" t="str">
        <f>IF(G361="","",VLOOKUP(G361,'附表8-合同明细采集底稿'!B:I,4,0))</f>
        <v>库尔勒永绍商贸有限公司（项邵于）</v>
      </c>
      <c r="K361" s="164" t="s">
        <v>1711</v>
      </c>
      <c r="L361" s="165">
        <v>6500231130</v>
      </c>
      <c r="M361" s="227" t="s">
        <v>2783</v>
      </c>
      <c r="N361" s="173">
        <v>183449.55</v>
      </c>
      <c r="O361" s="173">
        <v>129882.0079</v>
      </c>
      <c r="P361" s="174">
        <v>183449.55</v>
      </c>
      <c r="Q361" s="173"/>
      <c r="R361" s="173">
        <f t="shared" si="22"/>
        <v>183449.55</v>
      </c>
      <c r="S361" s="177">
        <f>IFERROR(VLOOKUP(G361,'附表8-合同明细采集底稿'!B:M,12,0),100%)</f>
        <v>1</v>
      </c>
      <c r="T361" s="173">
        <f t="shared" si="21"/>
        <v>183449.55</v>
      </c>
      <c r="U361" s="119" t="s">
        <v>2509</v>
      </c>
      <c r="V361" s="178" t="s">
        <v>335</v>
      </c>
      <c r="W361" s="179">
        <f>ROUND(T361*成本分摊比例!$I$53,2)</f>
        <v>72682.71</v>
      </c>
      <c r="X361" s="179">
        <f>IF(SUM('附表1-面积统计表'!$D$6)=0,"",SUM(T361)-SUM(W361)-SUM(Y361))</f>
        <v>89633.45</v>
      </c>
      <c r="Y361" s="179">
        <f>ROUND(T361*成本分摊比例!$K$53,2)</f>
        <v>21133.39</v>
      </c>
      <c r="Z361" s="181" t="s">
        <v>2492</v>
      </c>
      <c r="AA361" s="164"/>
      <c r="AB361" s="182" t="s">
        <v>1686</v>
      </c>
    </row>
    <row r="362" ht="29" hidden="1" customHeight="1" spans="1:28">
      <c r="A362" s="159">
        <v>385</v>
      </c>
      <c r="B362" s="227" t="s">
        <v>2784</v>
      </c>
      <c r="C362" s="227" t="s">
        <v>2093</v>
      </c>
      <c r="D362" s="162" t="s">
        <v>2488</v>
      </c>
      <c r="E362" s="163" t="s">
        <v>2489</v>
      </c>
      <c r="F362" s="229" t="s">
        <v>2785</v>
      </c>
      <c r="G362" s="165" t="s">
        <v>2741</v>
      </c>
      <c r="H362" s="164" t="str">
        <f>IF(G362="","",VLOOKUP(G362,'附表8-合同明细采集底稿'!B:I,2,0))</f>
        <v>沁春锦苑4#-11#、16#17#楼门斗装修</v>
      </c>
      <c r="I362" s="92" t="str">
        <f>IF(G362="","",VLOOKUP(G362,'附表8-合同明细采集底稿'!B:I,3,0))</f>
        <v>建设工程合同</v>
      </c>
      <c r="J362" s="164" t="str">
        <f>IF(G362="","",VLOOKUP(G362,'附表8-合同明细采集底稿'!B:I,4,0))</f>
        <v>巴州水木堂建筑装饰有限公司（倪）</v>
      </c>
      <c r="K362" s="164" t="s">
        <v>1711</v>
      </c>
      <c r="L362" s="165">
        <v>6500231130</v>
      </c>
      <c r="M362" s="227" t="s">
        <v>2786</v>
      </c>
      <c r="N362" s="173">
        <v>1220792.08</v>
      </c>
      <c r="O362" s="173">
        <v>1233000.0008</v>
      </c>
      <c r="P362" s="174">
        <v>1220792.08</v>
      </c>
      <c r="Q362" s="173"/>
      <c r="R362" s="173">
        <f t="shared" si="22"/>
        <v>1220792.08</v>
      </c>
      <c r="S362" s="177">
        <f>IFERROR(VLOOKUP(G362,'附表8-合同明细采集底稿'!B:M,12,0),100%)</f>
        <v>1</v>
      </c>
      <c r="T362" s="173">
        <f t="shared" si="21"/>
        <v>1220792.08</v>
      </c>
      <c r="U362" s="119" t="s">
        <v>2509</v>
      </c>
      <c r="V362" s="178" t="s">
        <v>335</v>
      </c>
      <c r="W362" s="179">
        <f>ROUND(T362*成本分摊比例!$I$53,2)</f>
        <v>483677.82</v>
      </c>
      <c r="X362" s="179">
        <f>IF(SUM('附表1-面积统计表'!$D$6)=0,"",SUM(T362)-SUM(W362)-SUM(Y362))</f>
        <v>596479.01</v>
      </c>
      <c r="Y362" s="179">
        <f>ROUND(T362*成本分摊比例!$K$53,2)</f>
        <v>140635.25</v>
      </c>
      <c r="Z362" s="181" t="s">
        <v>2492</v>
      </c>
      <c r="AA362" s="164"/>
      <c r="AB362" s="182" t="s">
        <v>1686</v>
      </c>
    </row>
    <row r="363" ht="29" hidden="1" customHeight="1" spans="1:28">
      <c r="A363" s="159">
        <v>386</v>
      </c>
      <c r="B363" s="227" t="s">
        <v>2787</v>
      </c>
      <c r="C363" s="227" t="s">
        <v>2687</v>
      </c>
      <c r="D363" s="162" t="s">
        <v>1739</v>
      </c>
      <c r="E363" s="163" t="s">
        <v>1788</v>
      </c>
      <c r="F363" s="229" t="s">
        <v>2788</v>
      </c>
      <c r="G363" s="165"/>
      <c r="H363" s="164" t="str">
        <f>IF(G363="","",VLOOKUP(G363,'附表8-合同明细采集底稿'!B:I,2,0))</f>
        <v/>
      </c>
      <c r="I363" s="92" t="str">
        <f>IF(G363="","",VLOOKUP(G363,'附表8-合同明细采集底稿'!B:I,3,0))</f>
        <v/>
      </c>
      <c r="J363" s="164" t="s">
        <v>2789</v>
      </c>
      <c r="K363" s="164" t="s">
        <v>1704</v>
      </c>
      <c r="L363" s="165" t="s">
        <v>1705</v>
      </c>
      <c r="M363" s="227" t="s">
        <v>2790</v>
      </c>
      <c r="N363" s="173">
        <v>30000</v>
      </c>
      <c r="O363" s="173">
        <v>30000</v>
      </c>
      <c r="P363" s="174">
        <v>30000</v>
      </c>
      <c r="Q363" s="180">
        <v>0</v>
      </c>
      <c r="R363" s="173">
        <f t="shared" si="22"/>
        <v>30000</v>
      </c>
      <c r="S363" s="177">
        <f>IFERROR(VLOOKUP(G363,'附表8-合同明细采集底稿'!B:M,12,0),100%)</f>
        <v>1</v>
      </c>
      <c r="T363" s="173">
        <f t="shared" si="21"/>
        <v>30000</v>
      </c>
      <c r="U363" s="119" t="s">
        <v>2496</v>
      </c>
      <c r="V363" s="178" t="s">
        <v>336</v>
      </c>
      <c r="W363" s="179">
        <f>IF('附表1-面积统计表'!$D$29=0,"",IF(AND(V363="共同成本费用",Z363="总建筑面积法"),ROUND(T363/'附表1-面积统计表'!$D$29*'附表1-面积统计表'!$D$5,2),IF(AND(V363="共同成本费用",Z363="可售建筑面积法"),ROUND(T363/'附表1-面积统计表'!$F$29*'附表1-面积统计表'!$F$5,2),"请手工填写")))</f>
        <v>10956.88</v>
      </c>
      <c r="X363" s="179">
        <f>IF(SUM('附表1-面积统计表'!$D$6)=0,"",SUM(T363)-SUM(W363)-SUM(Y363))</f>
        <v>13512.84</v>
      </c>
      <c r="Y363" s="179">
        <f>IF(SUM('附表1-面积统计表'!$D$6)=0,SUM(T363)-SUM(W363),IF('附表1-面积统计表'!$D$29=0,"",IF(AND(V363="共同成本费用",Z363="总建筑面积法"),ROUND(T363/'附表1-面积统计表'!$D$29*'附表1-面积统计表'!$D$7,2),IF(AND(V363="共同成本费用",Z363="可售建筑面积法"),ROUND(T363/'附表1-面积统计表'!$F$29*'附表1-面积统计表'!$F$7,2),"请手工填写"))))</f>
        <v>5530.28</v>
      </c>
      <c r="Z363" s="181" t="s">
        <v>311</v>
      </c>
      <c r="AA363" s="164"/>
      <c r="AB363" s="182" t="s">
        <v>1686</v>
      </c>
    </row>
    <row r="364" ht="29" hidden="1" customHeight="1" spans="1:28">
      <c r="A364" s="159">
        <v>387</v>
      </c>
      <c r="B364" s="227" t="s">
        <v>2392</v>
      </c>
      <c r="C364" s="227" t="s">
        <v>2485</v>
      </c>
      <c r="D364" s="162" t="s">
        <v>2488</v>
      </c>
      <c r="E364" s="163" t="s">
        <v>2489</v>
      </c>
      <c r="F364" s="229" t="s">
        <v>2791</v>
      </c>
      <c r="G364" s="165" t="s">
        <v>2682</v>
      </c>
      <c r="H364" s="164" t="str">
        <f>IF(G364="","",VLOOKUP(G364,'附表8-合同明细采集底稿'!B:I,2,0))</f>
        <v>沁春锦苑3#楼电梯销售</v>
      </c>
      <c r="I364" s="92" t="str">
        <f>IF(G364="","",VLOOKUP(G364,'附表8-合同明细采集底稿'!B:I,3,0))</f>
        <v>买卖合同</v>
      </c>
      <c r="J364" s="164" t="str">
        <f>IF(G364="","",VLOOKUP(G364,'附表8-合同明细采集底稿'!B:I,4,0))</f>
        <v>新疆华汇建安机械设备有限公司（许林）</v>
      </c>
      <c r="K364" s="164" t="s">
        <v>1711</v>
      </c>
      <c r="L364" s="165" t="s">
        <v>1705</v>
      </c>
      <c r="M364" s="242" t="s">
        <v>2792</v>
      </c>
      <c r="N364" s="173">
        <v>53398.06</v>
      </c>
      <c r="O364" s="173">
        <v>55000</v>
      </c>
      <c r="P364" s="174">
        <v>53398.06</v>
      </c>
      <c r="Q364" s="173"/>
      <c r="R364" s="173">
        <f t="shared" si="22"/>
        <v>53398.06</v>
      </c>
      <c r="S364" s="177">
        <f>IFERROR(VLOOKUP(G364,'附表8-合同明细采集底稿'!B:M,12,0),100%)</f>
        <v>1</v>
      </c>
      <c r="T364" s="173">
        <f t="shared" si="21"/>
        <v>53398.06</v>
      </c>
      <c r="U364" s="119" t="s">
        <v>2491</v>
      </c>
      <c r="V364" s="178" t="s">
        <v>335</v>
      </c>
      <c r="W364" s="179">
        <v>0</v>
      </c>
      <c r="X364" s="179">
        <f>IF(SUM('附表1-面积统计表'!$D$6)=0,"",SUM(T364)-SUM(W364)-SUM(Y364))</f>
        <v>0</v>
      </c>
      <c r="Y364" s="179">
        <f t="shared" ref="Y364:Y368" si="24">T364</f>
        <v>53398.06</v>
      </c>
      <c r="Z364" s="181" t="s">
        <v>2492</v>
      </c>
      <c r="AA364" s="164"/>
      <c r="AB364" s="182" t="s">
        <v>1686</v>
      </c>
    </row>
    <row r="365" ht="29" hidden="1" customHeight="1" spans="1:28">
      <c r="A365" s="159">
        <v>388</v>
      </c>
      <c r="B365" s="227" t="s">
        <v>2392</v>
      </c>
      <c r="C365" s="227" t="s">
        <v>1818</v>
      </c>
      <c r="D365" s="162" t="s">
        <v>1739</v>
      </c>
      <c r="E365" s="163" t="s">
        <v>2663</v>
      </c>
      <c r="F365" s="229" t="s">
        <v>2793</v>
      </c>
      <c r="G365" s="165" t="s">
        <v>2665</v>
      </c>
      <c r="H365" s="164" t="str">
        <f>IF(G365="","",VLOOKUP(G365,'附表8-合同明细采集底稿'!B:I,2,0))</f>
        <v>电气外网供货安装合同（4#-17#31#-36#、12#-38#）4-11.16/17#</v>
      </c>
      <c r="I365" s="92" t="str">
        <f>IF(G365="","",VLOOKUP(G365,'附表8-合同明细采集底稿'!B:I,3,0))</f>
        <v>建设工程合同</v>
      </c>
      <c r="J365" s="164" t="str">
        <f>IF(G365="","",VLOOKUP(G365,'附表8-合同明细采集底稿'!B:I,4,0))</f>
        <v>巴州鑫磊机电设备开关有限责任公司（张国宏）</v>
      </c>
      <c r="K365" s="164" t="s">
        <v>1711</v>
      </c>
      <c r="L365" s="165" t="s">
        <v>1705</v>
      </c>
      <c r="M365" s="242" t="s">
        <v>2794</v>
      </c>
      <c r="N365" s="173">
        <v>99557.52</v>
      </c>
      <c r="O365" s="173">
        <v>112499.9976</v>
      </c>
      <c r="P365" s="174">
        <v>99557.52</v>
      </c>
      <c r="Q365" s="173"/>
      <c r="R365" s="173">
        <f t="shared" si="22"/>
        <v>99557.52</v>
      </c>
      <c r="S365" s="177">
        <f>IFERROR(VLOOKUP(G365,'附表8-合同明细采集底稿'!B:M,12,0),100%)</f>
        <v>1</v>
      </c>
      <c r="T365" s="173">
        <f t="shared" si="21"/>
        <v>99557.52</v>
      </c>
      <c r="U365" s="119" t="s">
        <v>2509</v>
      </c>
      <c r="V365" s="178" t="s">
        <v>335</v>
      </c>
      <c r="W365" s="179">
        <f>ROUND(T365*成本分摊比例!$I$53,2)</f>
        <v>39444.69</v>
      </c>
      <c r="X365" s="179">
        <f>IF(SUM('附表1-面积统计表'!$D$6)=0,"",SUM(T365)-SUM(W365)-SUM(Y365))</f>
        <v>48643.8</v>
      </c>
      <c r="Y365" s="179">
        <f>ROUND(T365*成本分摊比例!$K$53,2)</f>
        <v>11469.03</v>
      </c>
      <c r="Z365" s="181" t="s">
        <v>2492</v>
      </c>
      <c r="AA365" s="164"/>
      <c r="AB365" s="182" t="s">
        <v>1686</v>
      </c>
    </row>
    <row r="366" ht="29" hidden="1" customHeight="1" spans="1:28">
      <c r="A366" s="159">
        <v>389</v>
      </c>
      <c r="B366" s="227" t="s">
        <v>2392</v>
      </c>
      <c r="C366" s="227" t="s">
        <v>1818</v>
      </c>
      <c r="D366" s="162" t="s">
        <v>1739</v>
      </c>
      <c r="E366" s="163" t="s">
        <v>2663</v>
      </c>
      <c r="F366" s="229" t="s">
        <v>2793</v>
      </c>
      <c r="G366" s="165" t="s">
        <v>2665</v>
      </c>
      <c r="H366" s="164" t="str">
        <f>IF(G366="","",VLOOKUP(G366,'附表8-合同明细采集底稿'!B:I,2,0))</f>
        <v>电气外网供货安装合同（4#-17#31#-36#、12#-38#）4-11.16/17#</v>
      </c>
      <c r="I366" s="92" t="str">
        <f>IF(G366="","",VLOOKUP(G366,'附表8-合同明细采集底稿'!B:I,3,0))</f>
        <v>建设工程合同</v>
      </c>
      <c r="J366" s="164" t="str">
        <f>IF(G366="","",VLOOKUP(G366,'附表8-合同明细采集底稿'!B:I,4,0))</f>
        <v>巴州鑫磊机电设备开关有限责任公司（张国宏）</v>
      </c>
      <c r="K366" s="164" t="s">
        <v>1711</v>
      </c>
      <c r="L366" s="165" t="s">
        <v>1705</v>
      </c>
      <c r="M366" s="242" t="s">
        <v>2795</v>
      </c>
      <c r="N366" s="173">
        <v>95312.02</v>
      </c>
      <c r="O366" s="173">
        <v>107702.5826</v>
      </c>
      <c r="P366" s="174">
        <v>95312.02</v>
      </c>
      <c r="Q366" s="173">
        <v>-81761.58</v>
      </c>
      <c r="R366" s="173">
        <f t="shared" si="22"/>
        <v>13550.44</v>
      </c>
      <c r="S366" s="177">
        <f>IFERROR(VLOOKUP(G366,'附表8-合同明细采集底稿'!B:M,12,0),100%)</f>
        <v>1</v>
      </c>
      <c r="T366" s="173">
        <f t="shared" si="21"/>
        <v>13550.44</v>
      </c>
      <c r="U366" s="119" t="s">
        <v>2509</v>
      </c>
      <c r="V366" s="178" t="s">
        <v>335</v>
      </c>
      <c r="W366" s="179">
        <f>ROUND(T366*成本分摊比例!$I$53,2)</f>
        <v>5368.68</v>
      </c>
      <c r="X366" s="179">
        <f>IF(SUM('附表1-面积统计表'!$D$6)=0,"",SUM(T366)-SUM(W366)-SUM(Y366))</f>
        <v>6620.75</v>
      </c>
      <c r="Y366" s="179">
        <f>ROUND(T366*成本分摊比例!$K$53,2)</f>
        <v>1561.01</v>
      </c>
      <c r="Z366" s="181" t="s">
        <v>2492</v>
      </c>
      <c r="AA366" s="164"/>
      <c r="AB366" s="182" t="s">
        <v>1686</v>
      </c>
    </row>
    <row r="367" ht="29" hidden="1" customHeight="1" spans="1:28">
      <c r="A367" s="159">
        <v>393</v>
      </c>
      <c r="B367" s="227" t="s">
        <v>2392</v>
      </c>
      <c r="C367" s="227" t="s">
        <v>1818</v>
      </c>
      <c r="D367" s="162" t="s">
        <v>1739</v>
      </c>
      <c r="E367" s="163" t="s">
        <v>2663</v>
      </c>
      <c r="F367" s="229" t="s">
        <v>2793</v>
      </c>
      <c r="G367" s="165" t="s">
        <v>2796</v>
      </c>
      <c r="H367" s="164" t="str">
        <f>IF(G367="","",VLOOKUP(G367,'附表8-合同明细采集底稿'!B:I,2,0))</f>
        <v>电气外网供货安装合同（4#-17#31#-36#、12#-38#）2、3、36</v>
      </c>
      <c r="I367" s="92" t="str">
        <f>IF(G367="","",VLOOKUP(G367,'附表8-合同明细采集底稿'!B:I,3,0))</f>
        <v>建设工程合同</v>
      </c>
      <c r="J367" s="164" t="str">
        <f>IF(G367="","",VLOOKUP(G367,'附表8-合同明细采集底稿'!B:I,4,0))</f>
        <v>巴州鑫磊机电设备开关有限责任公司（张国宏）</v>
      </c>
      <c r="K367" s="164" t="s">
        <v>1711</v>
      </c>
      <c r="L367" s="165" t="s">
        <v>1705</v>
      </c>
      <c r="M367" s="242" t="s">
        <v>2797</v>
      </c>
      <c r="N367" s="173">
        <v>1134.15044247788</v>
      </c>
      <c r="O367" s="173">
        <v>1281.5948</v>
      </c>
      <c r="P367" s="174">
        <v>1134.15044247788</v>
      </c>
      <c r="Q367" s="173"/>
      <c r="R367" s="173">
        <f t="shared" si="22"/>
        <v>1134.15044247788</v>
      </c>
      <c r="S367" s="177">
        <f>IFERROR(VLOOKUP(G367,'附表8-合同明细采集底稿'!B:M,12,0),100%)</f>
        <v>1</v>
      </c>
      <c r="T367" s="173">
        <f t="shared" si="21"/>
        <v>1134.15</v>
      </c>
      <c r="U367" s="119" t="s">
        <v>2491</v>
      </c>
      <c r="V367" s="178" t="s">
        <v>335</v>
      </c>
      <c r="W367" s="179">
        <v>0</v>
      </c>
      <c r="X367" s="179">
        <f>IF(SUM('附表1-面积统计表'!$D$6)=0,"",SUM(T367)-SUM(W367)-SUM(Y367))</f>
        <v>0</v>
      </c>
      <c r="Y367" s="179">
        <f t="shared" si="24"/>
        <v>1134.15</v>
      </c>
      <c r="Z367" s="181" t="s">
        <v>2492</v>
      </c>
      <c r="AA367" s="164"/>
      <c r="AB367" s="182" t="s">
        <v>1686</v>
      </c>
    </row>
    <row r="368" ht="29" hidden="1" customHeight="1" spans="1:28">
      <c r="A368" s="159">
        <v>394</v>
      </c>
      <c r="B368" s="227" t="s">
        <v>2392</v>
      </c>
      <c r="C368" s="227" t="s">
        <v>1818</v>
      </c>
      <c r="D368" s="162" t="s">
        <v>1739</v>
      </c>
      <c r="E368" s="163" t="s">
        <v>2663</v>
      </c>
      <c r="F368" s="229" t="s">
        <v>2793</v>
      </c>
      <c r="G368" s="165" t="s">
        <v>2796</v>
      </c>
      <c r="H368" s="164" t="str">
        <f>IF(G368="","",VLOOKUP(G368,'附表8-合同明细采集底稿'!B:I,2,0))</f>
        <v>电气外网供货安装合同（4#-17#31#-36#、12#-38#）2、3、36</v>
      </c>
      <c r="I368" s="92" t="str">
        <f>IF(G368="","",VLOOKUP(G368,'附表8-合同明细采集底稿'!B:I,3,0))</f>
        <v>建设工程合同</v>
      </c>
      <c r="J368" s="164" t="str">
        <f>IF(G368="","",VLOOKUP(G368,'附表8-合同明细采集底稿'!B:I,4,0))</f>
        <v>巴州鑫磊机电设备开关有限责任公司（张国宏）</v>
      </c>
      <c r="K368" s="164" t="s">
        <v>1711</v>
      </c>
      <c r="L368" s="165" t="s">
        <v>1705</v>
      </c>
      <c r="M368" s="242" t="s">
        <v>2798</v>
      </c>
      <c r="N368" s="173">
        <v>28572.04</v>
      </c>
      <c r="O368" s="173">
        <v>32286.4052</v>
      </c>
      <c r="P368" s="174">
        <v>28572.04</v>
      </c>
      <c r="Q368" s="173"/>
      <c r="R368" s="173">
        <f t="shared" si="22"/>
        <v>28572.04</v>
      </c>
      <c r="S368" s="177">
        <f>IFERROR(VLOOKUP(G368,'附表8-合同明细采集底稿'!B:M,12,0),100%)</f>
        <v>1</v>
      </c>
      <c r="T368" s="173">
        <f t="shared" ref="T368:T374" si="25">ROUND(SUM(R368)*SUM(S368),2)</f>
        <v>28572.04</v>
      </c>
      <c r="U368" s="119" t="s">
        <v>2491</v>
      </c>
      <c r="V368" s="178" t="s">
        <v>335</v>
      </c>
      <c r="W368" s="179">
        <v>0</v>
      </c>
      <c r="X368" s="179">
        <f>IF(SUM('附表1-面积统计表'!$D$6)=0,"",SUM(T368)-SUM(W368)-SUM(Y368))</f>
        <v>0</v>
      </c>
      <c r="Y368" s="179">
        <f t="shared" si="24"/>
        <v>28572.04</v>
      </c>
      <c r="Z368" s="181" t="s">
        <v>2492</v>
      </c>
      <c r="AA368" s="164"/>
      <c r="AB368" s="182" t="s">
        <v>1686</v>
      </c>
    </row>
    <row r="369" ht="29" hidden="1" customHeight="1" spans="1:28">
      <c r="A369" s="159">
        <v>395</v>
      </c>
      <c r="B369" s="227" t="s">
        <v>2392</v>
      </c>
      <c r="C369" s="227" t="s">
        <v>2313</v>
      </c>
      <c r="D369" s="162" t="s">
        <v>1739</v>
      </c>
      <c r="E369" s="163" t="s">
        <v>2663</v>
      </c>
      <c r="F369" s="229" t="s">
        <v>2799</v>
      </c>
      <c r="G369" s="165" t="s">
        <v>2671</v>
      </c>
      <c r="H369" s="164" t="str">
        <f>IF(G369="","",VLOOKUP(G369,'附表8-合同明细采集底稿'!B:I,2,0))</f>
        <v>电气外网供货安装合同（4#-17#31#-36#、12#-38#）4-11.16/17#</v>
      </c>
      <c r="I369" s="92" t="str">
        <f>IF(G369="","",VLOOKUP(G369,'附表8-合同明细采集底稿'!B:I,3,0))</f>
        <v>建设工程合同</v>
      </c>
      <c r="J369" s="164" t="str">
        <f>IF(G369="","",VLOOKUP(G369,'附表8-合同明细采集底稿'!B:I,4,0))</f>
        <v>新疆拓宇电力建设工程有限公司（何永权）</v>
      </c>
      <c r="K369" s="164" t="s">
        <v>1711</v>
      </c>
      <c r="L369" s="165"/>
      <c r="M369" s="242" t="s">
        <v>2800</v>
      </c>
      <c r="N369" s="173">
        <v>223343.117247706</v>
      </c>
      <c r="O369" s="173">
        <v>243443.9978</v>
      </c>
      <c r="P369" s="174">
        <v>223343.117247706</v>
      </c>
      <c r="Q369" s="173"/>
      <c r="R369" s="173">
        <f t="shared" si="22"/>
        <v>223343.117247706</v>
      </c>
      <c r="S369" s="177">
        <f>IFERROR(VLOOKUP(G369,'附表8-合同明细采集底稿'!B:M,12,0),100%)</f>
        <v>1</v>
      </c>
      <c r="T369" s="173">
        <f t="shared" si="25"/>
        <v>223343.12</v>
      </c>
      <c r="U369" s="119" t="s">
        <v>2496</v>
      </c>
      <c r="V369" s="178" t="s">
        <v>336</v>
      </c>
      <c r="W369" s="179">
        <f>IF('附表1-面积统计表'!$D$29=0,"",IF(AND(V369="共同成本费用",Z369="总建筑面积法"),ROUND(T369/'附表1-面积统计表'!$D$29*'附表1-面积统计表'!$D$5,2),IF(AND(V369="共同成本费用",Z369="可售建筑面积法"),ROUND(T369/'附表1-面积统计表'!$F$29*'附表1-面积统计表'!$F$5,2),"请手工填写")))</f>
        <v>81571.48</v>
      </c>
      <c r="X369" s="179">
        <f>IF(SUM('附表1-面积统计表'!$D$6)=0,"",SUM(T369)-SUM(W369)-SUM(Y369))</f>
        <v>100599.97</v>
      </c>
      <c r="Y369" s="179">
        <f>IF(SUM('附表1-面积统计表'!$D$6)=0,SUM(T369)-SUM(W369),IF('附表1-面积统计表'!$D$29=0,"",IF(AND(V369="共同成本费用",Z369="总建筑面积法"),ROUND(T369/'附表1-面积统计表'!$D$29*'附表1-面积统计表'!$D$7,2),IF(AND(V369="共同成本费用",Z369="可售建筑面积法"),ROUND(T369/'附表1-面积统计表'!$F$29*'附表1-面积统计表'!$F$7,2),"请手工填写"))))</f>
        <v>41171.67</v>
      </c>
      <c r="Z369" s="181" t="s">
        <v>311</v>
      </c>
      <c r="AA369" s="164"/>
      <c r="AB369" s="182" t="s">
        <v>1686</v>
      </c>
    </row>
    <row r="370" ht="29" hidden="1" customHeight="1" spans="1:28">
      <c r="A370" s="159">
        <v>396</v>
      </c>
      <c r="B370" s="227" t="s">
        <v>2392</v>
      </c>
      <c r="C370" s="227" t="s">
        <v>2313</v>
      </c>
      <c r="D370" s="162" t="s">
        <v>1739</v>
      </c>
      <c r="E370" s="163" t="s">
        <v>2663</v>
      </c>
      <c r="F370" s="229" t="s">
        <v>2799</v>
      </c>
      <c r="G370" s="165" t="s">
        <v>2801</v>
      </c>
      <c r="H370" s="164" t="str">
        <f>IF(G370="","",VLOOKUP(G370,'附表8-合同明细采集底稿'!B:I,2,0))</f>
        <v>电气外网供货安装合同（4#-17#31#-36#、12#-38#）2、3#</v>
      </c>
      <c r="I370" s="92" t="str">
        <f>IF(G370="","",VLOOKUP(G370,'附表8-合同明细采集底稿'!B:I,3,0))</f>
        <v>建设工程合同</v>
      </c>
      <c r="J370" s="164" t="str">
        <f>IF(G370="","",VLOOKUP(G370,'附表8-合同明细采集底稿'!B:I,4,0))</f>
        <v>新疆拓宇电力建设工程有限公司（何永权）</v>
      </c>
      <c r="K370" s="164" t="s">
        <v>1711</v>
      </c>
      <c r="L370" s="165"/>
      <c r="M370" s="242" t="s">
        <v>2800</v>
      </c>
      <c r="N370" s="173">
        <v>14004.5871559633</v>
      </c>
      <c r="O370" s="173">
        <v>15265</v>
      </c>
      <c r="P370" s="174">
        <v>14004.5871559633</v>
      </c>
      <c r="Q370" s="173"/>
      <c r="R370" s="173">
        <f t="shared" si="22"/>
        <v>14004.5871559633</v>
      </c>
      <c r="S370" s="177">
        <f>IFERROR(VLOOKUP(G370,'附表8-合同明细采集底稿'!B:M,12,0),100%)</f>
        <v>1</v>
      </c>
      <c r="T370" s="173">
        <f t="shared" si="25"/>
        <v>14004.59</v>
      </c>
      <c r="U370" s="119" t="s">
        <v>2491</v>
      </c>
      <c r="V370" s="178" t="s">
        <v>335</v>
      </c>
      <c r="W370" s="179">
        <v>0</v>
      </c>
      <c r="X370" s="179">
        <f>IF(SUM('附表1-面积统计表'!$D$6)=0,"",SUM(T370)-SUM(W370)-SUM(Y370))</f>
        <v>0</v>
      </c>
      <c r="Y370" s="179">
        <f>T370</f>
        <v>14004.59</v>
      </c>
      <c r="Z370" s="181" t="s">
        <v>2492</v>
      </c>
      <c r="AA370" s="164"/>
      <c r="AB370" s="182" t="s">
        <v>1686</v>
      </c>
    </row>
    <row r="371" ht="29" hidden="1" customHeight="1" spans="1:28">
      <c r="A371" s="159">
        <v>401</v>
      </c>
      <c r="B371" s="227" t="s">
        <v>2392</v>
      </c>
      <c r="C371" s="227" t="s">
        <v>2313</v>
      </c>
      <c r="D371" s="162" t="s">
        <v>1739</v>
      </c>
      <c r="E371" s="163" t="s">
        <v>2663</v>
      </c>
      <c r="F371" s="229" t="s">
        <v>2799</v>
      </c>
      <c r="G371" s="165" t="s">
        <v>2802</v>
      </c>
      <c r="H371" s="164" t="str">
        <f>IF(G371="","",VLOOKUP(G371,'附表8-合同明细采集底稿'!B:I,2,0))</f>
        <v>电气外网供货安装合同（4#-17#31#-36#、12#-38#）36#</v>
      </c>
      <c r="I371" s="92" t="str">
        <f>IF(G371="","",VLOOKUP(G371,'附表8-合同明细采集底稿'!B:I,3,0))</f>
        <v>建设工程合同</v>
      </c>
      <c r="J371" s="164" t="str">
        <f>IF(G371="","",VLOOKUP(G371,'附表8-合同明细采集底稿'!B:I,4,0))</f>
        <v>新疆拓宇电力建设工程有限公司（何永权）</v>
      </c>
      <c r="K371" s="164" t="s">
        <v>1711</v>
      </c>
      <c r="L371" s="165"/>
      <c r="M371" s="242" t="s">
        <v>2800</v>
      </c>
      <c r="N371" s="173">
        <v>10358.7155963303</v>
      </c>
      <c r="O371" s="173">
        <v>11291</v>
      </c>
      <c r="P371" s="174">
        <v>10358.7155963303</v>
      </c>
      <c r="Q371" s="173"/>
      <c r="R371" s="173">
        <f t="shared" si="22"/>
        <v>10358.7155963303</v>
      </c>
      <c r="S371" s="177">
        <f>IFERROR(VLOOKUP(G371,'附表8-合同明细采集底稿'!B:M,12,0),100%)</f>
        <v>1</v>
      </c>
      <c r="T371" s="173">
        <f t="shared" si="25"/>
        <v>10358.72</v>
      </c>
      <c r="U371" s="119" t="s">
        <v>2491</v>
      </c>
      <c r="V371" s="178" t="s">
        <v>335</v>
      </c>
      <c r="W371" s="179">
        <v>0</v>
      </c>
      <c r="X371" s="179">
        <f>IF(SUM('附表1-面积统计表'!$D$6)=0,"",SUM(T371)-SUM(W371)-SUM(Y371))</f>
        <v>0</v>
      </c>
      <c r="Y371" s="179">
        <f>T371</f>
        <v>10358.72</v>
      </c>
      <c r="Z371" s="181" t="s">
        <v>2492</v>
      </c>
      <c r="AA371" s="164"/>
      <c r="AB371" s="182" t="s">
        <v>1686</v>
      </c>
    </row>
    <row r="372" ht="29" hidden="1" customHeight="1" spans="1:28">
      <c r="A372" s="159">
        <v>402</v>
      </c>
      <c r="B372" s="227" t="s">
        <v>2392</v>
      </c>
      <c r="C372" s="227" t="s">
        <v>2510</v>
      </c>
      <c r="D372" s="162" t="s">
        <v>1739</v>
      </c>
      <c r="E372" s="163" t="s">
        <v>2639</v>
      </c>
      <c r="F372" s="229" t="s">
        <v>2803</v>
      </c>
      <c r="G372" s="165" t="s">
        <v>2645</v>
      </c>
      <c r="H372" s="164" t="str">
        <f>IF(G372="","",VLOOKUP(G372,'附表8-合同明细采集底稿'!B:I,2,0))</f>
        <v>沁春锦苑4#-17#楼可视对讲安装工程</v>
      </c>
      <c r="I372" s="92" t="str">
        <f>IF(G372="","",VLOOKUP(G372,'附表8-合同明细采集底稿'!B:I,3,0))</f>
        <v>建设工程合同</v>
      </c>
      <c r="J372" s="164" t="str">
        <f>IF(G372="","",VLOOKUP(G372,'附表8-合同明细采集底稿'!B:I,4,0))</f>
        <v>巴州青橄榄电子科技有限公司（党曌）</v>
      </c>
      <c r="K372" s="164" t="s">
        <v>1711</v>
      </c>
      <c r="L372" s="165"/>
      <c r="M372" s="242" t="s">
        <v>2804</v>
      </c>
      <c r="N372" s="173">
        <v>118811.88</v>
      </c>
      <c r="O372" s="173">
        <v>120000</v>
      </c>
      <c r="P372" s="174">
        <v>118811.88</v>
      </c>
      <c r="Q372" s="173"/>
      <c r="R372" s="173">
        <f t="shared" si="22"/>
        <v>118811.88</v>
      </c>
      <c r="S372" s="177">
        <f>IFERROR(VLOOKUP(G372,'附表8-合同明细采集底稿'!B:M,12,0),100%)</f>
        <v>1</v>
      </c>
      <c r="T372" s="173">
        <f t="shared" si="25"/>
        <v>118811.88</v>
      </c>
      <c r="U372" s="119" t="s">
        <v>2509</v>
      </c>
      <c r="V372" s="178" t="s">
        <v>335</v>
      </c>
      <c r="W372" s="179">
        <f>ROUND(T372*成本分摊比例!$I$53,2)</f>
        <v>47073.27</v>
      </c>
      <c r="X372" s="179">
        <f>IF(SUM('附表1-面积统计表'!$D$6)=0,"",SUM(T372)-SUM(W372)-SUM(Y372))</f>
        <v>58051.48</v>
      </c>
      <c r="Y372" s="179">
        <f>ROUND(T372*成本分摊比例!$K$53,2)</f>
        <v>13687.13</v>
      </c>
      <c r="Z372" s="181" t="s">
        <v>2492</v>
      </c>
      <c r="AA372" s="164"/>
      <c r="AB372" s="182" t="s">
        <v>1686</v>
      </c>
    </row>
    <row r="373" ht="29" hidden="1" customHeight="1" spans="1:28">
      <c r="A373" s="159"/>
      <c r="B373" s="227" t="s">
        <v>2392</v>
      </c>
      <c r="C373" s="227" t="s">
        <v>2510</v>
      </c>
      <c r="D373" s="162" t="s">
        <v>1739</v>
      </c>
      <c r="E373" s="163" t="s">
        <v>2639</v>
      </c>
      <c r="F373" s="229" t="s">
        <v>2803</v>
      </c>
      <c r="G373" s="119" t="s">
        <v>2778</v>
      </c>
      <c r="H373" s="164" t="str">
        <f>IF(G373="","",VLOOKUP(G373,'附表8-合同明细采集底稿'!B:I,2,0))</f>
        <v>沁春锦苑二期、三期（2-18、21、22、38）楼弱电及弱电管道、监控、道闸、单元人脸识别、高空抛物、电子围栏预埋工程合同（2-17）</v>
      </c>
      <c r="I373" s="92"/>
      <c r="J373" s="164" t="s">
        <v>2805</v>
      </c>
      <c r="K373" s="164" t="s">
        <v>1711</v>
      </c>
      <c r="L373" s="165"/>
      <c r="M373" s="242" t="s">
        <v>2806</v>
      </c>
      <c r="N373" s="239">
        <v>297853.47</v>
      </c>
      <c r="O373" s="173">
        <v>270621.9957</v>
      </c>
      <c r="P373" s="240">
        <v>297853.47</v>
      </c>
      <c r="Q373" s="173"/>
      <c r="R373" s="173">
        <f t="shared" si="22"/>
        <v>297853.47</v>
      </c>
      <c r="S373" s="177">
        <f>IFERROR(VLOOKUP(G373,'附表8-合同明细采集底稿'!B:M,12,0),100%)</f>
        <v>1</v>
      </c>
      <c r="T373" s="173">
        <f t="shared" si="25"/>
        <v>297853.47</v>
      </c>
      <c r="U373" s="119" t="s">
        <v>2509</v>
      </c>
      <c r="V373" s="178" t="s">
        <v>335</v>
      </c>
      <c r="W373" s="179">
        <f>ROUND(T373*成本分摊比例!$I$53,2)</f>
        <v>118009.54</v>
      </c>
      <c r="X373" s="179">
        <f>IF(SUM('附表1-面积统计表'!$D$6)=0,"",SUM(T373)-SUM(W373)-SUM(Y373))</f>
        <v>145531.21</v>
      </c>
      <c r="Y373" s="179">
        <f>ROUND(T373*成本分摊比例!$K$53,2)</f>
        <v>34312.72</v>
      </c>
      <c r="Z373" s="181" t="s">
        <v>2492</v>
      </c>
      <c r="AA373" s="164"/>
      <c r="AB373" s="182" t="s">
        <v>1686</v>
      </c>
    </row>
    <row r="374" ht="29" hidden="1" customHeight="1" spans="1:28">
      <c r="A374" s="159"/>
      <c r="B374" s="227" t="s">
        <v>1345</v>
      </c>
      <c r="C374" s="227" t="s">
        <v>2807</v>
      </c>
      <c r="D374" s="231" t="s">
        <v>1707</v>
      </c>
      <c r="E374" s="163" t="s">
        <v>2451</v>
      </c>
      <c r="F374" s="229" t="s">
        <v>2808</v>
      </c>
      <c r="G374" s="165"/>
      <c r="H374" s="164"/>
      <c r="I374" s="92"/>
      <c r="J374" s="164" t="s">
        <v>2809</v>
      </c>
      <c r="K374" s="164" t="s">
        <v>1704</v>
      </c>
      <c r="L374" s="165" t="s">
        <v>1705</v>
      </c>
      <c r="M374" s="242" t="s">
        <v>2810</v>
      </c>
      <c r="N374" s="237">
        <v>100000</v>
      </c>
      <c r="O374" s="173">
        <v>100000</v>
      </c>
      <c r="P374" s="241">
        <v>100000</v>
      </c>
      <c r="Q374" s="180">
        <f>-P374</f>
        <v>-100000</v>
      </c>
      <c r="R374" s="173">
        <f t="shared" si="22"/>
        <v>0</v>
      </c>
      <c r="S374" s="177">
        <f>IFERROR(VLOOKUP(G374,'附表8-合同明细采集底稿'!B:M,12,0),100%)</f>
        <v>1</v>
      </c>
      <c r="T374" s="173">
        <f t="shared" si="25"/>
        <v>0</v>
      </c>
      <c r="U374" s="119" t="s">
        <v>2496</v>
      </c>
      <c r="V374" s="178" t="s">
        <v>336</v>
      </c>
      <c r="W374" s="179">
        <f>IF('附表1-面积统计表'!$D$29=0,"",IF(AND(V374="共同成本费用",Z374="总建筑面积法"),ROUND(T374/'附表1-面积统计表'!$D$29*'附表1-面积统计表'!$D$5,2),IF(AND(V374="共同成本费用",Z374="可售建筑面积法"),ROUND(T374/'附表1-面积统计表'!$F$29*'附表1-面积统计表'!$F$5,2),"请手工填写")))</f>
        <v>0</v>
      </c>
      <c r="X374" s="179">
        <f>IF(SUM('附表1-面积统计表'!$D$6)=0,"",SUM(T374)-SUM(W374)-SUM(Y374))</f>
        <v>0</v>
      </c>
      <c r="Y374" s="179">
        <f>IF(SUM('附表1-面积统计表'!$D$6)=0,SUM(T374)-SUM(W374),IF('附表1-面积统计表'!$D$29=0,"",IF(AND(V374="共同成本费用",Z374="总建筑面积法"),ROUND(T374/'附表1-面积统计表'!$D$29*'附表1-面积统计表'!$D$7,2),IF(AND(V374="共同成本费用",Z374="可售建筑面积法"),ROUND(T374/'附表1-面积统计表'!$F$29*'附表1-面积统计表'!$F$7,2),"请手工填写"))))</f>
        <v>0</v>
      </c>
      <c r="Z374" s="181" t="s">
        <v>311</v>
      </c>
      <c r="AA374" s="164"/>
      <c r="AB374" s="182" t="s">
        <v>1686</v>
      </c>
    </row>
    <row r="375" ht="29" hidden="1" customHeight="1" spans="1:28">
      <c r="A375" s="159">
        <v>404</v>
      </c>
      <c r="B375" s="227" t="s">
        <v>1345</v>
      </c>
      <c r="C375" s="227" t="s">
        <v>2811</v>
      </c>
      <c r="D375" s="162" t="s">
        <v>2488</v>
      </c>
      <c r="E375" s="163" t="s">
        <v>2489</v>
      </c>
      <c r="F375" s="229" t="s">
        <v>2812</v>
      </c>
      <c r="G375" s="165" t="s">
        <v>2813</v>
      </c>
      <c r="H375" s="164" t="str">
        <f>IF(G375="","",VLOOKUP(G375,'附表8-合同明细采集底稿'!B:I,2,0))</f>
        <v>沁春锦苑4-11#16#17#楼顶不锈钢护栏安装合同</v>
      </c>
      <c r="I375" s="92" t="str">
        <f>IF(G375="","",VLOOKUP(G375,'附表8-合同明细采集底稿'!B:I,3,0))</f>
        <v>买卖合同</v>
      </c>
      <c r="J375" s="164" t="str">
        <f>IF(G375="","",VLOOKUP(G375,'附表8-合同明细采集底稿'!B:I,4,0))</f>
        <v>巴州冠华商贸有限公司</v>
      </c>
      <c r="K375" s="164" t="s">
        <v>1711</v>
      </c>
      <c r="L375" s="165" t="s">
        <v>1705</v>
      </c>
      <c r="M375" s="242" t="s">
        <v>2814</v>
      </c>
      <c r="N375" s="173">
        <v>55752.21</v>
      </c>
      <c r="O375" s="173">
        <v>62999.9973</v>
      </c>
      <c r="P375" s="174">
        <v>55752.21</v>
      </c>
      <c r="Q375" s="173"/>
      <c r="R375" s="173">
        <f t="shared" si="22"/>
        <v>55752.21</v>
      </c>
      <c r="S375" s="177">
        <f>IFERROR(VLOOKUP(G375,'附表8-合同明细采集底稿'!B:M,12,0),100%)</f>
        <v>1</v>
      </c>
      <c r="T375" s="173">
        <f t="shared" ref="T375:T382" si="26">ROUND(SUM(R375)*SUM(S375),2)</f>
        <v>55752.21</v>
      </c>
      <c r="U375" s="119" t="s">
        <v>2509</v>
      </c>
      <c r="V375" s="178" t="s">
        <v>335</v>
      </c>
      <c r="W375" s="179">
        <f>ROUND(T375*成本分摊比例!$I$53,2)</f>
        <v>22089.03</v>
      </c>
      <c r="X375" s="179">
        <f>IF(SUM('附表1-面积统计表'!$D$6)=0,"",SUM(T375)-SUM(W375)-SUM(Y375))</f>
        <v>27240.53</v>
      </c>
      <c r="Y375" s="179">
        <f>ROUND(T375*成本分摊比例!$K$53,2)</f>
        <v>6422.65</v>
      </c>
      <c r="Z375" s="181" t="s">
        <v>2492</v>
      </c>
      <c r="AA375" s="164"/>
      <c r="AB375" s="182" t="s">
        <v>1686</v>
      </c>
    </row>
    <row r="376" ht="29" hidden="1" customHeight="1" spans="1:28">
      <c r="A376" s="159">
        <v>405</v>
      </c>
      <c r="B376" s="227" t="s">
        <v>1345</v>
      </c>
      <c r="C376" s="227" t="s">
        <v>2811</v>
      </c>
      <c r="D376" s="162" t="s">
        <v>2488</v>
      </c>
      <c r="E376" s="163" t="s">
        <v>2489</v>
      </c>
      <c r="F376" s="229" t="s">
        <v>2812</v>
      </c>
      <c r="G376" s="165" t="s">
        <v>2815</v>
      </c>
      <c r="H376" s="164" t="str">
        <f>IF(G376="","",VLOOKUP(G376,'附表8-合同明细采集底稿'!B:I,2,0))</f>
        <v>沁春锦苑4#-11#、16#17#楼后花园围栏制作安装</v>
      </c>
      <c r="I376" s="92" t="str">
        <f>IF(G376="","",VLOOKUP(G376,'附表8-合同明细采集底稿'!B:I,3,0))</f>
        <v>买卖合同</v>
      </c>
      <c r="J376" s="164" t="str">
        <f>IF(G376="","",VLOOKUP(G376,'附表8-合同明细采集底稿'!B:I,4,0))</f>
        <v>巴州冠华商贸有限公司</v>
      </c>
      <c r="K376" s="164" t="s">
        <v>1711</v>
      </c>
      <c r="L376" s="165" t="s">
        <v>2816</v>
      </c>
      <c r="M376" s="242" t="s">
        <v>2817</v>
      </c>
      <c r="N376" s="173">
        <v>133805.31</v>
      </c>
      <c r="O376" s="173">
        <v>151200.0003</v>
      </c>
      <c r="P376" s="174">
        <v>133805.31</v>
      </c>
      <c r="Q376" s="173"/>
      <c r="R376" s="173">
        <f t="shared" si="22"/>
        <v>133805.31</v>
      </c>
      <c r="S376" s="177">
        <f>IFERROR(VLOOKUP(G376,'附表8-合同明细采集底稿'!B:M,12,0),100%)</f>
        <v>1</v>
      </c>
      <c r="T376" s="173">
        <f t="shared" si="26"/>
        <v>133805.31</v>
      </c>
      <c r="U376" s="119" t="s">
        <v>2509</v>
      </c>
      <c r="V376" s="178" t="s">
        <v>335</v>
      </c>
      <c r="W376" s="179">
        <f>ROUND(T376*成本分摊比例!$I$53,2)</f>
        <v>53013.66</v>
      </c>
      <c r="X376" s="179">
        <f>IF(SUM('附表1-面积统计表'!$D$6)=0,"",SUM(T376)-SUM(W376)-SUM(Y376))</f>
        <v>65377.28</v>
      </c>
      <c r="Y376" s="179">
        <f>ROUND(T376*成本分摊比例!$K$53,2)</f>
        <v>15414.37</v>
      </c>
      <c r="Z376" s="181" t="s">
        <v>2492</v>
      </c>
      <c r="AA376" s="164"/>
      <c r="AB376" s="182" t="s">
        <v>1686</v>
      </c>
    </row>
    <row r="377" ht="29" hidden="1" customHeight="1" spans="1:28">
      <c r="A377" s="159">
        <v>406</v>
      </c>
      <c r="B377" s="227" t="s">
        <v>1964</v>
      </c>
      <c r="C377" s="227" t="s">
        <v>2818</v>
      </c>
      <c r="D377" s="162" t="s">
        <v>2488</v>
      </c>
      <c r="E377" s="163" t="s">
        <v>2489</v>
      </c>
      <c r="F377" s="229" t="s">
        <v>2819</v>
      </c>
      <c r="G377" s="165" t="s">
        <v>2593</v>
      </c>
      <c r="H377" s="164" t="str">
        <f>IF(G377="","",VLOOKUP(G377,'附表8-合同明细采集底稿'!B:I,2,0))</f>
        <v>沁春锦苑3#楼内、外装修合同</v>
      </c>
      <c r="I377" s="92" t="str">
        <f>IF(G377="","",VLOOKUP(G377,'附表8-合同明细采集底稿'!B:I,3,0))</f>
        <v>建设工程合同</v>
      </c>
      <c r="J377" s="164" t="str">
        <f>IF(G377="","",VLOOKUP(G377,'附表8-合同明细采集底稿'!B:I,4,0))</f>
        <v>巴州水木堂建筑装饰有限公司（倪）</v>
      </c>
      <c r="K377" s="164" t="s">
        <v>1704</v>
      </c>
      <c r="L377" s="165" t="s">
        <v>2816</v>
      </c>
      <c r="M377" s="242" t="s">
        <v>2820</v>
      </c>
      <c r="N377" s="173">
        <v>200000</v>
      </c>
      <c r="O377" s="173">
        <v>200000</v>
      </c>
      <c r="P377" s="254">
        <v>200000</v>
      </c>
      <c r="Q377" s="173">
        <f>-P377</f>
        <v>-200000</v>
      </c>
      <c r="R377" s="173">
        <f t="shared" si="22"/>
        <v>0</v>
      </c>
      <c r="S377" s="177">
        <f>IFERROR(VLOOKUP(G377,'附表8-合同明细采集底稿'!B:M,12,0),100%)</f>
        <v>1</v>
      </c>
      <c r="T377" s="173">
        <f t="shared" si="26"/>
        <v>0</v>
      </c>
      <c r="U377" s="119" t="s">
        <v>2594</v>
      </c>
      <c r="V377" s="178" t="s">
        <v>335</v>
      </c>
      <c r="W377" s="179">
        <v>0</v>
      </c>
      <c r="X377" s="179">
        <f>IF(SUM('附表1-面积统计表'!$D$6)=0,"",SUM(T377)-SUM(W377)-SUM(Y377))</f>
        <v>0</v>
      </c>
      <c r="Y377" s="179">
        <f>T377</f>
        <v>0</v>
      </c>
      <c r="Z377" s="181" t="s">
        <v>2492</v>
      </c>
      <c r="AA377" s="164"/>
      <c r="AB377" s="182" t="s">
        <v>1686</v>
      </c>
    </row>
    <row r="378" ht="29" hidden="1" customHeight="1" spans="1:28">
      <c r="A378" s="159">
        <v>407</v>
      </c>
      <c r="B378" s="227" t="s">
        <v>2821</v>
      </c>
      <c r="C378" s="227" t="s">
        <v>1812</v>
      </c>
      <c r="D378" s="162" t="s">
        <v>1739</v>
      </c>
      <c r="E378" s="163" t="s">
        <v>2760</v>
      </c>
      <c r="F378" s="229" t="s">
        <v>2822</v>
      </c>
      <c r="G378" s="165" t="s">
        <v>2823</v>
      </c>
      <c r="H378" s="164" t="str">
        <f>IF(G378="","",VLOOKUP(G378,'附表8-合同明细采集底稿'!B:I,2,0))</f>
        <v>4#-17#天然气安装工程委托建设管理协议书</v>
      </c>
      <c r="I378" s="92" t="str">
        <f>IF(G378="","",VLOOKUP(G378,'附表8-合同明细采集底稿'!B:I,3,0))</f>
        <v>建设工程合同</v>
      </c>
      <c r="J378" s="164" t="str">
        <f>IF(G378="","",VLOOKUP(G378,'附表8-合同明细采集底稿'!B:I,4,0))</f>
        <v>新疆南天城建（集团）股份有限公司</v>
      </c>
      <c r="K378" s="164" t="s">
        <v>1711</v>
      </c>
      <c r="L378" s="165" t="s">
        <v>2824</v>
      </c>
      <c r="M378" s="242" t="s">
        <v>2825</v>
      </c>
      <c r="N378" s="173">
        <v>1058652.78</v>
      </c>
      <c r="O378" s="173">
        <v>1153931.5302</v>
      </c>
      <c r="P378" s="174">
        <v>1058652.78</v>
      </c>
      <c r="Q378" s="173"/>
      <c r="R378" s="173">
        <f t="shared" si="22"/>
        <v>1058652.78</v>
      </c>
      <c r="S378" s="177">
        <f>IFERROR(VLOOKUP(G378,'附表8-合同明细采集底稿'!B:M,12,0),100%)</f>
        <v>1</v>
      </c>
      <c r="T378" s="173">
        <f t="shared" si="26"/>
        <v>1058652.78</v>
      </c>
      <c r="U378" s="119" t="s">
        <v>2509</v>
      </c>
      <c r="V378" s="178" t="s">
        <v>335</v>
      </c>
      <c r="W378" s="179">
        <f>ROUND(T378*成本分摊比例!$I$53,2)</f>
        <v>419438.23</v>
      </c>
      <c r="X378" s="179">
        <f>IF(SUM('附表1-面积统计表'!$D$6)=0,"",SUM(T378)-SUM(W378)-SUM(Y378))</f>
        <v>517257.75</v>
      </c>
      <c r="Y378" s="179">
        <f>ROUND(T378*成本分摊比例!$K$53,2)</f>
        <v>121956.8</v>
      </c>
      <c r="Z378" s="181" t="s">
        <v>2492</v>
      </c>
      <c r="AA378" s="164"/>
      <c r="AB378" s="182" t="s">
        <v>1686</v>
      </c>
    </row>
    <row r="379" ht="29" hidden="1" customHeight="1" spans="1:28">
      <c r="A379" s="159">
        <v>408</v>
      </c>
      <c r="B379" s="227" t="s">
        <v>1393</v>
      </c>
      <c r="C379" s="227" t="s">
        <v>2046</v>
      </c>
      <c r="D379" s="162" t="s">
        <v>2488</v>
      </c>
      <c r="E379" s="163" t="s">
        <v>2489</v>
      </c>
      <c r="F379" s="229" t="s">
        <v>2826</v>
      </c>
      <c r="G379" s="165" t="s">
        <v>2528</v>
      </c>
      <c r="H379" s="164" t="str">
        <f>IF(G379="","",VLOOKUP(G379,'附表8-合同明细采集底稿'!B:I,2,0))</f>
        <v>建设工程监理合同</v>
      </c>
      <c r="I379" s="92" t="str">
        <f>IF(G379="","",VLOOKUP(G379,'附表8-合同明细采集底稿'!B:I,3,0))</f>
        <v>技术合同</v>
      </c>
      <c r="J379" s="164" t="str">
        <f>IF(G379="","",VLOOKUP(G379,'附表8-合同明细采集底稿'!B:I,4,0))</f>
        <v>巴州智诚工程项目管理服务有限公司（朱金桥）</v>
      </c>
      <c r="K379" s="164" t="s">
        <v>1711</v>
      </c>
      <c r="L379" s="165" t="s">
        <v>2816</v>
      </c>
      <c r="M379" s="242" t="s">
        <v>2827</v>
      </c>
      <c r="N379" s="173">
        <v>8605.05</v>
      </c>
      <c r="O379" s="173">
        <v>8863.2015</v>
      </c>
      <c r="P379" s="174">
        <v>8605.05</v>
      </c>
      <c r="Q379" s="173"/>
      <c r="R379" s="173">
        <f t="shared" si="22"/>
        <v>8605.05</v>
      </c>
      <c r="S379" s="177">
        <f>IFERROR(VLOOKUP(G379,'附表8-合同明细采集底稿'!B:M,12,0),100%)</f>
        <v>1</v>
      </c>
      <c r="T379" s="173">
        <f t="shared" si="26"/>
        <v>8605.05</v>
      </c>
      <c r="U379" s="119" t="s">
        <v>2496</v>
      </c>
      <c r="V379" s="178" t="s">
        <v>336</v>
      </c>
      <c r="W379" s="179">
        <f>IF('附表1-面积统计表'!$D$29=0,"",IF(AND(V379="共同成本费用",Z379="总建筑面积法"),ROUND(T379/'附表1-面积统计表'!$D$29*'附表1-面积统计表'!$D$5,2),IF(AND(V379="共同成本费用",Z379="可售建筑面积法"),ROUND(T379/'附表1-面积统计表'!$F$29*'附表1-面积统计表'!$F$5,2),"请手工填写")))</f>
        <v>3142.82</v>
      </c>
      <c r="X379" s="179">
        <f>IF(SUM('附表1-面积统计表'!$D$6)=0,"",SUM(T379)-SUM(W379)-SUM(Y379))</f>
        <v>3875.95</v>
      </c>
      <c r="Y379" s="179">
        <f>IF(SUM('附表1-面积统计表'!$D$6)=0,SUM(T379)-SUM(W379),IF('附表1-面积统计表'!$D$29=0,"",IF(AND(V379="共同成本费用",Z379="总建筑面积法"),ROUND(T379/'附表1-面积统计表'!$D$29*'附表1-面积统计表'!$D$7,2),IF(AND(V379="共同成本费用",Z379="可售建筑面积法"),ROUND(T379/'附表1-面积统计表'!$F$29*'附表1-面积统计表'!$F$7,2),"请手工填写"))))</f>
        <v>1586.28</v>
      </c>
      <c r="Z379" s="181" t="s">
        <v>311</v>
      </c>
      <c r="AA379" s="164"/>
      <c r="AB379" s="182" t="s">
        <v>1686</v>
      </c>
    </row>
    <row r="380" ht="29" hidden="1" customHeight="1" spans="1:28">
      <c r="A380" s="159">
        <v>409</v>
      </c>
      <c r="B380" s="227" t="s">
        <v>1393</v>
      </c>
      <c r="C380" s="227" t="s">
        <v>2046</v>
      </c>
      <c r="D380" s="162" t="s">
        <v>2488</v>
      </c>
      <c r="E380" s="163" t="s">
        <v>2489</v>
      </c>
      <c r="F380" s="229" t="s">
        <v>2826</v>
      </c>
      <c r="G380" s="165" t="s">
        <v>2528</v>
      </c>
      <c r="H380" s="164" t="str">
        <f>IF(G380="","",VLOOKUP(G380,'附表8-合同明细采集底稿'!B:I,2,0))</f>
        <v>建设工程监理合同</v>
      </c>
      <c r="I380" s="92" t="str">
        <f>IF(G380="","",VLOOKUP(G380,'附表8-合同明细采集底稿'!B:I,3,0))</f>
        <v>技术合同</v>
      </c>
      <c r="J380" s="164" t="str">
        <f>IF(G380="","",VLOOKUP(G380,'附表8-合同明细采集底稿'!B:I,4,0))</f>
        <v>巴州智诚工程项目管理服务有限公司（朱金桥）</v>
      </c>
      <c r="K380" s="164" t="s">
        <v>1711</v>
      </c>
      <c r="L380" s="165" t="s">
        <v>2816</v>
      </c>
      <c r="M380" s="242" t="s">
        <v>2827</v>
      </c>
      <c r="N380" s="173">
        <v>32482.33</v>
      </c>
      <c r="O380" s="173">
        <v>33456.7999</v>
      </c>
      <c r="P380" s="174">
        <v>32482.33</v>
      </c>
      <c r="Q380" s="173"/>
      <c r="R380" s="173">
        <f t="shared" si="22"/>
        <v>32482.33</v>
      </c>
      <c r="S380" s="177">
        <f>IFERROR(VLOOKUP(G380,'附表8-合同明细采集底稿'!B:M,12,0),100%)</f>
        <v>1</v>
      </c>
      <c r="T380" s="173">
        <f t="shared" si="26"/>
        <v>32482.33</v>
      </c>
      <c r="U380" s="119" t="s">
        <v>2496</v>
      </c>
      <c r="V380" s="178" t="s">
        <v>336</v>
      </c>
      <c r="W380" s="179">
        <f>IF('附表1-面积统计表'!$D$29=0,"",IF(AND(V380="共同成本费用",Z380="总建筑面积法"),ROUND(T380/'附表1-面积统计表'!$D$29*'附表1-面积统计表'!$D$5,2),IF(AND(V380="共同成本费用",Z380="可售建筑面积法"),ROUND(T380/'附表1-面积统计表'!$F$29*'附表1-面积统计表'!$F$5,2),"请手工填写")))</f>
        <v>11863.5</v>
      </c>
      <c r="X380" s="179">
        <f>IF(SUM('附表1-面积统计表'!$D$6)=0,"",SUM(T380)-SUM(W380)-SUM(Y380))</f>
        <v>14630.95</v>
      </c>
      <c r="Y380" s="179">
        <f>IF(SUM('附表1-面积统计表'!$D$6)=0,SUM(T380)-SUM(W380),IF('附表1-面积统计表'!$D$29=0,"",IF(AND(V380="共同成本费用",Z380="总建筑面积法"),ROUND(T380/'附表1-面积统计表'!$D$29*'附表1-面积统计表'!$D$7,2),IF(AND(V380="共同成本费用",Z380="可售建筑面积法"),ROUND(T380/'附表1-面积统计表'!$F$29*'附表1-面积统计表'!$F$7,2),"请手工填写"))))</f>
        <v>5987.88</v>
      </c>
      <c r="Z380" s="181" t="s">
        <v>311</v>
      </c>
      <c r="AA380" s="164"/>
      <c r="AB380" s="182" t="s">
        <v>1686</v>
      </c>
    </row>
    <row r="381" ht="29" hidden="1" customHeight="1" spans="1:28">
      <c r="A381" s="159">
        <v>410</v>
      </c>
      <c r="B381" s="227" t="s">
        <v>1393</v>
      </c>
      <c r="C381" s="227" t="s">
        <v>1972</v>
      </c>
      <c r="D381" s="162" t="s">
        <v>1739</v>
      </c>
      <c r="E381" s="163" t="s">
        <v>1772</v>
      </c>
      <c r="F381" s="229" t="s">
        <v>1973</v>
      </c>
      <c r="G381" s="165" t="s">
        <v>2813</v>
      </c>
      <c r="H381" s="164" t="str">
        <f>IF(G381="","",VLOOKUP(G381,'附表8-合同明细采集底稿'!B:I,2,0))</f>
        <v>沁春锦苑4-11#16#17#楼顶不锈钢护栏安装合同</v>
      </c>
      <c r="I381" s="92" t="str">
        <f>IF(G381="","",VLOOKUP(G381,'附表8-合同明细采集底稿'!B:I,3,0))</f>
        <v>买卖合同</v>
      </c>
      <c r="J381" s="164" t="str">
        <f>IF(G381="","",VLOOKUP(G381,'附表8-合同明细采集底稿'!B:I,4,0))</f>
        <v>巴州冠华商贸有限公司</v>
      </c>
      <c r="K381" s="164" t="s">
        <v>1711</v>
      </c>
      <c r="L381" s="165"/>
      <c r="M381" s="242" t="s">
        <v>2828</v>
      </c>
      <c r="N381" s="173">
        <v>210867.26</v>
      </c>
      <c r="O381" s="173">
        <v>238280.0038</v>
      </c>
      <c r="P381" s="174">
        <v>210867.26</v>
      </c>
      <c r="Q381" s="173"/>
      <c r="R381" s="173">
        <f t="shared" si="22"/>
        <v>210867.26</v>
      </c>
      <c r="S381" s="177">
        <f>IFERROR(VLOOKUP(G381,'附表8-合同明细采集底稿'!B:M,12,0),100%)</f>
        <v>1</v>
      </c>
      <c r="T381" s="173">
        <f t="shared" si="26"/>
        <v>210867.26</v>
      </c>
      <c r="U381" s="119" t="s">
        <v>2509</v>
      </c>
      <c r="V381" s="178" t="s">
        <v>335</v>
      </c>
      <c r="W381" s="179">
        <f>ROUND(T381*成本分摊比例!$I$53,2)</f>
        <v>83545.61</v>
      </c>
      <c r="X381" s="179">
        <f>IF(SUM('附表1-面积统计表'!$D$6)=0,"",SUM(T381)-SUM(W381)-SUM(Y381))</f>
        <v>103029.74</v>
      </c>
      <c r="Y381" s="179">
        <f>ROUND(T381*成本分摊比例!$K$53,2)</f>
        <v>24291.91</v>
      </c>
      <c r="Z381" s="181" t="s">
        <v>2492</v>
      </c>
      <c r="AA381" s="164"/>
      <c r="AB381" s="182" t="s">
        <v>1686</v>
      </c>
    </row>
    <row r="382" ht="29" hidden="1" customHeight="1" spans="1:28">
      <c r="A382" s="159">
        <v>411</v>
      </c>
      <c r="B382" s="227" t="s">
        <v>2298</v>
      </c>
      <c r="C382" s="227" t="s">
        <v>2687</v>
      </c>
      <c r="D382" s="162" t="s">
        <v>2488</v>
      </c>
      <c r="E382" s="163" t="s">
        <v>2489</v>
      </c>
      <c r="F382" s="229" t="s">
        <v>2829</v>
      </c>
      <c r="G382" s="165" t="s">
        <v>2537</v>
      </c>
      <c r="H382" s="164" t="str">
        <f>IF(G382="","",VLOOKUP(G382,'附表8-合同明细采集底稿'!B:I,2,0))</f>
        <v>沁春锦苑4#-11#、16.17.住宅楼，2#3#36#商业楼建设工程施工合同（4-11/16/17#）</v>
      </c>
      <c r="I382" s="92" t="str">
        <f>IF(G382="","",VLOOKUP(G382,'附表8-合同明细采集底稿'!B:I,3,0))</f>
        <v>建设工程合同</v>
      </c>
      <c r="J382" s="164" t="str">
        <f>IF(G382="","",VLOOKUP(G382,'附表8-合同明细采集底稿'!B:I,4,0))</f>
        <v>新疆通力建设集团股份有限公司（邓）</v>
      </c>
      <c r="K382" s="164" t="s">
        <v>1711</v>
      </c>
      <c r="L382" s="165" t="s">
        <v>2824</v>
      </c>
      <c r="M382" s="242" t="s">
        <v>2830</v>
      </c>
      <c r="N382" s="173">
        <v>4927941.28</v>
      </c>
      <c r="O382" s="173">
        <v>5371455.9952</v>
      </c>
      <c r="P382" s="174">
        <v>4927941.28</v>
      </c>
      <c r="Q382" s="173"/>
      <c r="R382" s="173">
        <f t="shared" si="22"/>
        <v>4927941.28</v>
      </c>
      <c r="S382" s="177">
        <f>IFERROR(VLOOKUP(G382,'附表8-合同明细采集底稿'!B:M,12,0),100%)</f>
        <v>1</v>
      </c>
      <c r="T382" s="173">
        <f t="shared" si="26"/>
        <v>4927941.28</v>
      </c>
      <c r="U382" s="119" t="s">
        <v>2509</v>
      </c>
      <c r="V382" s="178" t="s">
        <v>335</v>
      </c>
      <c r="W382" s="179">
        <f>ROUND(T382*成本分摊比例!$I$53,2)</f>
        <v>1952450.34</v>
      </c>
      <c r="X382" s="179">
        <f>IF(SUM('附表1-面积统计表'!$D$6)=0,"",SUM(T382)-SUM(W382)-SUM(Y382))</f>
        <v>2407792.1</v>
      </c>
      <c r="Y382" s="179">
        <f>ROUND(T382*成本分摊比例!$K$53,2)</f>
        <v>567698.84</v>
      </c>
      <c r="Z382" s="181" t="s">
        <v>2492</v>
      </c>
      <c r="AA382" s="164"/>
      <c r="AB382" s="182" t="s">
        <v>1686</v>
      </c>
    </row>
    <row r="383" ht="29" hidden="1" customHeight="1" spans="1:28">
      <c r="A383" s="159">
        <v>414</v>
      </c>
      <c r="B383" s="227" t="s">
        <v>2298</v>
      </c>
      <c r="C383" s="227" t="s">
        <v>2687</v>
      </c>
      <c r="D383" s="162" t="s">
        <v>2488</v>
      </c>
      <c r="E383" s="163" t="s">
        <v>2489</v>
      </c>
      <c r="F383" s="229" t="s">
        <v>2829</v>
      </c>
      <c r="G383" s="165" t="s">
        <v>2537</v>
      </c>
      <c r="H383" s="164" t="str">
        <f>IF(G383="","",VLOOKUP(G383,'附表8-合同明细采集底稿'!B:I,2,0))</f>
        <v>沁春锦苑4#-11#、16.17.住宅楼，2#3#36#商业楼建设工程施工合同（4-11/16/17#）</v>
      </c>
      <c r="I383" s="92" t="str">
        <f>IF(G383="","",VLOOKUP(G383,'附表8-合同明细采集底稿'!B:I,3,0))</f>
        <v>建设工程合同</v>
      </c>
      <c r="J383" s="164" t="str">
        <f>IF(G383="","",VLOOKUP(G383,'附表8-合同明细采集底稿'!B:I,4,0))</f>
        <v>新疆通力建设集团股份有限公司（邓）</v>
      </c>
      <c r="K383" s="164" t="s">
        <v>1711</v>
      </c>
      <c r="L383" s="165" t="s">
        <v>2824</v>
      </c>
      <c r="M383" s="242" t="s">
        <v>2830</v>
      </c>
      <c r="N383" s="173">
        <v>242437.62</v>
      </c>
      <c r="O383" s="173">
        <v>264257.0058</v>
      </c>
      <c r="P383" s="174">
        <v>242437.62</v>
      </c>
      <c r="Q383" s="173"/>
      <c r="R383" s="173">
        <f t="shared" si="22"/>
        <v>242437.62</v>
      </c>
      <c r="S383" s="177">
        <f>IFERROR(VLOOKUP(G383,'附表8-合同明细采集底稿'!B:M,12,0),100%)</f>
        <v>1</v>
      </c>
      <c r="T383" s="173">
        <f t="shared" ref="T383:T395" si="27">ROUND(SUM(R383)*SUM(S383),2)</f>
        <v>242437.62</v>
      </c>
      <c r="U383" s="119" t="s">
        <v>2509</v>
      </c>
      <c r="V383" s="178" t="s">
        <v>335</v>
      </c>
      <c r="W383" s="179">
        <f>ROUND(T383*成本分摊比例!$I$53,2)</f>
        <v>96053.79</v>
      </c>
      <c r="X383" s="179">
        <f>IF(SUM('附表1-面积统计表'!$D$6)=0,"",SUM(T383)-SUM(W383)-SUM(Y383))</f>
        <v>118455.02</v>
      </c>
      <c r="Y383" s="179">
        <f>ROUND(T383*成本分摊比例!$K$53,2)</f>
        <v>27928.81</v>
      </c>
      <c r="Z383" s="181" t="s">
        <v>2492</v>
      </c>
      <c r="AA383" s="164"/>
      <c r="AB383" s="182" t="s">
        <v>1686</v>
      </c>
    </row>
    <row r="384" ht="29" hidden="1" customHeight="1" spans="1:28">
      <c r="A384" s="159">
        <v>415</v>
      </c>
      <c r="B384" s="227" t="s">
        <v>2298</v>
      </c>
      <c r="C384" s="227" t="s">
        <v>2831</v>
      </c>
      <c r="D384" s="162" t="s">
        <v>2488</v>
      </c>
      <c r="E384" s="163" t="s">
        <v>2489</v>
      </c>
      <c r="F384" s="229" t="s">
        <v>2832</v>
      </c>
      <c r="G384" s="165" t="s">
        <v>2775</v>
      </c>
      <c r="H384" s="164" t="str">
        <f>IF(G384="","",VLOOKUP(G384,'附表8-合同明细采集底稿'!B:I,2,0))</f>
        <v>沁春锦苑4#-11#、16.17.住宅楼，2#3#36#商业楼建设工程施工合同(2.3#.)</v>
      </c>
      <c r="I384" s="92" t="str">
        <f>IF(G384="","",VLOOKUP(G384,'附表8-合同明细采集底稿'!B:I,3,0))</f>
        <v>建设工程合同</v>
      </c>
      <c r="J384" s="164" t="str">
        <f>IF(G384="","",VLOOKUP(G384,'附表8-合同明细采集底稿'!B:I,4,0))</f>
        <v>新疆通力建设集团股份有限公司（邓）</v>
      </c>
      <c r="K384" s="164" t="s">
        <v>1711</v>
      </c>
      <c r="L384" s="165" t="s">
        <v>2824</v>
      </c>
      <c r="M384" s="242" t="s">
        <v>2833</v>
      </c>
      <c r="N384" s="173">
        <v>2348394.5</v>
      </c>
      <c r="O384" s="173">
        <v>2559750.005</v>
      </c>
      <c r="P384" s="174">
        <v>2348394.5</v>
      </c>
      <c r="Q384" s="173"/>
      <c r="R384" s="173">
        <f t="shared" si="22"/>
        <v>2348394.5</v>
      </c>
      <c r="S384" s="177">
        <f>IFERROR(VLOOKUP(G384,'附表8-合同明细采集底稿'!B:M,12,0),100%)</f>
        <v>1</v>
      </c>
      <c r="T384" s="173">
        <f t="shared" si="27"/>
        <v>2348394.5</v>
      </c>
      <c r="U384" s="119" t="s">
        <v>2491</v>
      </c>
      <c r="V384" s="178" t="s">
        <v>335</v>
      </c>
      <c r="W384" s="179">
        <v>0</v>
      </c>
      <c r="X384" s="179">
        <f>IF(SUM('附表1-面积统计表'!$D$6)=0,"",SUM(T384)-SUM(W384)-SUM(Y384))</f>
        <v>0</v>
      </c>
      <c r="Y384" s="179">
        <f>T384</f>
        <v>2348394.5</v>
      </c>
      <c r="Z384" s="181" t="s">
        <v>2492</v>
      </c>
      <c r="AA384" s="164"/>
      <c r="AB384" s="182" t="s">
        <v>1686</v>
      </c>
    </row>
    <row r="385" ht="29" hidden="1" customHeight="1" spans="1:28">
      <c r="A385" s="159">
        <v>417</v>
      </c>
      <c r="B385" s="227" t="s">
        <v>2298</v>
      </c>
      <c r="C385" s="227" t="s">
        <v>1939</v>
      </c>
      <c r="D385" s="162" t="s">
        <v>2488</v>
      </c>
      <c r="E385" s="163" t="s">
        <v>2489</v>
      </c>
      <c r="F385" s="229" t="s">
        <v>2299</v>
      </c>
      <c r="G385" s="165" t="s">
        <v>2730</v>
      </c>
      <c r="H385" s="164" t="str">
        <f>IF(G385="","",VLOOKUP(G385,'附表8-合同明细采集底稿'!B:I,2,0))</f>
        <v>沁春锦苑4-11#16#17#楼31#楼园林景观、道路及停车位、铺装、景观照明工程</v>
      </c>
      <c r="I385" s="92" t="str">
        <f>IF(G385="","",VLOOKUP(G385,'附表8-合同明细采集底稿'!B:I,3,0))</f>
        <v>建设工程合同</v>
      </c>
      <c r="J385" s="164" t="str">
        <f>IF(G385="","",VLOOKUP(G385,'附表8-合同明细采集底稿'!B:I,4,0))</f>
        <v>新疆通力建设集团股份有限公司（杜奇志）</v>
      </c>
      <c r="K385" s="164" t="s">
        <v>1711</v>
      </c>
      <c r="L385" s="165" t="s">
        <v>2824</v>
      </c>
      <c r="M385" s="242" t="s">
        <v>2301</v>
      </c>
      <c r="N385" s="173">
        <v>364210.09</v>
      </c>
      <c r="O385" s="173">
        <v>396988.9981</v>
      </c>
      <c r="P385" s="174">
        <v>364210.09</v>
      </c>
      <c r="Q385" s="173"/>
      <c r="R385" s="173">
        <f t="shared" si="22"/>
        <v>364210.09</v>
      </c>
      <c r="S385" s="177">
        <f>IFERROR(VLOOKUP(G385,'附表8-合同明细采集底稿'!B:M,12,0),100%)</f>
        <v>1</v>
      </c>
      <c r="T385" s="173">
        <f t="shared" si="27"/>
        <v>364210.09</v>
      </c>
      <c r="U385" s="119" t="s">
        <v>2496</v>
      </c>
      <c r="V385" s="178" t="s">
        <v>336</v>
      </c>
      <c r="W385" s="179">
        <f>IF('附表1-面积统计表'!$D$29=0,"",IF(AND(V385="共同成本费用",Z385="总建筑面积法"),ROUND(T385/'附表1-面积统计表'!$D$29*'附表1-面积统计表'!$D$5,2),IF(AND(V385="共同成本费用",Z385="可售建筑面积法"),ROUND(T385/'附表1-面积统计表'!$F$29*'附表1-面积统计表'!$F$5,2),"请手工填写")))</f>
        <v>133020.24</v>
      </c>
      <c r="X385" s="179">
        <f>IF(SUM('附表1-面积统计表'!$D$6)=0,"",SUM(T385)-SUM(W385)-SUM(Y385))</f>
        <v>164050.38</v>
      </c>
      <c r="Y385" s="179">
        <f>IF(SUM('附表1-面积统计表'!$D$6)=0,SUM(T385)-SUM(W385),IF('附表1-面积统计表'!$D$29=0,"",IF(AND(V385="共同成本费用",Z385="总建筑面积法"),ROUND(T385/'附表1-面积统计表'!$D$29*'附表1-面积统计表'!$D$7,2),IF(AND(V385="共同成本费用",Z385="可售建筑面积法"),ROUND(T385/'附表1-面积统计表'!$F$29*'附表1-面积统计表'!$F$7,2),"请手工填写"))))</f>
        <v>67139.47</v>
      </c>
      <c r="Z385" s="181" t="s">
        <v>311</v>
      </c>
      <c r="AA385" s="164"/>
      <c r="AB385" s="182" t="s">
        <v>1686</v>
      </c>
    </row>
    <row r="386" ht="29" hidden="1" customHeight="1" spans="1:28">
      <c r="A386" s="159">
        <v>418</v>
      </c>
      <c r="B386" s="227" t="s">
        <v>2066</v>
      </c>
      <c r="C386" s="227" t="s">
        <v>2834</v>
      </c>
      <c r="D386" s="162" t="s">
        <v>1739</v>
      </c>
      <c r="E386" s="163" t="s">
        <v>1745</v>
      </c>
      <c r="F386" s="229" t="s">
        <v>2835</v>
      </c>
      <c r="G386" s="165" t="s">
        <v>2771</v>
      </c>
      <c r="H386" s="164" t="str">
        <f>IF(G386="","",VLOOKUP(G386,'附表8-合同明细采集底稿'!B:I,2,0))</f>
        <v>4-11、16、17#楼31#楼景观绿化（住宅）</v>
      </c>
      <c r="I386" s="92" t="str">
        <f>IF(G386="","",VLOOKUP(G386,'附表8-合同明细采集底稿'!B:I,3,0))</f>
        <v>建设工程合同</v>
      </c>
      <c r="J386" s="164" t="str">
        <f>IF(G386="","",VLOOKUP(G386,'附表8-合同明细采集底稿'!B:I,4,0))</f>
        <v>新疆通力建设集团股份有限公司（蔚晓芳）</v>
      </c>
      <c r="K386" s="164" t="s">
        <v>1711</v>
      </c>
      <c r="L386" s="165" t="s">
        <v>2615</v>
      </c>
      <c r="M386" s="242" t="s">
        <v>2836</v>
      </c>
      <c r="N386" s="173">
        <v>841715.6</v>
      </c>
      <c r="O386" s="173">
        <v>917470</v>
      </c>
      <c r="P386" s="174">
        <v>841715.6</v>
      </c>
      <c r="Q386" s="173"/>
      <c r="R386" s="173">
        <f t="shared" si="22"/>
        <v>841715.6</v>
      </c>
      <c r="S386" s="177">
        <f>IFERROR(VLOOKUP(G386,'附表8-合同明细采集底稿'!B:M,12,0),100%)</f>
        <v>1</v>
      </c>
      <c r="T386" s="173">
        <f t="shared" si="27"/>
        <v>841715.6</v>
      </c>
      <c r="U386" s="119" t="s">
        <v>2496</v>
      </c>
      <c r="V386" s="178" t="s">
        <v>336</v>
      </c>
      <c r="W386" s="179">
        <f>IF('附表1-面积统计表'!$D$29=0,"",IF(AND(V386="共同成本费用",Z386="总建筑面积法"),ROUND(T386/'附表1-面积统计表'!$D$29*'附表1-面积统计表'!$D$5,2),IF(AND(V386="共同成本费用",Z386="可售建筑面积法"),ROUND(T386/'附表1-面积统计表'!$F$29*'附表1-面积统计表'!$F$5,2),"请手工填写")))</f>
        <v>307419.29</v>
      </c>
      <c r="X386" s="179">
        <f>IF(SUM('附表1-面积统计表'!$D$6)=0,"",SUM(T386)-SUM(W386)-SUM(Y386))</f>
        <v>379132.2</v>
      </c>
      <c r="Y386" s="179">
        <f>IF(SUM('附表1-面积统计表'!$D$6)=0,SUM(T386)-SUM(W386),IF('附表1-面积统计表'!$D$29=0,"",IF(AND(V386="共同成本费用",Z386="总建筑面积法"),ROUND(T386/'附表1-面积统计表'!$D$29*'附表1-面积统计表'!$D$7,2),IF(AND(V386="共同成本费用",Z386="可售建筑面积法"),ROUND(T386/'附表1-面积统计表'!$F$29*'附表1-面积统计表'!$F$7,2),"请手工填写"))))</f>
        <v>155164.11</v>
      </c>
      <c r="Z386" s="181" t="s">
        <v>311</v>
      </c>
      <c r="AA386" s="164"/>
      <c r="AB386" s="182" t="s">
        <v>1686</v>
      </c>
    </row>
    <row r="387" ht="29" hidden="1" customHeight="1" spans="1:28">
      <c r="A387" s="159">
        <v>419</v>
      </c>
      <c r="B387" s="227" t="s">
        <v>2066</v>
      </c>
      <c r="C387" s="227" t="s">
        <v>2072</v>
      </c>
      <c r="D387" s="162" t="s">
        <v>2488</v>
      </c>
      <c r="E387" s="163" t="s">
        <v>2489</v>
      </c>
      <c r="F387" s="229" t="s">
        <v>2073</v>
      </c>
      <c r="G387" s="165" t="s">
        <v>2490</v>
      </c>
      <c r="H387" s="164" t="str">
        <f>IF(G387="","",VLOOKUP(G387,'附表8-合同明细采集底稿'!B:I,2,0))</f>
        <v>建设工程施工合同12-15#楼38#楼、31#楼.36#幼儿园（36#楼）</v>
      </c>
      <c r="I387" s="92" t="str">
        <f>IF(G387="","",VLOOKUP(G387,'附表8-合同明细采集底稿'!B:I,3,0))</f>
        <v>建设工程合同</v>
      </c>
      <c r="J387" s="164" t="str">
        <f>IF(G387="","",VLOOKUP(G387,'附表8-合同明细采集底稿'!B:I,4,0))</f>
        <v>新疆通力建设集团股份有限公司（顾）</v>
      </c>
      <c r="K387" s="164" t="s">
        <v>1711</v>
      </c>
      <c r="L387" s="165" t="s">
        <v>2615</v>
      </c>
      <c r="M387" s="242" t="s">
        <v>2074</v>
      </c>
      <c r="N387" s="173">
        <v>62555.24</v>
      </c>
      <c r="O387" s="173">
        <v>68185.2</v>
      </c>
      <c r="P387" s="174">
        <v>62555.24</v>
      </c>
      <c r="Q387" s="173"/>
      <c r="R387" s="173">
        <f t="shared" si="22"/>
        <v>62555.24</v>
      </c>
      <c r="S387" s="177">
        <f>IFERROR(VLOOKUP(G387,'附表8-合同明细采集底稿'!B:M,12,0),100%)</f>
        <v>1</v>
      </c>
      <c r="T387" s="173">
        <f t="shared" si="27"/>
        <v>62555.24</v>
      </c>
      <c r="U387" s="119" t="s">
        <v>2491</v>
      </c>
      <c r="V387" s="178" t="s">
        <v>335</v>
      </c>
      <c r="W387" s="179">
        <v>0</v>
      </c>
      <c r="X387" s="179">
        <f>IF(SUM('附表1-面积统计表'!$D$6)=0,"",SUM(T387)-SUM(W387)-SUM(Y387))</f>
        <v>0</v>
      </c>
      <c r="Y387" s="179">
        <f>T387</f>
        <v>62555.24</v>
      </c>
      <c r="Z387" s="181" t="s">
        <v>2492</v>
      </c>
      <c r="AA387" s="164"/>
      <c r="AB387" s="182" t="s">
        <v>1686</v>
      </c>
    </row>
    <row r="388" ht="29" hidden="1" customHeight="1" spans="1:28">
      <c r="A388" s="159">
        <v>420</v>
      </c>
      <c r="B388" s="227" t="s">
        <v>2837</v>
      </c>
      <c r="C388" s="227" t="s">
        <v>2838</v>
      </c>
      <c r="D388" s="162" t="s">
        <v>2488</v>
      </c>
      <c r="E388" s="163" t="s">
        <v>2489</v>
      </c>
      <c r="F388" s="229" t="s">
        <v>2839</v>
      </c>
      <c r="G388" s="165" t="s">
        <v>2537</v>
      </c>
      <c r="H388" s="164" t="str">
        <f>IF(G388="","",VLOOKUP(G388,'附表8-合同明细采集底稿'!B:I,2,0))</f>
        <v>沁春锦苑4#-11#、16.17.住宅楼，2#3#36#商业楼建设工程施工合同（4-11/16/17#）</v>
      </c>
      <c r="I388" s="92" t="str">
        <f>IF(G388="","",VLOOKUP(G388,'附表8-合同明细采集底稿'!B:I,3,0))</f>
        <v>建设工程合同</v>
      </c>
      <c r="J388" s="164" t="str">
        <f>IF(G388="","",VLOOKUP(G388,'附表8-合同明细采集底稿'!B:I,4,0))</f>
        <v>新疆通力建设集团股份有限公司（邓）</v>
      </c>
      <c r="K388" s="164" t="s">
        <v>1711</v>
      </c>
      <c r="L388" s="165" t="s">
        <v>2615</v>
      </c>
      <c r="M388" s="242" t="s">
        <v>2840</v>
      </c>
      <c r="N388" s="173">
        <v>1889961.47</v>
      </c>
      <c r="O388" s="173">
        <v>2060058</v>
      </c>
      <c r="P388" s="174">
        <v>1889961.47</v>
      </c>
      <c r="Q388" s="173"/>
      <c r="R388" s="173">
        <f t="shared" si="22"/>
        <v>1889961.47</v>
      </c>
      <c r="S388" s="177">
        <f>IFERROR(VLOOKUP(G388,'附表8-合同明细采集底稿'!B:M,12,0),100%)</f>
        <v>1</v>
      </c>
      <c r="T388" s="173">
        <f t="shared" si="27"/>
        <v>1889961.47</v>
      </c>
      <c r="U388" s="119" t="s">
        <v>2509</v>
      </c>
      <c r="V388" s="178" t="s">
        <v>335</v>
      </c>
      <c r="W388" s="179">
        <f>ROUND(T388*成本分摊比例!$I$53,2)</f>
        <v>748802.73</v>
      </c>
      <c r="X388" s="179">
        <f>IF(SUM('附表1-面积统计表'!$D$6)=0,"",SUM(T388)-SUM(W388)-SUM(Y388))</f>
        <v>923435.18</v>
      </c>
      <c r="Y388" s="179">
        <f>ROUND(T388*成本分摊比例!$K$53,2)</f>
        <v>217723.56</v>
      </c>
      <c r="Z388" s="181" t="s">
        <v>2492</v>
      </c>
      <c r="AA388" s="164"/>
      <c r="AB388" s="182" t="s">
        <v>1686</v>
      </c>
    </row>
    <row r="389" ht="29" hidden="1" customHeight="1" spans="1:28">
      <c r="A389" s="159">
        <v>428</v>
      </c>
      <c r="B389" s="227" t="s">
        <v>2079</v>
      </c>
      <c r="C389" s="227" t="s">
        <v>2080</v>
      </c>
      <c r="D389" s="162" t="s">
        <v>1739</v>
      </c>
      <c r="E389" s="163" t="s">
        <v>1772</v>
      </c>
      <c r="F389" s="229" t="s">
        <v>2841</v>
      </c>
      <c r="G389" s="165" t="s">
        <v>2730</v>
      </c>
      <c r="H389" s="164" t="str">
        <f>IF(G389="","",VLOOKUP(G389,'附表8-合同明细采集底稿'!B:I,2,0))</f>
        <v>沁春锦苑4-11#16#17#楼31#楼园林景观、道路及停车位、铺装、景观照明工程</v>
      </c>
      <c r="I389" s="92" t="str">
        <f>IF(G389="","",VLOOKUP(G389,'附表8-合同明细采集底稿'!B:I,3,0))</f>
        <v>建设工程合同</v>
      </c>
      <c r="J389" s="164" t="str">
        <f>IF(G389="","",VLOOKUP(G389,'附表8-合同明细采集底稿'!B:I,4,0))</f>
        <v>新疆通力建设集团股份有限公司（杜奇志）</v>
      </c>
      <c r="K389" s="164" t="s">
        <v>1711</v>
      </c>
      <c r="L389" s="165" t="s">
        <v>2615</v>
      </c>
      <c r="M389" s="242" t="s">
        <v>2842</v>
      </c>
      <c r="N389" s="173">
        <v>1164220.18</v>
      </c>
      <c r="O389" s="173">
        <v>1269000</v>
      </c>
      <c r="P389" s="174">
        <v>1164220.18</v>
      </c>
      <c r="Q389" s="173"/>
      <c r="R389" s="173">
        <f t="shared" si="22"/>
        <v>1164220.18</v>
      </c>
      <c r="S389" s="177">
        <f>IFERROR(VLOOKUP(G389,'附表8-合同明细采集底稿'!B:M,12,0),100%)</f>
        <v>1</v>
      </c>
      <c r="T389" s="173">
        <f t="shared" si="27"/>
        <v>1164220.18</v>
      </c>
      <c r="U389" s="119" t="s">
        <v>2496</v>
      </c>
      <c r="V389" s="178" t="s">
        <v>336</v>
      </c>
      <c r="W389" s="179">
        <f>IF('附表1-面积统计表'!$D$29=0,"",IF(AND(V389="共同成本费用",Z389="总建筑面积法"),ROUND(T389/'附表1-面积统计表'!$D$29*'附表1-面积统计表'!$D$5,2),IF(AND(V389="共同成本费用",Z389="可售建筑面积法"),ROUND(T389/'附表1-面积统计表'!$F$29*'附表1-面积统计表'!$F$5,2),"请手工填写")))</f>
        <v>425207.45</v>
      </c>
      <c r="X389" s="179">
        <f>IF(SUM('附表1-面积统计表'!$D$6)=0,"",SUM(T389)-SUM(W389)-SUM(Y389))</f>
        <v>524397.25</v>
      </c>
      <c r="Y389" s="179">
        <f>IF(SUM('附表1-面积统计表'!$D$6)=0,SUM(T389)-SUM(W389),IF('附表1-面积统计表'!$D$29=0,"",IF(AND(V389="共同成本费用",Z389="总建筑面积法"),ROUND(T389/'附表1-面积统计表'!$D$29*'附表1-面积统计表'!$D$7,2),IF(AND(V389="共同成本费用",Z389="可售建筑面积法"),ROUND(T389/'附表1-面积统计表'!$F$29*'附表1-面积统计表'!$F$7,2),"请手工填写"))))</f>
        <v>214615.48</v>
      </c>
      <c r="Z389" s="181" t="s">
        <v>311</v>
      </c>
      <c r="AA389" s="164"/>
      <c r="AB389" s="182" t="s">
        <v>1686</v>
      </c>
    </row>
    <row r="390" ht="29" hidden="1" customHeight="1" spans="1:28">
      <c r="A390" s="159">
        <v>430</v>
      </c>
      <c r="B390" s="227" t="s">
        <v>2079</v>
      </c>
      <c r="C390" s="227" t="s">
        <v>2097</v>
      </c>
      <c r="D390" s="162" t="s">
        <v>2488</v>
      </c>
      <c r="E390" s="163" t="s">
        <v>2489</v>
      </c>
      <c r="F390" s="229" t="s">
        <v>2843</v>
      </c>
      <c r="G390" s="165"/>
      <c r="H390" s="164" t="str">
        <f>IF(G390="","",VLOOKUP(G390,'附表8-合同明细采集底稿'!B:I,2,0))</f>
        <v/>
      </c>
      <c r="I390" s="92" t="str">
        <f>IF(G390="","",VLOOKUP(G390,'附表8-合同明细采集底稿'!B:I,3,0))</f>
        <v/>
      </c>
      <c r="J390" s="164" t="s">
        <v>2651</v>
      </c>
      <c r="K390" s="164" t="s">
        <v>1704</v>
      </c>
      <c r="L390" s="165" t="s">
        <v>2816</v>
      </c>
      <c r="M390" s="242" t="s">
        <v>2844</v>
      </c>
      <c r="N390" s="173">
        <v>39323</v>
      </c>
      <c r="O390" s="173">
        <v>39323</v>
      </c>
      <c r="P390" s="174">
        <v>39323</v>
      </c>
      <c r="Q390" s="173">
        <f>-P390</f>
        <v>-39323</v>
      </c>
      <c r="R390" s="173">
        <f t="shared" si="22"/>
        <v>0</v>
      </c>
      <c r="S390" s="177">
        <f>IFERROR(VLOOKUP(G390,'附表8-合同明细采集底稿'!B:M,12,0),100%)</f>
        <v>1</v>
      </c>
      <c r="T390" s="173">
        <f t="shared" si="27"/>
        <v>0</v>
      </c>
      <c r="U390" s="119" t="s">
        <v>2594</v>
      </c>
      <c r="V390" s="178" t="s">
        <v>335</v>
      </c>
      <c r="W390" s="179">
        <v>0</v>
      </c>
      <c r="X390" s="179">
        <f>IF(SUM('附表1-面积统计表'!$D$6)=0,"",SUM(T390)-SUM(W390)-SUM(Y390))</f>
        <v>0</v>
      </c>
      <c r="Y390" s="179">
        <f>T390</f>
        <v>0</v>
      </c>
      <c r="Z390" s="181" t="s">
        <v>2492</v>
      </c>
      <c r="AA390" s="164"/>
      <c r="AB390" s="182" t="s">
        <v>1686</v>
      </c>
    </row>
    <row r="391" ht="29" hidden="1" customHeight="1" spans="1:28">
      <c r="A391" s="159">
        <v>431</v>
      </c>
      <c r="B391" s="227" t="s">
        <v>2083</v>
      </c>
      <c r="C391" s="227" t="s">
        <v>2437</v>
      </c>
      <c r="D391" s="162" t="s">
        <v>2488</v>
      </c>
      <c r="E391" s="163" t="s">
        <v>2489</v>
      </c>
      <c r="F391" s="229" t="s">
        <v>2845</v>
      </c>
      <c r="G391" s="165" t="s">
        <v>2569</v>
      </c>
      <c r="H391" s="164" t="str">
        <f>IF(G391="","",VLOOKUP(G391,'附表8-合同明细采集底稿'!B:I,2,0))</f>
        <v>沁春锦苑2#5#7#9#10#17#楼铝合金门窗</v>
      </c>
      <c r="I391" s="92" t="str">
        <f>IF(G391="","",VLOOKUP(G391,'附表8-合同明细采集底稿'!B:I,3,0))</f>
        <v>技术合同</v>
      </c>
      <c r="J391" s="164" t="str">
        <f>IF(G391="","",VLOOKUP(G391,'附表8-合同明细采集底稿'!B:I,4,0))</f>
        <v>巴州全福门窗加工有限公司（杨全福）</v>
      </c>
      <c r="K391" s="164" t="s">
        <v>1711</v>
      </c>
      <c r="L391" s="165" t="s">
        <v>2816</v>
      </c>
      <c r="M391" s="242" t="s">
        <v>2846</v>
      </c>
      <c r="N391" s="173">
        <v>353982.32</v>
      </c>
      <c r="O391" s="173">
        <v>400000</v>
      </c>
      <c r="P391" s="174">
        <v>353982.32</v>
      </c>
      <c r="Q391" s="173"/>
      <c r="R391" s="173">
        <f t="shared" si="22"/>
        <v>353982.32</v>
      </c>
      <c r="S391" s="177">
        <f>IFERROR(VLOOKUP(G391,'附表8-合同明细采集底稿'!B:M,12,0),100%)</f>
        <v>1</v>
      </c>
      <c r="T391" s="173">
        <f t="shared" si="27"/>
        <v>353982.32</v>
      </c>
      <c r="U391" s="119" t="s">
        <v>2509</v>
      </c>
      <c r="V391" s="178" t="s">
        <v>335</v>
      </c>
      <c r="W391" s="179">
        <f>ROUND(T391*成本分摊比例!$I$53,2)</f>
        <v>140247.8</v>
      </c>
      <c r="X391" s="179">
        <f>IF(SUM('附表1-面积统计表'!$D$6)=0,"",SUM(T391)-SUM(W391)-SUM(Y391))</f>
        <v>172955.76</v>
      </c>
      <c r="Y391" s="179">
        <f>ROUND(T391*成本分摊比例!$K$53,2)</f>
        <v>40778.76</v>
      </c>
      <c r="Z391" s="181" t="s">
        <v>2492</v>
      </c>
      <c r="AA391" s="164"/>
      <c r="AB391" s="182" t="s">
        <v>1686</v>
      </c>
    </row>
    <row r="392" ht="29" hidden="1" customHeight="1" spans="1:28">
      <c r="A392" s="159">
        <v>432</v>
      </c>
      <c r="B392" s="227" t="s">
        <v>2083</v>
      </c>
      <c r="C392" s="227" t="s">
        <v>2424</v>
      </c>
      <c r="D392" s="162" t="s">
        <v>1739</v>
      </c>
      <c r="E392" s="163" t="s">
        <v>2639</v>
      </c>
      <c r="F392" s="229" t="s">
        <v>2847</v>
      </c>
      <c r="G392" s="165" t="s">
        <v>2654</v>
      </c>
      <c r="H392" s="164" t="str">
        <f>IF(G392="","",VLOOKUP(G392,'附表8-合同明细采集底稿'!B:I,2,0))</f>
        <v>沁春锦苑一期、二期、三期三网合一FTTH工程施工合同（绿）</v>
      </c>
      <c r="I392" s="92" t="str">
        <f>IF(G392="","",VLOOKUP(G392,'附表8-合同明细采集底稿'!B:I,3,0))</f>
        <v>建设工程合同</v>
      </c>
      <c r="J392" s="164" t="str">
        <f>IF(G392="","",VLOOKUP(G392,'附表8-合同明细采集底稿'!B:I,4,0))</f>
        <v>新疆鑫宇恒建设工程有限公司（蒋华）</v>
      </c>
      <c r="K392" s="164" t="s">
        <v>1711</v>
      </c>
      <c r="L392" s="165" t="s">
        <v>2615</v>
      </c>
      <c r="M392" s="242" t="s">
        <v>2848</v>
      </c>
      <c r="N392" s="173">
        <v>16614.68</v>
      </c>
      <c r="O392" s="173">
        <v>18110</v>
      </c>
      <c r="P392" s="174">
        <v>16614.68</v>
      </c>
      <c r="Q392" s="173"/>
      <c r="R392" s="173">
        <f t="shared" si="22"/>
        <v>16614.68</v>
      </c>
      <c r="S392" s="177">
        <f>IFERROR(VLOOKUP(G392,'附表8-合同明细采集底稿'!B:M,12,0),100%)</f>
        <v>1</v>
      </c>
      <c r="T392" s="173">
        <f t="shared" si="27"/>
        <v>16614.68</v>
      </c>
      <c r="U392" s="119" t="s">
        <v>2509</v>
      </c>
      <c r="V392" s="178" t="s">
        <v>335</v>
      </c>
      <c r="W392" s="179">
        <f>ROUND(T392*成本分摊比例!$I$53,2)</f>
        <v>6582.74</v>
      </c>
      <c r="X392" s="179">
        <f>IF(SUM('附表1-面积统计表'!$D$6)=0,"",SUM(T392)-SUM(W392)-SUM(Y392))</f>
        <v>8117.93</v>
      </c>
      <c r="Y392" s="179">
        <f>ROUND(T392*成本分摊比例!$K$53,2)</f>
        <v>1914.01</v>
      </c>
      <c r="Z392" s="181" t="s">
        <v>2492</v>
      </c>
      <c r="AA392" s="164"/>
      <c r="AB392" s="182" t="s">
        <v>1686</v>
      </c>
    </row>
    <row r="393" ht="29" hidden="1" customHeight="1" spans="1:28">
      <c r="A393" s="159">
        <v>433</v>
      </c>
      <c r="B393" s="231" t="s">
        <v>2132</v>
      </c>
      <c r="C393" s="257" t="s">
        <v>2133</v>
      </c>
      <c r="D393" s="162" t="s">
        <v>1739</v>
      </c>
      <c r="E393" s="163" t="s">
        <v>1788</v>
      </c>
      <c r="F393" s="230" t="s">
        <v>2134</v>
      </c>
      <c r="G393" s="165" t="s">
        <v>2849</v>
      </c>
      <c r="H393" s="164" t="str">
        <f>IF(G393="","",VLOOKUP(G393,'附表8-合同明细采集底稿'!B:I,2,0))</f>
        <v>二期、三期给排水、消防工程施工合同--2#.3#.36#</v>
      </c>
      <c r="I393" s="92" t="str">
        <f>IF(G393="","",VLOOKUP(G393,'附表8-合同明细采集底稿'!B:I,3,0))</f>
        <v>建设工程合同</v>
      </c>
      <c r="J393" s="164" t="str">
        <f>IF(G393="","",VLOOKUP(G393,'附表8-合同明细采集底稿'!B:I,4,0))</f>
        <v>江苏中义消防工程有限公司巴州分公司（巩红卫）</v>
      </c>
      <c r="K393" s="164" t="s">
        <v>1711</v>
      </c>
      <c r="L393" s="165" t="s">
        <v>2816</v>
      </c>
      <c r="M393" s="242" t="s">
        <v>2850</v>
      </c>
      <c r="N393" s="173">
        <f>301371.59+27151.37</f>
        <v>328522.96</v>
      </c>
      <c r="O393" s="173">
        <v>328495.036702555</v>
      </c>
      <c r="P393" s="174">
        <f>301371.59+27151.37</f>
        <v>328522.96</v>
      </c>
      <c r="Q393" s="173"/>
      <c r="R393" s="173">
        <f t="shared" si="22"/>
        <v>328522.96</v>
      </c>
      <c r="S393" s="177">
        <f>IFERROR(VLOOKUP(G393,'附表8-合同明细采集底稿'!B:M,12,0),100%)</f>
        <v>1</v>
      </c>
      <c r="T393" s="173">
        <f t="shared" si="27"/>
        <v>328522.96</v>
      </c>
      <c r="U393" s="119" t="s">
        <v>2491</v>
      </c>
      <c r="V393" s="178" t="s">
        <v>335</v>
      </c>
      <c r="W393" s="179">
        <v>0</v>
      </c>
      <c r="X393" s="179">
        <f>IF(SUM('附表1-面积统计表'!$D$6)=0,"",SUM(T393)-SUM(W393)-SUM(Y393))</f>
        <v>0</v>
      </c>
      <c r="Y393" s="179">
        <f>T393</f>
        <v>328522.96</v>
      </c>
      <c r="Z393" s="181" t="s">
        <v>2492</v>
      </c>
      <c r="AA393" s="164"/>
      <c r="AB393" s="182" t="s">
        <v>1686</v>
      </c>
    </row>
    <row r="394" ht="29" hidden="1" customHeight="1" spans="1:28">
      <c r="A394" s="159">
        <v>435</v>
      </c>
      <c r="B394" s="231" t="s">
        <v>2851</v>
      </c>
      <c r="C394" s="258" t="s">
        <v>2852</v>
      </c>
      <c r="D394" s="162" t="s">
        <v>2488</v>
      </c>
      <c r="E394" s="163" t="s">
        <v>2489</v>
      </c>
      <c r="F394" s="230" t="s">
        <v>2853</v>
      </c>
      <c r="G394" s="165" t="s">
        <v>2593</v>
      </c>
      <c r="H394" s="164" t="str">
        <f>IF(G394="","",VLOOKUP(G394,'附表8-合同明细采集底稿'!B:I,2,0))</f>
        <v>沁春锦苑3#楼内、外装修合同</v>
      </c>
      <c r="I394" s="92" t="str">
        <f>IF(G394="","",VLOOKUP(G394,'附表8-合同明细采集底稿'!B:I,3,0))</f>
        <v>建设工程合同</v>
      </c>
      <c r="J394" s="164" t="str">
        <f>IF(G394="","",VLOOKUP(G394,'附表8-合同明细采集底稿'!B:I,4,0))</f>
        <v>巴州水木堂建筑装饰有限公司（倪）</v>
      </c>
      <c r="K394" s="164" t="s">
        <v>1711</v>
      </c>
      <c r="L394" s="165" t="s">
        <v>2615</v>
      </c>
      <c r="M394" s="242" t="s">
        <v>2854</v>
      </c>
      <c r="N394" s="173">
        <v>91743.12</v>
      </c>
      <c r="O394" s="173">
        <v>100000</v>
      </c>
      <c r="P394" s="254">
        <v>91743.12</v>
      </c>
      <c r="Q394" s="173">
        <f>-P394</f>
        <v>-91743.12</v>
      </c>
      <c r="R394" s="173">
        <f t="shared" si="22"/>
        <v>0</v>
      </c>
      <c r="S394" s="177">
        <f>IFERROR(VLOOKUP(G394,'附表8-合同明细采集底稿'!B:M,12,0),100%)</f>
        <v>1</v>
      </c>
      <c r="T394" s="173">
        <f t="shared" ref="T394:T457" si="28">ROUND(SUM(R394)*SUM(S394),2)</f>
        <v>0</v>
      </c>
      <c r="U394" s="119" t="s">
        <v>2594</v>
      </c>
      <c r="V394" s="178" t="s">
        <v>335</v>
      </c>
      <c r="W394" s="179">
        <v>0</v>
      </c>
      <c r="X394" s="179">
        <f>IF(SUM('附表1-面积统计表'!$D$6)=0,"",SUM(T394)-SUM(W394)-SUM(Y394))</f>
        <v>0</v>
      </c>
      <c r="Y394" s="179">
        <f>T394</f>
        <v>0</v>
      </c>
      <c r="Z394" s="181" t="s">
        <v>2492</v>
      </c>
      <c r="AA394" s="164"/>
      <c r="AB394" s="182" t="s">
        <v>1686</v>
      </c>
    </row>
    <row r="395" s="140" customFormat="1" ht="29" hidden="1" customHeight="1" spans="1:16384">
      <c r="A395" s="183">
        <v>436</v>
      </c>
      <c r="B395" s="259" t="s">
        <v>2855</v>
      </c>
      <c r="C395" s="260" t="s">
        <v>2856</v>
      </c>
      <c r="D395" s="185" t="s">
        <v>2488</v>
      </c>
      <c r="E395" s="186" t="s">
        <v>2489</v>
      </c>
      <c r="F395" s="261" t="s">
        <v>2857</v>
      </c>
      <c r="G395" s="188" t="s">
        <v>2858</v>
      </c>
      <c r="H395" s="187" t="str">
        <f>IF(G395="","",VLOOKUP(G395,'附表8-合同明细采集底稿'!B:I,2,0))</f>
        <v>一期、二期、三期住宅楼电梯刷卡设备安装改造合同</v>
      </c>
      <c r="I395" s="199" t="str">
        <f>IF(G395="","",VLOOKUP(G395,'附表8-合同明细采集底稿'!B:I,3,0))</f>
        <v>买卖合同</v>
      </c>
      <c r="J395" s="187" t="str">
        <f>IF(G395="","",VLOOKUP(G395,'附表8-合同明细采集底稿'!B:I,4,0))</f>
        <v>新疆华汇建安机械设备有限公司（许林）</v>
      </c>
      <c r="K395" s="187" t="s">
        <v>1711</v>
      </c>
      <c r="L395" s="188" t="s">
        <v>2615</v>
      </c>
      <c r="M395" s="266" t="s">
        <v>2859</v>
      </c>
      <c r="N395" s="200">
        <v>38938.06</v>
      </c>
      <c r="O395" s="200">
        <v>44000</v>
      </c>
      <c r="P395" s="201">
        <v>38938.06</v>
      </c>
      <c r="Q395" s="200">
        <f>-P395</f>
        <v>-38938.06</v>
      </c>
      <c r="R395" s="200">
        <f t="shared" si="22"/>
        <v>0</v>
      </c>
      <c r="S395" s="205">
        <f>IFERROR(VLOOKUP(G395,'附表8-合同明细采集底稿'!B:M,12,0),100%)</f>
        <v>1</v>
      </c>
      <c r="T395" s="200">
        <f t="shared" si="28"/>
        <v>0</v>
      </c>
      <c r="U395" s="262" t="s">
        <v>2509</v>
      </c>
      <c r="V395" s="206" t="s">
        <v>335</v>
      </c>
      <c r="W395" s="207">
        <f>ROUND(T395*成本分摊比例!$I$53,2)</f>
        <v>0</v>
      </c>
      <c r="X395" s="207">
        <f>IF(SUM('附表1-面积统计表'!$D$6)=0,"",SUM(T395)-SUM(W395)-SUM(Y395))</f>
        <v>0</v>
      </c>
      <c r="Y395" s="207">
        <f>ROUND(T395*成本分摊比例!$K$53,2)</f>
        <v>0</v>
      </c>
      <c r="Z395" s="213" t="s">
        <v>2492</v>
      </c>
      <c r="AA395" s="187"/>
      <c r="AB395" s="214" t="s">
        <v>1686</v>
      </c>
      <c r="AC395" s="140" t="s">
        <v>2860</v>
      </c>
      <c r="XEO395" s="217"/>
      <c r="XEP395" s="217"/>
      <c r="XEQ395" s="217"/>
      <c r="XER395" s="217"/>
      <c r="XES395" s="217"/>
      <c r="XET395" s="217"/>
      <c r="XEU395" s="217"/>
      <c r="XEV395" s="217"/>
      <c r="XEW395" s="217"/>
      <c r="XEX395" s="217"/>
      <c r="XEY395" s="217"/>
      <c r="XEZ395" s="217"/>
      <c r="XFA395" s="217"/>
      <c r="XFB395" s="217"/>
      <c r="XFC395" s="217"/>
      <c r="XFD395" s="217"/>
    </row>
    <row r="396" ht="29" hidden="1" customHeight="1" spans="1:28">
      <c r="A396" s="159">
        <v>437</v>
      </c>
      <c r="B396" s="231" t="s">
        <v>2189</v>
      </c>
      <c r="C396" s="257" t="s">
        <v>2861</v>
      </c>
      <c r="D396" s="162" t="s">
        <v>2488</v>
      </c>
      <c r="E396" s="163" t="s">
        <v>2489</v>
      </c>
      <c r="F396" s="230" t="s">
        <v>2862</v>
      </c>
      <c r="G396" s="165" t="s">
        <v>2573</v>
      </c>
      <c r="H396" s="164" t="str">
        <f>IF(G396="","",VLOOKUP(G396,'附表8-合同明细采集底稿'!B:I,2,0))</f>
        <v>沁春锦苑2#3#36#楼外墙装修合同</v>
      </c>
      <c r="I396" s="92" t="str">
        <f>IF(G396="","",VLOOKUP(G396,'附表8-合同明细采集底稿'!B:I,3,0))</f>
        <v>建设工程合同</v>
      </c>
      <c r="J396" s="164" t="str">
        <f>IF(G396="","",VLOOKUP(G396,'附表8-合同明细采集底稿'!B:I,4,0))</f>
        <v>新疆通力建设集团股份有限公司（倪）</v>
      </c>
      <c r="K396" s="164" t="s">
        <v>1711</v>
      </c>
      <c r="L396" s="165" t="s">
        <v>2615</v>
      </c>
      <c r="M396" s="242" t="s">
        <v>2863</v>
      </c>
      <c r="N396" s="173">
        <v>140550.46</v>
      </c>
      <c r="O396" s="173">
        <v>153200</v>
      </c>
      <c r="P396" s="174">
        <v>140550.46</v>
      </c>
      <c r="Q396" s="173"/>
      <c r="R396" s="173">
        <f t="shared" si="22"/>
        <v>140550.46</v>
      </c>
      <c r="S396" s="177">
        <f>IFERROR(VLOOKUP(G396,'附表8-合同明细采集底稿'!B:M,12,0),100%)</f>
        <v>1</v>
      </c>
      <c r="T396" s="173">
        <f t="shared" si="28"/>
        <v>140550.46</v>
      </c>
      <c r="U396" s="119" t="s">
        <v>2491</v>
      </c>
      <c r="V396" s="178" t="s">
        <v>335</v>
      </c>
      <c r="W396" s="179">
        <v>0</v>
      </c>
      <c r="X396" s="179">
        <f>IF(SUM('附表1-面积统计表'!$D$6)=0,"",SUM(T396)-SUM(W396)-SUM(Y396))</f>
        <v>0</v>
      </c>
      <c r="Y396" s="179">
        <f>T396</f>
        <v>140550.46</v>
      </c>
      <c r="Z396" s="181" t="s">
        <v>2492</v>
      </c>
      <c r="AA396" s="164"/>
      <c r="AB396" s="182" t="s">
        <v>1686</v>
      </c>
    </row>
    <row r="397" ht="29" hidden="1" customHeight="1" spans="1:28">
      <c r="A397" s="159">
        <v>438</v>
      </c>
      <c r="B397" s="231" t="s">
        <v>2189</v>
      </c>
      <c r="C397" s="257" t="s">
        <v>2864</v>
      </c>
      <c r="D397" s="162" t="s">
        <v>2488</v>
      </c>
      <c r="E397" s="163" t="s">
        <v>2489</v>
      </c>
      <c r="F397" s="230" t="s">
        <v>2865</v>
      </c>
      <c r="G397" s="165" t="s">
        <v>2741</v>
      </c>
      <c r="H397" s="164" t="str">
        <f>IF(G397="","",VLOOKUP(G397,'附表8-合同明细采集底稿'!B:I,2,0))</f>
        <v>沁春锦苑4#-11#、16#17#楼门斗装修</v>
      </c>
      <c r="I397" s="92" t="str">
        <f>IF(G397="","",VLOOKUP(G397,'附表8-合同明细采集底稿'!B:I,3,0))</f>
        <v>建设工程合同</v>
      </c>
      <c r="J397" s="164" t="str">
        <f>IF(G397="","",VLOOKUP(G397,'附表8-合同明细采集底稿'!B:I,4,0))</f>
        <v>巴州水木堂建筑装饰有限公司（倪）</v>
      </c>
      <c r="K397" s="164" t="s">
        <v>1711</v>
      </c>
      <c r="L397" s="165" t="s">
        <v>2615</v>
      </c>
      <c r="M397" s="242" t="s">
        <v>2866</v>
      </c>
      <c r="N397" s="173">
        <v>52660.55</v>
      </c>
      <c r="O397" s="173">
        <v>57400</v>
      </c>
      <c r="P397" s="174">
        <v>52660.55</v>
      </c>
      <c r="Q397" s="173"/>
      <c r="R397" s="173">
        <f t="shared" si="22"/>
        <v>52660.55</v>
      </c>
      <c r="S397" s="177">
        <f>IFERROR(VLOOKUP(G397,'附表8-合同明细采集底稿'!B:M,12,0),100%)</f>
        <v>1</v>
      </c>
      <c r="T397" s="173">
        <f t="shared" si="28"/>
        <v>52660.55</v>
      </c>
      <c r="U397" s="119" t="s">
        <v>2509</v>
      </c>
      <c r="V397" s="178" t="s">
        <v>335</v>
      </c>
      <c r="W397" s="179">
        <f>ROUND(T397*成本分摊比例!$I$53,2)</f>
        <v>20864.11</v>
      </c>
      <c r="X397" s="179">
        <f>IF(SUM('附表1-面积统计表'!$D$6)=0,"",SUM(T397)-SUM(W397)-SUM(Y397))</f>
        <v>25729.94</v>
      </c>
      <c r="Y397" s="179">
        <f>ROUND(T397*成本分摊比例!$K$53,2)</f>
        <v>6066.5</v>
      </c>
      <c r="Z397" s="181" t="s">
        <v>2492</v>
      </c>
      <c r="AA397" s="164"/>
      <c r="AB397" s="182" t="s">
        <v>1686</v>
      </c>
    </row>
    <row r="398" ht="29" hidden="1" customHeight="1" spans="1:28">
      <c r="A398" s="159">
        <v>439</v>
      </c>
      <c r="B398" s="231" t="s">
        <v>2189</v>
      </c>
      <c r="C398" s="257" t="s">
        <v>2864</v>
      </c>
      <c r="D398" s="162" t="s">
        <v>2488</v>
      </c>
      <c r="E398" s="163" t="s">
        <v>2489</v>
      </c>
      <c r="F398" s="230" t="s">
        <v>2865</v>
      </c>
      <c r="G398" s="165" t="s">
        <v>2741</v>
      </c>
      <c r="H398" s="164" t="str">
        <f>IF(G398="","",VLOOKUP(G398,'附表8-合同明细采集底稿'!B:I,2,0))</f>
        <v>沁春锦苑4#-11#、16#17#楼门斗装修</v>
      </c>
      <c r="I398" s="92" t="str">
        <f>IF(G398="","",VLOOKUP(G398,'附表8-合同明细采集底稿'!B:I,3,0))</f>
        <v>建设工程合同</v>
      </c>
      <c r="J398" s="164" t="str">
        <f>IF(G398="","",VLOOKUP(G398,'附表8-合同明细采集底稿'!B:I,4,0))</f>
        <v>巴州水木堂建筑装饰有限公司（倪）</v>
      </c>
      <c r="K398" s="164" t="s">
        <v>1711</v>
      </c>
      <c r="L398" s="165" t="s">
        <v>2615</v>
      </c>
      <c r="M398" s="242" t="s">
        <v>2867</v>
      </c>
      <c r="N398" s="173">
        <v>91743.12</v>
      </c>
      <c r="O398" s="173">
        <v>100000</v>
      </c>
      <c r="P398" s="174">
        <v>91743.12</v>
      </c>
      <c r="Q398" s="173"/>
      <c r="R398" s="173">
        <f t="shared" si="22"/>
        <v>91743.12</v>
      </c>
      <c r="S398" s="177">
        <f>IFERROR(VLOOKUP(G398,'附表8-合同明细采集底稿'!B:M,12,0),100%)</f>
        <v>1</v>
      </c>
      <c r="T398" s="173">
        <f t="shared" si="28"/>
        <v>91743.12</v>
      </c>
      <c r="U398" s="119" t="s">
        <v>2509</v>
      </c>
      <c r="V398" s="178" t="s">
        <v>335</v>
      </c>
      <c r="W398" s="179">
        <f>ROUND(T398*成本分摊比例!$I$53,2)</f>
        <v>36348.62</v>
      </c>
      <c r="X398" s="179">
        <f>IF(SUM('附表1-面积统计表'!$D$6)=0,"",SUM(T398)-SUM(W398)-SUM(Y398))</f>
        <v>44825.69</v>
      </c>
      <c r="Y398" s="179">
        <f>ROUND(T398*成本分摊比例!$K$53,2)</f>
        <v>10568.81</v>
      </c>
      <c r="Z398" s="181" t="s">
        <v>2492</v>
      </c>
      <c r="AA398" s="164"/>
      <c r="AB398" s="182" t="s">
        <v>1686</v>
      </c>
    </row>
    <row r="399" ht="29" hidden="1" customHeight="1" spans="1:28">
      <c r="A399" s="159">
        <v>440</v>
      </c>
      <c r="B399" s="231" t="s">
        <v>2216</v>
      </c>
      <c r="C399" s="257" t="s">
        <v>2288</v>
      </c>
      <c r="D399" s="162" t="s">
        <v>2488</v>
      </c>
      <c r="E399" s="163" t="s">
        <v>2489</v>
      </c>
      <c r="F399" s="230" t="s">
        <v>2868</v>
      </c>
      <c r="G399" s="165" t="s">
        <v>2537</v>
      </c>
      <c r="H399" s="164" t="str">
        <f>IF(G399="","",VLOOKUP(G399,'附表8-合同明细采集底稿'!B:I,2,0))</f>
        <v>沁春锦苑4#-11#、16.17.住宅楼，2#3#36#商业楼建设工程施工合同（4-11/16/17#）</v>
      </c>
      <c r="I399" s="92" t="str">
        <f>IF(G399="","",VLOOKUP(G399,'附表8-合同明细采集底稿'!B:I,3,0))</f>
        <v>建设工程合同</v>
      </c>
      <c r="J399" s="164" t="str">
        <f>IF(G399="","",VLOOKUP(G399,'附表8-合同明细采集底稿'!B:I,4,0))</f>
        <v>新疆通力建设集团股份有限公司（邓）</v>
      </c>
      <c r="K399" s="164" t="s">
        <v>1711</v>
      </c>
      <c r="L399" s="267">
        <v>6500193130</v>
      </c>
      <c r="M399" s="250" t="s">
        <v>2869</v>
      </c>
      <c r="N399" s="239">
        <v>899647.71</v>
      </c>
      <c r="O399" s="173">
        <v>980616.0039</v>
      </c>
      <c r="P399" s="240">
        <v>899647.71</v>
      </c>
      <c r="Q399" s="173"/>
      <c r="R399" s="173">
        <f t="shared" si="22"/>
        <v>899647.71</v>
      </c>
      <c r="S399" s="177">
        <f>IFERROR(VLOOKUP(G399,'附表8-合同明细采集底稿'!B:M,12,0),100%)</f>
        <v>1</v>
      </c>
      <c r="T399" s="173">
        <f t="shared" si="28"/>
        <v>899647.71</v>
      </c>
      <c r="U399" s="119" t="s">
        <v>2509</v>
      </c>
      <c r="V399" s="178" t="s">
        <v>335</v>
      </c>
      <c r="W399" s="179">
        <f>ROUND(T399*成本分摊比例!$I$53,2)</f>
        <v>356440.42</v>
      </c>
      <c r="X399" s="179">
        <f>IF(SUM('附表1-面积统计表'!$D$6)=0,"",SUM(T399)-SUM(W399)-SUM(Y399))</f>
        <v>439567.87</v>
      </c>
      <c r="Y399" s="179">
        <f>ROUND(T399*成本分摊比例!$K$53,2)</f>
        <v>103639.42</v>
      </c>
      <c r="Z399" s="181" t="s">
        <v>2492</v>
      </c>
      <c r="AA399" s="164"/>
      <c r="AB399" s="182" t="s">
        <v>1686</v>
      </c>
    </row>
    <row r="400" ht="29" hidden="1" customHeight="1" spans="1:28">
      <c r="A400" s="159">
        <v>441</v>
      </c>
      <c r="B400" s="231" t="s">
        <v>2224</v>
      </c>
      <c r="C400" s="257" t="s">
        <v>2870</v>
      </c>
      <c r="D400" s="162" t="s">
        <v>2488</v>
      </c>
      <c r="E400" s="163" t="s">
        <v>2489</v>
      </c>
      <c r="F400" s="230" t="s">
        <v>2871</v>
      </c>
      <c r="G400" s="165" t="s">
        <v>2775</v>
      </c>
      <c r="H400" s="164" t="str">
        <f>IF(G400="","",VLOOKUP(G400,'附表8-合同明细采集底稿'!B:I,2,0))</f>
        <v>沁春锦苑4#-11#、16.17.住宅楼，2#3#36#商业楼建设工程施工合同(2.3#.)</v>
      </c>
      <c r="I400" s="92" t="str">
        <f>IF(G400="","",VLOOKUP(G400,'附表8-合同明细采集底稿'!B:I,3,0))</f>
        <v>建设工程合同</v>
      </c>
      <c r="J400" s="164" t="str">
        <f>IF(G400="","",VLOOKUP(G400,'附表8-合同明细采集底稿'!B:I,4,0))</f>
        <v>新疆通力建设集团股份有限公司（邓）</v>
      </c>
      <c r="K400" s="164" t="s">
        <v>1711</v>
      </c>
      <c r="L400" s="267">
        <v>6500193130</v>
      </c>
      <c r="M400" s="227" t="s">
        <v>2872</v>
      </c>
      <c r="N400" s="239">
        <v>882699.31</v>
      </c>
      <c r="O400" s="173">
        <v>962142.2479</v>
      </c>
      <c r="P400" s="240">
        <v>882699.31</v>
      </c>
      <c r="Q400" s="173"/>
      <c r="R400" s="173">
        <f t="shared" si="22"/>
        <v>882699.31</v>
      </c>
      <c r="S400" s="177">
        <f>IFERROR(VLOOKUP(G400,'附表8-合同明细采集底稿'!B:M,12,0),100%)</f>
        <v>1</v>
      </c>
      <c r="T400" s="173">
        <f t="shared" si="28"/>
        <v>882699.31</v>
      </c>
      <c r="U400" s="119" t="s">
        <v>2491</v>
      </c>
      <c r="V400" s="178" t="s">
        <v>335</v>
      </c>
      <c r="W400" s="179">
        <v>0</v>
      </c>
      <c r="X400" s="179">
        <f>IF(SUM('附表1-面积统计表'!$D$6)=0,"",SUM(T400)-SUM(W400)-SUM(Y400))</f>
        <v>0</v>
      </c>
      <c r="Y400" s="179">
        <f>T400</f>
        <v>882699.31</v>
      </c>
      <c r="Z400" s="181" t="s">
        <v>2492</v>
      </c>
      <c r="AA400" s="164"/>
      <c r="AB400" s="182" t="s">
        <v>1686</v>
      </c>
    </row>
    <row r="401" ht="29" hidden="1" customHeight="1" spans="1:28">
      <c r="A401" s="159">
        <v>442</v>
      </c>
      <c r="B401" s="231" t="s">
        <v>2224</v>
      </c>
      <c r="C401" s="257" t="s">
        <v>2870</v>
      </c>
      <c r="D401" s="162" t="s">
        <v>2488</v>
      </c>
      <c r="E401" s="163" t="s">
        <v>2489</v>
      </c>
      <c r="F401" s="230" t="s">
        <v>2871</v>
      </c>
      <c r="G401" s="165" t="s">
        <v>2537</v>
      </c>
      <c r="H401" s="164" t="str">
        <f>IF(G401="","",VLOOKUP(G401,'附表8-合同明细采集底稿'!B:I,2,0))</f>
        <v>沁春锦苑4#-11#、16.17.住宅楼，2#3#36#商业楼建设工程施工合同（4-11/16/17#）</v>
      </c>
      <c r="I401" s="92" t="str">
        <f>IF(G401="","",VLOOKUP(G401,'附表8-合同明细采集底稿'!B:I,3,0))</f>
        <v>建设工程合同</v>
      </c>
      <c r="J401" s="164" t="str">
        <f>IF(G401="","",VLOOKUP(G401,'附表8-合同明细采集底稿'!B:I,4,0))</f>
        <v>新疆通力建设集团股份有限公司（邓）</v>
      </c>
      <c r="K401" s="164" t="s">
        <v>1711</v>
      </c>
      <c r="L401" s="227">
        <v>6500203130</v>
      </c>
      <c r="M401" s="227" t="s">
        <v>2872</v>
      </c>
      <c r="N401" s="239">
        <v>20812337.86</v>
      </c>
      <c r="O401" s="173">
        <v>22685448.2674</v>
      </c>
      <c r="P401" s="240">
        <v>20812337.86</v>
      </c>
      <c r="Q401" s="173"/>
      <c r="R401" s="173">
        <f t="shared" si="22"/>
        <v>20812337.86</v>
      </c>
      <c r="S401" s="177">
        <f>IFERROR(VLOOKUP(G401,'附表8-合同明细采集底稿'!B:M,12,0),100%)</f>
        <v>1</v>
      </c>
      <c r="T401" s="173">
        <f t="shared" si="28"/>
        <v>20812337.86</v>
      </c>
      <c r="U401" s="119" t="s">
        <v>2509</v>
      </c>
      <c r="V401" s="178" t="s">
        <v>335</v>
      </c>
      <c r="W401" s="179">
        <f>ROUND(T401*成本分摊比例!$I$53,2)</f>
        <v>8245848.26</v>
      </c>
      <c r="X401" s="179">
        <f>IF(SUM('附表1-面积统计表'!$D$6)=0,"",SUM(T401)-SUM(W401)-SUM(Y401))</f>
        <v>10168908.28</v>
      </c>
      <c r="Y401" s="179">
        <f>ROUND(T401*成本分摊比例!$K$53,2)</f>
        <v>2397581.32</v>
      </c>
      <c r="Z401" s="181" t="s">
        <v>2492</v>
      </c>
      <c r="AA401" s="164"/>
      <c r="AB401" s="182" t="s">
        <v>1686</v>
      </c>
    </row>
    <row r="402" ht="29" hidden="1" customHeight="1" spans="1:28">
      <c r="A402" s="159">
        <v>443</v>
      </c>
      <c r="B402" s="231" t="s">
        <v>2873</v>
      </c>
      <c r="C402" s="257" t="s">
        <v>2208</v>
      </c>
      <c r="D402" s="162" t="s">
        <v>2488</v>
      </c>
      <c r="E402" s="163" t="s">
        <v>2489</v>
      </c>
      <c r="F402" s="230" t="s">
        <v>2874</v>
      </c>
      <c r="G402" s="165" t="s">
        <v>2585</v>
      </c>
      <c r="H402" s="164" t="str">
        <f>IF(G402="","",VLOOKUP(G402,'附表8-合同明细采集底稿'!B:I,2,0))</f>
        <v>沁春锦苑4#6#8#11#16#31#、36#楼铝合金门窗</v>
      </c>
      <c r="I402" s="92" t="str">
        <f>IF(G402="","",VLOOKUP(G402,'附表8-合同明细采集底稿'!B:I,3,0))</f>
        <v>建设工程合同</v>
      </c>
      <c r="J402" s="164" t="str">
        <f>IF(G402="","",VLOOKUP(G402,'附表8-合同明细采集底稿'!B:I,4,0))</f>
        <v>库尔勒坚乐美建筑工程有限责任公司（郑长银）</v>
      </c>
      <c r="K402" s="164" t="s">
        <v>1711</v>
      </c>
      <c r="L402" s="227">
        <v>6500203130</v>
      </c>
      <c r="M402" s="227" t="s">
        <v>2875</v>
      </c>
      <c r="N402" s="268">
        <v>327433.63</v>
      </c>
      <c r="O402" s="173">
        <v>370000.0019</v>
      </c>
      <c r="P402" s="269">
        <v>327433.63</v>
      </c>
      <c r="Q402" s="173"/>
      <c r="R402" s="173">
        <f t="shared" si="22"/>
        <v>327433.63</v>
      </c>
      <c r="S402" s="177">
        <f>IFERROR(VLOOKUP(G402,'附表8-合同明细采集底稿'!B:M,12,0),100%)</f>
        <v>1</v>
      </c>
      <c r="T402" s="173">
        <f t="shared" si="28"/>
        <v>327433.63</v>
      </c>
      <c r="U402" s="119" t="s">
        <v>2509</v>
      </c>
      <c r="V402" s="178" t="s">
        <v>335</v>
      </c>
      <c r="W402" s="179">
        <f>ROUND(T402*成本分摊比例!$I$53,2)</f>
        <v>129729.2</v>
      </c>
      <c r="X402" s="179">
        <f>IF(SUM('附表1-面积统计表'!$D$6)=0,"",SUM(T402)-SUM(W402)-SUM(Y402))</f>
        <v>159984.08</v>
      </c>
      <c r="Y402" s="179">
        <f>ROUND(T402*成本分摊比例!$K$53,2)</f>
        <v>37720.35</v>
      </c>
      <c r="Z402" s="181" t="s">
        <v>2492</v>
      </c>
      <c r="AA402" s="164"/>
      <c r="AB402" s="182" t="s">
        <v>1686</v>
      </c>
    </row>
    <row r="403" ht="29" hidden="1" customHeight="1" spans="1:28">
      <c r="A403" s="159">
        <v>444</v>
      </c>
      <c r="B403" s="231" t="s">
        <v>2145</v>
      </c>
      <c r="C403" s="257" t="s">
        <v>2115</v>
      </c>
      <c r="D403" s="162" t="s">
        <v>2488</v>
      </c>
      <c r="E403" s="163" t="s">
        <v>2489</v>
      </c>
      <c r="F403" s="230" t="s">
        <v>2876</v>
      </c>
      <c r="G403" s="165" t="s">
        <v>2775</v>
      </c>
      <c r="H403" s="164" t="str">
        <f>IF(G403="","",VLOOKUP(G403,'附表8-合同明细采集底稿'!B:I,2,0))</f>
        <v>沁春锦苑4#-11#、16.17.住宅楼，2#3#36#商业楼建设工程施工合同(2.3#.)</v>
      </c>
      <c r="I403" s="92" t="str">
        <f>IF(G403="","",VLOOKUP(G403,'附表8-合同明细采集底稿'!B:I,3,0))</f>
        <v>建设工程合同</v>
      </c>
      <c r="J403" s="164" t="str">
        <f>IF(G403="","",VLOOKUP(G403,'附表8-合同明细采集底稿'!B:I,4,0))</f>
        <v>新疆通力建设集团股份有限公司（邓）</v>
      </c>
      <c r="K403" s="164" t="s">
        <v>1711</v>
      </c>
      <c r="L403" s="227">
        <v>6500203130</v>
      </c>
      <c r="M403" s="227" t="s">
        <v>2877</v>
      </c>
      <c r="N403" s="268">
        <v>748400.11</v>
      </c>
      <c r="O403" s="173">
        <v>815756.12</v>
      </c>
      <c r="P403" s="269">
        <v>748400.11</v>
      </c>
      <c r="Q403" s="173">
        <v>19939.02</v>
      </c>
      <c r="R403" s="173">
        <f t="shared" si="22"/>
        <v>768339.13</v>
      </c>
      <c r="S403" s="177">
        <f>IFERROR(VLOOKUP(G403,'附表8-合同明细采集底稿'!B:M,12,0),100%)</f>
        <v>1</v>
      </c>
      <c r="T403" s="173">
        <f t="shared" si="28"/>
        <v>768339.13</v>
      </c>
      <c r="U403" s="119" t="s">
        <v>2491</v>
      </c>
      <c r="V403" s="178" t="s">
        <v>335</v>
      </c>
      <c r="W403" s="179">
        <v>0</v>
      </c>
      <c r="X403" s="179">
        <f>IF(SUM('附表1-面积统计表'!$D$6)=0,"",SUM(T403)-SUM(W403)-SUM(Y403))</f>
        <v>0</v>
      </c>
      <c r="Y403" s="179">
        <f t="shared" ref="Y403:Y408" si="29">T403</f>
        <v>768339.13</v>
      </c>
      <c r="Z403" s="181" t="s">
        <v>2492</v>
      </c>
      <c r="AA403" s="164"/>
      <c r="AB403" s="182" t="s">
        <v>1686</v>
      </c>
    </row>
    <row r="404" ht="29" hidden="1" customHeight="1" spans="1:28">
      <c r="A404" s="159">
        <v>445</v>
      </c>
      <c r="B404" s="231" t="s">
        <v>2145</v>
      </c>
      <c r="C404" s="257" t="s">
        <v>2115</v>
      </c>
      <c r="D404" s="162" t="s">
        <v>2488</v>
      </c>
      <c r="E404" s="163" t="s">
        <v>2489</v>
      </c>
      <c r="F404" s="230" t="s">
        <v>2876</v>
      </c>
      <c r="G404" s="165" t="s">
        <v>2537</v>
      </c>
      <c r="H404" s="164" t="str">
        <f>IF(G404="","",VLOOKUP(G404,'附表8-合同明细采集底稿'!B:I,2,0))</f>
        <v>沁春锦苑4#-11#、16.17.住宅楼，2#3#36#商业楼建设工程施工合同（4-11/16/17#）</v>
      </c>
      <c r="I404" s="92" t="str">
        <f>IF(G404="","",VLOOKUP(G404,'附表8-合同明细采集底稿'!B:I,3,0))</f>
        <v>建设工程合同</v>
      </c>
      <c r="J404" s="164" t="str">
        <f>IF(G404="","",VLOOKUP(G404,'附表8-合同明细采集底稿'!B:I,4,0))</f>
        <v>新疆通力建设集团股份有限公司（邓）</v>
      </c>
      <c r="K404" s="164" t="s">
        <v>1711</v>
      </c>
      <c r="L404" s="227">
        <v>6500203130</v>
      </c>
      <c r="M404" s="242" t="s">
        <v>2877</v>
      </c>
      <c r="N404" s="173">
        <v>62882.87</v>
      </c>
      <c r="O404" s="173">
        <v>68542.33</v>
      </c>
      <c r="P404" s="174">
        <v>62882.87</v>
      </c>
      <c r="Q404" s="173">
        <v>-19939.02</v>
      </c>
      <c r="R404" s="173">
        <f t="shared" si="22"/>
        <v>42943.85</v>
      </c>
      <c r="S404" s="177">
        <f>IFERROR(VLOOKUP(G404,'附表8-合同明细采集底稿'!B:M,12,0),100%)</f>
        <v>1</v>
      </c>
      <c r="T404" s="173">
        <f t="shared" si="28"/>
        <v>42943.85</v>
      </c>
      <c r="U404" s="119" t="s">
        <v>2509</v>
      </c>
      <c r="V404" s="178" t="s">
        <v>335</v>
      </c>
      <c r="W404" s="179">
        <f>ROUND(T404*成本分摊比例!$I$53,2)</f>
        <v>17014.35</v>
      </c>
      <c r="X404" s="179">
        <f>IF(SUM('附表1-面积统计表'!$D$6)=0,"",SUM(T404)-SUM(W404)-SUM(Y404))</f>
        <v>20982.37</v>
      </c>
      <c r="Y404" s="179">
        <f>ROUND(T404*成本分摊比例!$K$53,2)</f>
        <v>4947.13</v>
      </c>
      <c r="Z404" s="181" t="s">
        <v>2492</v>
      </c>
      <c r="AA404" s="164"/>
      <c r="AB404" s="182" t="s">
        <v>1686</v>
      </c>
    </row>
    <row r="405" ht="29" hidden="1" customHeight="1" spans="1:28">
      <c r="A405" s="159">
        <v>446</v>
      </c>
      <c r="B405" s="231" t="s">
        <v>2145</v>
      </c>
      <c r="C405" s="257" t="s">
        <v>2128</v>
      </c>
      <c r="D405" s="162" t="s">
        <v>1739</v>
      </c>
      <c r="E405" s="163" t="s">
        <v>1745</v>
      </c>
      <c r="F405" s="230" t="s">
        <v>2878</v>
      </c>
      <c r="G405" s="165" t="s">
        <v>2771</v>
      </c>
      <c r="H405" s="164" t="str">
        <f>IF(G405="","",VLOOKUP(G405,'附表8-合同明细采集底稿'!B:I,2,0))</f>
        <v>4-11、16、17#楼31#楼景观绿化（住宅）</v>
      </c>
      <c r="I405" s="92" t="str">
        <f>IF(G405="","",VLOOKUP(G405,'附表8-合同明细采集底稿'!B:I,3,0))</f>
        <v>建设工程合同</v>
      </c>
      <c r="J405" s="164" t="str">
        <f>IF(G405="","",VLOOKUP(G405,'附表8-合同明细采集底稿'!B:I,4,0))</f>
        <v>新疆通力建设集团股份有限公司（蔚晓芳）</v>
      </c>
      <c r="K405" s="164" t="s">
        <v>1711</v>
      </c>
      <c r="L405" s="227">
        <v>6500203130</v>
      </c>
      <c r="M405" s="242" t="s">
        <v>2879</v>
      </c>
      <c r="N405" s="173">
        <v>76972.48</v>
      </c>
      <c r="O405" s="173">
        <v>83900</v>
      </c>
      <c r="P405" s="174">
        <v>76972.48</v>
      </c>
      <c r="Q405" s="173"/>
      <c r="R405" s="173">
        <f t="shared" si="22"/>
        <v>76972.48</v>
      </c>
      <c r="S405" s="177">
        <f>IFERROR(VLOOKUP(G405,'附表8-合同明细采集底稿'!B:M,12,0),100%)</f>
        <v>1</v>
      </c>
      <c r="T405" s="173">
        <f t="shared" si="28"/>
        <v>76972.48</v>
      </c>
      <c r="U405" s="119" t="s">
        <v>2496</v>
      </c>
      <c r="V405" s="178" t="s">
        <v>336</v>
      </c>
      <c r="W405" s="179">
        <f>IF('附表1-面积统计表'!$D$29=0,"",IF(AND(V405="共同成本费用",Z405="总建筑面积法"),ROUND(T405/'附表1-面积统计表'!$D$29*'附表1-面积统计表'!$D$5,2),IF(AND(V405="共同成本费用",Z405="可售建筑面积法"),ROUND(T405/'附表1-面积统计表'!$F$29*'附表1-面积统计表'!$F$5,2),"请手工填写")))</f>
        <v>28112.61</v>
      </c>
      <c r="X405" s="179">
        <f>IF(SUM('附表1-面积统计表'!$D$6)=0,"",SUM(T405)-SUM(W405)-SUM(Y405))</f>
        <v>34670.56</v>
      </c>
      <c r="Y405" s="179">
        <f>IF(SUM('附表1-面积统计表'!$D$6)=0,SUM(T405)-SUM(W405),IF('附表1-面积统计表'!$D$29=0,"",IF(AND(V405="共同成本费用",Z405="总建筑面积法"),ROUND(T405/'附表1-面积统计表'!$D$29*'附表1-面积统计表'!$D$7,2),IF(AND(V405="共同成本费用",Z405="可售建筑面积法"),ROUND(T405/'附表1-面积统计表'!$F$29*'附表1-面积统计表'!$F$7,2),"请手工填写"))))</f>
        <v>14189.31</v>
      </c>
      <c r="Z405" s="181" t="s">
        <v>311</v>
      </c>
      <c r="AA405" s="164"/>
      <c r="AB405" s="182" t="s">
        <v>1686</v>
      </c>
    </row>
    <row r="406" ht="29" hidden="1" customHeight="1" spans="1:28">
      <c r="A406" s="159">
        <v>447</v>
      </c>
      <c r="B406" s="231" t="s">
        <v>2145</v>
      </c>
      <c r="C406" s="257" t="s">
        <v>2105</v>
      </c>
      <c r="D406" s="162" t="s">
        <v>2488</v>
      </c>
      <c r="E406" s="163" t="s">
        <v>2489</v>
      </c>
      <c r="F406" s="230" t="s">
        <v>2880</v>
      </c>
      <c r="G406" s="242" t="s">
        <v>2490</v>
      </c>
      <c r="H406" s="164" t="str">
        <f>IF(G406="","",VLOOKUP(G406,'附表8-合同明细采集底稿'!B:I,2,0))</f>
        <v>建设工程施工合同12-15#楼38#楼、31#楼.36#幼儿园（36#楼）</v>
      </c>
      <c r="I406" s="92" t="str">
        <f>IF(G406="","",VLOOKUP(G406,'附表8-合同明细采集底稿'!B:I,3,0))</f>
        <v>建设工程合同</v>
      </c>
      <c r="J406" s="164" t="str">
        <f>IF(G406="","",VLOOKUP(G406,'附表8-合同明细采集底稿'!B:I,4,0))</f>
        <v>新疆通力建设集团股份有限公司（顾）</v>
      </c>
      <c r="K406" s="164" t="s">
        <v>1711</v>
      </c>
      <c r="L406" s="227">
        <v>6500203130</v>
      </c>
      <c r="M406" s="242" t="s">
        <v>2881</v>
      </c>
      <c r="N406" s="237">
        <v>417936.06</v>
      </c>
      <c r="O406" s="173">
        <v>455550.31</v>
      </c>
      <c r="P406" s="241">
        <v>417936.06</v>
      </c>
      <c r="Q406" s="173"/>
      <c r="R406" s="173">
        <f t="shared" ref="R406:R420" si="30">P406+Q406</f>
        <v>417936.06</v>
      </c>
      <c r="S406" s="177">
        <f>IFERROR(VLOOKUP(G406,'附表8-合同明细采集底稿'!B:M,12,0),100%)</f>
        <v>1</v>
      </c>
      <c r="T406" s="173">
        <f t="shared" si="28"/>
        <v>417936.06</v>
      </c>
      <c r="U406" s="119" t="s">
        <v>2491</v>
      </c>
      <c r="V406" s="178" t="s">
        <v>335</v>
      </c>
      <c r="W406" s="179">
        <v>0</v>
      </c>
      <c r="X406" s="179">
        <f>IF(SUM('附表1-面积统计表'!$D$6)=0,"",SUM(T406)-SUM(W406)-SUM(Y406))</f>
        <v>0</v>
      </c>
      <c r="Y406" s="179">
        <f t="shared" si="29"/>
        <v>417936.06</v>
      </c>
      <c r="Z406" s="181" t="s">
        <v>2492</v>
      </c>
      <c r="AA406" s="164"/>
      <c r="AB406" s="182" t="s">
        <v>1686</v>
      </c>
    </row>
    <row r="407" ht="29" hidden="1" customHeight="1" spans="1:28">
      <c r="A407" s="159">
        <v>448</v>
      </c>
      <c r="B407" s="231" t="s">
        <v>2882</v>
      </c>
      <c r="C407" s="257" t="s">
        <v>2883</v>
      </c>
      <c r="D407" s="162" t="s">
        <v>2488</v>
      </c>
      <c r="E407" s="163" t="s">
        <v>2489</v>
      </c>
      <c r="F407" s="230" t="s">
        <v>2884</v>
      </c>
      <c r="G407" s="119" t="s">
        <v>2537</v>
      </c>
      <c r="H407" s="164" t="str">
        <f>IF(G407="","",VLOOKUP(G407,'附表8-合同明细采集底稿'!B:I,2,0))</f>
        <v>沁春锦苑4#-11#、16.17.住宅楼，2#3#36#商业楼建设工程施工合同（4-11/16/17#）</v>
      </c>
      <c r="I407" s="92" t="str">
        <f>IF(G407="","",VLOOKUP(G407,'附表8-合同明细采集底稿'!B:I,3,0))</f>
        <v>建设工程合同</v>
      </c>
      <c r="J407" s="164" t="str">
        <f>IF(G407="","",VLOOKUP(G407,'附表8-合同明细采集底稿'!B:I,4,0))</f>
        <v>新疆通力建设集团股份有限公司（邓）</v>
      </c>
      <c r="K407" s="164" t="s">
        <v>1711</v>
      </c>
      <c r="L407" s="227">
        <v>6500203130</v>
      </c>
      <c r="M407" s="227" t="s">
        <v>2885</v>
      </c>
      <c r="N407" s="268">
        <v>892706.42</v>
      </c>
      <c r="O407" s="173">
        <v>973050</v>
      </c>
      <c r="P407" s="269">
        <v>892706.42</v>
      </c>
      <c r="Q407" s="173"/>
      <c r="R407" s="173">
        <f t="shared" si="30"/>
        <v>892706.42</v>
      </c>
      <c r="S407" s="177">
        <f>IFERROR(VLOOKUP(G407,'附表8-合同明细采集底稿'!B:M,12,0),100%)</f>
        <v>1</v>
      </c>
      <c r="T407" s="173">
        <f t="shared" si="28"/>
        <v>892706.42</v>
      </c>
      <c r="U407" s="119" t="s">
        <v>2509</v>
      </c>
      <c r="V407" s="178" t="s">
        <v>335</v>
      </c>
      <c r="W407" s="179">
        <f>ROUND(T407*成本分摊比例!$I$53,2)</f>
        <v>353690.28</v>
      </c>
      <c r="X407" s="179">
        <f>IF(SUM('附表1-面积统计表'!$D$6)=0,"",SUM(T407)-SUM(W407)-SUM(Y407))</f>
        <v>436176.36</v>
      </c>
      <c r="Y407" s="179">
        <f>ROUND(T407*成本分摊比例!$K$53,2)</f>
        <v>102839.78</v>
      </c>
      <c r="Z407" s="181" t="s">
        <v>2492</v>
      </c>
      <c r="AA407" s="164"/>
      <c r="AB407" s="182" t="s">
        <v>1686</v>
      </c>
    </row>
    <row r="408" ht="29" hidden="1" customHeight="1" spans="1:28">
      <c r="A408" s="159">
        <v>449</v>
      </c>
      <c r="B408" s="231" t="s">
        <v>2114</v>
      </c>
      <c r="C408" s="257" t="s">
        <v>2118</v>
      </c>
      <c r="D408" s="162" t="s">
        <v>2488</v>
      </c>
      <c r="E408" s="163" t="s">
        <v>2489</v>
      </c>
      <c r="F408" s="230" t="s">
        <v>2119</v>
      </c>
      <c r="G408" s="119" t="s">
        <v>2886</v>
      </c>
      <c r="H408" s="164" t="str">
        <f>IF(G408="","",VLOOKUP(G408,'附表8-合同明细采集底稿'!B:I,2,0))</f>
        <v>沁春锦苑4#6#8#11#16#31#、36#楼铝合金门窗-36#楼</v>
      </c>
      <c r="I408" s="92" t="str">
        <f>IF(G408="","",VLOOKUP(G408,'附表8-合同明细采集底稿'!B:I,3,0))</f>
        <v>建设工程合同</v>
      </c>
      <c r="J408" s="164" t="str">
        <f>IF(G408="","",VLOOKUP(G408,'附表8-合同明细采集底稿'!B:I,4,0))</f>
        <v>库尔勒坚乐美建筑工程有限责任公司（郑长银）</v>
      </c>
      <c r="K408" s="164" t="s">
        <v>1711</v>
      </c>
      <c r="L408" s="227">
        <v>6500203130</v>
      </c>
      <c r="M408" s="242" t="s">
        <v>2887</v>
      </c>
      <c r="N408" s="238">
        <v>101100.38</v>
      </c>
      <c r="O408" s="173">
        <v>114243.43</v>
      </c>
      <c r="P408" s="270">
        <v>101100.38</v>
      </c>
      <c r="Q408" s="173">
        <v>-15856.84</v>
      </c>
      <c r="R408" s="173">
        <f t="shared" si="30"/>
        <v>85243.54</v>
      </c>
      <c r="S408" s="177">
        <f>IFERROR(VLOOKUP(G408,'附表8-合同明细采集底稿'!B:M,12,0),100%)</f>
        <v>1</v>
      </c>
      <c r="T408" s="173">
        <f t="shared" si="28"/>
        <v>85243.54</v>
      </c>
      <c r="U408" s="119" t="s">
        <v>2491</v>
      </c>
      <c r="V408" s="178" t="s">
        <v>335</v>
      </c>
      <c r="W408" s="179">
        <v>0</v>
      </c>
      <c r="X408" s="179">
        <f>IF(SUM('附表1-面积统计表'!$D$6)=0,"",SUM(T408)-SUM(W408)-SUM(Y408))</f>
        <v>0</v>
      </c>
      <c r="Y408" s="179">
        <f t="shared" si="29"/>
        <v>85243.54</v>
      </c>
      <c r="Z408" s="181" t="s">
        <v>2492</v>
      </c>
      <c r="AA408" s="164"/>
      <c r="AB408" s="182" t="s">
        <v>1686</v>
      </c>
    </row>
    <row r="409" ht="29" hidden="1" customHeight="1" spans="1:28">
      <c r="A409" s="159">
        <v>450</v>
      </c>
      <c r="B409" s="231" t="s">
        <v>2114</v>
      </c>
      <c r="C409" s="257" t="s">
        <v>2115</v>
      </c>
      <c r="D409" s="162" t="s">
        <v>1739</v>
      </c>
      <c r="E409" s="163" t="s">
        <v>1788</v>
      </c>
      <c r="F409" s="230" t="s">
        <v>2116</v>
      </c>
      <c r="G409" s="119" t="s">
        <v>2611</v>
      </c>
      <c r="H409" s="164" t="str">
        <f>IF(G409="","",VLOOKUP(G409,'附表8-合同明细采集底稿'!B:I,2,0))</f>
        <v>二期、三期给排水、消防工程施工合同-二期</v>
      </c>
      <c r="I409" s="92" t="str">
        <f>IF(G409="","",VLOOKUP(G409,'附表8-合同明细采集底稿'!B:I,3,0))</f>
        <v>建设工程合同</v>
      </c>
      <c r="J409" s="164" t="str">
        <f>IF(G409="","",VLOOKUP(G409,'附表8-合同明细采集底稿'!B:I,4,0))</f>
        <v>江苏中义消防工程有限公司巴州分公司（巩红卫）</v>
      </c>
      <c r="K409" s="164" t="s">
        <v>1711</v>
      </c>
      <c r="L409" s="227">
        <v>6500203130</v>
      </c>
      <c r="M409" s="242" t="s">
        <v>2117</v>
      </c>
      <c r="N409" s="238">
        <v>329761.2</v>
      </c>
      <c r="O409" s="173">
        <v>359439.71</v>
      </c>
      <c r="P409" s="270">
        <v>329761.2</v>
      </c>
      <c r="Q409" s="173"/>
      <c r="R409" s="173">
        <f t="shared" si="30"/>
        <v>329761.2</v>
      </c>
      <c r="S409" s="177">
        <f>IFERROR(VLOOKUP(G409,'附表8-合同明细采集底稿'!B:M,12,0),100%)</f>
        <v>1</v>
      </c>
      <c r="T409" s="173">
        <f t="shared" si="28"/>
        <v>329761.2</v>
      </c>
      <c r="U409" s="119" t="s">
        <v>2509</v>
      </c>
      <c r="V409" s="178" t="s">
        <v>335</v>
      </c>
      <c r="W409" s="179">
        <f>ROUND(T409*成本分摊比例!$I$53,2)</f>
        <v>130651.39</v>
      </c>
      <c r="X409" s="179">
        <f>IF(SUM('附表1-面积统计表'!$D$6)=0,"",SUM(T409)-SUM(W409)-SUM(Y409))</f>
        <v>161121.32</v>
      </c>
      <c r="Y409" s="179">
        <f>ROUND(T409*成本分摊比例!$K$53,2)</f>
        <v>37988.49</v>
      </c>
      <c r="Z409" s="181" t="s">
        <v>2492</v>
      </c>
      <c r="AA409" s="164"/>
      <c r="AB409" s="182" t="s">
        <v>1686</v>
      </c>
    </row>
    <row r="410" ht="29" hidden="1" customHeight="1" spans="1:28">
      <c r="A410" s="159">
        <v>451</v>
      </c>
      <c r="B410" s="231" t="s">
        <v>2141</v>
      </c>
      <c r="C410" s="257" t="s">
        <v>2888</v>
      </c>
      <c r="D410" s="231" t="s">
        <v>1707</v>
      </c>
      <c r="E410" s="163" t="s">
        <v>2451</v>
      </c>
      <c r="F410" s="230" t="s">
        <v>2889</v>
      </c>
      <c r="G410" s="119"/>
      <c r="H410" s="164" t="str">
        <f>IF(G410="","",VLOOKUP(G410,'附表8-合同明细采集底稿'!B:I,2,0))</f>
        <v/>
      </c>
      <c r="I410" s="92" t="str">
        <f>IF(G410="","",VLOOKUP(G410,'附表8-合同明细采集底稿'!B:I,3,0))</f>
        <v/>
      </c>
      <c r="J410" s="253" t="s">
        <v>2507</v>
      </c>
      <c r="K410" s="164" t="s">
        <v>2508</v>
      </c>
      <c r="L410" s="227">
        <v>6500203130</v>
      </c>
      <c r="M410" s="242" t="s">
        <v>2890</v>
      </c>
      <c r="N410" s="240">
        <v>488317.6</v>
      </c>
      <c r="O410" s="173">
        <v>488317.6</v>
      </c>
      <c r="P410" s="240">
        <v>488317.6</v>
      </c>
      <c r="Q410" s="173"/>
      <c r="R410" s="173">
        <f t="shared" si="30"/>
        <v>488317.6</v>
      </c>
      <c r="S410" s="177">
        <f>IFERROR(VLOOKUP(G410,'附表8-合同明细采集底稿'!B:M,12,0),100%)</f>
        <v>1</v>
      </c>
      <c r="T410" s="173">
        <f t="shared" si="28"/>
        <v>488317.6</v>
      </c>
      <c r="U410" s="119" t="s">
        <v>2509</v>
      </c>
      <c r="V410" s="178" t="s">
        <v>336</v>
      </c>
      <c r="W410" s="179">
        <f>IF('附表1-面积统计表'!$D$29=0,"",IF(AND(V410="共同成本费用",Z410="总建筑面积法"),ROUND(T410/'附表1-面积统计表'!$D$29*'附表1-面积统计表'!$D$5,2),IF(AND(V410="共同成本费用",Z410="可售建筑面积法"),ROUND(T410/'附表1-面积统计表'!$F$29*'附表1-面积统计表'!$F$5,2),"请手工填写")))</f>
        <v>178347.95</v>
      </c>
      <c r="X410" s="179">
        <f>IF(SUM('附表1-面积统计表'!$D$6)=0,"",SUM(T410)-SUM(W410)-SUM(Y410))</f>
        <v>219951.87</v>
      </c>
      <c r="Y410" s="179">
        <f>IF(SUM('附表1-面积统计表'!$D$6)=0,SUM(T410)-SUM(W410),IF('附表1-面积统计表'!$D$29=0,"",IF(AND(V410="共同成本费用",Z410="总建筑面积法"),ROUND(T410/'附表1-面积统计表'!$D$29*'附表1-面积统计表'!$D$7,2),IF(AND(V410="共同成本费用",Z410="可售建筑面积法"),ROUND(T410/'附表1-面积统计表'!$F$29*'附表1-面积统计表'!$F$7,2),"请手工填写"))))</f>
        <v>90017.78</v>
      </c>
      <c r="Z410" s="181" t="s">
        <v>311</v>
      </c>
      <c r="AA410" s="164"/>
      <c r="AB410" s="182" t="s">
        <v>1686</v>
      </c>
    </row>
    <row r="411" s="140" customFormat="1" ht="29" hidden="1" customHeight="1" spans="1:16384">
      <c r="A411" s="183">
        <v>452</v>
      </c>
      <c r="B411" s="259" t="s">
        <v>2891</v>
      </c>
      <c r="C411" s="260" t="s">
        <v>2228</v>
      </c>
      <c r="D411" s="185" t="s">
        <v>2488</v>
      </c>
      <c r="E411" s="186" t="s">
        <v>2489</v>
      </c>
      <c r="F411" s="261" t="s">
        <v>2892</v>
      </c>
      <c r="G411" s="262" t="s">
        <v>2893</v>
      </c>
      <c r="H411" s="187" t="str">
        <f>IF(G411="","",VLOOKUP(G411,'附表8-合同明细采集底稿'!B:I,2,0))</f>
        <v>沁春锦苑道闸</v>
      </c>
      <c r="I411" s="199" t="str">
        <f>IF(G411="","",VLOOKUP(G411,'附表8-合同明细采集底稿'!B:I,3,0))</f>
        <v>建设工程合同</v>
      </c>
      <c r="J411" s="187" t="str">
        <f>IF(G411="","",VLOOKUP(G411,'附表8-合同明细采集底稿'!B:I,4,0))</f>
        <v>巴州青橄榄电子科技有限公司（党曌）</v>
      </c>
      <c r="K411" s="187" t="s">
        <v>1711</v>
      </c>
      <c r="L411" s="188" t="s">
        <v>2894</v>
      </c>
      <c r="M411" s="263" t="s">
        <v>2895</v>
      </c>
      <c r="N411" s="271">
        <v>36893.2</v>
      </c>
      <c r="O411" s="200">
        <v>38000</v>
      </c>
      <c r="P411" s="272">
        <v>36893.2</v>
      </c>
      <c r="Q411" s="200">
        <f>-P411</f>
        <v>-36893.2</v>
      </c>
      <c r="R411" s="200">
        <f t="shared" si="30"/>
        <v>0</v>
      </c>
      <c r="S411" s="205">
        <f>IFERROR(VLOOKUP(G411,'附表8-合同明细采集底稿'!B:M,12,0),100%)</f>
        <v>1</v>
      </c>
      <c r="T411" s="200">
        <f t="shared" si="28"/>
        <v>0</v>
      </c>
      <c r="U411" s="262" t="s">
        <v>2496</v>
      </c>
      <c r="V411" s="206" t="s">
        <v>336</v>
      </c>
      <c r="W411" s="207">
        <f>IF('附表1-面积统计表'!$D$29=0,"",IF(AND(V411="共同成本费用",Z411="总建筑面积法"),ROUND(T411/'附表1-面积统计表'!$D$29*'附表1-面积统计表'!$D$5,2),IF(AND(V411="共同成本费用",Z411="可售建筑面积法"),ROUND(T411/'附表1-面积统计表'!$F$29*'附表1-面积统计表'!$F$5,2),"请手工填写")))</f>
        <v>0</v>
      </c>
      <c r="X411" s="207">
        <f>IF(SUM('附表1-面积统计表'!$D$6)=0,"",SUM(T411)-SUM(W411)-SUM(Y411))</f>
        <v>0</v>
      </c>
      <c r="Y411" s="207">
        <f>IF(SUM('附表1-面积统计表'!$D$6)=0,SUM(T411)-SUM(W411),IF('附表1-面积统计表'!$D$29=0,"",IF(AND(V411="共同成本费用",Z411="总建筑面积法"),ROUND(T411/'附表1-面积统计表'!$D$29*'附表1-面积统计表'!$D$7,2),IF(AND(V411="共同成本费用",Z411="可售建筑面积法"),ROUND(T411/'附表1-面积统计表'!$F$29*'附表1-面积统计表'!$F$7,2),"请手工填写"))))</f>
        <v>0</v>
      </c>
      <c r="Z411" s="213" t="s">
        <v>311</v>
      </c>
      <c r="AA411" s="187"/>
      <c r="AB411" s="214" t="s">
        <v>1686</v>
      </c>
      <c r="AC411" s="140" t="s">
        <v>2860</v>
      </c>
      <c r="XEO411" s="217"/>
      <c r="XEP411" s="217"/>
      <c r="XEQ411" s="217"/>
      <c r="XER411" s="217"/>
      <c r="XES411" s="217"/>
      <c r="XET411" s="217"/>
      <c r="XEU411" s="217"/>
      <c r="XEV411" s="217"/>
      <c r="XEW411" s="217"/>
      <c r="XEX411" s="217"/>
      <c r="XEY411" s="217"/>
      <c r="XEZ411" s="217"/>
      <c r="XFA411" s="217"/>
      <c r="XFB411" s="217"/>
      <c r="XFC411" s="217"/>
      <c r="XFD411" s="217"/>
    </row>
    <row r="412" ht="29" hidden="1" customHeight="1" spans="1:28">
      <c r="A412" s="159">
        <v>453</v>
      </c>
      <c r="B412" s="231" t="s">
        <v>2149</v>
      </c>
      <c r="C412" s="257" t="s">
        <v>2864</v>
      </c>
      <c r="D412" s="162" t="s">
        <v>1739</v>
      </c>
      <c r="E412" s="163" t="s">
        <v>1788</v>
      </c>
      <c r="F412" s="230" t="s">
        <v>2896</v>
      </c>
      <c r="G412" s="119" t="s">
        <v>2611</v>
      </c>
      <c r="H412" s="164" t="str">
        <f>IF(G412="","",VLOOKUP(G412,'附表8-合同明细采集底稿'!B:I,2,0))</f>
        <v>二期、三期给排水、消防工程施工合同-二期</v>
      </c>
      <c r="I412" s="92" t="str">
        <f>IF(G412="","",VLOOKUP(G412,'附表8-合同明细采集底稿'!B:I,3,0))</f>
        <v>建设工程合同</v>
      </c>
      <c r="J412" s="164" t="str">
        <f>IF(G412="","",VLOOKUP(G412,'附表8-合同明细采集底稿'!B:I,4,0))</f>
        <v>江苏中义消防工程有限公司巴州分公司（巩红卫）</v>
      </c>
      <c r="K412" s="164" t="s">
        <v>1711</v>
      </c>
      <c r="L412" s="227">
        <v>6500203130</v>
      </c>
      <c r="M412" s="227" t="s">
        <v>2897</v>
      </c>
      <c r="N412" s="239">
        <v>458715.6</v>
      </c>
      <c r="O412" s="173">
        <v>500000</v>
      </c>
      <c r="P412" s="240">
        <v>458715.6</v>
      </c>
      <c r="Q412" s="173"/>
      <c r="R412" s="173">
        <f t="shared" si="30"/>
        <v>458715.6</v>
      </c>
      <c r="S412" s="177">
        <f>IFERROR(VLOOKUP(G412,'附表8-合同明细采集底稿'!B:M,12,0),100%)</f>
        <v>1</v>
      </c>
      <c r="T412" s="173">
        <f t="shared" si="28"/>
        <v>458715.6</v>
      </c>
      <c r="U412" s="119" t="s">
        <v>2509</v>
      </c>
      <c r="V412" s="178" t="s">
        <v>335</v>
      </c>
      <c r="W412" s="179">
        <f>ROUND(T412*成本分摊比例!$I$53,2)</f>
        <v>181743.12</v>
      </c>
      <c r="X412" s="179">
        <f>IF(SUM('附表1-面积统计表'!$D$6)=0,"",SUM(T412)-SUM(W412)-SUM(Y412))</f>
        <v>224128.44</v>
      </c>
      <c r="Y412" s="179">
        <f>ROUND(T412*成本分摊比例!$K$53,2)</f>
        <v>52844.04</v>
      </c>
      <c r="Z412" s="181" t="s">
        <v>2492</v>
      </c>
      <c r="AA412" s="164"/>
      <c r="AB412" s="182" t="s">
        <v>1686</v>
      </c>
    </row>
    <row r="413" ht="29" hidden="1" customHeight="1" spans="1:28">
      <c r="A413" s="159">
        <v>454</v>
      </c>
      <c r="B413" s="231" t="s">
        <v>2898</v>
      </c>
      <c r="C413" s="257" t="s">
        <v>2899</v>
      </c>
      <c r="D413" s="162" t="s">
        <v>2488</v>
      </c>
      <c r="E413" s="163" t="s">
        <v>2489</v>
      </c>
      <c r="F413" s="230" t="s">
        <v>2900</v>
      </c>
      <c r="G413" s="119" t="s">
        <v>2537</v>
      </c>
      <c r="H413" s="164" t="str">
        <f>IF(G413="","",VLOOKUP(G413,'附表8-合同明细采集底稿'!B:I,2,0))</f>
        <v>沁春锦苑4#-11#、16.17.住宅楼，2#3#36#商业楼建设工程施工合同（4-11/16/17#）</v>
      </c>
      <c r="I413" s="92" t="str">
        <f>IF(G413="","",VLOOKUP(G413,'附表8-合同明细采集底稿'!B:I,3,0))</f>
        <v>建设工程合同</v>
      </c>
      <c r="J413" s="164" t="str">
        <f>IF(G413="","",VLOOKUP(G413,'附表8-合同明细采集底稿'!B:I,4,0))</f>
        <v>新疆通力建设集团股份有限公司（邓）</v>
      </c>
      <c r="K413" s="164" t="s">
        <v>1711</v>
      </c>
      <c r="L413" s="165" t="s">
        <v>2894</v>
      </c>
      <c r="M413" s="227" t="s">
        <v>2901</v>
      </c>
      <c r="N413" s="239">
        <v>997183.49</v>
      </c>
      <c r="O413" s="173">
        <v>1086930</v>
      </c>
      <c r="P413" s="240">
        <v>997183.49</v>
      </c>
      <c r="Q413" s="173"/>
      <c r="R413" s="173">
        <f t="shared" si="30"/>
        <v>997183.49</v>
      </c>
      <c r="S413" s="177">
        <f>IFERROR(VLOOKUP(G413,'附表8-合同明细采集底稿'!B:M,12,0),100%)</f>
        <v>1</v>
      </c>
      <c r="T413" s="173">
        <f t="shared" si="28"/>
        <v>997183.49</v>
      </c>
      <c r="U413" s="119" t="s">
        <v>2509</v>
      </c>
      <c r="V413" s="178" t="s">
        <v>335</v>
      </c>
      <c r="W413" s="179">
        <f>ROUND(T413*成本分摊比例!$I$53,2)</f>
        <v>395084.1</v>
      </c>
      <c r="X413" s="179">
        <f>IF(SUM('附表1-面积统计表'!$D$6)=0,"",SUM(T413)-SUM(W413)-SUM(Y413))</f>
        <v>487223.85</v>
      </c>
      <c r="Y413" s="179">
        <f>ROUND(T413*成本分摊比例!$K$53,2)</f>
        <v>114875.54</v>
      </c>
      <c r="Z413" s="181" t="s">
        <v>2492</v>
      </c>
      <c r="AA413" s="164"/>
      <c r="AB413" s="182" t="s">
        <v>1686</v>
      </c>
    </row>
    <row r="414" ht="29" hidden="1" customHeight="1" spans="1:28">
      <c r="A414" s="159">
        <v>455</v>
      </c>
      <c r="B414" s="231" t="s">
        <v>2902</v>
      </c>
      <c r="C414" s="257" t="s">
        <v>2152</v>
      </c>
      <c r="D414" s="162" t="s">
        <v>2488</v>
      </c>
      <c r="E414" s="163" t="s">
        <v>2489</v>
      </c>
      <c r="F414" s="230" t="s">
        <v>2903</v>
      </c>
      <c r="G414" s="119" t="s">
        <v>2537</v>
      </c>
      <c r="H414" s="164" t="str">
        <f>IF(G414="","",VLOOKUP(G414,'附表8-合同明细采集底稿'!B:I,2,0))</f>
        <v>沁春锦苑4#-11#、16.17.住宅楼，2#3#36#商业楼建设工程施工合同（4-11/16/17#）</v>
      </c>
      <c r="I414" s="92" t="str">
        <f>IF(G414="","",VLOOKUP(G414,'附表8-合同明细采集底稿'!B:I,3,0))</f>
        <v>建设工程合同</v>
      </c>
      <c r="J414" s="164" t="str">
        <f>IF(G414="","",VLOOKUP(G414,'附表8-合同明细采集底稿'!B:I,4,0))</f>
        <v>新疆通力建设集团股份有限公司（邓）</v>
      </c>
      <c r="K414" s="164" t="s">
        <v>1711</v>
      </c>
      <c r="L414" s="165" t="s">
        <v>2904</v>
      </c>
      <c r="M414" s="227" t="s">
        <v>2905</v>
      </c>
      <c r="N414" s="239">
        <v>910386.24</v>
      </c>
      <c r="O414" s="173">
        <v>992321</v>
      </c>
      <c r="P414" s="240">
        <v>910386.24</v>
      </c>
      <c r="Q414" s="173"/>
      <c r="R414" s="173">
        <f t="shared" si="30"/>
        <v>910386.24</v>
      </c>
      <c r="S414" s="177">
        <f>IFERROR(VLOOKUP(G414,'附表8-合同明细采集底稿'!B:M,12,0),100%)</f>
        <v>1</v>
      </c>
      <c r="T414" s="173">
        <f t="shared" si="28"/>
        <v>910386.24</v>
      </c>
      <c r="U414" s="119" t="s">
        <v>2509</v>
      </c>
      <c r="V414" s="178" t="s">
        <v>335</v>
      </c>
      <c r="W414" s="179">
        <f>ROUND(T414*成本分摊比例!$I$53,2)</f>
        <v>360695.03</v>
      </c>
      <c r="X414" s="179">
        <f>IF(SUM('附表1-面积统计表'!$D$6)=0,"",SUM(T414)-SUM(W414)-SUM(Y414))</f>
        <v>444814.72</v>
      </c>
      <c r="Y414" s="179">
        <f>ROUND(T414*成本分摊比例!$K$53,2)</f>
        <v>104876.49</v>
      </c>
      <c r="Z414" s="181" t="s">
        <v>2492</v>
      </c>
      <c r="AA414" s="164"/>
      <c r="AB414" s="182" t="s">
        <v>1686</v>
      </c>
    </row>
    <row r="415" ht="29" hidden="1" customHeight="1" spans="1:28">
      <c r="A415" s="159">
        <v>456</v>
      </c>
      <c r="B415" s="231" t="s">
        <v>2906</v>
      </c>
      <c r="C415" s="257" t="s">
        <v>2225</v>
      </c>
      <c r="D415" s="162" t="s">
        <v>2488</v>
      </c>
      <c r="E415" s="163" t="s">
        <v>2489</v>
      </c>
      <c r="F415" s="230" t="s">
        <v>2907</v>
      </c>
      <c r="G415" s="119" t="s">
        <v>2537</v>
      </c>
      <c r="H415" s="164" t="str">
        <f>IF(G415="","",VLOOKUP(G415,'附表8-合同明细采集底稿'!B:I,2,0))</f>
        <v>沁春锦苑4#-11#、16.17.住宅楼，2#3#36#商业楼建设工程施工合同（4-11/16/17#）</v>
      </c>
      <c r="I415" s="92" t="str">
        <f>IF(G415="","",VLOOKUP(G415,'附表8-合同明细采集底稿'!B:I,3,0))</f>
        <v>建设工程合同</v>
      </c>
      <c r="J415" s="164" t="str">
        <f>IF(G415="","",VLOOKUP(G415,'附表8-合同明细采集底稿'!B:I,4,0))</f>
        <v>新疆通力建设集团股份有限公司（邓）</v>
      </c>
      <c r="K415" s="164" t="s">
        <v>1711</v>
      </c>
      <c r="L415" s="165" t="s">
        <v>2904</v>
      </c>
      <c r="M415" s="227" t="s">
        <v>2908</v>
      </c>
      <c r="N415" s="268">
        <v>997326.61</v>
      </c>
      <c r="O415" s="173">
        <v>1087086.0049</v>
      </c>
      <c r="P415" s="269">
        <v>997326.61</v>
      </c>
      <c r="Q415" s="173"/>
      <c r="R415" s="173">
        <f t="shared" si="30"/>
        <v>997326.61</v>
      </c>
      <c r="S415" s="177">
        <f>IFERROR(VLOOKUP(G415,'附表8-合同明细采集底稿'!B:M,12,0),100%)</f>
        <v>1</v>
      </c>
      <c r="T415" s="173">
        <f t="shared" si="28"/>
        <v>997326.61</v>
      </c>
      <c r="U415" s="119" t="s">
        <v>2509</v>
      </c>
      <c r="V415" s="178" t="s">
        <v>335</v>
      </c>
      <c r="W415" s="179">
        <f>ROUND(T415*成本分摊比例!$I$53,2)</f>
        <v>395140.8</v>
      </c>
      <c r="X415" s="179">
        <f>IF(SUM('附表1-面积统计表'!$D$6)=0,"",SUM(T415)-SUM(W415)-SUM(Y415))</f>
        <v>487293.78</v>
      </c>
      <c r="Y415" s="179">
        <f>ROUND(T415*成本分摊比例!$K$53,2)</f>
        <v>114892.03</v>
      </c>
      <c r="Z415" s="181" t="s">
        <v>2492</v>
      </c>
      <c r="AA415" s="164"/>
      <c r="AB415" s="182" t="s">
        <v>1686</v>
      </c>
    </row>
    <row r="416" ht="29" hidden="1" customHeight="1" spans="1:28">
      <c r="A416" s="159">
        <v>457</v>
      </c>
      <c r="B416" s="231" t="s">
        <v>2906</v>
      </c>
      <c r="C416" s="257" t="s">
        <v>2909</v>
      </c>
      <c r="D416" s="162" t="s">
        <v>1739</v>
      </c>
      <c r="E416" s="163" t="s">
        <v>2639</v>
      </c>
      <c r="F416" s="230" t="s">
        <v>2910</v>
      </c>
      <c r="G416" s="119" t="s">
        <v>2911</v>
      </c>
      <c r="H416" s="164" t="str">
        <f>IF(G416="","",VLOOKUP(G416,'附表8-合同明细采集底稿'!B:I,2,0))</f>
        <v>3#楼监控系统维修安装安装</v>
      </c>
      <c r="I416" s="92" t="str">
        <f>IF(G416="","",VLOOKUP(G416,'附表8-合同明细采集底稿'!B:I,3,0))</f>
        <v>建设工程合同</v>
      </c>
      <c r="J416" s="164" t="str">
        <f>IF(G416="","",VLOOKUP(G416,'附表8-合同明细采集底稿'!B:I,4,0))</f>
        <v>巴州青橄榄电子科技有限公司（党曌）</v>
      </c>
      <c r="K416" s="164" t="s">
        <v>1711</v>
      </c>
      <c r="L416" s="165" t="s">
        <v>2904</v>
      </c>
      <c r="M416" s="242" t="s">
        <v>2912</v>
      </c>
      <c r="N416" s="237">
        <v>3465.35</v>
      </c>
      <c r="O416" s="173">
        <v>3500</v>
      </c>
      <c r="P416" s="241">
        <v>3465.35</v>
      </c>
      <c r="Q416" s="180">
        <f>-P416</f>
        <v>-3465.35</v>
      </c>
      <c r="R416" s="173">
        <f t="shared" si="30"/>
        <v>0</v>
      </c>
      <c r="S416" s="177">
        <f>IFERROR(VLOOKUP(G416,'附表8-合同明细采集底稿'!B:M,12,0),100%)</f>
        <v>1</v>
      </c>
      <c r="T416" s="173">
        <f t="shared" si="28"/>
        <v>0</v>
      </c>
      <c r="U416" s="119" t="s">
        <v>2491</v>
      </c>
      <c r="V416" s="178" t="s">
        <v>335</v>
      </c>
      <c r="W416" s="179">
        <v>0</v>
      </c>
      <c r="X416" s="179">
        <f>IF(SUM('附表1-面积统计表'!$D$6)=0,"",SUM(T416)-SUM(W416)-SUM(Y416))</f>
        <v>0</v>
      </c>
      <c r="Y416" s="179">
        <f>T416</f>
        <v>0</v>
      </c>
      <c r="Z416" s="181" t="s">
        <v>2492</v>
      </c>
      <c r="AA416" s="164"/>
      <c r="AB416" s="182" t="s">
        <v>1686</v>
      </c>
    </row>
    <row r="417" ht="29" hidden="1" customHeight="1" spans="1:28">
      <c r="A417" s="159">
        <v>458</v>
      </c>
      <c r="B417" s="231" t="s">
        <v>2179</v>
      </c>
      <c r="C417" s="257" t="s">
        <v>2913</v>
      </c>
      <c r="D417" s="162" t="s">
        <v>1739</v>
      </c>
      <c r="E417" s="163" t="s">
        <v>2639</v>
      </c>
      <c r="F417" s="230" t="s">
        <v>2914</v>
      </c>
      <c r="G417" s="165" t="s">
        <v>2645</v>
      </c>
      <c r="H417" s="164" t="str">
        <f>IF(G417="","",VLOOKUP(G417,'附表8-合同明细采集底稿'!B:I,2,0))</f>
        <v>沁春锦苑4#-17#楼可视对讲安装工程</v>
      </c>
      <c r="I417" s="92" t="str">
        <f>IF(G417="","",VLOOKUP(G417,'附表8-合同明细采集底稿'!B:I,3,0))</f>
        <v>建设工程合同</v>
      </c>
      <c r="J417" s="164" t="str">
        <f>IF(G417="","",VLOOKUP(G417,'附表8-合同明细采集底稿'!B:I,4,0))</f>
        <v>巴州青橄榄电子科技有限公司（党曌）</v>
      </c>
      <c r="K417" s="164" t="s">
        <v>1711</v>
      </c>
      <c r="L417" s="165" t="s">
        <v>2904</v>
      </c>
      <c r="M417" s="273" t="s">
        <v>2915</v>
      </c>
      <c r="N417" s="173">
        <v>-1314.85</v>
      </c>
      <c r="O417" s="173">
        <v>-1328</v>
      </c>
      <c r="P417" s="174">
        <v>-1314.85</v>
      </c>
      <c r="Q417" s="173"/>
      <c r="R417" s="173">
        <f t="shared" si="30"/>
        <v>-1314.85</v>
      </c>
      <c r="S417" s="177">
        <f>IFERROR(VLOOKUP(G417,'附表8-合同明细采集底稿'!B:M,12,0),100%)</f>
        <v>1</v>
      </c>
      <c r="T417" s="173">
        <f t="shared" si="28"/>
        <v>-1314.85</v>
      </c>
      <c r="U417" s="119" t="s">
        <v>2509</v>
      </c>
      <c r="V417" s="178" t="s">
        <v>335</v>
      </c>
      <c r="W417" s="179">
        <f>ROUND(T417*成本分摊比例!$I$53,2)</f>
        <v>-520.94</v>
      </c>
      <c r="X417" s="179">
        <f>IF(SUM('附表1-面积统计表'!$D$6)=0,"",SUM(T417)-SUM(W417)-SUM(Y417))</f>
        <v>-642.44</v>
      </c>
      <c r="Y417" s="179">
        <f>ROUND(T417*成本分摊比例!$K$53,2)</f>
        <v>-151.47</v>
      </c>
      <c r="Z417" s="181" t="s">
        <v>2492</v>
      </c>
      <c r="AA417" s="164"/>
      <c r="AB417" s="182" t="s">
        <v>1686</v>
      </c>
    </row>
    <row r="418" ht="29" hidden="1" customHeight="1" spans="1:28">
      <c r="A418" s="159">
        <v>459</v>
      </c>
      <c r="B418" s="231" t="s">
        <v>2179</v>
      </c>
      <c r="C418" s="257" t="s">
        <v>2916</v>
      </c>
      <c r="D418" s="162" t="s">
        <v>1739</v>
      </c>
      <c r="E418" s="163" t="s">
        <v>2639</v>
      </c>
      <c r="F418" s="230" t="s">
        <v>2917</v>
      </c>
      <c r="G418" s="165" t="s">
        <v>2641</v>
      </c>
      <c r="H418" s="164" t="str">
        <f>IF(G418="","",VLOOKUP(G418,'附表8-合同明细采集底稿'!B:I,2,0))</f>
        <v>3#楼监控系统安装</v>
      </c>
      <c r="I418" s="92" t="str">
        <f>IF(G418="","",VLOOKUP(G418,'附表8-合同明细采集底稿'!B:I,3,0))</f>
        <v>建设工程合同</v>
      </c>
      <c r="J418" s="164" t="str">
        <f>IF(G418="","",VLOOKUP(G418,'附表8-合同明细采集底稿'!B:I,4,0))</f>
        <v>巴州青橄榄电子科技有限公司（党曌）</v>
      </c>
      <c r="K418" s="164" t="s">
        <v>1711</v>
      </c>
      <c r="L418" s="165" t="s">
        <v>2904</v>
      </c>
      <c r="M418" s="273" t="s">
        <v>2918</v>
      </c>
      <c r="N418" s="173">
        <v>-1805.94</v>
      </c>
      <c r="O418" s="173">
        <v>-1824</v>
      </c>
      <c r="P418" s="174">
        <v>-1805.94</v>
      </c>
      <c r="Q418" s="173"/>
      <c r="R418" s="173">
        <f t="shared" si="30"/>
        <v>-1805.94</v>
      </c>
      <c r="S418" s="177">
        <f>IFERROR(VLOOKUP(G418,'附表8-合同明细采集底稿'!B:M,12,0),100%)</f>
        <v>1</v>
      </c>
      <c r="T418" s="173">
        <f t="shared" si="28"/>
        <v>-1805.94</v>
      </c>
      <c r="U418" s="119" t="s">
        <v>2491</v>
      </c>
      <c r="V418" s="178" t="s">
        <v>335</v>
      </c>
      <c r="W418" s="179">
        <v>0</v>
      </c>
      <c r="X418" s="179">
        <f>IF(SUM('附表1-面积统计表'!$D$6)=0,"",SUM(T418)-SUM(W418)-SUM(Y418))</f>
        <v>0</v>
      </c>
      <c r="Y418" s="179">
        <f>T418</f>
        <v>-1805.94</v>
      </c>
      <c r="Z418" s="181" t="s">
        <v>2492</v>
      </c>
      <c r="AA418" s="164"/>
      <c r="AB418" s="182" t="s">
        <v>1686</v>
      </c>
    </row>
    <row r="419" ht="83.25" hidden="1" spans="1:28">
      <c r="A419" s="159">
        <v>460</v>
      </c>
      <c r="B419" s="231" t="s">
        <v>2175</v>
      </c>
      <c r="C419" s="257" t="s">
        <v>2919</v>
      </c>
      <c r="D419" s="162" t="s">
        <v>2488</v>
      </c>
      <c r="E419" s="163" t="s">
        <v>2489</v>
      </c>
      <c r="F419" s="230" t="s">
        <v>2920</v>
      </c>
      <c r="G419" s="119" t="s">
        <v>2585</v>
      </c>
      <c r="H419" s="164" t="str">
        <f>IF(G419="","",VLOOKUP(G419,'附表8-合同明细采集底稿'!B:I,2,0))</f>
        <v>沁春锦苑4#6#8#11#16#31#、36#楼铝合金门窗</v>
      </c>
      <c r="I419" s="92" t="str">
        <f>IF(G419="","",VLOOKUP(G419,'附表8-合同明细采集底稿'!B:I,3,0))</f>
        <v>建设工程合同</v>
      </c>
      <c r="J419" s="164" t="str">
        <f>IF(G419="","",VLOOKUP(G419,'附表8-合同明细采集底稿'!B:I,4,0))</f>
        <v>库尔勒坚乐美建筑工程有限责任公司（郑长银）</v>
      </c>
      <c r="K419" s="164" t="s">
        <v>1711</v>
      </c>
      <c r="L419" s="165" t="s">
        <v>2904</v>
      </c>
      <c r="M419" s="273" t="s">
        <v>2921</v>
      </c>
      <c r="N419" s="173">
        <v>88495.58</v>
      </c>
      <c r="O419" s="173">
        <v>100000.01</v>
      </c>
      <c r="P419" s="174">
        <v>88495.58</v>
      </c>
      <c r="Q419" s="173">
        <v>-50232.87</v>
      </c>
      <c r="R419" s="173">
        <f t="shared" si="30"/>
        <v>38262.71</v>
      </c>
      <c r="S419" s="177">
        <f>IFERROR(VLOOKUP(G419,'附表8-合同明细采集底稿'!B:M,12,0),100%)</f>
        <v>1</v>
      </c>
      <c r="T419" s="173">
        <f t="shared" si="28"/>
        <v>38262.71</v>
      </c>
      <c r="U419" s="119" t="s">
        <v>2509</v>
      </c>
      <c r="V419" s="178" t="s">
        <v>335</v>
      </c>
      <c r="W419" s="179">
        <f>ROUND(T419*成本分摊比例!$I$53,2)</f>
        <v>15159.69</v>
      </c>
      <c r="X419" s="179">
        <f>IF(SUM('附表1-面积统计表'!$D$6)=0,"",SUM(T419)-SUM(W419)-SUM(Y419))</f>
        <v>18695.16</v>
      </c>
      <c r="Y419" s="179">
        <f>ROUND(T419*成本分摊比例!$K$53,2)</f>
        <v>4407.86</v>
      </c>
      <c r="Z419" s="181" t="s">
        <v>2492</v>
      </c>
      <c r="AA419" s="164"/>
      <c r="AB419" s="182" t="s">
        <v>1686</v>
      </c>
    </row>
    <row r="420" ht="83.25" hidden="1" spans="1:28">
      <c r="A420" s="159">
        <v>461</v>
      </c>
      <c r="B420" s="231" t="s">
        <v>2175</v>
      </c>
      <c r="C420" s="257" t="s">
        <v>2919</v>
      </c>
      <c r="D420" s="162" t="s">
        <v>2488</v>
      </c>
      <c r="E420" s="163" t="s">
        <v>2489</v>
      </c>
      <c r="F420" s="230" t="s">
        <v>2920</v>
      </c>
      <c r="G420" s="119" t="s">
        <v>2585</v>
      </c>
      <c r="H420" s="164" t="str">
        <f>IF(G420="","",VLOOKUP(G420,'附表8-合同明细采集底稿'!B:I,2,0))</f>
        <v>沁春锦苑4#6#8#11#16#31#、36#楼铝合金门窗</v>
      </c>
      <c r="I420" s="92" t="str">
        <f>IF(G420="","",VLOOKUP(G420,'附表8-合同明细采集底稿'!B:I,3,0))</f>
        <v>建设工程合同</v>
      </c>
      <c r="J420" s="164" t="str">
        <f>IF(G420="","",VLOOKUP(G420,'附表8-合同明细采集底稿'!B:I,4,0))</f>
        <v>库尔勒坚乐美建筑工程有限责任公司（郑长银）</v>
      </c>
      <c r="K420" s="164" t="s">
        <v>1711</v>
      </c>
      <c r="L420" s="165" t="s">
        <v>2904</v>
      </c>
      <c r="M420" s="165" t="s">
        <v>2922</v>
      </c>
      <c r="N420" s="173">
        <v>88495.58</v>
      </c>
      <c r="O420" s="173">
        <v>100000.01</v>
      </c>
      <c r="P420" s="174">
        <v>88495.58</v>
      </c>
      <c r="Q420" s="173"/>
      <c r="R420" s="173">
        <f t="shared" si="30"/>
        <v>88495.58</v>
      </c>
      <c r="S420" s="177">
        <f>IFERROR(VLOOKUP(G420,'附表8-合同明细采集底稿'!B:M,12,0),100%)</f>
        <v>1</v>
      </c>
      <c r="T420" s="173">
        <f t="shared" si="28"/>
        <v>88495.58</v>
      </c>
      <c r="U420" s="119" t="s">
        <v>2509</v>
      </c>
      <c r="V420" s="178" t="s">
        <v>335</v>
      </c>
      <c r="W420" s="179">
        <f>ROUND(T420*成本分摊比例!$I$53,2)</f>
        <v>35061.95</v>
      </c>
      <c r="X420" s="179">
        <f>IF(SUM('附表1-面积统计表'!$D$6)=0,"",SUM(T420)-SUM(W420)-SUM(Y420))</f>
        <v>43238.94</v>
      </c>
      <c r="Y420" s="179">
        <f>ROUND(T420*成本分摊比例!$K$53,2)</f>
        <v>10194.69</v>
      </c>
      <c r="Z420" s="181" t="s">
        <v>2492</v>
      </c>
      <c r="AA420" s="164"/>
      <c r="AB420" s="182" t="s">
        <v>1686</v>
      </c>
    </row>
    <row r="421" ht="83.25" hidden="1" spans="1:28">
      <c r="A421" s="159">
        <v>462</v>
      </c>
      <c r="B421" s="231" t="s">
        <v>2175</v>
      </c>
      <c r="C421" s="257" t="s">
        <v>2919</v>
      </c>
      <c r="D421" s="162" t="s">
        <v>2488</v>
      </c>
      <c r="E421" s="163" t="s">
        <v>2489</v>
      </c>
      <c r="F421" s="230" t="s">
        <v>2920</v>
      </c>
      <c r="G421" s="119" t="s">
        <v>2585</v>
      </c>
      <c r="H421" s="164" t="str">
        <f>IF(G421="","",VLOOKUP(G421,'附表8-合同明细采集底稿'!B:I,2,0))</f>
        <v>沁春锦苑4#6#8#11#16#31#、36#楼铝合金门窗</v>
      </c>
      <c r="I421" s="92" t="str">
        <f>IF(G421="","",VLOOKUP(G421,'附表8-合同明细采集底稿'!B:I,3,0))</f>
        <v>建设工程合同</v>
      </c>
      <c r="J421" s="164" t="str">
        <f>IF(G421="","",VLOOKUP(G421,'附表8-合同明细采集底稿'!B:I,4,0))</f>
        <v>库尔勒坚乐美建筑工程有限责任公司（郑长银）</v>
      </c>
      <c r="K421" s="164" t="s">
        <v>1711</v>
      </c>
      <c r="L421" s="165" t="s">
        <v>2904</v>
      </c>
      <c r="M421" s="165" t="s">
        <v>2923</v>
      </c>
      <c r="N421" s="173">
        <v>88495.58</v>
      </c>
      <c r="O421" s="173">
        <v>100000.01</v>
      </c>
      <c r="P421" s="174">
        <v>88495.58</v>
      </c>
      <c r="Q421" s="173"/>
      <c r="R421" s="173">
        <f t="shared" ref="R421:R427" si="31">P421+Q421</f>
        <v>88495.58</v>
      </c>
      <c r="S421" s="177">
        <f>IFERROR(VLOOKUP(G421,'附表8-合同明细采集底稿'!B:M,12,0),100%)</f>
        <v>1</v>
      </c>
      <c r="T421" s="173">
        <f t="shared" si="28"/>
        <v>88495.58</v>
      </c>
      <c r="U421" s="119" t="s">
        <v>2509</v>
      </c>
      <c r="V421" s="178" t="s">
        <v>335</v>
      </c>
      <c r="W421" s="179">
        <f>ROUND(T421*成本分摊比例!$I$53,2)</f>
        <v>35061.95</v>
      </c>
      <c r="X421" s="179">
        <f>IF(SUM('附表1-面积统计表'!$D$6)=0,"",SUM(T421)-SUM(W421)-SUM(Y421))</f>
        <v>43238.94</v>
      </c>
      <c r="Y421" s="179">
        <f>ROUND(T421*成本分摊比例!$K$53,2)</f>
        <v>10194.69</v>
      </c>
      <c r="Z421" s="181" t="s">
        <v>2492</v>
      </c>
      <c r="AA421" s="164"/>
      <c r="AB421" s="182" t="s">
        <v>1686</v>
      </c>
    </row>
    <row r="422" ht="83.25" hidden="1" spans="1:28">
      <c r="A422" s="159">
        <v>465</v>
      </c>
      <c r="B422" s="231" t="s">
        <v>2175</v>
      </c>
      <c r="C422" s="257" t="s">
        <v>2919</v>
      </c>
      <c r="D422" s="162" t="s">
        <v>2488</v>
      </c>
      <c r="E422" s="163" t="s">
        <v>2489</v>
      </c>
      <c r="F422" s="230" t="s">
        <v>2920</v>
      </c>
      <c r="G422" s="119" t="s">
        <v>2585</v>
      </c>
      <c r="H422" s="164" t="str">
        <f>IF(G422="","",VLOOKUP(G422,'附表8-合同明细采集底稿'!B:I,2,0))</f>
        <v>沁春锦苑4#6#8#11#16#31#、36#楼铝合金门窗</v>
      </c>
      <c r="I422" s="92" t="str">
        <f>IF(G422="","",VLOOKUP(G422,'附表8-合同明细采集底稿'!B:I,3,0))</f>
        <v>建设工程合同</v>
      </c>
      <c r="J422" s="164" t="str">
        <f>IF(G422="","",VLOOKUP(G422,'附表8-合同明细采集底稿'!B:I,4,0))</f>
        <v>库尔勒坚乐美建筑工程有限责任公司（郑长银）</v>
      </c>
      <c r="K422" s="164" t="s">
        <v>1711</v>
      </c>
      <c r="L422" s="165" t="s">
        <v>2904</v>
      </c>
      <c r="M422" s="165" t="s">
        <v>2924</v>
      </c>
      <c r="N422" s="173">
        <v>88495.58</v>
      </c>
      <c r="O422" s="173">
        <v>100000.01</v>
      </c>
      <c r="P422" s="174">
        <v>88495.58</v>
      </c>
      <c r="Q422" s="173"/>
      <c r="R422" s="173">
        <f t="shared" si="31"/>
        <v>88495.58</v>
      </c>
      <c r="S422" s="177">
        <f>IFERROR(VLOOKUP(G422,'附表8-合同明细采集底稿'!B:M,12,0),100%)</f>
        <v>1</v>
      </c>
      <c r="T422" s="173">
        <f t="shared" si="28"/>
        <v>88495.58</v>
      </c>
      <c r="U422" s="119" t="s">
        <v>2509</v>
      </c>
      <c r="V422" s="178" t="s">
        <v>335</v>
      </c>
      <c r="W422" s="179">
        <f>ROUND(T422*成本分摊比例!$I$53,2)</f>
        <v>35061.95</v>
      </c>
      <c r="X422" s="179">
        <f>IF(SUM('附表1-面积统计表'!$D$6)=0,"",SUM(T422)-SUM(W422)-SUM(Y422))</f>
        <v>43238.94</v>
      </c>
      <c r="Y422" s="179">
        <f>ROUND(T422*成本分摊比例!$K$53,2)</f>
        <v>10194.69</v>
      </c>
      <c r="Z422" s="181" t="s">
        <v>2492</v>
      </c>
      <c r="AA422" s="164"/>
      <c r="AB422" s="182" t="s">
        <v>1686</v>
      </c>
    </row>
    <row r="423" ht="83.25" hidden="1" spans="1:28">
      <c r="A423" s="159">
        <v>466</v>
      </c>
      <c r="B423" s="231" t="s">
        <v>2175</v>
      </c>
      <c r="C423" s="257" t="s">
        <v>2919</v>
      </c>
      <c r="D423" s="162" t="s">
        <v>2488</v>
      </c>
      <c r="E423" s="163" t="s">
        <v>2489</v>
      </c>
      <c r="F423" s="230" t="s">
        <v>2920</v>
      </c>
      <c r="G423" s="165" t="s">
        <v>2585</v>
      </c>
      <c r="H423" s="164" t="str">
        <f>IF(G423="","",VLOOKUP(G423,'附表8-合同明细采集底稿'!B:I,2,0))</f>
        <v>沁春锦苑4#6#8#11#16#31#、36#楼铝合金门窗</v>
      </c>
      <c r="I423" s="92" t="str">
        <f>IF(G423="","",VLOOKUP(G423,'附表8-合同明细采集底稿'!B:I,3,0))</f>
        <v>建设工程合同</v>
      </c>
      <c r="J423" s="164" t="str">
        <f>IF(G423="","",VLOOKUP(G423,'附表8-合同明细采集底稿'!B:I,4,0))</f>
        <v>库尔勒坚乐美建筑工程有限责任公司（郑长银）</v>
      </c>
      <c r="K423" s="164" t="s">
        <v>1711</v>
      </c>
      <c r="L423" s="165" t="s">
        <v>2904</v>
      </c>
      <c r="M423" s="165" t="s">
        <v>2925</v>
      </c>
      <c r="N423" s="173">
        <v>71193.81</v>
      </c>
      <c r="O423" s="173">
        <v>80449</v>
      </c>
      <c r="P423" s="274">
        <v>71193.81</v>
      </c>
      <c r="Q423" s="173"/>
      <c r="R423" s="173">
        <f t="shared" si="31"/>
        <v>71193.81</v>
      </c>
      <c r="S423" s="177">
        <f>IFERROR(VLOOKUP(G423,'附表8-合同明细采集底稿'!B:M,12,0),100%)</f>
        <v>1</v>
      </c>
      <c r="T423" s="173">
        <f t="shared" si="28"/>
        <v>71193.81</v>
      </c>
      <c r="U423" s="119" t="s">
        <v>2509</v>
      </c>
      <c r="V423" s="178" t="s">
        <v>335</v>
      </c>
      <c r="W423" s="179">
        <f>ROUND(T423*成本分摊比例!$I$53,2)</f>
        <v>28206.99</v>
      </c>
      <c r="X423" s="179">
        <f>IF(SUM('附表1-面积统计表'!$D$6)=0,"",SUM(T423)-SUM(W423)-SUM(Y423))</f>
        <v>34785.29</v>
      </c>
      <c r="Y423" s="179">
        <f>ROUND(T423*成本分摊比例!$K$53,2)</f>
        <v>8201.53</v>
      </c>
      <c r="Z423" s="181" t="s">
        <v>2492</v>
      </c>
      <c r="AA423" s="164"/>
      <c r="AB423" s="182" t="s">
        <v>1686</v>
      </c>
    </row>
    <row r="424" s="142" customFormat="1" ht="83.25" hidden="1" spans="1:28">
      <c r="A424" s="159">
        <v>467</v>
      </c>
      <c r="B424" s="231" t="s">
        <v>2267</v>
      </c>
      <c r="C424" s="232" t="s">
        <v>2190</v>
      </c>
      <c r="D424" s="231" t="s">
        <v>1707</v>
      </c>
      <c r="E424" s="163" t="s">
        <v>1708</v>
      </c>
      <c r="F424" s="233" t="s">
        <v>2268</v>
      </c>
      <c r="G424" s="165" t="s">
        <v>2656</v>
      </c>
      <c r="H424" s="164" t="str">
        <f>IF(G424="","",VLOOKUP(G424,'附表8-合同明细采集底稿'!B:I,2,0))</f>
        <v>沁春锦苑3#楼商业消防改造</v>
      </c>
      <c r="I424" s="92" t="str">
        <f>IF(G424="","",VLOOKUP(G424,'附表8-合同明细采集底稿'!B:I,3,0))</f>
        <v>建设工程合同</v>
      </c>
      <c r="J424" s="164" t="str">
        <f>IF(G424="","",VLOOKUP(G424,'附表8-合同明细采集底稿'!B:I,4,0))</f>
        <v>新疆益诚开拓空间规划建筑设计研究院有限公司</v>
      </c>
      <c r="K424" s="164" t="s">
        <v>1711</v>
      </c>
      <c r="L424" s="165" t="s">
        <v>2904</v>
      </c>
      <c r="M424" s="165" t="s">
        <v>2926</v>
      </c>
      <c r="N424" s="173">
        <v>5094.34</v>
      </c>
      <c r="O424" s="173">
        <v>5400.0004</v>
      </c>
      <c r="P424" s="174">
        <v>5094.34</v>
      </c>
      <c r="Q424" s="180">
        <f>-P424</f>
        <v>-5094.34</v>
      </c>
      <c r="R424" s="173">
        <f t="shared" si="31"/>
        <v>0</v>
      </c>
      <c r="S424" s="177">
        <f>IFERROR(VLOOKUP(G424,'附表8-合同明细采集底稿'!B:M,12,0),100%)</f>
        <v>1</v>
      </c>
      <c r="T424" s="173">
        <f t="shared" si="28"/>
        <v>0</v>
      </c>
      <c r="U424" s="119" t="s">
        <v>2491</v>
      </c>
      <c r="V424" s="178" t="s">
        <v>335</v>
      </c>
      <c r="W424" s="179">
        <v>0</v>
      </c>
      <c r="X424" s="179">
        <f>IF(SUM('附表1-面积统计表'!$D$6)=0,"",SUM(T424)-SUM(W424)-SUM(Y424))</f>
        <v>0</v>
      </c>
      <c r="Y424" s="179">
        <f>T424</f>
        <v>0</v>
      </c>
      <c r="Z424" s="181" t="s">
        <v>2492</v>
      </c>
      <c r="AA424" s="164"/>
      <c r="AB424" s="182" t="s">
        <v>1686</v>
      </c>
    </row>
    <row r="425" ht="83.25" hidden="1" spans="1:28">
      <c r="A425" s="159">
        <v>468</v>
      </c>
      <c r="B425" s="231" t="s">
        <v>2267</v>
      </c>
      <c r="C425" s="232" t="s">
        <v>2190</v>
      </c>
      <c r="D425" s="231" t="s">
        <v>1707</v>
      </c>
      <c r="E425" s="163" t="s">
        <v>1708</v>
      </c>
      <c r="F425" s="233" t="s">
        <v>2268</v>
      </c>
      <c r="G425" s="165" t="s">
        <v>2523</v>
      </c>
      <c r="H425" s="164" t="str">
        <f>IF(G425="","",VLOOKUP(G425,'附表8-合同明细采集底稿'!B:I,2,0))</f>
        <v>2#3#11#17#建设工程设计合同（民用建设工程设计合同）</v>
      </c>
      <c r="I425" s="92" t="str">
        <f>IF(G425="","",VLOOKUP(G425,'附表8-合同明细采集底稿'!B:I,3,0))</f>
        <v>技术合同</v>
      </c>
      <c r="J425" s="164" t="str">
        <f>IF(G425="","",VLOOKUP(G425,'附表8-合同明细采集底稿'!B:I,4,0))</f>
        <v>新疆益诚开拓空间规划建筑设计研究院有限公司</v>
      </c>
      <c r="K425" s="164" t="s">
        <v>1711</v>
      </c>
      <c r="L425" s="165" t="s">
        <v>2816</v>
      </c>
      <c r="M425" s="165" t="s">
        <v>2927</v>
      </c>
      <c r="N425" s="173">
        <v>20190.57</v>
      </c>
      <c r="O425" s="173">
        <v>21402.0042</v>
      </c>
      <c r="P425" s="174">
        <v>20190.57</v>
      </c>
      <c r="Q425" s="173"/>
      <c r="R425" s="173">
        <f t="shared" si="31"/>
        <v>20190.57</v>
      </c>
      <c r="S425" s="177">
        <f>IFERROR(VLOOKUP(G425,'附表8-合同明细采集底稿'!B:M,12,0),100%)</f>
        <v>1</v>
      </c>
      <c r="T425" s="173">
        <f t="shared" si="28"/>
        <v>20190.57</v>
      </c>
      <c r="U425" s="119" t="s">
        <v>2496</v>
      </c>
      <c r="V425" s="178" t="s">
        <v>336</v>
      </c>
      <c r="W425" s="179">
        <f>IF('附表1-面积统计表'!$D$29=0,"",IF(AND(V425="共同成本费用",Z425="总建筑面积法"),ROUND(T425/'附表1-面积统计表'!$D$29*'附表1-面积统计表'!$D$5,2),IF(AND(V425="共同成本费用",Z425="可售建筑面积法"),ROUND(T425/'附表1-面积统计表'!$F$29*'附表1-面积统计表'!$F$5,2),"请手工填写")))</f>
        <v>7374.19</v>
      </c>
      <c r="X425" s="179">
        <f>IF(SUM('附表1-面积统计表'!$D$6)=0,"",SUM(T425)-SUM(W425)-SUM(Y425))</f>
        <v>9094.4</v>
      </c>
      <c r="Y425" s="179">
        <f>IF(SUM('附表1-面积统计表'!$D$6)=0,SUM(T425)-SUM(W425),IF('附表1-面积统计表'!$D$29=0,"",IF(AND(V425="共同成本费用",Z425="总建筑面积法"),ROUND(T425/'附表1-面积统计表'!$D$29*'附表1-面积统计表'!$D$7,2),IF(AND(V425="共同成本费用",Z425="可售建筑面积法"),ROUND(T425/'附表1-面积统计表'!$F$29*'附表1-面积统计表'!$F$7,2),"请手工填写"))))</f>
        <v>3721.98</v>
      </c>
      <c r="Z425" s="181" t="s">
        <v>311</v>
      </c>
      <c r="AA425" s="164"/>
      <c r="AB425" s="182" t="s">
        <v>1686</v>
      </c>
    </row>
    <row r="426" s="140" customFormat="1" ht="83.25" hidden="1" spans="1:16384">
      <c r="A426" s="183">
        <v>468</v>
      </c>
      <c r="B426" s="263" t="s">
        <v>2928</v>
      </c>
      <c r="C426" s="263" t="s">
        <v>2929</v>
      </c>
      <c r="D426" s="259" t="s">
        <v>1707</v>
      </c>
      <c r="E426" s="186" t="s">
        <v>1708</v>
      </c>
      <c r="F426" s="264" t="s">
        <v>2930</v>
      </c>
      <c r="G426" s="262" t="s">
        <v>2931</v>
      </c>
      <c r="H426" s="187" t="str">
        <f>IF(G426="","",VLOOKUP(G426,'附表8-合同明细采集底稿'!B:I,2,0))</f>
        <v>11#-15#/17#18#21#22#38#.37#建设工程设计合同（民用建设工程设计合同）-11#、17#</v>
      </c>
      <c r="I426" s="199" t="str">
        <f>IF(G426="","",VLOOKUP(G426,'附表8-合同明细采集底稿'!B:I,3,0))</f>
        <v>技术合同</v>
      </c>
      <c r="J426" s="187" t="str">
        <f>IF(G426="","",VLOOKUP(G426,'附表8-合同明细采集底稿'!B:I,4,0))</f>
        <v>新疆益诚开拓空间规划建筑设计研究院有限公司</v>
      </c>
      <c r="K426" s="187" t="s">
        <v>1711</v>
      </c>
      <c r="L426" s="263">
        <v>6500193131</v>
      </c>
      <c r="M426" s="575" t="s">
        <v>2932</v>
      </c>
      <c r="N426" s="200">
        <v>943.4</v>
      </c>
      <c r="O426" s="200">
        <v>1000</v>
      </c>
      <c r="P426" s="201">
        <v>943.4</v>
      </c>
      <c r="Q426" s="200">
        <f>-P426</f>
        <v>-943.4</v>
      </c>
      <c r="R426" s="200">
        <f t="shared" si="31"/>
        <v>0</v>
      </c>
      <c r="S426" s="205">
        <f>IFERROR(VLOOKUP(G426,'附表8-合同明细采集底稿'!B:M,12,0),100%)</f>
        <v>1</v>
      </c>
      <c r="T426" s="200">
        <f t="shared" si="28"/>
        <v>0</v>
      </c>
      <c r="U426" s="262" t="s">
        <v>2496</v>
      </c>
      <c r="V426" s="206" t="s">
        <v>336</v>
      </c>
      <c r="W426" s="207">
        <f>IF('附表1-面积统计表'!$D$29=0,"",IF(AND(V426="共同成本费用",Z426="总建筑面积法"),ROUND(T426/'附表1-面积统计表'!$D$29*'附表1-面积统计表'!$D$5,2),IF(AND(V426="共同成本费用",Z426="可售建筑面积法"),ROUND(T426/'附表1-面积统计表'!$F$29*'附表1-面积统计表'!$F$5,2),"请手工填写")))</f>
        <v>0</v>
      </c>
      <c r="X426" s="207">
        <f>IF(SUM('附表1-面积统计表'!$D$6)=0,"",SUM(T426)-SUM(W426)-SUM(Y426))</f>
        <v>0</v>
      </c>
      <c r="Y426" s="207">
        <f>IF(SUM('附表1-面积统计表'!$D$6)=0,SUM(T426)-SUM(W426),IF('附表1-面积统计表'!$D$29=0,"",IF(AND(V426="共同成本费用",Z426="总建筑面积法"),ROUND(T426/'附表1-面积统计表'!$D$29*'附表1-面积统计表'!$D$7,2),IF(AND(V426="共同成本费用",Z426="可售建筑面积法"),ROUND(T426/'附表1-面积统计表'!$F$29*'附表1-面积统计表'!$F$7,2),"请手工填写"))))</f>
        <v>0</v>
      </c>
      <c r="Z426" s="213" t="s">
        <v>311</v>
      </c>
      <c r="AA426" s="187"/>
      <c r="AB426" s="214" t="s">
        <v>1686</v>
      </c>
      <c r="XEO426" s="217"/>
      <c r="XEP426" s="217"/>
      <c r="XEQ426" s="217"/>
      <c r="XER426" s="217"/>
      <c r="XES426" s="217"/>
      <c r="XET426" s="217"/>
      <c r="XEU426" s="217"/>
      <c r="XEV426" s="217"/>
      <c r="XEW426" s="217"/>
      <c r="XEX426" s="217"/>
      <c r="XEY426" s="217"/>
      <c r="XEZ426" s="217"/>
      <c r="XFA426" s="217"/>
      <c r="XFB426" s="217"/>
      <c r="XFC426" s="217"/>
      <c r="XFD426" s="217"/>
    </row>
    <row r="427" s="140" customFormat="1" ht="83.25" hidden="1" spans="1:16384">
      <c r="A427" s="183">
        <v>468</v>
      </c>
      <c r="B427" s="263" t="s">
        <v>2933</v>
      </c>
      <c r="C427" s="263" t="s">
        <v>2838</v>
      </c>
      <c r="D427" s="259" t="s">
        <v>1707</v>
      </c>
      <c r="E427" s="186" t="s">
        <v>1708</v>
      </c>
      <c r="F427" s="264" t="s">
        <v>2934</v>
      </c>
      <c r="G427" s="262" t="s">
        <v>2931</v>
      </c>
      <c r="H427" s="187" t="str">
        <f>IF(G427="","",VLOOKUP(G427,'附表8-合同明细采集底稿'!B:I,2,0))</f>
        <v>11#-15#/17#18#21#22#38#.37#建设工程设计合同（民用建设工程设计合同）-11#、17#</v>
      </c>
      <c r="I427" s="199" t="str">
        <f>IF(G427="","",VLOOKUP(G427,'附表8-合同明细采集底稿'!B:I,3,0))</f>
        <v>技术合同</v>
      </c>
      <c r="J427" s="187" t="str">
        <f>IF(G427="","",VLOOKUP(G427,'附表8-合同明细采集底稿'!B:I,4,0))</f>
        <v>新疆益诚开拓空间规划建筑设计研究院有限公司</v>
      </c>
      <c r="K427" s="187" t="s">
        <v>1711</v>
      </c>
      <c r="L427" s="263">
        <v>6500193130</v>
      </c>
      <c r="M427" s="575" t="s">
        <v>2935</v>
      </c>
      <c r="N427" s="200">
        <v>149630.19</v>
      </c>
      <c r="O427" s="200">
        <v>158608</v>
      </c>
      <c r="P427" s="201">
        <v>149630.19</v>
      </c>
      <c r="Q427" s="200">
        <f>-P427</f>
        <v>-149630.19</v>
      </c>
      <c r="R427" s="200">
        <f t="shared" si="31"/>
        <v>0</v>
      </c>
      <c r="S427" s="205">
        <f>IFERROR(VLOOKUP(G427,'附表8-合同明细采集底稿'!B:M,12,0),100%)</f>
        <v>1</v>
      </c>
      <c r="T427" s="200">
        <f t="shared" si="28"/>
        <v>0</v>
      </c>
      <c r="U427" s="262" t="s">
        <v>2496</v>
      </c>
      <c r="V427" s="206" t="s">
        <v>336</v>
      </c>
      <c r="W427" s="207">
        <f>IF('附表1-面积统计表'!$D$29=0,"",IF(AND(V427="共同成本费用",Z427="总建筑面积法"),ROUND(T427/'附表1-面积统计表'!$D$29*'附表1-面积统计表'!$D$5,2),IF(AND(V427="共同成本费用",Z427="可售建筑面积法"),ROUND(T427/'附表1-面积统计表'!$F$29*'附表1-面积统计表'!$F$5,2),"请手工填写")))</f>
        <v>0</v>
      </c>
      <c r="X427" s="207">
        <f>IF(SUM('附表1-面积统计表'!$D$6)=0,"",SUM(T427)-SUM(W427)-SUM(Y427))</f>
        <v>0</v>
      </c>
      <c r="Y427" s="207">
        <f>IF(SUM('附表1-面积统计表'!$D$6)=0,SUM(T427)-SUM(W427),IF('附表1-面积统计表'!$D$29=0,"",IF(AND(V427="共同成本费用",Z427="总建筑面积法"),ROUND(T427/'附表1-面积统计表'!$D$29*'附表1-面积统计表'!$D$7,2),IF(AND(V427="共同成本费用",Z427="可售建筑面积法"),ROUND(T427/'附表1-面积统计表'!$F$29*'附表1-面积统计表'!$F$7,2),"请手工填写"))))</f>
        <v>0</v>
      </c>
      <c r="Z427" s="213" t="s">
        <v>311</v>
      </c>
      <c r="AA427" s="187"/>
      <c r="AB427" s="214" t="s">
        <v>1686</v>
      </c>
      <c r="XEO427" s="217"/>
      <c r="XEP427" s="217"/>
      <c r="XEQ427" s="217"/>
      <c r="XER427" s="217"/>
      <c r="XES427" s="217"/>
      <c r="XET427" s="217"/>
      <c r="XEU427" s="217"/>
      <c r="XEV427" s="217"/>
      <c r="XEW427" s="217"/>
      <c r="XEX427" s="217"/>
      <c r="XEY427" s="217"/>
      <c r="XEZ427" s="217"/>
      <c r="XFA427" s="217"/>
      <c r="XFB427" s="217"/>
      <c r="XFC427" s="217"/>
      <c r="XFD427" s="217"/>
    </row>
    <row r="428" ht="83.25" hidden="1" spans="1:28">
      <c r="A428" s="159">
        <v>469</v>
      </c>
      <c r="B428" s="231" t="s">
        <v>2267</v>
      </c>
      <c r="C428" s="232" t="s">
        <v>2190</v>
      </c>
      <c r="D428" s="231" t="s">
        <v>1707</v>
      </c>
      <c r="E428" s="163" t="s">
        <v>1708</v>
      </c>
      <c r="F428" s="233" t="s">
        <v>2268</v>
      </c>
      <c r="G428" s="165" t="s">
        <v>2523</v>
      </c>
      <c r="H428" s="164" t="str">
        <f>IF(G428="","",VLOOKUP(G428,'附表8-合同明细采集底稿'!B:I,2,0))</f>
        <v>2#3#11#17#建设工程设计合同（民用建设工程设计合同）</v>
      </c>
      <c r="I428" s="92" t="str">
        <f>IF(G428="","",VLOOKUP(G428,'附表8-合同明细采集底稿'!B:I,3,0))</f>
        <v>技术合同</v>
      </c>
      <c r="J428" s="164" t="str">
        <f>IF(G428="","",VLOOKUP(G428,'附表8-合同明细采集底稿'!B:I,4,0))</f>
        <v>新疆益诚开拓空间规划建筑设计研究院有限公司</v>
      </c>
      <c r="K428" s="164" t="s">
        <v>1711</v>
      </c>
      <c r="L428" s="165" t="s">
        <v>2816</v>
      </c>
      <c r="M428" s="165" t="s">
        <v>2927</v>
      </c>
      <c r="N428" s="173">
        <v>38946.22</v>
      </c>
      <c r="O428" s="173">
        <v>41282.9932</v>
      </c>
      <c r="P428" s="174">
        <v>38946.22</v>
      </c>
      <c r="Q428" s="173"/>
      <c r="R428" s="173">
        <f t="shared" ref="R428:R469" si="32">P428+Q428</f>
        <v>38946.22</v>
      </c>
      <c r="S428" s="177">
        <f>IFERROR(VLOOKUP(G428,'附表8-合同明细采集底稿'!B:M,12,0),100%)</f>
        <v>1</v>
      </c>
      <c r="T428" s="173">
        <f t="shared" si="28"/>
        <v>38946.22</v>
      </c>
      <c r="U428" s="119" t="s">
        <v>2496</v>
      </c>
      <c r="V428" s="178" t="s">
        <v>336</v>
      </c>
      <c r="W428" s="179">
        <f>IF('附表1-面积统计表'!$D$29=0,"",IF(AND(V428="共同成本费用",Z428="总建筑面积法"),ROUND(T428/'附表1-面积统计表'!$D$29*'附表1-面积统计表'!$D$5,2),IF(AND(V428="共同成本费用",Z428="可售建筑面积法"),ROUND(T428/'附表1-面积统计表'!$F$29*'附表1-面积统计表'!$F$5,2),"请手工填写")))</f>
        <v>14224.31</v>
      </c>
      <c r="X428" s="179">
        <f>IF(SUM('附表1-面积统计表'!$D$6)=0,"",SUM(T428)-SUM(W428)-SUM(Y428))</f>
        <v>17542.46</v>
      </c>
      <c r="Y428" s="179">
        <f>IF(SUM('附表1-面积统计表'!$D$6)=0,SUM(T428)-SUM(W428),IF('附表1-面积统计表'!$D$29=0,"",IF(AND(V428="共同成本费用",Z428="总建筑面积法"),ROUND(T428/'附表1-面积统计表'!$D$29*'附表1-面积统计表'!$D$7,2),IF(AND(V428="共同成本费用",Z428="可售建筑面积法"),ROUND(T428/'附表1-面积统计表'!$F$29*'附表1-面积统计表'!$F$7,2),"请手工填写"))))</f>
        <v>7179.45</v>
      </c>
      <c r="Z428" s="181" t="s">
        <v>311</v>
      </c>
      <c r="AA428" s="164"/>
      <c r="AB428" s="182" t="s">
        <v>1686</v>
      </c>
    </row>
    <row r="429" ht="95.15" hidden="1" spans="1:28">
      <c r="A429" s="159">
        <v>470</v>
      </c>
      <c r="B429" s="231" t="s">
        <v>2274</v>
      </c>
      <c r="C429" s="232" t="s">
        <v>2228</v>
      </c>
      <c r="D429" s="162" t="s">
        <v>1739</v>
      </c>
      <c r="E429" s="163" t="s">
        <v>1788</v>
      </c>
      <c r="F429" s="233" t="s">
        <v>2275</v>
      </c>
      <c r="G429" s="165" t="s">
        <v>2849</v>
      </c>
      <c r="H429" s="164" t="str">
        <f>IF(G429="","",VLOOKUP(G429,'附表8-合同明细采集底稿'!B:I,2,0))</f>
        <v>二期、三期给排水、消防工程施工合同--2#.3#.36#</v>
      </c>
      <c r="I429" s="92" t="str">
        <f>IF(G429="","",VLOOKUP(G429,'附表8-合同明细采集底稿'!B:I,3,0))</f>
        <v>建设工程合同</v>
      </c>
      <c r="J429" s="164" t="str">
        <f>IF(G429="","",VLOOKUP(G429,'附表8-合同明细采集底稿'!B:I,4,0))</f>
        <v>江苏中义消防工程有限公司巴州分公司（巩红卫）</v>
      </c>
      <c r="K429" s="164" t="s">
        <v>1711</v>
      </c>
      <c r="L429" s="165"/>
      <c r="M429" s="165" t="s">
        <v>2936</v>
      </c>
      <c r="N429" s="173">
        <v>27754.82</v>
      </c>
      <c r="O429" s="173">
        <v>30252.7538</v>
      </c>
      <c r="P429" s="174">
        <v>27754.82</v>
      </c>
      <c r="Q429" s="173"/>
      <c r="R429" s="173">
        <f t="shared" si="32"/>
        <v>27754.82</v>
      </c>
      <c r="S429" s="177">
        <f>IFERROR(VLOOKUP(G429,'附表8-合同明细采集底稿'!B:M,12,0),100%)</f>
        <v>1</v>
      </c>
      <c r="T429" s="173">
        <f t="shared" si="28"/>
        <v>27754.82</v>
      </c>
      <c r="U429" s="119" t="s">
        <v>2491</v>
      </c>
      <c r="V429" s="178" t="s">
        <v>335</v>
      </c>
      <c r="W429" s="179">
        <v>0</v>
      </c>
      <c r="X429" s="179">
        <f>IF(SUM('附表1-面积统计表'!$D$6)=0,"",SUM(T429)-SUM(W429)-SUM(Y429))</f>
        <v>0</v>
      </c>
      <c r="Y429" s="179">
        <f>T429</f>
        <v>27754.82</v>
      </c>
      <c r="Z429" s="181" t="s">
        <v>2492</v>
      </c>
      <c r="AA429" s="164"/>
      <c r="AB429" s="182" t="s">
        <v>1686</v>
      </c>
    </row>
    <row r="430" ht="95.15" hidden="1" spans="1:28">
      <c r="A430" s="159">
        <v>471</v>
      </c>
      <c r="B430" s="231" t="s">
        <v>2274</v>
      </c>
      <c r="C430" s="232" t="s">
        <v>2228</v>
      </c>
      <c r="D430" s="162" t="s">
        <v>1739</v>
      </c>
      <c r="E430" s="163" t="s">
        <v>1788</v>
      </c>
      <c r="F430" s="233" t="s">
        <v>2275</v>
      </c>
      <c r="G430" s="165" t="s">
        <v>2849</v>
      </c>
      <c r="H430" s="164" t="str">
        <f>IF(G430="","",VLOOKUP(G430,'附表8-合同明细采集底稿'!B:I,2,0))</f>
        <v>二期、三期给排水、消防工程施工合同--2#.3#.36#</v>
      </c>
      <c r="I430" s="92" t="str">
        <f>IF(G430="","",VLOOKUP(G430,'附表8-合同明细采集底稿'!B:I,3,0))</f>
        <v>建设工程合同</v>
      </c>
      <c r="J430" s="164" t="str">
        <f>IF(G430="","",VLOOKUP(G430,'附表8-合同明细采集底稿'!B:I,4,0))</f>
        <v>江苏中义消防工程有限公司巴州分公司（巩红卫）</v>
      </c>
      <c r="K430" s="164" t="s">
        <v>1711</v>
      </c>
      <c r="L430" s="165"/>
      <c r="M430" s="165" t="s">
        <v>2936</v>
      </c>
      <c r="N430" s="173">
        <v>33584.79</v>
      </c>
      <c r="O430" s="173">
        <v>36607.4211</v>
      </c>
      <c r="P430" s="174">
        <v>33584.79</v>
      </c>
      <c r="Q430" s="173"/>
      <c r="R430" s="173">
        <f t="shared" si="32"/>
        <v>33584.79</v>
      </c>
      <c r="S430" s="177">
        <f>IFERROR(VLOOKUP(G430,'附表8-合同明细采集底稿'!B:M,12,0),100%)</f>
        <v>1</v>
      </c>
      <c r="T430" s="173">
        <f t="shared" si="28"/>
        <v>33584.79</v>
      </c>
      <c r="U430" s="119" t="s">
        <v>2491</v>
      </c>
      <c r="V430" s="178" t="s">
        <v>335</v>
      </c>
      <c r="W430" s="179">
        <v>0</v>
      </c>
      <c r="X430" s="179">
        <f>IF(SUM('附表1-面积统计表'!$D$6)=0,"",SUM(T430)-SUM(W430)-SUM(Y430))</f>
        <v>0</v>
      </c>
      <c r="Y430" s="179">
        <f>T430</f>
        <v>33584.79</v>
      </c>
      <c r="Z430" s="181" t="s">
        <v>2492</v>
      </c>
      <c r="AA430" s="164"/>
      <c r="AB430" s="182" t="s">
        <v>1686</v>
      </c>
    </row>
    <row r="431" ht="95.15" hidden="1" spans="1:28">
      <c r="A431" s="159">
        <v>472</v>
      </c>
      <c r="B431" s="231" t="s">
        <v>2274</v>
      </c>
      <c r="C431" s="232" t="s">
        <v>2228</v>
      </c>
      <c r="D431" s="162" t="s">
        <v>1739</v>
      </c>
      <c r="E431" s="163" t="s">
        <v>1788</v>
      </c>
      <c r="F431" s="233" t="s">
        <v>2275</v>
      </c>
      <c r="G431" s="165" t="s">
        <v>2849</v>
      </c>
      <c r="H431" s="164" t="str">
        <f>IF(G431="","",VLOOKUP(G431,'附表8-合同明细采集底稿'!B:I,2,0))</f>
        <v>二期、三期给排水、消防工程施工合同--2#.3#.36#</v>
      </c>
      <c r="I431" s="92" t="str">
        <f>IF(G431="","",VLOOKUP(G431,'附表8-合同明细采集底稿'!B:I,3,0))</f>
        <v>建设工程合同</v>
      </c>
      <c r="J431" s="164" t="str">
        <f>IF(G431="","",VLOOKUP(G431,'附表8-合同明细采集底稿'!B:I,4,0))</f>
        <v>江苏中义消防工程有限公司巴州分公司（巩红卫）</v>
      </c>
      <c r="K431" s="164" t="s">
        <v>1711</v>
      </c>
      <c r="L431" s="165"/>
      <c r="M431" s="165" t="s">
        <v>2936</v>
      </c>
      <c r="N431" s="173">
        <v>16668.82</v>
      </c>
      <c r="O431" s="173">
        <v>18169.0138</v>
      </c>
      <c r="P431" s="174">
        <v>16668.82</v>
      </c>
      <c r="Q431" s="173">
        <v>-82.6</v>
      </c>
      <c r="R431" s="173">
        <f t="shared" si="32"/>
        <v>16586.22</v>
      </c>
      <c r="S431" s="177">
        <f>IFERROR(VLOOKUP(G431,'附表8-合同明细采集底稿'!B:M,12,0),100%)</f>
        <v>1</v>
      </c>
      <c r="T431" s="173">
        <f t="shared" si="28"/>
        <v>16586.22</v>
      </c>
      <c r="U431" s="119" t="s">
        <v>2491</v>
      </c>
      <c r="V431" s="178" t="s">
        <v>336</v>
      </c>
      <c r="W431" s="179">
        <f>IF('附表1-面积统计表'!$D$29=0,"",IF(AND(V431="共同成本费用",Z431="总建筑面积法"),ROUND(T431/'附表1-面积统计表'!$D$29*'附表1-面积统计表'!$D$5,2),IF(AND(V431="共同成本费用",Z431="可售建筑面积法"),ROUND(T431/'附表1-面积统计表'!$F$29*'附表1-面积统计表'!$F$5,2),"请手工填写")))</f>
        <v>6057.78</v>
      </c>
      <c r="X431" s="179">
        <f>IF(SUM('附表1-面积统计表'!$D$6)=0,"",SUM(T431)-SUM(W431)-SUM(Y431))</f>
        <v>7470.89</v>
      </c>
      <c r="Y431" s="179">
        <f>IF(SUM('附表1-面积统计表'!$D$6)=0,SUM(T431)-SUM(W431),IF('附表1-面积统计表'!$D$29=0,"",IF(AND(V431="共同成本费用",Z431="总建筑面积法"),ROUND(T431/'附表1-面积统计表'!$D$29*'附表1-面积统计表'!$D$7,2),IF(AND(V431="共同成本费用",Z431="可售建筑面积法"),ROUND(T431/'附表1-面积统计表'!$F$29*'附表1-面积统计表'!$F$7,2),"请手工填写"))))</f>
        <v>3057.55</v>
      </c>
      <c r="Z431" s="181" t="s">
        <v>311</v>
      </c>
      <c r="AA431" s="164"/>
      <c r="AB431" s="182" t="s">
        <v>1686</v>
      </c>
    </row>
    <row r="432" ht="95.15" hidden="1" spans="1:28">
      <c r="A432" s="159">
        <v>473</v>
      </c>
      <c r="B432" s="231" t="s">
        <v>2274</v>
      </c>
      <c r="C432" s="232" t="s">
        <v>2228</v>
      </c>
      <c r="D432" s="162" t="s">
        <v>1739</v>
      </c>
      <c r="E432" s="163" t="s">
        <v>1788</v>
      </c>
      <c r="F432" s="233" t="s">
        <v>2275</v>
      </c>
      <c r="G432" s="165" t="s">
        <v>2611</v>
      </c>
      <c r="H432" s="164" t="str">
        <f>IF(G432="","",VLOOKUP(G432,'附表8-合同明细采集底稿'!B:I,2,0))</f>
        <v>二期、三期给排水、消防工程施工合同-二期</v>
      </c>
      <c r="I432" s="92" t="str">
        <f>IF(G432="","",VLOOKUP(G432,'附表8-合同明细采集底稿'!B:I,3,0))</f>
        <v>建设工程合同</v>
      </c>
      <c r="J432" s="164" t="str">
        <f>IF(G432="","",VLOOKUP(G432,'附表8-合同明细采集底稿'!B:I,4,0))</f>
        <v>江苏中义消防工程有限公司巴州分公司（巩红卫）</v>
      </c>
      <c r="K432" s="164" t="s">
        <v>1711</v>
      </c>
      <c r="L432" s="165"/>
      <c r="M432" s="165" t="s">
        <v>2936</v>
      </c>
      <c r="N432" s="173">
        <v>911504.6</v>
      </c>
      <c r="O432" s="173">
        <v>993540.014</v>
      </c>
      <c r="P432" s="174">
        <v>911504.6</v>
      </c>
      <c r="Q432" s="173">
        <v>-484810.369082569</v>
      </c>
      <c r="R432" s="173">
        <f t="shared" si="32"/>
        <v>426694.230917431</v>
      </c>
      <c r="S432" s="177">
        <f>IFERROR(VLOOKUP(G432,'附表8-合同明细采集底稿'!B:M,12,0),100%)</f>
        <v>1</v>
      </c>
      <c r="T432" s="173">
        <f t="shared" si="28"/>
        <v>426694.23</v>
      </c>
      <c r="U432" s="119" t="s">
        <v>2509</v>
      </c>
      <c r="V432" s="178" t="s">
        <v>335</v>
      </c>
      <c r="W432" s="179">
        <f>ROUND(T432*成本分摊比例!$I$53,2)</f>
        <v>169056.25</v>
      </c>
      <c r="X432" s="179">
        <f>IF(SUM('附表1-面积统计表'!$D$6)=0,"",SUM(T432)-SUM(W432)-SUM(Y432))</f>
        <v>208482.8</v>
      </c>
      <c r="Y432" s="179">
        <f>ROUND(T432*成本分摊比例!$K$53,2)</f>
        <v>49155.18</v>
      </c>
      <c r="Z432" s="181" t="s">
        <v>2492</v>
      </c>
      <c r="AA432" s="164"/>
      <c r="AB432" s="182" t="s">
        <v>1686</v>
      </c>
    </row>
    <row r="433" ht="71.35" hidden="1" spans="1:28">
      <c r="A433" s="159">
        <v>475</v>
      </c>
      <c r="B433" s="231" t="s">
        <v>2937</v>
      </c>
      <c r="C433" s="234" t="s">
        <v>1214</v>
      </c>
      <c r="D433" s="162" t="s">
        <v>2488</v>
      </c>
      <c r="E433" s="163" t="s">
        <v>2489</v>
      </c>
      <c r="F433" s="231" t="s">
        <v>2938</v>
      </c>
      <c r="G433" s="165" t="s">
        <v>2769</v>
      </c>
      <c r="H433" s="164" t="str">
        <f>IF(G433="","",VLOOKUP(G433,'附表8-合同明细采集底稿'!B:I,2,0))</f>
        <v>沁春锦苑3#楼铝合金门窗制作安装</v>
      </c>
      <c r="I433" s="92" t="str">
        <f>IF(G433="","",VLOOKUP(G433,'附表8-合同明细采集底稿'!B:I,3,0))</f>
        <v>建设工程合同</v>
      </c>
      <c r="J433" s="164" t="str">
        <f>IF(G433="","",VLOOKUP(G433,'附表8-合同明细采集底稿'!B:I,4,0))</f>
        <v>巴州全福门窗加工有限公司（杨全福）</v>
      </c>
      <c r="K433" s="164" t="s">
        <v>1711</v>
      </c>
      <c r="L433" s="165"/>
      <c r="M433" s="165" t="s">
        <v>2939</v>
      </c>
      <c r="N433" s="173">
        <v>195.2</v>
      </c>
      <c r="O433" s="173">
        <v>220.58</v>
      </c>
      <c r="P433" s="174">
        <v>195.2</v>
      </c>
      <c r="Q433" s="173"/>
      <c r="R433" s="173">
        <f t="shared" si="32"/>
        <v>195.2</v>
      </c>
      <c r="S433" s="177">
        <f>IFERROR(VLOOKUP(G433,'附表8-合同明细采集底稿'!B:M,12,0),100%)</f>
        <v>1</v>
      </c>
      <c r="T433" s="173">
        <f t="shared" si="28"/>
        <v>195.2</v>
      </c>
      <c r="U433" s="119" t="s">
        <v>2491</v>
      </c>
      <c r="V433" s="178" t="s">
        <v>335</v>
      </c>
      <c r="W433" s="179">
        <v>0</v>
      </c>
      <c r="X433" s="179">
        <f>IF(SUM('附表1-面积统计表'!$D$6)=0,"",SUM(T433)-SUM(W433)-SUM(Y433))</f>
        <v>0</v>
      </c>
      <c r="Y433" s="179">
        <f>T433</f>
        <v>195.2</v>
      </c>
      <c r="Z433" s="181" t="s">
        <v>2492</v>
      </c>
      <c r="AA433" s="164"/>
      <c r="AB433" s="182" t="s">
        <v>1686</v>
      </c>
    </row>
    <row r="434" ht="71.35" hidden="1" spans="1:28">
      <c r="A434" s="159">
        <v>476</v>
      </c>
      <c r="B434" s="231" t="s">
        <v>2937</v>
      </c>
      <c r="C434" s="234" t="s">
        <v>1214</v>
      </c>
      <c r="D434" s="162" t="s">
        <v>2488</v>
      </c>
      <c r="E434" s="163" t="s">
        <v>2489</v>
      </c>
      <c r="F434" s="231" t="s">
        <v>2938</v>
      </c>
      <c r="G434" s="165" t="s">
        <v>2769</v>
      </c>
      <c r="H434" s="164" t="str">
        <f>IF(G434="","",VLOOKUP(G434,'附表8-合同明细采集底稿'!B:I,2,0))</f>
        <v>沁春锦苑3#楼铝合金门窗制作安装</v>
      </c>
      <c r="I434" s="92" t="str">
        <f>IF(G434="","",VLOOKUP(G434,'附表8-合同明细采集底稿'!B:I,3,0))</f>
        <v>建设工程合同</v>
      </c>
      <c r="J434" s="164" t="str">
        <f>IF(G434="","",VLOOKUP(G434,'附表8-合同明细采集底稿'!B:I,4,0))</f>
        <v>巴州全福门窗加工有限公司（杨全福）</v>
      </c>
      <c r="K434" s="164" t="s">
        <v>1711</v>
      </c>
      <c r="L434" s="165"/>
      <c r="M434" s="165" t="s">
        <v>2939</v>
      </c>
      <c r="N434" s="173">
        <v>36712.55</v>
      </c>
      <c r="O434" s="173">
        <v>41485.18</v>
      </c>
      <c r="P434" s="174">
        <v>36712.55</v>
      </c>
      <c r="Q434" s="173">
        <v>105419.52415929</v>
      </c>
      <c r="R434" s="173">
        <f t="shared" si="32"/>
        <v>142132.07415929</v>
      </c>
      <c r="S434" s="177">
        <f>IFERROR(VLOOKUP(G434,'附表8-合同明细采集底稿'!B:M,12,0),100%)</f>
        <v>1</v>
      </c>
      <c r="T434" s="173">
        <f t="shared" si="28"/>
        <v>142132.07</v>
      </c>
      <c r="U434" s="119" t="s">
        <v>2491</v>
      </c>
      <c r="V434" s="178" t="s">
        <v>335</v>
      </c>
      <c r="W434" s="179">
        <v>0</v>
      </c>
      <c r="X434" s="179">
        <f>IF(SUM('附表1-面积统计表'!$D$6)=0,"",SUM(T434)-SUM(W434)-SUM(Y434))</f>
        <v>0</v>
      </c>
      <c r="Y434" s="179">
        <f>T434</f>
        <v>142132.07</v>
      </c>
      <c r="Z434" s="181" t="s">
        <v>2492</v>
      </c>
      <c r="AA434" s="164"/>
      <c r="AB434" s="182" t="s">
        <v>1686</v>
      </c>
    </row>
    <row r="435" ht="71.35" hidden="1" spans="1:28">
      <c r="A435" s="159">
        <v>477</v>
      </c>
      <c r="B435" s="231" t="s">
        <v>2937</v>
      </c>
      <c r="C435" s="234" t="s">
        <v>1214</v>
      </c>
      <c r="D435" s="162" t="s">
        <v>2488</v>
      </c>
      <c r="E435" s="163" t="s">
        <v>2489</v>
      </c>
      <c r="F435" s="231" t="s">
        <v>2938</v>
      </c>
      <c r="G435" s="165" t="s">
        <v>2569</v>
      </c>
      <c r="H435" s="164" t="str">
        <f>IF(G435="","",VLOOKUP(G435,'附表8-合同明细采集底稿'!B:I,2,0))</f>
        <v>沁春锦苑2#5#7#9#10#17#楼铝合金门窗</v>
      </c>
      <c r="I435" s="92" t="str">
        <f>IF(G435="","",VLOOKUP(G435,'附表8-合同明细采集底稿'!B:I,3,0))</f>
        <v>技术合同</v>
      </c>
      <c r="J435" s="164" t="str">
        <f>IF(G435="","",VLOOKUP(G435,'附表8-合同明细采集底稿'!B:I,4,0))</f>
        <v>巴州全福门窗加工有限公司（杨全福）</v>
      </c>
      <c r="K435" s="164" t="s">
        <v>1711</v>
      </c>
      <c r="L435" s="165"/>
      <c r="M435" s="165" t="s">
        <v>2939</v>
      </c>
      <c r="N435" s="173">
        <v>348999.11</v>
      </c>
      <c r="O435" s="173">
        <v>394368.99</v>
      </c>
      <c r="P435" s="174">
        <v>348999.11</v>
      </c>
      <c r="Q435" s="173">
        <v>-105419.52415929</v>
      </c>
      <c r="R435" s="173">
        <f t="shared" si="32"/>
        <v>243579.58584071</v>
      </c>
      <c r="S435" s="177">
        <f>IFERROR(VLOOKUP(G435,'附表8-合同明细采集底稿'!B:M,12,0),100%)</f>
        <v>1</v>
      </c>
      <c r="T435" s="173">
        <f t="shared" si="28"/>
        <v>243579.59</v>
      </c>
      <c r="U435" s="119" t="s">
        <v>2509</v>
      </c>
      <c r="V435" s="178" t="s">
        <v>335</v>
      </c>
      <c r="W435" s="179">
        <f>ROUND(T435*成本分摊比例!$I$53,2)</f>
        <v>96506.23</v>
      </c>
      <c r="X435" s="179">
        <f>IF(SUM('附表1-面积统计表'!$D$6)=0,"",SUM(T435)-SUM(W435)-SUM(Y435))</f>
        <v>119012.99</v>
      </c>
      <c r="Y435" s="179">
        <f>ROUND(T435*成本分摊比例!$K$53,2)</f>
        <v>28060.37</v>
      </c>
      <c r="Z435" s="181" t="s">
        <v>2492</v>
      </c>
      <c r="AA435" s="164"/>
      <c r="AB435" s="182" t="s">
        <v>1686</v>
      </c>
    </row>
    <row r="436" ht="59.5" hidden="1" spans="1:28">
      <c r="A436" s="159">
        <v>478</v>
      </c>
      <c r="B436" s="231" t="s">
        <v>2450</v>
      </c>
      <c r="C436" s="234" t="s">
        <v>671</v>
      </c>
      <c r="D436" s="231" t="s">
        <v>1707</v>
      </c>
      <c r="E436" s="163" t="s">
        <v>2451</v>
      </c>
      <c r="F436" s="231" t="s">
        <v>2452</v>
      </c>
      <c r="G436" s="165"/>
      <c r="H436" s="164" t="str">
        <f>IF(G436="","",VLOOKUP(G436,'附表8-合同明细采集底稿'!B:I,2,0))</f>
        <v/>
      </c>
      <c r="I436" s="92" t="str">
        <f>IF(G436="","",VLOOKUP(G436,'附表8-合同明细采集底稿'!B:I,3,0))</f>
        <v/>
      </c>
      <c r="J436" s="255" t="s">
        <v>21</v>
      </c>
      <c r="K436" s="164" t="s">
        <v>1698</v>
      </c>
      <c r="L436" s="165"/>
      <c r="M436" s="165" t="s">
        <v>2453</v>
      </c>
      <c r="N436" s="173">
        <v>14649.53</v>
      </c>
      <c r="O436" s="173">
        <v>14649.53</v>
      </c>
      <c r="P436" s="174">
        <v>14649.53</v>
      </c>
      <c r="Q436" s="173"/>
      <c r="R436" s="173">
        <f t="shared" si="32"/>
        <v>14649.53</v>
      </c>
      <c r="S436" s="177">
        <f>IFERROR(VLOOKUP(G436,'附表8-合同明细采集底稿'!B:M,12,0),100%)</f>
        <v>1</v>
      </c>
      <c r="T436" s="173">
        <f t="shared" si="28"/>
        <v>14649.53</v>
      </c>
      <c r="U436" s="119" t="s">
        <v>2509</v>
      </c>
      <c r="V436" s="178" t="s">
        <v>336</v>
      </c>
      <c r="W436" s="179">
        <f>IF('附表1-面积统计表'!$D$29=0,"",IF(AND(V436="共同成本费用",Z436="总建筑面积法"),ROUND(T436/'附表1-面积统计表'!$D$29*'附表1-面积统计表'!$D$5,2),IF(AND(V436="共同成本费用",Z436="可售建筑面积法"),ROUND(T436/'附表1-面积统计表'!$F$29*'附表1-面积统计表'!$F$5,2),"请手工填写")))</f>
        <v>5350.44</v>
      </c>
      <c r="X436" s="179">
        <f>IF(SUM('附表1-面积统计表'!$D$6)=0,"",SUM(T436)-SUM(W436)-SUM(Y436))</f>
        <v>6598.56</v>
      </c>
      <c r="Y436" s="179">
        <f>IF(SUM('附表1-面积统计表'!$D$6)=0,SUM(T436)-SUM(W436),IF('附表1-面积统计表'!$D$29=0,"",IF(AND(V436="共同成本费用",Z436="总建筑面积法"),ROUND(T436/'附表1-面积统计表'!$D$29*'附表1-面积统计表'!$D$7,2),IF(AND(V436="共同成本费用",Z436="可售建筑面积法"),ROUND(T436/'附表1-面积统计表'!$F$29*'附表1-面积统计表'!$F$7,2),"请手工填写"))))</f>
        <v>2700.53</v>
      </c>
      <c r="Z436" s="181" t="s">
        <v>311</v>
      </c>
      <c r="AA436" s="164"/>
      <c r="AB436" s="182" t="s">
        <v>1686</v>
      </c>
    </row>
    <row r="437" ht="71.35" hidden="1" spans="1:28">
      <c r="A437" s="159">
        <v>480</v>
      </c>
      <c r="B437" s="231" t="s">
        <v>2309</v>
      </c>
      <c r="C437" s="234" t="s">
        <v>1205</v>
      </c>
      <c r="D437" s="162" t="s">
        <v>2488</v>
      </c>
      <c r="E437" s="163" t="s">
        <v>2489</v>
      </c>
      <c r="F437" s="230" t="s">
        <v>2940</v>
      </c>
      <c r="G437" s="165" t="s">
        <v>2588</v>
      </c>
      <c r="H437" s="164" t="str">
        <f>IF(G437="","",VLOOKUP(G437,'附表8-合同明细采集底稿'!B:I,2,0))</f>
        <v>沁春锦苑4#-11#、16#17#楼防火门防盗门</v>
      </c>
      <c r="I437" s="92" t="str">
        <f>IF(G437="","",VLOOKUP(G437,'附表8-合同明细采集底稿'!B:I,3,0))</f>
        <v>买卖合同</v>
      </c>
      <c r="J437" s="164" t="str">
        <f>IF(G437="","",VLOOKUP(G437,'附表8-合同明细采集底稿'!B:I,4,0))</f>
        <v>库尔勒永绍商贸有限公司（项邵于）</v>
      </c>
      <c r="K437" s="164" t="s">
        <v>1711</v>
      </c>
      <c r="L437" s="165"/>
      <c r="M437" s="165" t="s">
        <v>2941</v>
      </c>
      <c r="N437" s="173">
        <v>74584.07</v>
      </c>
      <c r="O437" s="173">
        <v>84280</v>
      </c>
      <c r="P437" s="174">
        <v>74584.07</v>
      </c>
      <c r="Q437" s="173"/>
      <c r="R437" s="173">
        <f t="shared" si="32"/>
        <v>74584.07</v>
      </c>
      <c r="S437" s="177">
        <f>IFERROR(VLOOKUP(G437,'附表8-合同明细采集底稿'!B:M,12,0),100%)</f>
        <v>1</v>
      </c>
      <c r="T437" s="173">
        <f t="shared" si="28"/>
        <v>74584.07</v>
      </c>
      <c r="U437" s="119" t="s">
        <v>2509</v>
      </c>
      <c r="V437" s="178" t="s">
        <v>335</v>
      </c>
      <c r="W437" s="179">
        <f>ROUND(T437*成本分摊比例!$I$53,2)</f>
        <v>29550.21</v>
      </c>
      <c r="X437" s="179">
        <f>IF(SUM('附表1-面积统计表'!$D$6)=0,"",SUM(T437)-SUM(W437)-SUM(Y437))</f>
        <v>36441.78</v>
      </c>
      <c r="Y437" s="179">
        <f>ROUND(T437*成本分摊比例!$K$53,2)</f>
        <v>8592.08</v>
      </c>
      <c r="Z437" s="181" t="s">
        <v>2492</v>
      </c>
      <c r="AA437" s="164"/>
      <c r="AB437" s="182" t="s">
        <v>1686</v>
      </c>
    </row>
    <row r="438" ht="71.35" hidden="1" spans="1:28">
      <c r="A438" s="159">
        <v>481</v>
      </c>
      <c r="B438" s="231" t="s">
        <v>2309</v>
      </c>
      <c r="C438" s="234" t="s">
        <v>1205</v>
      </c>
      <c r="D438" s="162" t="s">
        <v>2488</v>
      </c>
      <c r="E438" s="163" t="s">
        <v>2489</v>
      </c>
      <c r="F438" s="230" t="s">
        <v>2940</v>
      </c>
      <c r="G438" s="165" t="s">
        <v>2588</v>
      </c>
      <c r="H438" s="164" t="str">
        <f>IF(G438="","",VLOOKUP(G438,'附表8-合同明细采集底稿'!B:I,2,0))</f>
        <v>沁春锦苑4#-11#、16#17#楼防火门防盗门</v>
      </c>
      <c r="I438" s="92" t="str">
        <f>IF(G438="","",VLOOKUP(G438,'附表8-合同明细采集底稿'!B:I,3,0))</f>
        <v>买卖合同</v>
      </c>
      <c r="J438" s="164" t="str">
        <f>IF(G438="","",VLOOKUP(G438,'附表8-合同明细采集底稿'!B:I,4,0))</f>
        <v>库尔勒永绍商贸有限公司（项邵于）</v>
      </c>
      <c r="K438" s="164" t="s">
        <v>1711</v>
      </c>
      <c r="L438" s="165"/>
      <c r="M438" s="165" t="s">
        <v>2942</v>
      </c>
      <c r="N438" s="173">
        <v>219137.35</v>
      </c>
      <c r="O438" s="173">
        <v>247625.2</v>
      </c>
      <c r="P438" s="174">
        <v>219137.35</v>
      </c>
      <c r="Q438" s="173"/>
      <c r="R438" s="173">
        <f t="shared" si="32"/>
        <v>219137.35</v>
      </c>
      <c r="S438" s="177">
        <f>IFERROR(VLOOKUP(G438,'附表8-合同明细采集底稿'!B:M,12,0),100%)</f>
        <v>1</v>
      </c>
      <c r="T438" s="173">
        <f t="shared" si="28"/>
        <v>219137.35</v>
      </c>
      <c r="U438" s="119" t="s">
        <v>2509</v>
      </c>
      <c r="V438" s="178" t="s">
        <v>335</v>
      </c>
      <c r="W438" s="179">
        <f>ROUND(T438*成本分摊比例!$I$53,2)</f>
        <v>86822.22</v>
      </c>
      <c r="X438" s="179">
        <f>IF(SUM('附表1-面积统计表'!$D$6)=0,"",SUM(T438)-SUM(W438)-SUM(Y438))</f>
        <v>107070.51</v>
      </c>
      <c r="Y438" s="179">
        <f>ROUND(T438*成本分摊比例!$K$53,2)</f>
        <v>25244.62</v>
      </c>
      <c r="Z438" s="181" t="s">
        <v>2492</v>
      </c>
      <c r="AA438" s="164"/>
      <c r="AB438" s="182" t="s">
        <v>1686</v>
      </c>
    </row>
    <row r="439" ht="71.35" hidden="1" spans="1:28">
      <c r="A439" s="159">
        <v>482</v>
      </c>
      <c r="B439" s="231" t="s">
        <v>2456</v>
      </c>
      <c r="C439" s="234" t="s">
        <v>1253</v>
      </c>
      <c r="D439" s="231" t="s">
        <v>1707</v>
      </c>
      <c r="E439" s="163" t="s">
        <v>2451</v>
      </c>
      <c r="F439" s="230" t="s">
        <v>2457</v>
      </c>
      <c r="G439" s="165" t="s">
        <v>2532</v>
      </c>
      <c r="H439" s="164" t="str">
        <f>IF(G439="","",VLOOKUP(G439,'附表8-合同明细采集底稿'!B:I,2,0))</f>
        <v>建设工程勘察合同（4-10#楼、16#楼，2#3#36#商业楼、幼儿园）-三期</v>
      </c>
      <c r="I439" s="92" t="str">
        <f>IF(G439="","",VLOOKUP(G439,'附表8-合同明细采集底稿'!B:I,3,0))</f>
        <v>技术合同</v>
      </c>
      <c r="J439" s="164" t="str">
        <f>IF(G439="","",VLOOKUP(G439,'附表8-合同明细采集底稿'!B:I,4,0))</f>
        <v>巴州基安岩土工程勘察设计有限责任公司</v>
      </c>
      <c r="K439" s="164" t="s">
        <v>1711</v>
      </c>
      <c r="L439" s="165"/>
      <c r="M439" s="165" t="s">
        <v>2458</v>
      </c>
      <c r="N439" s="173">
        <v>1256.6</v>
      </c>
      <c r="O439" s="173">
        <v>1331.996</v>
      </c>
      <c r="P439" s="174">
        <v>1256.6</v>
      </c>
      <c r="Q439" s="173"/>
      <c r="R439" s="173">
        <f t="shared" si="32"/>
        <v>1256.6</v>
      </c>
      <c r="S439" s="177">
        <f>IFERROR(VLOOKUP(G439,'附表8-合同明细采集底稿'!B:M,12,0),100%)</f>
        <v>1</v>
      </c>
      <c r="T439" s="173">
        <f t="shared" si="28"/>
        <v>1256.6</v>
      </c>
      <c r="U439" s="119" t="s">
        <v>2496</v>
      </c>
      <c r="V439" s="178" t="s">
        <v>336</v>
      </c>
      <c r="W439" s="179">
        <f>IF('附表1-面积统计表'!$D$29=0,"",IF(AND(V439="共同成本费用",Z439="总建筑面积法"),ROUND(T439/'附表1-面积统计表'!$D$29*'附表1-面积统计表'!$D$5,2),IF(AND(V439="共同成本费用",Z439="可售建筑面积法"),ROUND(T439/'附表1-面积统计表'!$F$29*'附表1-面积统计表'!$F$5,2),"请手工填写")))</f>
        <v>458.95</v>
      </c>
      <c r="X439" s="179">
        <f>IF(SUM('附表1-面积统计表'!$D$6)=0,"",SUM(T439)-SUM(W439)-SUM(Y439))</f>
        <v>566</v>
      </c>
      <c r="Y439" s="179">
        <f>IF(SUM('附表1-面积统计表'!$D$6)=0,SUM(T439)-SUM(W439),IF('附表1-面积统计表'!$D$29=0,"",IF(AND(V439="共同成本费用",Z439="总建筑面积法"),ROUND(T439/'附表1-面积统计表'!$D$29*'附表1-面积统计表'!$D$7,2),IF(AND(V439="共同成本费用",Z439="可售建筑面积法"),ROUND(T439/'附表1-面积统计表'!$F$29*'附表1-面积统计表'!$F$7,2),"请手工填写"))))</f>
        <v>231.65</v>
      </c>
      <c r="Z439" s="181" t="s">
        <v>311</v>
      </c>
      <c r="AA439" s="164"/>
      <c r="AB439" s="182" t="s">
        <v>1686</v>
      </c>
    </row>
    <row r="440" ht="71.35" hidden="1" spans="1:28">
      <c r="A440" s="159">
        <v>483</v>
      </c>
      <c r="B440" s="231" t="s">
        <v>2456</v>
      </c>
      <c r="C440" s="234" t="s">
        <v>1253</v>
      </c>
      <c r="D440" s="231" t="s">
        <v>1707</v>
      </c>
      <c r="E440" s="163" t="s">
        <v>2451</v>
      </c>
      <c r="F440" s="230" t="s">
        <v>2457</v>
      </c>
      <c r="G440" s="165" t="s">
        <v>2532</v>
      </c>
      <c r="H440" s="164" t="str">
        <f>IF(G440="","",VLOOKUP(G440,'附表8-合同明细采集底稿'!B:I,2,0))</f>
        <v>建设工程勘察合同（4-10#楼、16#楼，2#3#36#商业楼、幼儿园）-三期</v>
      </c>
      <c r="I440" s="92" t="str">
        <f>IF(G440="","",VLOOKUP(G440,'附表8-合同明细采集底稿'!B:I,3,0))</f>
        <v>技术合同</v>
      </c>
      <c r="J440" s="164" t="str">
        <f>IF(G440="","",VLOOKUP(G440,'附表8-合同明细采集底稿'!B:I,4,0))</f>
        <v>巴州基安岩土工程勘察设计有限责任公司</v>
      </c>
      <c r="K440" s="164" t="s">
        <v>1711</v>
      </c>
      <c r="L440" s="165"/>
      <c r="M440" s="165" t="s">
        <v>2458</v>
      </c>
      <c r="N440" s="173">
        <v>1296.23</v>
      </c>
      <c r="O440" s="173">
        <v>1374.0038</v>
      </c>
      <c r="P440" s="174">
        <v>1296.23</v>
      </c>
      <c r="Q440" s="173"/>
      <c r="R440" s="173">
        <f t="shared" si="32"/>
        <v>1296.23</v>
      </c>
      <c r="S440" s="177">
        <f>IFERROR(VLOOKUP(G440,'附表8-合同明细采集底稿'!B:M,12,0),100%)</f>
        <v>1</v>
      </c>
      <c r="T440" s="173">
        <f t="shared" si="28"/>
        <v>1296.23</v>
      </c>
      <c r="U440" s="119" t="s">
        <v>2496</v>
      </c>
      <c r="V440" s="178" t="s">
        <v>336</v>
      </c>
      <c r="W440" s="179">
        <f>IF('附表1-面积统计表'!$D$29=0,"",IF(AND(V440="共同成本费用",Z440="总建筑面积法"),ROUND(T440/'附表1-面积统计表'!$D$29*'附表1-面积统计表'!$D$5,2),IF(AND(V440="共同成本费用",Z440="可售建筑面积法"),ROUND(T440/'附表1-面积统计表'!$F$29*'附表1-面积统计表'!$F$5,2),"请手工填写")))</f>
        <v>473.42</v>
      </c>
      <c r="X440" s="179">
        <f>IF(SUM('附表1-面积统计表'!$D$6)=0,"",SUM(T440)-SUM(W440)-SUM(Y440))</f>
        <v>583.86</v>
      </c>
      <c r="Y440" s="179">
        <f>IF(SUM('附表1-面积统计表'!$D$6)=0,SUM(T440)-SUM(W440),IF('附表1-面积统计表'!$D$29=0,"",IF(AND(V440="共同成本费用",Z440="总建筑面积法"),ROUND(T440/'附表1-面积统计表'!$D$29*'附表1-面积统计表'!$D$7,2),IF(AND(V440="共同成本费用",Z440="可售建筑面积法"),ROUND(T440/'附表1-面积统计表'!$F$29*'附表1-面积统计表'!$F$7,2),"请手工填写"))))</f>
        <v>238.95</v>
      </c>
      <c r="Z440" s="181" t="s">
        <v>311</v>
      </c>
      <c r="AA440" s="164"/>
      <c r="AB440" s="182" t="s">
        <v>1686</v>
      </c>
    </row>
    <row r="441" ht="71.35" hidden="1" spans="1:28">
      <c r="A441" s="159">
        <v>484</v>
      </c>
      <c r="B441" s="231" t="s">
        <v>2456</v>
      </c>
      <c r="C441" s="234" t="s">
        <v>1254</v>
      </c>
      <c r="D441" s="231" t="s">
        <v>1707</v>
      </c>
      <c r="E441" s="163" t="s">
        <v>2451</v>
      </c>
      <c r="F441" s="230" t="s">
        <v>2943</v>
      </c>
      <c r="G441" s="165" t="s">
        <v>2619</v>
      </c>
      <c r="H441" s="164" t="str">
        <f>IF(G441="","",VLOOKUP(G441,'附表8-合同明细采集底稿'!B:I,2,0))</f>
        <v>建设工程勘察合同（11#17#13#14#15#楼12#38#18#22#21#37#社区）</v>
      </c>
      <c r="I441" s="92" t="str">
        <f>IF(G441="","",VLOOKUP(G441,'附表8-合同明细采集底稿'!B:I,3,0))</f>
        <v>技术合同</v>
      </c>
      <c r="J441" s="164" t="str">
        <f>IF(G441="","",VLOOKUP(G441,'附表8-合同明细采集底稿'!B:I,4,0))</f>
        <v>巴州基安岩土工程勘察设计有限责任公司</v>
      </c>
      <c r="K441" s="164" t="s">
        <v>1711</v>
      </c>
      <c r="L441" s="165"/>
      <c r="M441" s="165" t="s">
        <v>2944</v>
      </c>
      <c r="N441" s="173">
        <v>6132.08</v>
      </c>
      <c r="O441" s="173">
        <v>6500.0048</v>
      </c>
      <c r="P441" s="174">
        <v>6132.08</v>
      </c>
      <c r="Q441" s="173">
        <f t="shared" ref="Q441:Q446" si="33">-P441</f>
        <v>-6132.08</v>
      </c>
      <c r="R441" s="173">
        <f t="shared" si="32"/>
        <v>0</v>
      </c>
      <c r="S441" s="177">
        <f>IFERROR(VLOOKUP(G441,'附表8-合同明细采集底稿'!B:M,12,0),100%)</f>
        <v>1</v>
      </c>
      <c r="T441" s="173">
        <f t="shared" si="28"/>
        <v>0</v>
      </c>
      <c r="U441" s="119" t="s">
        <v>2509</v>
      </c>
      <c r="V441" s="178" t="s">
        <v>335</v>
      </c>
      <c r="W441" s="179">
        <f>ROUND(T441*成本分摊比例!$I$53,2)</f>
        <v>0</v>
      </c>
      <c r="X441" s="179">
        <f>IF(SUM('附表1-面积统计表'!$D$6)=0,"",SUM(T441)-SUM(W441)-SUM(Y441))</f>
        <v>0</v>
      </c>
      <c r="Y441" s="179">
        <f>ROUND(T441*成本分摊比例!$K$53,2)</f>
        <v>0</v>
      </c>
      <c r="Z441" s="181" t="s">
        <v>2492</v>
      </c>
      <c r="AA441" s="164"/>
      <c r="AB441" s="182" t="s">
        <v>1686</v>
      </c>
    </row>
    <row r="442" ht="71.35" hidden="1" spans="1:28">
      <c r="A442" s="159">
        <v>485</v>
      </c>
      <c r="B442" s="231" t="s">
        <v>2456</v>
      </c>
      <c r="C442" s="234" t="s">
        <v>929</v>
      </c>
      <c r="D442" s="162" t="s">
        <v>2488</v>
      </c>
      <c r="E442" s="163" t="s">
        <v>2489</v>
      </c>
      <c r="F442" s="230" t="s">
        <v>2945</v>
      </c>
      <c r="G442" s="165" t="s">
        <v>2593</v>
      </c>
      <c r="H442" s="164" t="str">
        <f>IF(G442="","",VLOOKUP(G442,'附表8-合同明细采集底稿'!B:I,2,0))</f>
        <v>沁春锦苑3#楼内、外装修合同</v>
      </c>
      <c r="I442" s="92" t="str">
        <f>IF(G442="","",VLOOKUP(G442,'附表8-合同明细采集底稿'!B:I,3,0))</f>
        <v>建设工程合同</v>
      </c>
      <c r="J442" s="164" t="str">
        <f>IF(G442="","",VLOOKUP(G442,'附表8-合同明细采集底稿'!B:I,4,0))</f>
        <v>巴州水木堂建筑装饰有限公司（倪）</v>
      </c>
      <c r="K442" s="164" t="s">
        <v>1711</v>
      </c>
      <c r="L442" s="165"/>
      <c r="M442" s="165" t="s">
        <v>2946</v>
      </c>
      <c r="N442" s="173">
        <v>366972.48</v>
      </c>
      <c r="O442" s="173">
        <v>400000</v>
      </c>
      <c r="P442" s="254">
        <v>366972.48</v>
      </c>
      <c r="Q442" s="173">
        <f t="shared" si="33"/>
        <v>-366972.48</v>
      </c>
      <c r="R442" s="173">
        <f t="shared" si="32"/>
        <v>0</v>
      </c>
      <c r="S442" s="177">
        <f>IFERROR(VLOOKUP(G442,'附表8-合同明细采集底稿'!B:M,12,0),100%)</f>
        <v>1</v>
      </c>
      <c r="T442" s="173">
        <f t="shared" si="28"/>
        <v>0</v>
      </c>
      <c r="U442" s="119" t="s">
        <v>2594</v>
      </c>
      <c r="V442" s="178" t="s">
        <v>335</v>
      </c>
      <c r="W442" s="179">
        <v>0</v>
      </c>
      <c r="X442" s="179">
        <f>IF(SUM('附表1-面积统计表'!$D$6)=0,"",SUM(T442)-SUM(W442)-SUM(Y442))</f>
        <v>0</v>
      </c>
      <c r="Y442" s="179">
        <f>T442</f>
        <v>0</v>
      </c>
      <c r="Z442" s="181" t="s">
        <v>2492</v>
      </c>
      <c r="AA442" s="164"/>
      <c r="AB442" s="182" t="s">
        <v>1686</v>
      </c>
    </row>
    <row r="443" ht="71.35" hidden="1" spans="1:28">
      <c r="A443" s="159">
        <v>486</v>
      </c>
      <c r="B443" s="235" t="s">
        <v>2947</v>
      </c>
      <c r="C443" s="236">
        <v>52</v>
      </c>
      <c r="D443" s="162" t="s">
        <v>2488</v>
      </c>
      <c r="E443" s="163" t="s">
        <v>2489</v>
      </c>
      <c r="F443" s="238" t="s">
        <v>2948</v>
      </c>
      <c r="G443" s="165" t="s">
        <v>2537</v>
      </c>
      <c r="H443" s="164" t="str">
        <f>IF(G443="","",VLOOKUP(G443,'附表8-合同明细采集底稿'!B:I,2,0))</f>
        <v>沁春锦苑4#-11#、16.17.住宅楼，2#3#36#商业楼建设工程施工合同（4-11/16/17#）</v>
      </c>
      <c r="I443" s="92" t="str">
        <f>IF(G443="","",VLOOKUP(G443,'附表8-合同明细采集底稿'!B:I,3,0))</f>
        <v>建设工程合同</v>
      </c>
      <c r="J443" s="164" t="str">
        <f>IF(G443="","",VLOOKUP(G443,'附表8-合同明细采集底稿'!B:I,4,0))</f>
        <v>新疆通力建设集团股份有限公司（邓）</v>
      </c>
      <c r="K443" s="164" t="s">
        <v>1711</v>
      </c>
      <c r="L443" s="165"/>
      <c r="M443" s="165" t="s">
        <v>2949</v>
      </c>
      <c r="N443" s="173">
        <v>2600667.89</v>
      </c>
      <c r="O443" s="173">
        <v>2834728</v>
      </c>
      <c r="P443" s="174">
        <v>2600667.89</v>
      </c>
      <c r="Q443" s="173"/>
      <c r="R443" s="173">
        <f t="shared" si="32"/>
        <v>2600667.89</v>
      </c>
      <c r="S443" s="177">
        <f>IFERROR(VLOOKUP(G443,'附表8-合同明细采集底稿'!B:M,12,0),100%)</f>
        <v>1</v>
      </c>
      <c r="T443" s="173">
        <f t="shared" si="28"/>
        <v>2600667.89</v>
      </c>
      <c r="U443" s="119" t="s">
        <v>2509</v>
      </c>
      <c r="V443" s="178" t="s">
        <v>335</v>
      </c>
      <c r="W443" s="179">
        <f>ROUND(T443*成本分摊比例!$I$53,2)</f>
        <v>1030384.62</v>
      </c>
      <c r="X443" s="179">
        <f>IF(SUM('附表1-面积统计表'!$D$6)=0,"",SUM(T443)-SUM(W443)-SUM(Y443))</f>
        <v>1270686.33</v>
      </c>
      <c r="Y443" s="179">
        <f>ROUND(T443*成本分摊比例!$K$53,2)</f>
        <v>299596.94</v>
      </c>
      <c r="Z443" s="181" t="s">
        <v>2492</v>
      </c>
      <c r="AA443" s="164"/>
      <c r="AB443" s="182" t="s">
        <v>1686</v>
      </c>
    </row>
    <row r="444" ht="83.25" hidden="1" spans="1:28">
      <c r="A444" s="159">
        <v>487</v>
      </c>
      <c r="B444" s="231" t="s">
        <v>2471</v>
      </c>
      <c r="C444" s="231" t="s">
        <v>92</v>
      </c>
      <c r="D444" s="162" t="s">
        <v>1739</v>
      </c>
      <c r="E444" s="163" t="s">
        <v>1772</v>
      </c>
      <c r="F444" s="231" t="s">
        <v>2472</v>
      </c>
      <c r="G444" s="165" t="s">
        <v>2730</v>
      </c>
      <c r="H444" s="164" t="str">
        <f>IF(G444="","",VLOOKUP(G444,'附表8-合同明细采集底稿'!B:I,2,0))</f>
        <v>沁春锦苑4-11#16#17#楼31#楼园林景观、道路及停车位、铺装、景观照明工程</v>
      </c>
      <c r="I444" s="92" t="str">
        <f>IF(G444="","",VLOOKUP(G444,'附表8-合同明细采集底稿'!B:I,3,0))</f>
        <v>建设工程合同</v>
      </c>
      <c r="J444" s="164" t="str">
        <f>IF(G444="","",VLOOKUP(G444,'附表8-合同明细采集底稿'!B:I,4,0))</f>
        <v>新疆通力建设集团股份有限公司（杜奇志）</v>
      </c>
      <c r="K444" s="164" t="s">
        <v>1711</v>
      </c>
      <c r="L444" s="165"/>
      <c r="M444" s="165" t="s">
        <v>2473</v>
      </c>
      <c r="N444" s="173">
        <v>433741.78</v>
      </c>
      <c r="O444" s="173">
        <v>472778.5402</v>
      </c>
      <c r="P444" s="174">
        <v>433741.78</v>
      </c>
      <c r="Q444" s="173"/>
      <c r="R444" s="173">
        <f t="shared" si="32"/>
        <v>433741.78</v>
      </c>
      <c r="S444" s="177">
        <f>IFERROR(VLOOKUP(G444,'附表8-合同明细采集底稿'!B:M,12,0),100%)</f>
        <v>1</v>
      </c>
      <c r="T444" s="173">
        <f t="shared" si="28"/>
        <v>433741.78</v>
      </c>
      <c r="U444" s="119" t="s">
        <v>2496</v>
      </c>
      <c r="V444" s="178" t="s">
        <v>336</v>
      </c>
      <c r="W444" s="179">
        <f>IF('附表1-面积统计表'!$D$29=0,"",IF(AND(V444="共同成本费用",Z444="总建筑面积法"),ROUND(T444/'附表1-面积统计表'!$D$29*'附表1-面积统计表'!$D$5,2),IF(AND(V444="共同成本费用",Z444="可售建筑面积法"),ROUND(T444/'附表1-面积统计表'!$F$29*'附表1-面积统计表'!$F$5,2),"请手工填写")))</f>
        <v>158415.26</v>
      </c>
      <c r="X444" s="179">
        <f>IF(SUM('附表1-面积统计表'!$D$6)=0,"",SUM(T444)-SUM(W444)-SUM(Y444))</f>
        <v>195369.4</v>
      </c>
      <c r="Y444" s="179">
        <f>IF(SUM('附表1-面积统计表'!$D$6)=0,SUM(T444)-SUM(W444),IF('附表1-面积统计表'!$D$29=0,"",IF(AND(V444="共同成本费用",Z444="总建筑面积法"),ROUND(T444/'附表1-面积统计表'!$D$29*'附表1-面积统计表'!$D$7,2),IF(AND(V444="共同成本费用",Z444="可售建筑面积法"),ROUND(T444/'附表1-面积统计表'!$F$29*'附表1-面积统计表'!$F$7,2),"请手工填写"))))</f>
        <v>79957.12</v>
      </c>
      <c r="Z444" s="181" t="s">
        <v>311</v>
      </c>
      <c r="AA444" s="164"/>
      <c r="AB444" s="182" t="s">
        <v>1686</v>
      </c>
    </row>
    <row r="445" ht="71.35" hidden="1" spans="1:28">
      <c r="A445" s="159">
        <v>491</v>
      </c>
      <c r="B445" s="231" t="s">
        <v>2471</v>
      </c>
      <c r="C445" s="231" t="s">
        <v>99</v>
      </c>
      <c r="D445" s="162" t="s">
        <v>2488</v>
      </c>
      <c r="E445" s="163" t="s">
        <v>2489</v>
      </c>
      <c r="F445" s="231" t="s">
        <v>2950</v>
      </c>
      <c r="G445" s="165" t="s">
        <v>2775</v>
      </c>
      <c r="H445" s="164" t="str">
        <f>IF(G445="","",VLOOKUP(G445,'附表8-合同明细采集底稿'!B:I,2,0))</f>
        <v>沁春锦苑4#-11#、16.17.住宅楼，2#3#36#商业楼建设工程施工合同(2.3#.)</v>
      </c>
      <c r="I445" s="92" t="str">
        <f>IF(G445="","",VLOOKUP(G445,'附表8-合同明细采集底稿'!B:I,3,0))</f>
        <v>建设工程合同</v>
      </c>
      <c r="J445" s="164" t="str">
        <f>IF(G445="","",VLOOKUP(G445,'附表8-合同明细采集底稿'!B:I,4,0))</f>
        <v>新疆通力建设集团股份有限公司（邓）</v>
      </c>
      <c r="K445" s="164" t="s">
        <v>1711</v>
      </c>
      <c r="L445" s="165"/>
      <c r="M445" s="165" t="s">
        <v>2951</v>
      </c>
      <c r="N445" s="173">
        <v>571175.67</v>
      </c>
      <c r="O445" s="173">
        <v>622581.4803</v>
      </c>
      <c r="P445" s="174">
        <v>571175.67</v>
      </c>
      <c r="Q445" s="173"/>
      <c r="R445" s="173">
        <f t="shared" si="32"/>
        <v>571175.67</v>
      </c>
      <c r="S445" s="177">
        <f>IFERROR(VLOOKUP(G445,'附表8-合同明细采集底稿'!B:M,12,0),100%)</f>
        <v>1</v>
      </c>
      <c r="T445" s="173">
        <f t="shared" si="28"/>
        <v>571175.67</v>
      </c>
      <c r="U445" s="119" t="s">
        <v>2491</v>
      </c>
      <c r="V445" s="178" t="s">
        <v>335</v>
      </c>
      <c r="W445" s="179">
        <v>0</v>
      </c>
      <c r="X445" s="179">
        <f>IF(SUM('附表1-面积统计表'!$D$6)=0,"",SUM(T445)-SUM(W445)-SUM(Y445))</f>
        <v>0</v>
      </c>
      <c r="Y445" s="179">
        <f>T445</f>
        <v>571175.67</v>
      </c>
      <c r="Z445" s="181" t="s">
        <v>2492</v>
      </c>
      <c r="AA445" s="164"/>
      <c r="AB445" s="182" t="s">
        <v>1686</v>
      </c>
    </row>
    <row r="446" ht="47.6" hidden="1" spans="1:28">
      <c r="A446" s="159">
        <v>493</v>
      </c>
      <c r="B446" s="231" t="s">
        <v>2952</v>
      </c>
      <c r="C446" s="231" t="s">
        <v>384</v>
      </c>
      <c r="D446" s="162" t="s">
        <v>1739</v>
      </c>
      <c r="E446" s="163" t="s">
        <v>1772</v>
      </c>
      <c r="F446" s="231" t="s">
        <v>2953</v>
      </c>
      <c r="G446" s="165"/>
      <c r="H446" s="164" t="str">
        <f>IF(G446="","",VLOOKUP(G446,'附表8-合同明细采集底稿'!B:I,2,0))</f>
        <v/>
      </c>
      <c r="I446" s="92" t="str">
        <f>IF(G446="","",VLOOKUP(G446,'附表8-合同明细采集底稿'!B:I,3,0))</f>
        <v/>
      </c>
      <c r="J446" s="164" t="s">
        <v>2954</v>
      </c>
      <c r="K446" s="164" t="s">
        <v>1711</v>
      </c>
      <c r="L446" s="165"/>
      <c r="M446" s="165" t="s">
        <v>2955</v>
      </c>
      <c r="N446" s="173">
        <v>2621.36</v>
      </c>
      <c r="O446" s="173">
        <v>2700</v>
      </c>
      <c r="P446" s="174">
        <v>2621.36</v>
      </c>
      <c r="Q446" s="180">
        <f t="shared" si="33"/>
        <v>-2621.36</v>
      </c>
      <c r="R446" s="173">
        <f t="shared" si="32"/>
        <v>0</v>
      </c>
      <c r="S446" s="177">
        <f>IFERROR(VLOOKUP(G446,'附表8-合同明细采集底稿'!B:M,12,0),100%)</f>
        <v>1</v>
      </c>
      <c r="T446" s="173">
        <f t="shared" si="28"/>
        <v>0</v>
      </c>
      <c r="U446" s="119" t="s">
        <v>2491</v>
      </c>
      <c r="V446" s="178" t="s">
        <v>335</v>
      </c>
      <c r="W446" s="179">
        <v>0</v>
      </c>
      <c r="X446" s="179">
        <f>IF(SUM('附表1-面积统计表'!$D$6)=0,"",SUM(T446)-SUM(W446)-SUM(Y446))</f>
        <v>0</v>
      </c>
      <c r="Y446" s="179">
        <f>T446</f>
        <v>0</v>
      </c>
      <c r="Z446" s="181" t="s">
        <v>2492</v>
      </c>
      <c r="AA446" s="164"/>
      <c r="AB446" s="182" t="s">
        <v>1686</v>
      </c>
    </row>
    <row r="447" ht="95.15" hidden="1" spans="1:28">
      <c r="A447" s="159">
        <v>494</v>
      </c>
      <c r="B447" s="231" t="s">
        <v>2956</v>
      </c>
      <c r="C447" s="231" t="s">
        <v>1195</v>
      </c>
      <c r="D447" s="162" t="s">
        <v>1700</v>
      </c>
      <c r="E447" s="163" t="s">
        <v>1813</v>
      </c>
      <c r="F447" s="231" t="s">
        <v>2957</v>
      </c>
      <c r="G447" s="265" t="s">
        <v>2095</v>
      </c>
      <c r="H447" s="164" t="str">
        <f>IF(G447="","",VLOOKUP(G447,'附表8-合同明细采集底稿'!B:I,2,0))</f>
        <v>二期、三期给排水、消防工程施工合同-人防</v>
      </c>
      <c r="I447" s="92" t="str">
        <f>IF(G447="","",VLOOKUP(G447,'附表8-合同明细采集底稿'!B:I,3,0))</f>
        <v>建设工程合同</v>
      </c>
      <c r="J447" s="164" t="str">
        <f>IF(G447="","",VLOOKUP(G447,'附表8-合同明细采集底稿'!B:I,4,0))</f>
        <v>江苏中义消防工程有限公司巴州分公司（巩红卫）</v>
      </c>
      <c r="K447" s="164" t="s">
        <v>1711</v>
      </c>
      <c r="L447" s="165"/>
      <c r="M447" s="165" t="s">
        <v>2958</v>
      </c>
      <c r="N447" s="173">
        <v>9460.47</v>
      </c>
      <c r="O447" s="173">
        <v>10311.9123</v>
      </c>
      <c r="P447" s="174">
        <v>9460.47</v>
      </c>
      <c r="Q447" s="173"/>
      <c r="R447" s="173">
        <f t="shared" si="32"/>
        <v>9460.47</v>
      </c>
      <c r="S447" s="177">
        <f>IFERROR(VLOOKUP(G447,'附表8-合同明细采集底稿'!B:M,12,0),100%)</f>
        <v>0.318696696324277</v>
      </c>
      <c r="T447" s="173">
        <f t="shared" si="28"/>
        <v>3015.02</v>
      </c>
      <c r="U447" s="119" t="s">
        <v>2509</v>
      </c>
      <c r="V447" s="178" t="s">
        <v>335</v>
      </c>
      <c r="W447" s="179">
        <f>ROUND(T447*成本分摊比例!$I$53,2)</f>
        <v>1194.55</v>
      </c>
      <c r="X447" s="179">
        <f>IF(SUM('附表1-面积统计表'!$D$6)=0,"",SUM(T447)-SUM(W447)-SUM(Y447))</f>
        <v>1473.14</v>
      </c>
      <c r="Y447" s="179">
        <f>ROUND(T447*成本分摊比例!$K$53,2)</f>
        <v>347.33</v>
      </c>
      <c r="Z447" s="181" t="s">
        <v>2492</v>
      </c>
      <c r="AA447" s="164"/>
      <c r="AB447" s="182" t="s">
        <v>1686</v>
      </c>
    </row>
    <row r="448" ht="95.15" hidden="1" spans="1:28">
      <c r="A448" s="159">
        <v>495</v>
      </c>
      <c r="B448" s="231" t="s">
        <v>2956</v>
      </c>
      <c r="C448" s="231" t="s">
        <v>1195</v>
      </c>
      <c r="D448" s="162" t="s">
        <v>1739</v>
      </c>
      <c r="E448" s="163" t="s">
        <v>1788</v>
      </c>
      <c r="F448" s="231" t="s">
        <v>2957</v>
      </c>
      <c r="G448" s="165" t="s">
        <v>2277</v>
      </c>
      <c r="H448" s="164" t="str">
        <f>IF(G448="","",VLOOKUP(G448,'附表8-合同明细采集底稿'!B:I,2,0))</f>
        <v>二期、三期给排水、消防工程施工合同-社区用房</v>
      </c>
      <c r="I448" s="92" t="str">
        <f>IF(G448="","",VLOOKUP(G448,'附表8-合同明细采集底稿'!B:I,3,0))</f>
        <v>建设工程合同</v>
      </c>
      <c r="J448" s="164" t="str">
        <f>IF(G448="","",VLOOKUP(G448,'附表8-合同明细采集底稿'!B:I,4,0))</f>
        <v>江苏中义消防工程有限公司巴州分公司（巩红卫）</v>
      </c>
      <c r="K448" s="164" t="s">
        <v>1711</v>
      </c>
      <c r="L448" s="165"/>
      <c r="M448" s="165" t="s">
        <v>2958</v>
      </c>
      <c r="N448" s="173">
        <v>150458.72</v>
      </c>
      <c r="O448" s="173">
        <v>164000.0048</v>
      </c>
      <c r="P448" s="174">
        <v>150458.72</v>
      </c>
      <c r="Q448" s="173"/>
      <c r="R448" s="173">
        <f t="shared" si="32"/>
        <v>150458.72</v>
      </c>
      <c r="S448" s="177">
        <f>IFERROR(VLOOKUP(G448,'附表8-合同明细采集底稿'!B:M,12,0),100%)</f>
        <v>0.329519901724361</v>
      </c>
      <c r="T448" s="173">
        <f t="shared" si="28"/>
        <v>49579.14</v>
      </c>
      <c r="U448" s="119" t="s">
        <v>2509</v>
      </c>
      <c r="V448" s="178" t="s">
        <v>335</v>
      </c>
      <c r="W448" s="179">
        <f>ROUND(T448*成本分摊比例!$I$53,2)</f>
        <v>19643.26</v>
      </c>
      <c r="X448" s="179">
        <f>IF(SUM('附表1-面积统计表'!$D$6)=0,"",SUM(T448)-SUM(W448)-SUM(Y448))</f>
        <v>24224.36</v>
      </c>
      <c r="Y448" s="179">
        <f>ROUND(T448*成本分摊比例!$K$53,2)</f>
        <v>5711.52</v>
      </c>
      <c r="Z448" s="181" t="s">
        <v>2492</v>
      </c>
      <c r="AA448" s="164"/>
      <c r="AB448" s="182" t="s">
        <v>1686</v>
      </c>
    </row>
    <row r="449" ht="95.15" hidden="1" spans="1:28">
      <c r="A449" s="159">
        <v>496</v>
      </c>
      <c r="B449" s="231" t="s">
        <v>2956</v>
      </c>
      <c r="C449" s="231" t="s">
        <v>1195</v>
      </c>
      <c r="D449" s="162" t="s">
        <v>1739</v>
      </c>
      <c r="E449" s="163" t="s">
        <v>1788</v>
      </c>
      <c r="F449" s="231" t="s">
        <v>2957</v>
      </c>
      <c r="G449" s="165" t="s">
        <v>2611</v>
      </c>
      <c r="H449" s="164" t="str">
        <f>IF(G449="","",VLOOKUP(G449,'附表8-合同明细采集底稿'!B:I,2,0))</f>
        <v>二期、三期给排水、消防工程施工合同-二期</v>
      </c>
      <c r="I449" s="92" t="str">
        <f>IF(G449="","",VLOOKUP(G449,'附表8-合同明细采集底稿'!B:I,3,0))</f>
        <v>建设工程合同</v>
      </c>
      <c r="J449" s="164" t="str">
        <f>IF(G449="","",VLOOKUP(G449,'附表8-合同明细采集底稿'!B:I,4,0))</f>
        <v>江苏中义消防工程有限公司巴州分公司（巩红卫）</v>
      </c>
      <c r="K449" s="164" t="s">
        <v>1711</v>
      </c>
      <c r="L449" s="165"/>
      <c r="M449" s="165" t="s">
        <v>2958</v>
      </c>
      <c r="N449" s="173">
        <v>55316.55</v>
      </c>
      <c r="O449" s="173">
        <v>60295.0395</v>
      </c>
      <c r="P449" s="174">
        <v>55316.55</v>
      </c>
      <c r="Q449" s="173"/>
      <c r="R449" s="173">
        <f t="shared" si="32"/>
        <v>55316.55</v>
      </c>
      <c r="S449" s="177">
        <f>IFERROR(VLOOKUP(G449,'附表8-合同明细采集底稿'!B:M,12,0),100%)</f>
        <v>1</v>
      </c>
      <c r="T449" s="173">
        <f t="shared" si="28"/>
        <v>55316.55</v>
      </c>
      <c r="U449" s="119" t="s">
        <v>2509</v>
      </c>
      <c r="V449" s="178" t="s">
        <v>335</v>
      </c>
      <c r="W449" s="179">
        <f>ROUND(T449*成本分摊比例!$I$53,2)</f>
        <v>21916.42</v>
      </c>
      <c r="X449" s="179">
        <f>IF(SUM('附表1-面积统计表'!$D$6)=0,"",SUM(T449)-SUM(W449)-SUM(Y449))</f>
        <v>27027.66</v>
      </c>
      <c r="Y449" s="179">
        <f>ROUND(T449*成本分摊比例!$K$53,2)</f>
        <v>6372.47</v>
      </c>
      <c r="Z449" s="181" t="s">
        <v>2492</v>
      </c>
      <c r="AA449" s="164"/>
      <c r="AB449" s="182" t="s">
        <v>1686</v>
      </c>
    </row>
    <row r="450" ht="71.35" hidden="1" spans="1:28">
      <c r="A450" s="159">
        <v>502</v>
      </c>
      <c r="B450" s="231" t="s">
        <v>2956</v>
      </c>
      <c r="C450" s="231" t="s">
        <v>1208</v>
      </c>
      <c r="D450" s="162" t="s">
        <v>2488</v>
      </c>
      <c r="E450" s="163" t="s">
        <v>2489</v>
      </c>
      <c r="F450" s="231" t="s">
        <v>2959</v>
      </c>
      <c r="G450" s="165" t="s">
        <v>2593</v>
      </c>
      <c r="H450" s="164" t="str">
        <f>IF(G450="","",VLOOKUP(G450,'附表8-合同明细采集底稿'!B:I,2,0))</f>
        <v>沁春锦苑3#楼内、外装修合同</v>
      </c>
      <c r="I450" s="92" t="str">
        <f>IF(G450="","",VLOOKUP(G450,'附表8-合同明细采集底稿'!B:I,3,0))</f>
        <v>建设工程合同</v>
      </c>
      <c r="J450" s="164" t="str">
        <f>IF(G450="","",VLOOKUP(G450,'附表8-合同明细采集底稿'!B:I,4,0))</f>
        <v>巴州水木堂建筑装饰有限公司（倪）</v>
      </c>
      <c r="K450" s="164" t="s">
        <v>1711</v>
      </c>
      <c r="L450" s="165"/>
      <c r="M450" s="165"/>
      <c r="N450" s="173">
        <v>825688.07</v>
      </c>
      <c r="O450" s="173">
        <v>899999.9963</v>
      </c>
      <c r="P450" s="254">
        <v>825688.07</v>
      </c>
      <c r="Q450" s="173">
        <f>-P450</f>
        <v>-825688.07</v>
      </c>
      <c r="R450" s="173">
        <f t="shared" si="32"/>
        <v>0</v>
      </c>
      <c r="S450" s="177">
        <f>IFERROR(VLOOKUP(G450,'附表8-合同明细采集底稿'!B:M,12,0),100%)</f>
        <v>1</v>
      </c>
      <c r="T450" s="173">
        <f t="shared" si="28"/>
        <v>0</v>
      </c>
      <c r="U450" s="119" t="s">
        <v>2594</v>
      </c>
      <c r="V450" s="178" t="s">
        <v>335</v>
      </c>
      <c r="W450" s="179">
        <v>0</v>
      </c>
      <c r="X450" s="179">
        <f>IF(SUM('附表1-面积统计表'!$D$6)=0,"",SUM(T450)-SUM(W450)-SUM(Y450))</f>
        <v>0</v>
      </c>
      <c r="Y450" s="179">
        <f>T450</f>
        <v>0</v>
      </c>
      <c r="Z450" s="181" t="s">
        <v>2492</v>
      </c>
      <c r="AA450" s="164"/>
      <c r="AB450" s="182" t="s">
        <v>1686</v>
      </c>
    </row>
    <row r="451" ht="83.25" hidden="1" spans="1:28">
      <c r="A451" s="159">
        <v>503</v>
      </c>
      <c r="B451" s="244">
        <v>45625</v>
      </c>
      <c r="C451" s="232" t="s">
        <v>2330</v>
      </c>
      <c r="D451" s="162" t="s">
        <v>2488</v>
      </c>
      <c r="E451" s="163" t="s">
        <v>2489</v>
      </c>
      <c r="F451" s="233" t="s">
        <v>2960</v>
      </c>
      <c r="G451" s="165" t="s">
        <v>2692</v>
      </c>
      <c r="H451" s="164" t="str">
        <f>IF(G451="","",VLOOKUP(G451,'附表8-合同明细采集底稿'!B:I,2,0))</f>
        <v>3#楼电梯井钢结构安装</v>
      </c>
      <c r="I451" s="92" t="str">
        <f>IF(G451="","",VLOOKUP(G451,'附表8-合同明细采集底稿'!B:I,3,0))</f>
        <v>建设工程合同</v>
      </c>
      <c r="J451" s="164" t="str">
        <f>IF(G451="","",VLOOKUP(G451,'附表8-合同明细采集底稿'!B:I,4,0))</f>
        <v>库尔勒坚乐美建筑工程有限责任公司（郑长银）</v>
      </c>
      <c r="K451" s="164" t="s">
        <v>1711</v>
      </c>
      <c r="L451" s="165"/>
      <c r="M451" s="165" t="s">
        <v>2961</v>
      </c>
      <c r="N451" s="173">
        <v>29614.68</v>
      </c>
      <c r="O451" s="173">
        <v>32280</v>
      </c>
      <c r="P451" s="174">
        <v>29614.68</v>
      </c>
      <c r="Q451" s="173"/>
      <c r="R451" s="173">
        <f t="shared" si="32"/>
        <v>29614.68</v>
      </c>
      <c r="S451" s="177">
        <f>IFERROR(VLOOKUP(G451,'附表8-合同明细采集底稿'!B:M,12,0),100%)</f>
        <v>1</v>
      </c>
      <c r="T451" s="173">
        <f t="shared" si="28"/>
        <v>29614.68</v>
      </c>
      <c r="U451" s="119" t="s">
        <v>2491</v>
      </c>
      <c r="V451" s="178" t="s">
        <v>335</v>
      </c>
      <c r="W451" s="179">
        <v>0</v>
      </c>
      <c r="X451" s="179">
        <f>IF(SUM('附表1-面积统计表'!$D$6)=0,"",SUM(T451)-SUM(W451)-SUM(Y451))</f>
        <v>0</v>
      </c>
      <c r="Y451" s="179">
        <f>T451</f>
        <v>29614.68</v>
      </c>
      <c r="Z451" s="181" t="s">
        <v>2492</v>
      </c>
      <c r="AA451" s="164"/>
      <c r="AB451" s="182" t="s">
        <v>1686</v>
      </c>
    </row>
    <row r="452" ht="71.35" hidden="1" spans="1:28">
      <c r="A452" s="159">
        <v>504</v>
      </c>
      <c r="B452" s="231" t="s">
        <v>2484</v>
      </c>
      <c r="C452" s="231" t="s">
        <v>1230</v>
      </c>
      <c r="D452" s="162" t="s">
        <v>2488</v>
      </c>
      <c r="E452" s="163" t="s">
        <v>2489</v>
      </c>
      <c r="F452" s="231" t="s">
        <v>2962</v>
      </c>
      <c r="G452" s="165" t="s">
        <v>2588</v>
      </c>
      <c r="H452" s="164" t="str">
        <f>IF(G452="","",VLOOKUP(G452,'附表8-合同明细采集底稿'!B:I,2,0))</f>
        <v>沁春锦苑4#-11#、16#17#楼防火门防盗门</v>
      </c>
      <c r="I452" s="92" t="str">
        <f>IF(G452="","",VLOOKUP(G452,'附表8-合同明细采集底稿'!B:I,3,0))</f>
        <v>买卖合同</v>
      </c>
      <c r="J452" s="164" t="str">
        <f>IF(G452="","",VLOOKUP(G452,'附表8-合同明细采集底稿'!B:I,4,0))</f>
        <v>库尔勒永绍商贸有限公司（项邵于）</v>
      </c>
      <c r="K452" s="164" t="s">
        <v>1711</v>
      </c>
      <c r="L452" s="165"/>
      <c r="M452" s="165" t="s">
        <v>2963</v>
      </c>
      <c r="N452" s="173">
        <v>25210.49</v>
      </c>
      <c r="O452" s="173">
        <v>28487.8537</v>
      </c>
      <c r="P452" s="174">
        <v>25210.49</v>
      </c>
      <c r="Q452" s="173"/>
      <c r="R452" s="173">
        <f t="shared" si="32"/>
        <v>25210.49</v>
      </c>
      <c r="S452" s="177">
        <f>IFERROR(VLOOKUP(G452,'附表8-合同明细采集底稿'!B:M,12,0),100%)</f>
        <v>1</v>
      </c>
      <c r="T452" s="173">
        <f t="shared" si="28"/>
        <v>25210.49</v>
      </c>
      <c r="U452" s="119" t="s">
        <v>2509</v>
      </c>
      <c r="V452" s="178" t="s">
        <v>335</v>
      </c>
      <c r="W452" s="179">
        <f>ROUND(T452*成本分摊比例!$I$53,2)</f>
        <v>9988.4</v>
      </c>
      <c r="X452" s="179">
        <f>IF(SUM('附表1-面积统计表'!$D$6)=0,"",SUM(T452)-SUM(W452)-SUM(Y452))</f>
        <v>12317.84</v>
      </c>
      <c r="Y452" s="179">
        <f>ROUND(T452*成本分摊比例!$K$53,2)</f>
        <v>2904.25</v>
      </c>
      <c r="Z452" s="181" t="s">
        <v>2492</v>
      </c>
      <c r="AA452" s="164"/>
      <c r="AB452" s="182" t="s">
        <v>1686</v>
      </c>
    </row>
    <row r="453" ht="71.35" hidden="1" spans="1:28">
      <c r="A453" s="159">
        <v>505</v>
      </c>
      <c r="B453" s="231" t="s">
        <v>2484</v>
      </c>
      <c r="C453" s="231" t="s">
        <v>1230</v>
      </c>
      <c r="D453" s="162" t="s">
        <v>2488</v>
      </c>
      <c r="E453" s="163" t="s">
        <v>2489</v>
      </c>
      <c r="F453" s="231" t="s">
        <v>2964</v>
      </c>
      <c r="G453" s="165" t="s">
        <v>2782</v>
      </c>
      <c r="H453" s="164" t="str">
        <f>IF(G453="","",VLOOKUP(G453,'附表8-合同明细采集底稿'!B:I,2,0))</f>
        <v>4-11\16\17#楼进户门智能锁安装</v>
      </c>
      <c r="I453" s="92" t="str">
        <f>IF(G453="","",VLOOKUP(G453,'附表8-合同明细采集底稿'!B:I,3,0))</f>
        <v>买卖合同</v>
      </c>
      <c r="J453" s="164" t="str">
        <f>IF(G453="","",VLOOKUP(G453,'附表8-合同明细采集底稿'!B:I,4,0))</f>
        <v>库尔勒永绍商贸有限公司（项邵于）</v>
      </c>
      <c r="K453" s="164" t="s">
        <v>1711</v>
      </c>
      <c r="L453" s="165"/>
      <c r="M453" s="165" t="s">
        <v>2965</v>
      </c>
      <c r="N453" s="173">
        <v>8580.47</v>
      </c>
      <c r="O453" s="173">
        <v>9695.9311</v>
      </c>
      <c r="P453" s="174">
        <v>8580.47</v>
      </c>
      <c r="Q453" s="173"/>
      <c r="R453" s="173">
        <f t="shared" si="32"/>
        <v>8580.47</v>
      </c>
      <c r="S453" s="177">
        <f>IFERROR(VLOOKUP(G453,'附表8-合同明细采集底稿'!B:M,12,0),100%)</f>
        <v>1</v>
      </c>
      <c r="T453" s="173">
        <f t="shared" si="28"/>
        <v>8580.47</v>
      </c>
      <c r="U453" s="119" t="s">
        <v>2509</v>
      </c>
      <c r="V453" s="178" t="s">
        <v>335</v>
      </c>
      <c r="W453" s="179">
        <f>ROUND(T453*成本分摊比例!$I$53,2)</f>
        <v>3399.58</v>
      </c>
      <c r="X453" s="179">
        <f>IF(SUM('附表1-面积统计表'!$D$6)=0,"",SUM(T453)-SUM(W453)-SUM(Y453))</f>
        <v>4192.42</v>
      </c>
      <c r="Y453" s="179">
        <f>ROUND(T453*成本分摊比例!$K$53,2)</f>
        <v>988.47</v>
      </c>
      <c r="Z453" s="181" t="s">
        <v>2492</v>
      </c>
      <c r="AA453" s="164"/>
      <c r="AB453" s="182" t="s">
        <v>1686</v>
      </c>
    </row>
    <row r="454" ht="71.35" hidden="1" spans="1:28">
      <c r="A454" s="159">
        <v>506</v>
      </c>
      <c r="B454" s="231" t="s">
        <v>2484</v>
      </c>
      <c r="C454" s="231" t="s">
        <v>1230</v>
      </c>
      <c r="D454" s="162" t="s">
        <v>2488</v>
      </c>
      <c r="E454" s="163" t="s">
        <v>2489</v>
      </c>
      <c r="F454" s="231" t="s">
        <v>2966</v>
      </c>
      <c r="G454" s="165" t="s">
        <v>2782</v>
      </c>
      <c r="H454" s="164" t="str">
        <f>IF(G454="","",VLOOKUP(G454,'附表8-合同明细采集底稿'!B:I,2,0))</f>
        <v>4-11\16\17#楼进户门智能锁安装</v>
      </c>
      <c r="I454" s="92" t="str">
        <f>IF(G454="","",VLOOKUP(G454,'附表8-合同明细采集底稿'!B:I,3,0))</f>
        <v>买卖合同</v>
      </c>
      <c r="J454" s="164" t="str">
        <f>IF(G454="","",VLOOKUP(G454,'附表8-合同明细采集底稿'!B:I,4,0))</f>
        <v>库尔勒永绍商贸有限公司（项邵于）</v>
      </c>
      <c r="K454" s="164" t="s">
        <v>1711</v>
      </c>
      <c r="L454" s="165"/>
      <c r="M454" s="165" t="s">
        <v>2967</v>
      </c>
      <c r="N454" s="173">
        <v>8764.66</v>
      </c>
      <c r="O454" s="173">
        <v>9904.0658</v>
      </c>
      <c r="P454" s="174">
        <v>8764.66</v>
      </c>
      <c r="Q454" s="173">
        <v>-27343.35</v>
      </c>
      <c r="R454" s="173">
        <f t="shared" si="32"/>
        <v>-18578.69</v>
      </c>
      <c r="S454" s="177">
        <f>IFERROR(VLOOKUP(G454,'附表8-合同明细采集底稿'!B:M,12,0),100%)</f>
        <v>1</v>
      </c>
      <c r="T454" s="173">
        <f t="shared" si="28"/>
        <v>-18578.69</v>
      </c>
      <c r="U454" s="119" t="s">
        <v>2509</v>
      </c>
      <c r="V454" s="178" t="s">
        <v>335</v>
      </c>
      <c r="W454" s="179">
        <f>ROUND(T454*成本分摊比例!$I$53,2)</f>
        <v>-7360.88</v>
      </c>
      <c r="X454" s="179">
        <f>IF(SUM('附表1-面积统计表'!$D$6)=0,"",SUM(T454)-SUM(W454)-SUM(Y454))</f>
        <v>-9077.54</v>
      </c>
      <c r="Y454" s="179">
        <f>ROUND(T454*成本分摊比例!$K$53,2)</f>
        <v>-2140.27</v>
      </c>
      <c r="Z454" s="181" t="s">
        <v>2492</v>
      </c>
      <c r="AA454" s="164"/>
      <c r="AB454" s="182" t="s">
        <v>1686</v>
      </c>
    </row>
    <row r="455" ht="71.35" hidden="1" spans="1:28">
      <c r="A455" s="159">
        <v>507</v>
      </c>
      <c r="B455" s="231" t="s">
        <v>2484</v>
      </c>
      <c r="C455" s="231" t="s">
        <v>1230</v>
      </c>
      <c r="D455" s="162" t="s">
        <v>2488</v>
      </c>
      <c r="E455" s="163" t="s">
        <v>2489</v>
      </c>
      <c r="F455" s="231" t="s">
        <v>2966</v>
      </c>
      <c r="G455" s="165" t="s">
        <v>2588</v>
      </c>
      <c r="H455" s="164" t="str">
        <f>IF(G455="","",VLOOKUP(G455,'附表8-合同明细采集底稿'!B:I,2,0))</f>
        <v>沁春锦苑4#-11#、16#17#楼防火门防盗门</v>
      </c>
      <c r="I455" s="92" t="str">
        <f>IF(G455="","",VLOOKUP(G455,'附表8-合同明细采集底稿'!B:I,3,0))</f>
        <v>买卖合同</v>
      </c>
      <c r="J455" s="164" t="str">
        <f>IF(G455="","",VLOOKUP(G455,'附表8-合同明细采集底稿'!B:I,4,0))</f>
        <v>库尔勒永绍商贸有限公司（项邵于）</v>
      </c>
      <c r="K455" s="164" t="s">
        <v>1711</v>
      </c>
      <c r="L455" s="165"/>
      <c r="M455" s="165" t="s">
        <v>2968</v>
      </c>
      <c r="N455" s="173">
        <v>84608.63</v>
      </c>
      <c r="O455" s="173">
        <v>95607.7519</v>
      </c>
      <c r="P455" s="174">
        <v>84608.63</v>
      </c>
      <c r="Q455" s="173">
        <v>27343.35</v>
      </c>
      <c r="R455" s="173">
        <f t="shared" si="32"/>
        <v>111951.98</v>
      </c>
      <c r="S455" s="177">
        <f>IFERROR(VLOOKUP(G455,'附表8-合同明细采集底稿'!B:M,12,0),100%)</f>
        <v>1</v>
      </c>
      <c r="T455" s="173">
        <f t="shared" si="28"/>
        <v>111951.98</v>
      </c>
      <c r="U455" s="119" t="s">
        <v>2509</v>
      </c>
      <c r="V455" s="178" t="s">
        <v>335</v>
      </c>
      <c r="W455" s="179">
        <f>ROUND(T455*成本分摊比例!$I$53,2)</f>
        <v>44355.37</v>
      </c>
      <c r="X455" s="179">
        <f>IF(SUM('附表1-面积统计表'!$D$6)=0,"",SUM(T455)-SUM(W455)-SUM(Y455))</f>
        <v>54699.74</v>
      </c>
      <c r="Y455" s="179">
        <f>ROUND(T455*成本分摊比例!$K$53,2)</f>
        <v>12896.87</v>
      </c>
      <c r="Z455" s="181" t="s">
        <v>2492</v>
      </c>
      <c r="AA455" s="164"/>
      <c r="AB455" s="182" t="s">
        <v>1686</v>
      </c>
    </row>
    <row r="456" ht="71.35" hidden="1" spans="1:28">
      <c r="A456" s="159">
        <v>508</v>
      </c>
      <c r="B456" s="231" t="s">
        <v>2484</v>
      </c>
      <c r="C456" s="231" t="s">
        <v>2485</v>
      </c>
      <c r="D456" s="162" t="s">
        <v>2488</v>
      </c>
      <c r="E456" s="163" t="s">
        <v>2489</v>
      </c>
      <c r="F456" s="233" t="s">
        <v>2486</v>
      </c>
      <c r="G456" s="165" t="s">
        <v>2537</v>
      </c>
      <c r="H456" s="164" t="str">
        <f>IF(G456="","",VLOOKUP(G456,'附表8-合同明细采集底稿'!B:I,2,0))</f>
        <v>沁春锦苑4#-11#、16.17.住宅楼，2#3#36#商业楼建设工程施工合同（4-11/16/17#）</v>
      </c>
      <c r="I456" s="92" t="str">
        <f>IF(G456="","",VLOOKUP(G456,'附表8-合同明细采集底稿'!B:I,3,0))</f>
        <v>建设工程合同</v>
      </c>
      <c r="J456" s="164" t="str">
        <f>IF(G456="","",VLOOKUP(G456,'附表8-合同明细采集底稿'!B:I,4,0))</f>
        <v>新疆通力建设集团股份有限公司（邓）</v>
      </c>
      <c r="K456" s="164" t="s">
        <v>1711</v>
      </c>
      <c r="L456" s="165"/>
      <c r="M456" s="165" t="s">
        <v>2969</v>
      </c>
      <c r="N456" s="173">
        <v>45871.56</v>
      </c>
      <c r="O456" s="173">
        <v>50000</v>
      </c>
      <c r="P456" s="174">
        <v>45871.56</v>
      </c>
      <c r="Q456" s="173"/>
      <c r="R456" s="173">
        <f t="shared" si="32"/>
        <v>45871.56</v>
      </c>
      <c r="S456" s="177">
        <f>IFERROR(VLOOKUP(G456,'附表8-合同明细采集底稿'!B:M,12,0),100%)</f>
        <v>1</v>
      </c>
      <c r="T456" s="173">
        <f t="shared" si="28"/>
        <v>45871.56</v>
      </c>
      <c r="U456" s="119" t="s">
        <v>2509</v>
      </c>
      <c r="V456" s="178" t="s">
        <v>335</v>
      </c>
      <c r="W456" s="179">
        <f>ROUND(T456*成本分摊比例!$I$53,2)</f>
        <v>18174.31</v>
      </c>
      <c r="X456" s="179">
        <f>IF(SUM('附表1-面积统计表'!$D$6)=0,"",SUM(T456)-SUM(W456)-SUM(Y456))</f>
        <v>22412.85</v>
      </c>
      <c r="Y456" s="179">
        <f>ROUND(T456*成本分摊比例!$K$53,2)</f>
        <v>5284.4</v>
      </c>
      <c r="Z456" s="181" t="s">
        <v>2492</v>
      </c>
      <c r="AA456" s="164"/>
      <c r="AB456" s="182" t="s">
        <v>1686</v>
      </c>
    </row>
    <row r="457" ht="71.35" hidden="1" spans="1:28">
      <c r="A457" s="159">
        <v>509</v>
      </c>
      <c r="B457" s="231" t="s">
        <v>2484</v>
      </c>
      <c r="C457" s="231" t="s">
        <v>2485</v>
      </c>
      <c r="D457" s="162" t="s">
        <v>2488</v>
      </c>
      <c r="E457" s="163" t="s">
        <v>2489</v>
      </c>
      <c r="F457" s="233" t="s">
        <v>2486</v>
      </c>
      <c r="G457" s="165" t="s">
        <v>2537</v>
      </c>
      <c r="H457" s="164" t="str">
        <f>IF(G457="","",VLOOKUP(G457,'附表8-合同明细采集底稿'!B:I,2,0))</f>
        <v>沁春锦苑4#-11#、16.17.住宅楼，2#3#36#商业楼建设工程施工合同（4-11/16/17#）</v>
      </c>
      <c r="I457" s="92" t="str">
        <f>IF(G457="","",VLOOKUP(G457,'附表8-合同明细采集底稿'!B:I,3,0))</f>
        <v>建设工程合同</v>
      </c>
      <c r="J457" s="164" t="str">
        <f>IF(G457="","",VLOOKUP(G457,'附表8-合同明细采集底稿'!B:I,4,0))</f>
        <v>新疆通力建设集团股份有限公司（邓）</v>
      </c>
      <c r="K457" s="164" t="s">
        <v>1711</v>
      </c>
      <c r="L457" s="165"/>
      <c r="M457" s="165" t="s">
        <v>2970</v>
      </c>
      <c r="N457" s="173">
        <v>4407162.59</v>
      </c>
      <c r="O457" s="173">
        <v>4803807.2231</v>
      </c>
      <c r="P457" s="174">
        <v>4407162.59</v>
      </c>
      <c r="Q457" s="173"/>
      <c r="R457" s="173">
        <f t="shared" si="32"/>
        <v>4407162.59</v>
      </c>
      <c r="S457" s="177">
        <f>IFERROR(VLOOKUP(G457,'附表8-合同明细采集底稿'!B:M,12,0),100%)</f>
        <v>1</v>
      </c>
      <c r="T457" s="173">
        <f t="shared" si="28"/>
        <v>4407162.59</v>
      </c>
      <c r="U457" s="119" t="s">
        <v>2509</v>
      </c>
      <c r="V457" s="178" t="s">
        <v>335</v>
      </c>
      <c r="W457" s="179">
        <f>ROUND(T457*成本分摊比例!$I$53,2)</f>
        <v>1746117.82</v>
      </c>
      <c r="X457" s="179">
        <f>IF(SUM('附表1-面积统计表'!$D$6)=0,"",SUM(T457)-SUM(W457)-SUM(Y457))</f>
        <v>2153339.64</v>
      </c>
      <c r="Y457" s="179">
        <f>ROUND(T457*成本分摊比例!$K$53,2)</f>
        <v>507705.13</v>
      </c>
      <c r="Z457" s="181" t="s">
        <v>2492</v>
      </c>
      <c r="AA457" s="164"/>
      <c r="AB457" s="182" t="s">
        <v>1686</v>
      </c>
    </row>
    <row r="458" ht="71.35" hidden="1" spans="1:28">
      <c r="A458" s="159">
        <v>510</v>
      </c>
      <c r="B458" s="231" t="s">
        <v>2484</v>
      </c>
      <c r="C458" s="231" t="s">
        <v>2485</v>
      </c>
      <c r="D458" s="162" t="s">
        <v>2488</v>
      </c>
      <c r="E458" s="163" t="s">
        <v>2489</v>
      </c>
      <c r="F458" s="233" t="s">
        <v>2486</v>
      </c>
      <c r="G458" s="165" t="s">
        <v>2537</v>
      </c>
      <c r="H458" s="164" t="str">
        <f>IF(G458="","",VLOOKUP(G458,'附表8-合同明细采集底稿'!B:I,2,0))</f>
        <v>沁春锦苑4#-11#、16.17.住宅楼，2#3#36#商业楼建设工程施工合同（4-11/16/17#）</v>
      </c>
      <c r="I458" s="92" t="str">
        <f>IF(G458="","",VLOOKUP(G458,'附表8-合同明细采集底稿'!B:I,3,0))</f>
        <v>建设工程合同</v>
      </c>
      <c r="J458" s="164" t="str">
        <f>IF(G458="","",VLOOKUP(G458,'附表8-合同明细采集底稿'!B:I,4,0))</f>
        <v>新疆通力建设集团股份有限公司（邓）</v>
      </c>
      <c r="K458" s="164" t="s">
        <v>1711</v>
      </c>
      <c r="L458" s="165"/>
      <c r="M458" s="165" t="s">
        <v>2971</v>
      </c>
      <c r="N458" s="173">
        <v>5216345.41</v>
      </c>
      <c r="O458" s="173">
        <v>5685816.4969</v>
      </c>
      <c r="P458" s="174">
        <v>5216345.41</v>
      </c>
      <c r="Q458" s="173"/>
      <c r="R458" s="173">
        <f t="shared" si="32"/>
        <v>5216345.41</v>
      </c>
      <c r="S458" s="177">
        <f>IFERROR(VLOOKUP(G458,'附表8-合同明细采集底稿'!B:M,12,0),100%)</f>
        <v>1</v>
      </c>
      <c r="T458" s="173">
        <f>ROUND(SUM(R458)*SUM(S458),2)</f>
        <v>5216345.41</v>
      </c>
      <c r="U458" s="119" t="s">
        <v>2509</v>
      </c>
      <c r="V458" s="178" t="s">
        <v>335</v>
      </c>
      <c r="W458" s="179">
        <f>ROUND(T458*成本分摊比例!$I$53,2)</f>
        <v>2066716.05</v>
      </c>
      <c r="X458" s="179">
        <f>IF(SUM('附表1-面积统计表'!$D$6)=0,"",SUM(T458)-SUM(W458)-SUM(Y458))</f>
        <v>2548706.37</v>
      </c>
      <c r="Y458" s="179">
        <f>ROUND(T458*成本分摊比例!$K$53,2)</f>
        <v>600922.99</v>
      </c>
      <c r="Z458" s="181" t="s">
        <v>2492</v>
      </c>
      <c r="AA458" s="164"/>
      <c r="AB458" s="182" t="s">
        <v>1686</v>
      </c>
    </row>
    <row r="459" ht="83.25" hidden="1" spans="1:28">
      <c r="A459" s="159">
        <v>511</v>
      </c>
      <c r="B459" s="231" t="s">
        <v>2484</v>
      </c>
      <c r="C459" s="231" t="s">
        <v>2485</v>
      </c>
      <c r="D459" s="162" t="s">
        <v>1739</v>
      </c>
      <c r="E459" s="163" t="s">
        <v>1745</v>
      </c>
      <c r="F459" s="233" t="s">
        <v>2486</v>
      </c>
      <c r="G459" s="165" t="s">
        <v>2771</v>
      </c>
      <c r="H459" s="164" t="str">
        <f>IF(G459="","",VLOOKUP(G459,'附表8-合同明细采集底稿'!B:I,2,0))</f>
        <v>4-11、16、17#楼31#楼景观绿化（住宅）</v>
      </c>
      <c r="I459" s="92" t="str">
        <f>IF(G459="","",VLOOKUP(G459,'附表8-合同明细采集底稿'!B:I,3,0))</f>
        <v>建设工程合同</v>
      </c>
      <c r="J459" s="164" t="str">
        <f>IF(G459="","",VLOOKUP(G459,'附表8-合同明细采集底稿'!B:I,4,0))</f>
        <v>新疆通力建设集团股份有限公司（蔚晓芳）</v>
      </c>
      <c r="K459" s="164" t="s">
        <v>1711</v>
      </c>
      <c r="L459" s="165"/>
      <c r="M459" s="165" t="s">
        <v>2972</v>
      </c>
      <c r="N459" s="173">
        <v>1055942.67</v>
      </c>
      <c r="O459" s="173">
        <v>1150977.5103</v>
      </c>
      <c r="P459" s="174">
        <v>1055942.67</v>
      </c>
      <c r="Q459" s="173"/>
      <c r="R459" s="173">
        <f t="shared" si="32"/>
        <v>1055942.67</v>
      </c>
      <c r="S459" s="177">
        <f>IFERROR(VLOOKUP(G459,'附表8-合同明细采集底稿'!B:M,12,0),100%)</f>
        <v>1</v>
      </c>
      <c r="T459" s="173">
        <f>ROUND(SUM(R459)*SUM(S459),2)</f>
        <v>1055942.67</v>
      </c>
      <c r="U459" s="119" t="s">
        <v>2496</v>
      </c>
      <c r="V459" s="178" t="s">
        <v>336</v>
      </c>
      <c r="W459" s="179">
        <f>IF('附表1-面积统计表'!$D$29=0,"",IF(AND(V459="共同成本费用",Z459="总建筑面积法"),ROUND(T459/'附表1-面积统计表'!$D$29*'附表1-面积统计表'!$D$5,2),IF(AND(V459="共同成本费用",Z459="可售建筑面积法"),ROUND(T459/'附表1-面积统计表'!$F$29*'附表1-面积统计表'!$F$5,2),"请手工填写")))</f>
        <v>385661.32</v>
      </c>
      <c r="X459" s="179">
        <f>IF(SUM('附表1-面积统计表'!$D$6)=0,"",SUM(T459)-SUM(W459)-SUM(Y459))</f>
        <v>475626.04</v>
      </c>
      <c r="Y459" s="179">
        <f>IF(SUM('附表1-面积统计表'!$D$6)=0,SUM(T459)-SUM(W459),IF('附表1-面积统计表'!$D$29=0,"",IF(AND(V459="共同成本费用",Z459="总建筑面积法"),ROUND(T459/'附表1-面积统计表'!$D$29*'附表1-面积统计表'!$D$7,2),IF(AND(V459="共同成本费用",Z459="可售建筑面积法"),ROUND(T459/'附表1-面积统计表'!$F$29*'附表1-面积统计表'!$F$7,2),"请手工填写"))))</f>
        <v>194655.31</v>
      </c>
      <c r="Z459" s="181" t="s">
        <v>311</v>
      </c>
      <c r="AA459" s="164"/>
      <c r="AB459" s="182" t="s">
        <v>1686</v>
      </c>
    </row>
    <row r="460" ht="35.7" hidden="1" spans="1:28">
      <c r="A460" s="159">
        <v>513</v>
      </c>
      <c r="B460" s="227" t="s">
        <v>1854</v>
      </c>
      <c r="C460" s="227" t="s">
        <v>2285</v>
      </c>
      <c r="D460" s="162" t="s">
        <v>1707</v>
      </c>
      <c r="E460" s="163" t="s">
        <v>2451</v>
      </c>
      <c r="F460" s="229" t="s">
        <v>2973</v>
      </c>
      <c r="G460" s="119" t="s">
        <v>2515</v>
      </c>
      <c r="H460" s="164" t="str">
        <f>IF(G460="","",VLOOKUP(G460,'附表8-合同明细采集底稿'!B:I,2,0))</f>
        <v>4#-10#16#2#3#11#17#建筑红蓝线图及竣工测</v>
      </c>
      <c r="I460" s="92" t="str">
        <f>IF(G460="","",VLOOKUP(G460,'附表8-合同明细采集底稿'!B:I,3,0))</f>
        <v>技术合同</v>
      </c>
      <c r="J460" s="164"/>
      <c r="K460" s="164" t="s">
        <v>1711</v>
      </c>
      <c r="L460" s="227">
        <v>6500193130</v>
      </c>
      <c r="M460" s="573" t="s">
        <v>2974</v>
      </c>
      <c r="N460" s="173">
        <v>17169.81</v>
      </c>
      <c r="O460" s="173">
        <v>18200</v>
      </c>
      <c r="P460" s="174">
        <v>17169.81</v>
      </c>
      <c r="Q460" s="173"/>
      <c r="R460" s="173">
        <f t="shared" si="32"/>
        <v>17169.81</v>
      </c>
      <c r="S460" s="177">
        <f>IFERROR(VLOOKUP(G460,'附表8-合同明细采集底稿'!B:M,12,0),100%)</f>
        <v>1</v>
      </c>
      <c r="T460" s="173">
        <f t="shared" ref="T460:T469" si="34">ROUND(SUM(R460)*SUM(S460),2)</f>
        <v>17169.81</v>
      </c>
      <c r="U460" s="119" t="s">
        <v>2975</v>
      </c>
      <c r="V460" s="178" t="s">
        <v>336</v>
      </c>
      <c r="W460" s="179">
        <f>IF('附表1-面积统计表'!$D$29=0,"",IF(AND(V460="共同成本费用",Z460="总建筑面积法"),ROUND(T460/'附表1-面积统计表'!$D$29*'附表1-面积统计表'!$D$5,2),IF(AND(V460="共同成本费用",Z460="可售建筑面积法"),ROUND(T460/'附表1-面积统计表'!$F$29*'附表1-面积统计表'!$F$5,2),"请手工填写")))</f>
        <v>6270.92</v>
      </c>
      <c r="X460" s="179">
        <f>IF(SUM('附表1-面积统计表'!$D$6)=0,"",SUM(T460)-SUM(W460)-SUM(Y460))</f>
        <v>7733.76</v>
      </c>
      <c r="Y460" s="179">
        <f>IF(SUM('附表1-面积统计表'!$D$6)=0,SUM(T460)-SUM(W460),IF('附表1-面积统计表'!$D$29=0,"",IF(AND(V460="共同成本费用",Z460="总建筑面积法"),ROUND(T460/'附表1-面积统计表'!$D$29*'附表1-面积统计表'!$D$7,2),IF(AND(V460="共同成本费用",Z460="可售建筑面积法"),ROUND(T460/'附表1-面积统计表'!$F$29*'附表1-面积统计表'!$F$7,2),"请手工填写"))))</f>
        <v>3165.13</v>
      </c>
      <c r="Z460" s="181" t="s">
        <v>311</v>
      </c>
      <c r="AA460" s="164"/>
      <c r="AB460" s="182" t="s">
        <v>1686</v>
      </c>
    </row>
    <row r="461" ht="35.7" hidden="1" spans="1:28">
      <c r="A461" s="275"/>
      <c r="B461" s="227" t="s">
        <v>2976</v>
      </c>
      <c r="C461" s="227" t="s">
        <v>2977</v>
      </c>
      <c r="D461" s="162" t="s">
        <v>1707</v>
      </c>
      <c r="E461" s="163" t="s">
        <v>1708</v>
      </c>
      <c r="F461" s="229" t="s">
        <v>2978</v>
      </c>
      <c r="G461" s="276"/>
      <c r="H461" s="164" t="str">
        <f>IF(G461="","",VLOOKUP(G461,'附表8-合同明细采集底稿'!B:I,2,0))</f>
        <v/>
      </c>
      <c r="I461" s="92" t="str">
        <f>IF(G461="","",VLOOKUP(G461,'附表8-合同明细采集底稿'!B:I,3,0))</f>
        <v/>
      </c>
      <c r="J461" s="164"/>
      <c r="K461" s="164" t="s">
        <v>1711</v>
      </c>
      <c r="L461" s="267">
        <v>6500193130</v>
      </c>
      <c r="M461" s="250" t="s">
        <v>2979</v>
      </c>
      <c r="N461" s="239">
        <v>150943.4</v>
      </c>
      <c r="O461" s="277">
        <v>160000</v>
      </c>
      <c r="P461" s="240">
        <v>150943.4</v>
      </c>
      <c r="Q461" s="173">
        <f>-P461</f>
        <v>-150943.4</v>
      </c>
      <c r="R461" s="173">
        <f t="shared" si="32"/>
        <v>0</v>
      </c>
      <c r="S461" s="177">
        <f>IFERROR(VLOOKUP(G461,'附表8-合同明细采集底稿'!B:M,12,0),100%)</f>
        <v>1</v>
      </c>
      <c r="T461" s="173">
        <f t="shared" si="34"/>
        <v>0</v>
      </c>
      <c r="U461" s="119" t="s">
        <v>2594</v>
      </c>
      <c r="V461" s="276" t="s">
        <v>335</v>
      </c>
      <c r="W461" s="179">
        <v>0</v>
      </c>
      <c r="X461" s="179">
        <f>IF(SUM('附表1-面积统计表'!$D$6)=0,"",SUM(T461)-SUM(W461)-SUM(Y461))</f>
        <v>0</v>
      </c>
      <c r="Y461" s="179">
        <f>T461</f>
        <v>0</v>
      </c>
      <c r="Z461" s="181" t="s">
        <v>2492</v>
      </c>
      <c r="AA461" s="164"/>
      <c r="AB461" s="182" t="s">
        <v>1686</v>
      </c>
    </row>
    <row r="462" ht="30.05" hidden="1" spans="1:28">
      <c r="A462" s="275"/>
      <c r="B462" s="227" t="s">
        <v>2980</v>
      </c>
      <c r="C462" s="231" t="s">
        <v>2485</v>
      </c>
      <c r="D462" s="162" t="s">
        <v>2488</v>
      </c>
      <c r="E462" s="163" t="s">
        <v>2489</v>
      </c>
      <c r="F462" s="229" t="s">
        <v>2981</v>
      </c>
      <c r="G462" s="119" t="s">
        <v>2581</v>
      </c>
      <c r="H462" s="164" t="str">
        <f>IF(G462="","",VLOOKUP(G462,'附表8-合同明细采集底稿'!B:I,2,0))</f>
        <v>4-11、16、17#楼电梯安装</v>
      </c>
      <c r="I462" s="92" t="str">
        <f>IF(G462="","",VLOOKUP(G462,'附表8-合同明细采集底稿'!B:I,3,0))</f>
        <v>买卖合同</v>
      </c>
      <c r="J462" s="164"/>
      <c r="K462" s="164" t="s">
        <v>1685</v>
      </c>
      <c r="L462" s="267"/>
      <c r="M462" s="250"/>
      <c r="N462" s="239">
        <v>884955.752212389</v>
      </c>
      <c r="O462" s="277">
        <v>1000000</v>
      </c>
      <c r="P462" s="240">
        <f>1000000/1.13</f>
        <v>884955.752212389</v>
      </c>
      <c r="Q462" s="173"/>
      <c r="R462" s="173">
        <f t="shared" si="32"/>
        <v>884955.752212389</v>
      </c>
      <c r="S462" s="177">
        <f>IFERROR(VLOOKUP(G462,'附表8-合同明细采集底稿'!B:M,12,0),100%)</f>
        <v>1</v>
      </c>
      <c r="T462" s="173">
        <f t="shared" si="34"/>
        <v>884955.75</v>
      </c>
      <c r="U462" s="119" t="s">
        <v>2509</v>
      </c>
      <c r="V462" s="178" t="s">
        <v>335</v>
      </c>
      <c r="W462" s="179">
        <f>ROUND(T462*成本分摊比例!$I$53,2)</f>
        <v>350619.47</v>
      </c>
      <c r="X462" s="179">
        <f>IF(SUM('附表1-面积统计表'!$D$6)=0,"",SUM(T462)-SUM(W462)-SUM(Y462))</f>
        <v>432389.38</v>
      </c>
      <c r="Y462" s="179">
        <f>ROUND(T462*成本分摊比例!$K$53,2)</f>
        <v>101946.9</v>
      </c>
      <c r="Z462" s="181" t="s">
        <v>2492</v>
      </c>
      <c r="AA462" s="164"/>
      <c r="AB462" s="182" t="s">
        <v>1686</v>
      </c>
    </row>
    <row r="463" ht="30.05" hidden="1" spans="1:28">
      <c r="A463" s="275"/>
      <c r="B463" s="227" t="s">
        <v>2980</v>
      </c>
      <c r="C463" s="231" t="s">
        <v>2485</v>
      </c>
      <c r="D463" s="162" t="s">
        <v>2488</v>
      </c>
      <c r="E463" s="163" t="s">
        <v>2489</v>
      </c>
      <c r="F463" s="229" t="s">
        <v>2981</v>
      </c>
      <c r="G463" s="119" t="s">
        <v>2588</v>
      </c>
      <c r="H463" s="164" t="str">
        <f>IF(G463="","",VLOOKUP(G463,'附表8-合同明细采集底稿'!B:I,2,0))</f>
        <v>沁春锦苑4#-11#、16#17#楼防火门防盗门</v>
      </c>
      <c r="I463" s="92" t="str">
        <f>IF(G463="","",VLOOKUP(G463,'附表8-合同明细采集底稿'!B:I,3,0))</f>
        <v>买卖合同</v>
      </c>
      <c r="J463" s="164"/>
      <c r="K463" s="164" t="s">
        <v>1685</v>
      </c>
      <c r="L463" s="267"/>
      <c r="M463" s="250"/>
      <c r="N463" s="239">
        <v>442477.876106195</v>
      </c>
      <c r="O463" s="277">
        <v>500000</v>
      </c>
      <c r="P463" s="240">
        <f>500000/1.13</f>
        <v>442477.876106195</v>
      </c>
      <c r="Q463" s="180">
        <f>-P463</f>
        <v>-442477.876106195</v>
      </c>
      <c r="R463" s="173">
        <f t="shared" si="32"/>
        <v>0</v>
      </c>
      <c r="S463" s="177">
        <f>IFERROR(VLOOKUP(G463,'附表8-合同明细采集底稿'!B:M,12,0),100%)</f>
        <v>1</v>
      </c>
      <c r="T463" s="173">
        <f t="shared" si="34"/>
        <v>0</v>
      </c>
      <c r="U463" s="119" t="s">
        <v>2509</v>
      </c>
      <c r="V463" s="178" t="s">
        <v>335</v>
      </c>
      <c r="W463" s="179">
        <f>ROUND(T463*成本分摊比例!$I$53,2)</f>
        <v>0</v>
      </c>
      <c r="X463" s="179">
        <f>IF(SUM('附表1-面积统计表'!$D$6)=0,"",SUM(T463)-SUM(W463)-SUM(Y463))</f>
        <v>0</v>
      </c>
      <c r="Y463" s="179">
        <f>ROUND(T463*成本分摊比例!$K$53,2)</f>
        <v>0</v>
      </c>
      <c r="Z463" s="181" t="s">
        <v>2492</v>
      </c>
      <c r="AA463" s="164"/>
      <c r="AB463" s="182" t="s">
        <v>1686</v>
      </c>
    </row>
    <row r="464" ht="30.05" hidden="1" spans="1:28">
      <c r="A464" s="275"/>
      <c r="B464" s="227" t="s">
        <v>2980</v>
      </c>
      <c r="C464" s="231" t="s">
        <v>2485</v>
      </c>
      <c r="D464" s="162" t="s">
        <v>1739</v>
      </c>
      <c r="E464" s="163" t="s">
        <v>1745</v>
      </c>
      <c r="F464" s="229" t="s">
        <v>2981</v>
      </c>
      <c r="G464" s="119" t="s">
        <v>2771</v>
      </c>
      <c r="H464" s="164" t="str">
        <f>IF(G464="","",VLOOKUP(G464,'附表8-合同明细采集底稿'!B:I,2,0))</f>
        <v>4-11、16、17#楼31#楼景观绿化（住宅）</v>
      </c>
      <c r="I464" s="92" t="str">
        <f>IF(G464="","",VLOOKUP(G464,'附表8-合同明细采集底稿'!B:I,3,0))</f>
        <v>建设工程合同</v>
      </c>
      <c r="J464" s="164"/>
      <c r="K464" s="164" t="s">
        <v>1685</v>
      </c>
      <c r="L464" s="267"/>
      <c r="M464" s="250"/>
      <c r="N464" s="239">
        <v>963269.57</v>
      </c>
      <c r="O464" s="277">
        <v>1200000</v>
      </c>
      <c r="P464" s="240">
        <v>963269.57</v>
      </c>
      <c r="Q464" s="173"/>
      <c r="R464" s="173">
        <f t="shared" si="32"/>
        <v>963269.57</v>
      </c>
      <c r="S464" s="177">
        <f>IFERROR(VLOOKUP(G464,'附表8-合同明细采集底稿'!B:M,12,0),100%)</f>
        <v>1</v>
      </c>
      <c r="T464" s="173">
        <f t="shared" si="34"/>
        <v>963269.57</v>
      </c>
      <c r="U464" s="119" t="s">
        <v>2496</v>
      </c>
      <c r="V464" s="178" t="s">
        <v>336</v>
      </c>
      <c r="W464" s="179">
        <f>IF('附表1-面积统计表'!$D$29=0,"",IF(AND(V464="共同成本费用",Z464="总建筑面积法"),ROUND(T464/'附表1-面积统计表'!$D$29*'附表1-面积统计表'!$D$5,2),IF(AND(V464="共同成本费用",Z464="可售建筑面积法"),ROUND(T464/'附表1-面积统计表'!$F$29*'附表1-面积统计表'!$F$5,2),"请手工填写")))</f>
        <v>351814.38</v>
      </c>
      <c r="X464" s="179">
        <f>IF(SUM('附表1-面积统计表'!$D$6)=0,"",SUM(T464)-SUM(W464)-SUM(Y464))</f>
        <v>433883.49</v>
      </c>
      <c r="Y464" s="179">
        <f>IF(SUM('附表1-面积统计表'!$D$6)=0,SUM(T464)-SUM(W464),IF('附表1-面积统计表'!$D$29=0,"",IF(AND(V464="共同成本费用",Z464="总建筑面积法"),ROUND(T464/'附表1-面积统计表'!$D$29*'附表1-面积统计表'!$D$7,2),IF(AND(V464="共同成本费用",Z464="可售建筑面积法"),ROUND(T464/'附表1-面积统计表'!$F$29*'附表1-面积统计表'!$F$7,2),"请手工填写"))))</f>
        <v>177571.7</v>
      </c>
      <c r="Z464" s="181" t="s">
        <v>311</v>
      </c>
      <c r="AA464" s="164"/>
      <c r="AB464" s="182" t="s">
        <v>1686</v>
      </c>
    </row>
    <row r="465" ht="30.05" hidden="1" spans="1:28">
      <c r="A465" s="275"/>
      <c r="B465" s="227" t="s">
        <v>2980</v>
      </c>
      <c r="C465" s="231" t="s">
        <v>2485</v>
      </c>
      <c r="D465" s="162" t="s">
        <v>1739</v>
      </c>
      <c r="E465" s="163" t="s">
        <v>1772</v>
      </c>
      <c r="F465" s="229" t="s">
        <v>2981</v>
      </c>
      <c r="G465" s="119" t="s">
        <v>2730</v>
      </c>
      <c r="H465" s="164" t="str">
        <f>IF(G465="","",VLOOKUP(G465,'附表8-合同明细采集底稿'!B:I,2,0))</f>
        <v>沁春锦苑4-11#16#17#楼31#楼园林景观、道路及停车位、铺装、景观照明工程</v>
      </c>
      <c r="I465" s="92" t="str">
        <f>IF(G465="","",VLOOKUP(G465,'附表8-合同明细采集底稿'!B:I,3,0))</f>
        <v>建设工程合同</v>
      </c>
      <c r="J465" s="164"/>
      <c r="K465" s="164" t="s">
        <v>1685</v>
      </c>
      <c r="L465" s="267"/>
      <c r="M465" s="250"/>
      <c r="N465" s="239">
        <v>1374593.53</v>
      </c>
      <c r="O465" s="277">
        <v>1600000</v>
      </c>
      <c r="P465" s="240">
        <v>1374593.53</v>
      </c>
      <c r="Q465" s="173"/>
      <c r="R465" s="173">
        <f t="shared" si="32"/>
        <v>1374593.53</v>
      </c>
      <c r="S465" s="177">
        <f>IFERROR(VLOOKUP(G465,'附表8-合同明细采集底稿'!B:M,12,0),100%)</f>
        <v>1</v>
      </c>
      <c r="T465" s="173">
        <f t="shared" si="34"/>
        <v>1374593.53</v>
      </c>
      <c r="U465" s="119" t="s">
        <v>2496</v>
      </c>
      <c r="V465" s="178" t="s">
        <v>336</v>
      </c>
      <c r="W465" s="179">
        <f>IF('附表1-面积统计表'!$D$29=0,"",IF(AND(V465="共同成本费用",Z465="总建筑面积法"),ROUND(T465/'附表1-面积统计表'!$D$29*'附表1-面积统计表'!$D$5,2),IF(AND(V465="共同成本费用",Z465="可售建筑面积法"),ROUND(T465/'附表1-面积统计表'!$F$29*'附表1-面积统计表'!$F$5,2),"请手工填写")))</f>
        <v>502041.99</v>
      </c>
      <c r="X465" s="179">
        <f>IF(SUM('附表1-面积统计表'!$D$6)=0,"",SUM(T465)-SUM(W465)-SUM(Y465))</f>
        <v>619155.28</v>
      </c>
      <c r="Y465" s="179">
        <f>IF(SUM('附表1-面积统计表'!$D$6)=0,SUM(T465)-SUM(W465),IF('附表1-面积统计表'!$D$29=0,"",IF(AND(V465="共同成本费用",Z465="总建筑面积法"),ROUND(T465/'附表1-面积统计表'!$D$29*'附表1-面积统计表'!$D$7,2),IF(AND(V465="共同成本费用",Z465="可售建筑面积法"),ROUND(T465/'附表1-面积统计表'!$F$29*'附表1-面积统计表'!$F$7,2),"请手工填写"))))</f>
        <v>253396.26</v>
      </c>
      <c r="Z465" s="181" t="s">
        <v>311</v>
      </c>
      <c r="AA465" s="164"/>
      <c r="AB465" s="182" t="s">
        <v>1686</v>
      </c>
    </row>
    <row r="466" ht="30.05" hidden="1" spans="1:28">
      <c r="A466" s="275"/>
      <c r="B466" s="227" t="s">
        <v>2980</v>
      </c>
      <c r="C466" s="231" t="s">
        <v>2485</v>
      </c>
      <c r="D466" s="162" t="s">
        <v>2488</v>
      </c>
      <c r="E466" s="163" t="s">
        <v>2489</v>
      </c>
      <c r="F466" s="229" t="s">
        <v>2981</v>
      </c>
      <c r="G466" s="119" t="s">
        <v>2537</v>
      </c>
      <c r="H466" s="164" t="str">
        <f>IF(G466="","",VLOOKUP(G466,'附表8-合同明细采集底稿'!B:I,2,0))</f>
        <v>沁春锦苑4#-11#、16.17.住宅楼，2#3#36#商业楼建设工程施工合同（4-11/16/17#）</v>
      </c>
      <c r="I466" s="92" t="str">
        <f>IF(G466="","",VLOOKUP(G466,'附表8-合同明细采集底稿'!B:I,3,0))</f>
        <v>建设工程合同</v>
      </c>
      <c r="J466" s="164"/>
      <c r="K466" s="164" t="s">
        <v>1685</v>
      </c>
      <c r="L466" s="267"/>
      <c r="M466" s="250"/>
      <c r="N466" s="239">
        <v>4983547.85</v>
      </c>
      <c r="O466" s="277">
        <v>3340000</v>
      </c>
      <c r="P466" s="240">
        <v>4983547.85</v>
      </c>
      <c r="Q466" s="173"/>
      <c r="R466" s="173">
        <f t="shared" si="32"/>
        <v>4983547.85</v>
      </c>
      <c r="S466" s="177">
        <f>IFERROR(VLOOKUP(G466,'附表8-合同明细采集底稿'!B:M,12,0),100%)</f>
        <v>1</v>
      </c>
      <c r="T466" s="173">
        <f t="shared" si="34"/>
        <v>4983547.85</v>
      </c>
      <c r="U466" s="119" t="s">
        <v>2509</v>
      </c>
      <c r="V466" s="178" t="s">
        <v>335</v>
      </c>
      <c r="W466" s="179">
        <f>ROUND(T466*成本分摊比例!$I$53,2)</f>
        <v>1974481.66</v>
      </c>
      <c r="X466" s="179">
        <f>IF(SUM('附表1-面积统计表'!$D$6)=0,"",SUM(T466)-SUM(W466)-SUM(Y466))</f>
        <v>2434961.48</v>
      </c>
      <c r="Y466" s="179">
        <f>ROUND(T466*成本分摊比例!$K$53,2)</f>
        <v>574104.71</v>
      </c>
      <c r="Z466" s="181" t="s">
        <v>2492</v>
      </c>
      <c r="AA466" s="164"/>
      <c r="AB466" s="182" t="s">
        <v>1686</v>
      </c>
    </row>
    <row r="467" ht="23.8" hidden="1" spans="2:28">
      <c r="B467" s="227" t="s">
        <v>2982</v>
      </c>
      <c r="C467" s="231" t="s">
        <v>2983</v>
      </c>
      <c r="D467" s="162" t="s">
        <v>1707</v>
      </c>
      <c r="E467" s="163" t="s">
        <v>2451</v>
      </c>
      <c r="F467" s="229"/>
      <c r="G467" s="119"/>
      <c r="H467" s="164" t="str">
        <f>IF(G467="","",VLOOKUP(G467,'附表8-合同明细采集底稿'!B:I,2,0))</f>
        <v/>
      </c>
      <c r="I467" s="92" t="str">
        <f>IF(G467="","",VLOOKUP(G467,'附表8-合同明细采集底稿'!B:I,3,0))</f>
        <v/>
      </c>
      <c r="J467" s="164"/>
      <c r="K467" s="164" t="s">
        <v>1685</v>
      </c>
      <c r="L467" s="267"/>
      <c r="M467" s="250"/>
      <c r="N467" s="252">
        <v>187073.37</v>
      </c>
      <c r="O467" s="277"/>
      <c r="P467" s="270">
        <v>187073.37</v>
      </c>
      <c r="Q467" s="173"/>
      <c r="R467" s="173">
        <f t="shared" si="32"/>
        <v>187073.37</v>
      </c>
      <c r="S467" s="177">
        <f>IFERROR(VLOOKUP(G467,'附表8-合同明细采集底稿'!B:M,12,0),100%)</f>
        <v>1</v>
      </c>
      <c r="T467" s="173">
        <f t="shared" si="34"/>
        <v>187073.37</v>
      </c>
      <c r="U467" s="119" t="s">
        <v>2496</v>
      </c>
      <c r="V467" s="178" t="s">
        <v>336</v>
      </c>
      <c r="W467" s="179">
        <f>IF('附表1-面积统计表'!$D$29=0,"",IF(AND(V467="共同成本费用",Z467="总建筑面积法"),ROUND(T467/'附表1-面积统计表'!$D$29*'附表1-面积统计表'!$D$5,2),IF(AND(V467="共同成本费用",Z467="可售建筑面积法"),ROUND(T467/'附表1-面积统计表'!$F$29*'附表1-面积统计表'!$F$5,2),"请手工填写")))</f>
        <v>68324.7</v>
      </c>
      <c r="X467" s="179">
        <f>IF(SUM('附表1-面积统计表'!$D$6)=0,"",SUM(T467)-SUM(W467)-SUM(Y467))</f>
        <v>84263.06</v>
      </c>
      <c r="Y467" s="179">
        <f>IF(SUM('附表1-面积统计表'!$D$6)=0,SUM(T467)-SUM(W467),IF('附表1-面积统计表'!$D$29=0,"",IF(AND(V467="共同成本费用",Z467="总建筑面积法"),ROUND(T467/'附表1-面积统计表'!$D$29*'附表1-面积统计表'!$D$7,2),IF(AND(V467="共同成本费用",Z467="可售建筑面积法"),ROUND(T467/'附表1-面积统计表'!$F$29*'附表1-面积统计表'!$F$7,2),"请手工填写"))))</f>
        <v>34485.61</v>
      </c>
      <c r="Z467" s="181" t="s">
        <v>311</v>
      </c>
      <c r="AA467" s="164"/>
      <c r="AB467" s="182" t="s">
        <v>1686</v>
      </c>
    </row>
    <row r="468" ht="30.05" hidden="1" spans="2:28">
      <c r="B468" s="227" t="s">
        <v>2982</v>
      </c>
      <c r="C468" s="231" t="s">
        <v>2983</v>
      </c>
      <c r="D468" s="162" t="s">
        <v>1700</v>
      </c>
      <c r="E468" s="163" t="s">
        <v>1928</v>
      </c>
      <c r="F468" s="229"/>
      <c r="G468" s="91" t="s">
        <v>2125</v>
      </c>
      <c r="H468" s="164" t="str">
        <f>IF(G468="","",VLOOKUP(G468,'附表8-合同明细采集底稿'!B:I,2,0))</f>
        <v>沁春锦苑18#、21#、22#楼、37#社区、地下车库及人防部分建设工程（37#社区）</v>
      </c>
      <c r="I468" s="92" t="str">
        <f>IF(G468="","",VLOOKUP(G468,'附表8-合同明细采集底稿'!B:I,3,0))</f>
        <v>建设工程合同</v>
      </c>
      <c r="J468" s="164"/>
      <c r="K468" s="164" t="s">
        <v>1685</v>
      </c>
      <c r="L468" s="267"/>
      <c r="M468" s="250" t="s">
        <v>2984</v>
      </c>
      <c r="N468" s="252">
        <v>1319491.68</v>
      </c>
      <c r="O468" s="277"/>
      <c r="P468" s="252">
        <v>1319491.68</v>
      </c>
      <c r="Q468" s="173"/>
      <c r="R468" s="173">
        <f t="shared" si="32"/>
        <v>1319491.68</v>
      </c>
      <c r="S468" s="177">
        <f>IFERROR(VLOOKUP(G468,'附表8-合同明细采集底稿'!B:M,12,0),100%)</f>
        <v>0.329519901724361</v>
      </c>
      <c r="T468" s="173">
        <f t="shared" si="34"/>
        <v>434798.77</v>
      </c>
      <c r="U468" s="119" t="s">
        <v>2496</v>
      </c>
      <c r="V468" s="178" t="s">
        <v>336</v>
      </c>
      <c r="W468" s="179">
        <f>IF('附表1-面积统计表'!$D$29=0,"",IF(AND(V468="共同成本费用",Z468="总建筑面积法"),ROUND(T468/'附表1-面积统计表'!$D$29*'附表1-面积统计表'!$D$5,2),IF(AND(V468="共同成本费用",Z468="可售建筑面积法"),ROUND(T468/'附表1-面积统计表'!$F$29*'附表1-面积统计表'!$F$5,2),"请手工填写")))</f>
        <v>158801.3</v>
      </c>
      <c r="X468" s="179">
        <f>IF(SUM('附表1-面积统计表'!$D$6)=0,"",SUM(T468)-SUM(W468)-SUM(Y468))</f>
        <v>195845.5</v>
      </c>
      <c r="Y468" s="179">
        <f>IF(SUM('附表1-面积统计表'!$D$6)=0,SUM(T468)-SUM(W468),IF('附表1-面积统计表'!$D$29=0,"",IF(AND(V468="共同成本费用",Z468="总建筑面积法"),ROUND(T468/'附表1-面积统计表'!$D$29*'附表1-面积统计表'!$D$7,2),IF(AND(V468="共同成本费用",Z468="可售建筑面积法"),ROUND(T468/'附表1-面积统计表'!$F$29*'附表1-面积统计表'!$F$7,2),"请手工填写"))))</f>
        <v>80151.97</v>
      </c>
      <c r="Z468" s="181" t="s">
        <v>311</v>
      </c>
      <c r="AA468" s="164"/>
      <c r="AB468" s="182" t="s">
        <v>1686</v>
      </c>
    </row>
    <row r="469" ht="23.8" hidden="1" spans="2:28">
      <c r="B469" s="227"/>
      <c r="C469" s="231"/>
      <c r="D469" s="162" t="s">
        <v>1700</v>
      </c>
      <c r="E469" s="163"/>
      <c r="F469" s="229"/>
      <c r="G469" s="119"/>
      <c r="H469" s="164" t="str">
        <f>IF(G469="","",VLOOKUP(G469,'附表8-合同明细采集底稿'!B:I,2,0))</f>
        <v/>
      </c>
      <c r="I469" s="92" t="str">
        <f>IF(G469="","",VLOOKUP(G469,'附表8-合同明细采集底稿'!B:I,3,0))</f>
        <v/>
      </c>
      <c r="J469" s="164"/>
      <c r="K469" s="164" t="s">
        <v>1685</v>
      </c>
      <c r="L469" s="267"/>
      <c r="M469" s="250"/>
      <c r="N469" s="252">
        <v>528440.37</v>
      </c>
      <c r="O469" s="277">
        <v>576000</v>
      </c>
      <c r="P469" s="270">
        <v>528440.37</v>
      </c>
      <c r="Q469" s="173"/>
      <c r="R469" s="173">
        <f t="shared" si="32"/>
        <v>528440.37</v>
      </c>
      <c r="S469" s="177">
        <f>IFERROR(VLOOKUP(G469,'附表8-合同明细采集底稿'!B:M,12,0),100%)</f>
        <v>1</v>
      </c>
      <c r="T469" s="173">
        <f t="shared" si="34"/>
        <v>528440.37</v>
      </c>
      <c r="U469" s="119" t="s">
        <v>2496</v>
      </c>
      <c r="V469" s="178" t="s">
        <v>336</v>
      </c>
      <c r="W469" s="179">
        <f>IF('附表1-面积统计表'!$D$29=0,"",IF(AND(V469="共同成本费用",Z469="总建筑面积法"),ROUND(T469/'附表1-面积统计表'!$D$29*'附表1-面积统计表'!$D$5,2),IF(AND(V469="共同成本费用",Z469="可售建筑面积法"),ROUND(T469/'附表1-面积统计表'!$F$29*'附表1-面积统计表'!$F$5,2),"请手工填写")))</f>
        <v>193001.97</v>
      </c>
      <c r="X469" s="179">
        <f>IF(SUM('附表1-面积统计表'!$D$6)=0,"",SUM(T469)-SUM(W469)-SUM(Y469))</f>
        <v>238024.28</v>
      </c>
      <c r="Y469" s="179">
        <f>IF(SUM('附表1-面积统计表'!$D$6)=0,SUM(T469)-SUM(W469),IF('附表1-面积统计表'!$D$29=0,"",IF(AND(V469="共同成本费用",Z469="总建筑面积法"),ROUND(T469/'附表1-面积统计表'!$D$29*'附表1-面积统计表'!$D$7,2),IF(AND(V469="共同成本费用",Z469="可售建筑面积法"),ROUND(T469/'附表1-面积统计表'!$F$29*'附表1-面积统计表'!$F$7,2),"请手工填写"))))</f>
        <v>97414.12</v>
      </c>
      <c r="Z469" s="181" t="s">
        <v>311</v>
      </c>
      <c r="AA469" s="164"/>
      <c r="AB469" s="182" t="s">
        <v>1686</v>
      </c>
    </row>
    <row r="470" spans="14:16">
      <c r="N470" s="252"/>
      <c r="P470" s="270"/>
    </row>
  </sheetData>
  <autoFilter xmlns:etc="http://www.wps.cn/officeDocument/2017/etCustomData" ref="A6:XEK469" etc:filterBottomFollowUsedRange="0">
    <filterColumn colId="6">
      <customFilters>
        <customFilter operator="equal" val="JC-LS-03"/>
      </customFilters>
    </filterColumn>
    <extLst/>
  </autoFilter>
  <mergeCells count="2">
    <mergeCell ref="A1:AB1"/>
    <mergeCell ref="A2:AB2"/>
  </mergeCells>
  <conditionalFormatting sqref="M244">
    <cfRule type="duplicateValues" dxfId="0" priority="90"/>
  </conditionalFormatting>
  <conditionalFormatting sqref="M245">
    <cfRule type="duplicateValues" dxfId="0" priority="92"/>
  </conditionalFormatting>
  <conditionalFormatting sqref="M246">
    <cfRule type="duplicateValues" dxfId="0" priority="85"/>
  </conditionalFormatting>
  <conditionalFormatting sqref="M247">
    <cfRule type="duplicateValues" dxfId="0" priority="91"/>
  </conditionalFormatting>
  <conditionalFormatting sqref="M248">
    <cfRule type="duplicateValues" dxfId="0" priority="88"/>
  </conditionalFormatting>
  <conditionalFormatting sqref="M249">
    <cfRule type="duplicateValues" dxfId="0" priority="87"/>
  </conditionalFormatting>
  <conditionalFormatting sqref="M250">
    <cfRule type="duplicateValues" dxfId="0" priority="86"/>
  </conditionalFormatting>
  <conditionalFormatting sqref="M251">
    <cfRule type="duplicateValues" dxfId="0" priority="89"/>
  </conditionalFormatting>
  <conditionalFormatting sqref="G268">
    <cfRule type="duplicateValues" dxfId="0" priority="60"/>
  </conditionalFormatting>
  <conditionalFormatting sqref="G277">
    <cfRule type="duplicateValues" dxfId="0" priority="59"/>
  </conditionalFormatting>
  <conditionalFormatting sqref="M304">
    <cfRule type="duplicateValues" dxfId="0" priority="106"/>
  </conditionalFormatting>
  <conditionalFormatting sqref="M307">
    <cfRule type="duplicateValues" dxfId="0" priority="104"/>
  </conditionalFormatting>
  <conditionalFormatting sqref="M310">
    <cfRule type="duplicateValues" dxfId="0" priority="136"/>
  </conditionalFormatting>
  <conditionalFormatting sqref="M323">
    <cfRule type="duplicateValues" dxfId="0" priority="103"/>
  </conditionalFormatting>
  <conditionalFormatting sqref="G332">
    <cfRule type="duplicateValues" dxfId="0" priority="61"/>
  </conditionalFormatting>
  <conditionalFormatting sqref="M333">
    <cfRule type="duplicateValues" dxfId="0" priority="105"/>
  </conditionalFormatting>
  <conditionalFormatting sqref="M335">
    <cfRule type="duplicateValues" dxfId="0" priority="117"/>
  </conditionalFormatting>
  <conditionalFormatting sqref="G343">
    <cfRule type="duplicateValues" dxfId="0" priority="99"/>
  </conditionalFormatting>
  <conditionalFormatting sqref="G344">
    <cfRule type="duplicateValues" dxfId="0" priority="58"/>
  </conditionalFormatting>
  <conditionalFormatting sqref="G345">
    <cfRule type="duplicateValues" dxfId="0" priority="97"/>
  </conditionalFormatting>
  <conditionalFormatting sqref="G346">
    <cfRule type="duplicateValues" dxfId="0" priority="96"/>
  </conditionalFormatting>
  <conditionalFormatting sqref="M351">
    <cfRule type="duplicateValues" dxfId="0" priority="135"/>
  </conditionalFormatting>
  <conditionalFormatting sqref="M352">
    <cfRule type="duplicateValues" dxfId="0" priority="134"/>
  </conditionalFormatting>
  <conditionalFormatting sqref="G360">
    <cfRule type="duplicateValues" dxfId="0" priority="63"/>
  </conditionalFormatting>
  <conditionalFormatting sqref="G373">
    <cfRule type="duplicateValues" dxfId="0" priority="62"/>
  </conditionalFormatting>
  <conditionalFormatting sqref="M386">
    <cfRule type="duplicateValues" dxfId="0" priority="132"/>
  </conditionalFormatting>
  <conditionalFormatting sqref="M387">
    <cfRule type="duplicateValues" dxfId="0" priority="123"/>
  </conditionalFormatting>
  <conditionalFormatting sqref="M388">
    <cfRule type="duplicateValues" dxfId="0" priority="131"/>
  </conditionalFormatting>
  <conditionalFormatting sqref="M389">
    <cfRule type="duplicateValues" dxfId="0" priority="125"/>
  </conditionalFormatting>
  <conditionalFormatting sqref="M390">
    <cfRule type="duplicateValues" dxfId="0" priority="118"/>
  </conditionalFormatting>
  <conditionalFormatting sqref="M391">
    <cfRule type="duplicateValues" dxfId="0" priority="124"/>
  </conditionalFormatting>
  <conditionalFormatting sqref="M392">
    <cfRule type="duplicateValues" dxfId="0" priority="115"/>
  </conditionalFormatting>
  <conditionalFormatting sqref="M393">
    <cfRule type="duplicateValues" dxfId="0" priority="110"/>
  </conditionalFormatting>
  <conditionalFormatting sqref="M394">
    <cfRule type="duplicateValues" dxfId="0" priority="108"/>
  </conditionalFormatting>
  <conditionalFormatting sqref="M395">
    <cfRule type="duplicateValues" dxfId="0" priority="107"/>
  </conditionalFormatting>
  <conditionalFormatting sqref="M397">
    <cfRule type="duplicateValues" dxfId="0" priority="116"/>
  </conditionalFormatting>
  <conditionalFormatting sqref="M405">
    <cfRule type="duplicateValues" dxfId="0" priority="82"/>
  </conditionalFormatting>
  <conditionalFormatting sqref="M406">
    <cfRule type="duplicateValues" dxfId="0" priority="80"/>
  </conditionalFormatting>
  <conditionalFormatting sqref="G407">
    <cfRule type="duplicateValues" dxfId="0" priority="78"/>
  </conditionalFormatting>
  <conditionalFormatting sqref="M407">
    <cfRule type="duplicateValues" dxfId="0" priority="75"/>
  </conditionalFormatting>
  <conditionalFormatting sqref="G408">
    <cfRule type="duplicateValues" dxfId="0" priority="77"/>
  </conditionalFormatting>
  <conditionalFormatting sqref="M408">
    <cfRule type="duplicateValues" dxfId="0" priority="74"/>
  </conditionalFormatting>
  <conditionalFormatting sqref="G409">
    <cfRule type="duplicateValues" dxfId="0" priority="76"/>
  </conditionalFormatting>
  <conditionalFormatting sqref="M409">
    <cfRule type="duplicateValues" dxfId="0" priority="73"/>
  </conditionalFormatting>
  <conditionalFormatting sqref="G410">
    <cfRule type="duplicateValues" dxfId="0" priority="72"/>
  </conditionalFormatting>
  <conditionalFormatting sqref="G411">
    <cfRule type="duplicateValues" dxfId="0" priority="68"/>
  </conditionalFormatting>
  <conditionalFormatting sqref="G412">
    <cfRule type="duplicateValues" dxfId="0" priority="70"/>
  </conditionalFormatting>
  <conditionalFormatting sqref="L412">
    <cfRule type="duplicateValues" dxfId="0" priority="15"/>
  </conditionalFormatting>
  <conditionalFormatting sqref="G414">
    <cfRule type="duplicateValues" dxfId="0" priority="69"/>
  </conditionalFormatting>
  <conditionalFormatting sqref="G415">
    <cfRule type="duplicateValues" dxfId="0" priority="67"/>
  </conditionalFormatting>
  <conditionalFormatting sqref="M415">
    <cfRule type="duplicateValues" dxfId="0" priority="64"/>
  </conditionalFormatting>
  <conditionalFormatting sqref="G416">
    <cfRule type="duplicateValues" dxfId="0" priority="71"/>
  </conditionalFormatting>
  <conditionalFormatting sqref="M416">
    <cfRule type="duplicateValues" dxfId="0" priority="65"/>
  </conditionalFormatting>
  <conditionalFormatting sqref="G419">
    <cfRule type="duplicateValues" dxfId="0" priority="95"/>
  </conditionalFormatting>
  <conditionalFormatting sqref="G426">
    <cfRule type="duplicateValues" dxfId="0" priority="52"/>
  </conditionalFormatting>
  <conditionalFormatting sqref="G427">
    <cfRule type="duplicateValues" dxfId="0" priority="51"/>
  </conditionalFormatting>
  <conditionalFormatting sqref="G460">
    <cfRule type="duplicateValues" dxfId="0" priority="57"/>
  </conditionalFormatting>
  <conditionalFormatting sqref="L460">
    <cfRule type="duplicateValues" dxfId="0" priority="55"/>
  </conditionalFormatting>
  <conditionalFormatting sqref="M460">
    <cfRule type="duplicateValues" dxfId="0" priority="56"/>
  </conditionalFormatting>
  <conditionalFormatting sqref="L461">
    <cfRule type="duplicateValues" dxfId="0" priority="54"/>
  </conditionalFormatting>
  <conditionalFormatting sqref="M461">
    <cfRule type="duplicateValues" dxfId="0" priority="53"/>
  </conditionalFormatting>
  <conditionalFormatting sqref="G462">
    <cfRule type="duplicateValues" dxfId="0" priority="36"/>
  </conditionalFormatting>
  <conditionalFormatting sqref="L462">
    <cfRule type="duplicateValues" dxfId="0" priority="48"/>
  </conditionalFormatting>
  <conditionalFormatting sqref="M462">
    <cfRule type="duplicateValues" dxfId="0" priority="42"/>
  </conditionalFormatting>
  <conditionalFormatting sqref="G463">
    <cfRule type="duplicateValues" dxfId="0" priority="35"/>
  </conditionalFormatting>
  <conditionalFormatting sqref="L463">
    <cfRule type="duplicateValues" dxfId="0" priority="46"/>
  </conditionalFormatting>
  <conditionalFormatting sqref="M463">
    <cfRule type="duplicateValues" dxfId="0" priority="40"/>
  </conditionalFormatting>
  <conditionalFormatting sqref="G464">
    <cfRule type="duplicateValues" dxfId="0" priority="14"/>
  </conditionalFormatting>
  <conditionalFormatting sqref="L464">
    <cfRule type="duplicateValues" dxfId="0" priority="45"/>
  </conditionalFormatting>
  <conditionalFormatting sqref="M464">
    <cfRule type="duplicateValues" dxfId="0" priority="39"/>
  </conditionalFormatting>
  <conditionalFormatting sqref="L465">
    <cfRule type="duplicateValues" dxfId="0" priority="44"/>
  </conditionalFormatting>
  <conditionalFormatting sqref="M465">
    <cfRule type="duplicateValues" dxfId="0" priority="38"/>
  </conditionalFormatting>
  <conditionalFormatting sqref="L466">
    <cfRule type="duplicateValues" dxfId="0" priority="43"/>
  </conditionalFormatting>
  <conditionalFormatting sqref="M466">
    <cfRule type="duplicateValues" dxfId="0" priority="37"/>
  </conditionalFormatting>
  <conditionalFormatting sqref="G467">
    <cfRule type="duplicateValues" dxfId="0" priority="11"/>
  </conditionalFormatting>
  <conditionalFormatting sqref="L467">
    <cfRule type="duplicateValues" dxfId="0" priority="13"/>
  </conditionalFormatting>
  <conditionalFormatting sqref="M467">
    <cfRule type="duplicateValues" dxfId="0" priority="12"/>
  </conditionalFormatting>
  <conditionalFormatting sqref="G468">
    <cfRule type="duplicateValues" dxfId="0" priority="1"/>
  </conditionalFormatting>
  <conditionalFormatting sqref="L468">
    <cfRule type="duplicateValues" dxfId="0" priority="4"/>
  </conditionalFormatting>
  <conditionalFormatting sqref="M468">
    <cfRule type="duplicateValues" dxfId="0" priority="3"/>
  </conditionalFormatting>
  <conditionalFormatting sqref="G469">
    <cfRule type="duplicateValues" dxfId="0" priority="5"/>
  </conditionalFormatting>
  <conditionalFormatting sqref="L469">
    <cfRule type="duplicateValues" dxfId="0" priority="7"/>
  </conditionalFormatting>
  <conditionalFormatting sqref="M469">
    <cfRule type="duplicateValues" dxfId="0" priority="6"/>
  </conditionalFormatting>
  <conditionalFormatting sqref="G420:G422">
    <cfRule type="duplicateValues" dxfId="0" priority="94"/>
  </conditionalFormatting>
  <conditionalFormatting sqref="G465:G466">
    <cfRule type="duplicateValues" dxfId="0" priority="34"/>
  </conditionalFormatting>
  <conditionalFormatting sqref="L399:L403">
    <cfRule type="duplicateValues" dxfId="0" priority="83"/>
  </conditionalFormatting>
  <conditionalFormatting sqref="L404:L407">
    <cfRule type="duplicateValues" dxfId="0" priority="17"/>
  </conditionalFormatting>
  <conditionalFormatting sqref="L408:L410">
    <cfRule type="duplicateValues" dxfId="0" priority="16"/>
  </conditionalFormatting>
  <conditionalFormatting sqref="L426:L427">
    <cfRule type="duplicateValues" dxfId="0" priority="49"/>
  </conditionalFormatting>
  <conditionalFormatting sqref="M252:M261">
    <cfRule type="duplicateValues" dxfId="0" priority="93"/>
  </conditionalFormatting>
  <conditionalFormatting sqref="M373:M374">
    <cfRule type="duplicateValues" dxfId="0" priority="81"/>
  </conditionalFormatting>
  <conditionalFormatting sqref="M399:M403">
    <cfRule type="duplicateValues" dxfId="0" priority="84"/>
  </conditionalFormatting>
  <conditionalFormatting sqref="M411:M414">
    <cfRule type="duplicateValues" dxfId="0" priority="66"/>
  </conditionalFormatting>
  <conditionalFormatting sqref="M426:M427">
    <cfRule type="duplicateValues" dxfId="0" priority="50"/>
  </conditionalFormatting>
  <conditionalFormatting sqref="M262:M303 M410 M417:M419 M308:M309 M353:M370 M324:M332 M334 M305:M306 M311:M322 M336:M350">
    <cfRule type="duplicateValues" dxfId="0" priority="137"/>
  </conditionalFormatting>
  <conditionalFormatting sqref="M371:M372 M375:M385">
    <cfRule type="duplicateValues" dxfId="0" priority="133"/>
  </conditionalFormatting>
  <conditionalFormatting sqref="M398 M404 M396">
    <cfRule type="duplicateValues" dxfId="0" priority="121"/>
  </conditionalFormatting>
  <dataValidations count="8">
    <dataValidation type="list" allowBlank="1" showInputMessage="1" showErrorMessage="1" sqref="D272 D274 D276 D278 D7:D262 D280:D283 D285:D301 D303:D314 D316:D331 D333:D335 D339:D343 D345:D373 D375:D409 D411:D423 D429:D435 D437:D438 D442:D1048576">
      <formula1>OFFSET(数据对照表!$B$1,,,1,COUNTA(数据对照表!$B$1:$I$1))</formula1>
    </dataValidation>
    <dataValidation allowBlank="1" showInputMessage="1" sqref="H347:I347 H410:I410 J263:J265 H263:I266 H7:J262 H267:J346 H348:J409 H411:J469"/>
    <dataValidation type="list" showInputMessage="1" showErrorMessage="1" sqref="G461 G466 G7:G267 G269:G276 G278:G331 G333:G342 G347:G359 G361:G372 G374:G405 G417:G418 G423:G425 G428:G446 G448:G459 G470:G1048576">
      <formula1>OFFSET('附表8-合同明细采集底稿'!$B$6,,,COUNTA('附表8-合同明细采集底稿'!$B$6:$B$237),1)</formula1>
    </dataValidation>
    <dataValidation type="list" allowBlank="1" showInputMessage="1" showErrorMessage="1" sqref="E7:E1048576">
      <formula1>OFFSET(数据对照表!$B$2,,MATCH($D7,数据对照表!$B$1:$I$1,0)-1,COUNTA(OFFSET(数据对照表!$B$2,,MATCH($D7,数据对照表!$B$1:$I$1,0)-1,255)))</formula1>
    </dataValidation>
    <dataValidation type="list" allowBlank="1" showInputMessage="1" showErrorMessage="1" sqref="K7:K1048576">
      <formula1>OFFSET(数据对照表!$J$2,,,COUNTA(数据对照表!J:J)-1,1)</formula1>
    </dataValidation>
    <dataValidation type="list" allowBlank="1" showInputMessage="1" showErrorMessage="1" sqref="V7:V1048576">
      <formula1>OFFSET(数据对照表!$K$1,,,1,COUNTA(数据对照表!$K$1:$L$1))</formula1>
    </dataValidation>
    <dataValidation type="list" allowBlank="1" showInputMessage="1" showErrorMessage="1" sqref="Z7:Z1048576">
      <formula1>OFFSET(数据对照表!$K$2,,MATCH($V7,数据对照表!$K$1:$L$1,0)-1,COUNTA(OFFSET(数据对照表!$K$2,,MATCH($V7,数据对照表!$K$1:$L$1,0)-1,255)))</formula1>
    </dataValidation>
    <dataValidation type="list" allowBlank="1" showInputMessage="1" showErrorMessage="1" sqref="AB7:AB1048576">
      <formula1>OFFSET(数据对照表!$M$2,,MATCH($D7,数据对照表!$M$1:$T$1,0)-1,COUNTA(OFFSET(数据对照表!$M$2,,MATCH($D7,数据对照表!$M$1:$T$1,0)-1,255)))</formula1>
    </dataValidation>
  </dataValidations>
  <printOptions horizontalCentered="1"/>
  <pageMargins left="0.747916666666667" right="0.511805555555556" top="0.984027777777778" bottom="0.984027777777778" header="0.511805555555556" footer="0.511805555555556"/>
  <pageSetup paperSize="9" scale="36" fitToHeight="0" orientation="landscape"/>
  <headerFooter>
    <oddFooter>&amp;C第 &amp;P 页，共 &amp;N 页</oddFooter>
  </headerFooter>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filterMode="1" codeName="Sheet10">
    <pageSetUpPr fitToPage="1"/>
  </sheetPr>
  <dimension ref="A1:AD131"/>
  <sheetViews>
    <sheetView workbookViewId="0">
      <pane xSplit="3" ySplit="5" topLeftCell="D6" activePane="bottomRight" state="frozen"/>
      <selection/>
      <selection pane="topRight"/>
      <selection pane="bottomLeft"/>
      <selection pane="bottomRight" activeCell="B38" sqref="B38"/>
    </sheetView>
  </sheetViews>
  <sheetFormatPr defaultColWidth="8.88405797101449" defaultRowHeight="17.5"/>
  <cols>
    <col min="1" max="1" width="5.61594202898551" style="82" customWidth="1"/>
    <col min="2" max="2" width="12.5942028985507" style="82" customWidth="1"/>
    <col min="3" max="3" width="35.2971014492754" style="82" customWidth="1"/>
    <col min="4" max="4" width="12.4057971014493" style="83" customWidth="1"/>
    <col min="5" max="5" width="19.0942028985507" style="81" customWidth="1"/>
    <col min="6" max="6" width="9.38405797101449" style="81" customWidth="1"/>
    <col min="7" max="7" width="14.2536231884058" style="81" customWidth="1"/>
    <col min="8" max="8" width="15.4275362318841" style="84" customWidth="1"/>
    <col min="9" max="9" width="12" style="84" customWidth="1"/>
    <col min="10" max="11" width="8.88405797101449" style="81"/>
    <col min="12" max="12" width="10.4057971014493" style="81" customWidth="1"/>
    <col min="13" max="13" width="8.88405797101449" style="81"/>
    <col min="14" max="14" width="13.2536231884058" style="81" customWidth="1"/>
    <col min="15" max="15" width="8.88405797101449" style="81"/>
    <col min="16" max="17" width="11" style="81" customWidth="1" outlineLevel="1"/>
    <col min="18" max="18" width="8.88405797101449" style="81" outlineLevel="1"/>
    <col min="19" max="19" width="11.6666666666667" style="81" customWidth="1" outlineLevel="1"/>
    <col min="20" max="20" width="20.7971014492754" style="81" customWidth="1" outlineLevel="1"/>
    <col min="21" max="28" width="8.88405797101449" style="81" outlineLevel="1"/>
    <col min="29" max="29" width="14.2536231884058" style="81" customWidth="1"/>
    <col min="30" max="30" width="9.2536231884058" style="81"/>
    <col min="31" max="16384" width="8.88405797101449" style="81"/>
  </cols>
  <sheetData>
    <row r="1" ht="21.3" spans="1:29">
      <c r="A1" s="85" t="s">
        <v>2985</v>
      </c>
      <c r="B1" s="85"/>
      <c r="C1" s="85"/>
      <c r="D1" s="85"/>
      <c r="E1" s="85"/>
      <c r="F1" s="85"/>
      <c r="G1" s="85"/>
      <c r="H1" s="85"/>
      <c r="I1" s="85"/>
      <c r="J1" s="85"/>
      <c r="K1" s="85"/>
      <c r="L1" s="85"/>
      <c r="M1" s="85"/>
      <c r="N1" s="85"/>
      <c r="O1" s="85"/>
      <c r="P1" s="85"/>
      <c r="Q1" s="85"/>
      <c r="R1" s="85"/>
      <c r="S1" s="85"/>
      <c r="T1" s="85"/>
      <c r="U1" s="85"/>
      <c r="V1" s="85"/>
      <c r="W1" s="85"/>
      <c r="X1" s="85"/>
      <c r="Y1" s="85"/>
      <c r="Z1" s="85"/>
      <c r="AA1" s="85"/>
      <c r="AB1" s="85"/>
      <c r="AC1" s="85"/>
    </row>
    <row r="2" spans="1:29">
      <c r="A2" s="86" t="str">
        <f>土地增值税税源明细表!F5&amp;"："&amp;土地增值税税源明细表!H5&amp;"          "&amp;土地增值税税源明细表!A5&amp;"："&amp;土地增值税税源明细表!B5&amp;"          "&amp;"金额单位:人民币元(列至角分)"</f>
        <v>项目编码：Z65280120200027          项目名称：沁春锦苑二期          金额单位:人民币元(列至角分)</v>
      </c>
      <c r="B2" s="86"/>
      <c r="C2" s="86"/>
      <c r="D2" s="86"/>
      <c r="E2" s="86"/>
      <c r="F2" s="86"/>
      <c r="G2" s="86"/>
      <c r="H2" s="86"/>
      <c r="I2" s="86"/>
      <c r="J2" s="86"/>
      <c r="K2" s="86"/>
      <c r="L2" s="86"/>
      <c r="M2" s="86"/>
      <c r="N2" s="86"/>
      <c r="O2" s="86"/>
      <c r="P2" s="86"/>
      <c r="Q2" s="86"/>
      <c r="R2" s="86"/>
      <c r="S2" s="86"/>
      <c r="T2" s="86"/>
      <c r="U2" s="86"/>
      <c r="V2" s="86"/>
      <c r="W2" s="86"/>
      <c r="X2" s="86"/>
      <c r="Y2" s="86"/>
      <c r="Z2" s="86"/>
      <c r="AA2" s="86"/>
      <c r="AB2" s="86"/>
      <c r="AC2" s="86"/>
    </row>
    <row r="3" spans="1:29">
      <c r="A3" s="87" t="s">
        <v>37</v>
      </c>
      <c r="B3" s="87" t="s">
        <v>2986</v>
      </c>
      <c r="C3" s="87" t="s">
        <v>2987</v>
      </c>
      <c r="D3" s="87" t="s">
        <v>1658</v>
      </c>
      <c r="E3" s="87" t="s">
        <v>2988</v>
      </c>
      <c r="F3" s="87" t="s">
        <v>2989</v>
      </c>
      <c r="G3" s="87" t="s">
        <v>361</v>
      </c>
      <c r="H3" s="87" t="s">
        <v>2990</v>
      </c>
      <c r="I3" s="87" t="s">
        <v>2991</v>
      </c>
      <c r="J3" s="87" t="s">
        <v>2992</v>
      </c>
      <c r="K3" s="87" t="s">
        <v>2993</v>
      </c>
      <c r="L3" s="96" t="s">
        <v>2994</v>
      </c>
      <c r="M3" s="96"/>
      <c r="N3" s="96"/>
      <c r="O3" s="96"/>
      <c r="P3" s="96"/>
      <c r="Q3" s="96"/>
      <c r="R3" s="96"/>
      <c r="S3" s="96"/>
      <c r="T3" s="96"/>
      <c r="U3" s="96"/>
      <c r="V3" s="96"/>
      <c r="W3" s="96"/>
      <c r="X3" s="96"/>
      <c r="Y3" s="96"/>
      <c r="Z3" s="96"/>
      <c r="AA3" s="96"/>
      <c r="AB3" s="96"/>
      <c r="AC3" s="87"/>
    </row>
    <row r="4" ht="45.1" spans="1:29">
      <c r="A4" s="87"/>
      <c r="B4" s="87"/>
      <c r="C4" s="87"/>
      <c r="D4" s="87"/>
      <c r="E4" s="87"/>
      <c r="F4" s="87"/>
      <c r="G4" s="87"/>
      <c r="H4" s="87"/>
      <c r="I4" s="87"/>
      <c r="J4" s="87"/>
      <c r="K4" s="87"/>
      <c r="L4" s="97" t="s">
        <v>2995</v>
      </c>
      <c r="M4" s="98" t="s">
        <v>2996</v>
      </c>
      <c r="N4" s="97" t="s">
        <v>2997</v>
      </c>
      <c r="O4" s="97" t="s">
        <v>2998</v>
      </c>
      <c r="P4" s="97" t="s">
        <v>2999</v>
      </c>
      <c r="Q4" s="97" t="s">
        <v>3000</v>
      </c>
      <c r="R4" s="97" t="s">
        <v>329</v>
      </c>
      <c r="S4" s="97" t="s">
        <v>3001</v>
      </c>
      <c r="T4" s="97"/>
      <c r="U4" s="97"/>
      <c r="V4" s="97"/>
      <c r="W4" s="97"/>
      <c r="X4" s="97"/>
      <c r="Y4" s="97"/>
      <c r="Z4" s="97"/>
      <c r="AA4" s="97"/>
      <c r="AB4" s="97"/>
      <c r="AC4" s="87" t="s">
        <v>3002</v>
      </c>
    </row>
    <row r="5" spans="1:29">
      <c r="A5" s="88"/>
      <c r="B5" s="576" t="s">
        <v>42</v>
      </c>
      <c r="C5" s="576" t="s">
        <v>45</v>
      </c>
      <c r="D5" s="576" t="s">
        <v>48</v>
      </c>
      <c r="E5" s="576" t="s">
        <v>92</v>
      </c>
      <c r="F5" s="89">
        <v>5</v>
      </c>
      <c r="G5" s="576" t="s">
        <v>99</v>
      </c>
      <c r="H5" s="576" t="s">
        <v>102</v>
      </c>
      <c r="I5" s="576" t="s">
        <v>105</v>
      </c>
      <c r="J5" s="576" t="s">
        <v>110</v>
      </c>
      <c r="K5" s="576" t="s">
        <v>113</v>
      </c>
      <c r="L5" s="576" t="s">
        <v>117</v>
      </c>
      <c r="M5" s="576" t="s">
        <v>120</v>
      </c>
      <c r="N5" s="576" t="s">
        <v>123</v>
      </c>
      <c r="O5" s="576" t="s">
        <v>290</v>
      </c>
      <c r="P5" s="576" t="s">
        <v>291</v>
      </c>
      <c r="Q5" s="576" t="s">
        <v>3003</v>
      </c>
      <c r="R5" s="576" t="s">
        <v>317</v>
      </c>
      <c r="S5" s="102" t="s">
        <v>3004</v>
      </c>
      <c r="T5" s="102" t="s">
        <v>3005</v>
      </c>
      <c r="U5" s="102" t="s">
        <v>3006</v>
      </c>
      <c r="V5" s="102" t="s">
        <v>3007</v>
      </c>
      <c r="W5" s="102" t="s">
        <v>3008</v>
      </c>
      <c r="X5" s="102" t="s">
        <v>3009</v>
      </c>
      <c r="Y5" s="102" t="s">
        <v>3010</v>
      </c>
      <c r="Z5" s="102" t="s">
        <v>3011</v>
      </c>
      <c r="AA5" s="102" t="s">
        <v>3012</v>
      </c>
      <c r="AB5" s="102" t="s">
        <v>3013</v>
      </c>
      <c r="AC5" s="87"/>
    </row>
    <row r="6" ht="23.8" hidden="1" spans="1:29">
      <c r="A6" s="90">
        <v>1</v>
      </c>
      <c r="B6" s="91" t="s">
        <v>2182</v>
      </c>
      <c r="C6" s="91" t="s">
        <v>3014</v>
      </c>
      <c r="D6" s="92" t="s">
        <v>3015</v>
      </c>
      <c r="E6" s="91" t="s">
        <v>3016</v>
      </c>
      <c r="F6" s="93">
        <v>44706</v>
      </c>
      <c r="G6" s="94">
        <v>300000</v>
      </c>
      <c r="H6" s="94">
        <v>243564.2</v>
      </c>
      <c r="I6" s="99" t="s">
        <v>332</v>
      </c>
      <c r="J6" s="99" t="s">
        <v>332</v>
      </c>
      <c r="K6" s="99" t="s">
        <v>16</v>
      </c>
      <c r="L6" s="99" t="s">
        <v>311</v>
      </c>
      <c r="M6" s="100" cm="1">
        <f t="array" ref="M6">IFERROR(IF(COUNTIFS(S6:AB6,清算项目基本情况表!$D$6)&gt;=1,IF(L6="占地面积法",ROUND(SUM('附表4-项目间分摊信息采集表'!$E$5)/SUMPRODUCT(SUMIFS('附表4-项目间分摊信息采集表'!$E:$E,'附表4-项目间分摊信息采集表'!$B:$B,S6:AB6)),20),IF(L6="测绘总建筑面积法",ROUND(SUM('附表4-项目间分摊信息采集表'!$F$5)/SUMPRODUCT(SUMIFS('附表4-项目间分摊信息采集表'!$F:$F,'附表4-项目间分摊信息采集表'!$B:$B,S6:AB6)),20),IF(L6="可售建筑面积法",ROUND(SUM('附表4-项目间分摊信息采集表'!$G$5)/SUMPRODUCT(SUMIFS('附表4-项目间分摊信息采集表'!$G:$G,'附表4-项目间分摊信息采集表'!$B:$B,S6:AB6)),20),IF(L6="其他分摊方法",ROUND(SUM('附表4-项目间分摊信息采集表'!$H$5)/SUMPRODUCT(SUMIFS('附表4-项目间分摊信息采集表'!$H:$H,'附表4-项目间分摊信息采集表'!$B:$B,S6:AB6)),20),IF(L6="手工填写分摊比例","请填写分摊比例",100%))))),IF(COUNTA(S6:AB6)&gt;=1,0%,100%)),100%)</f>
        <v>0.329519901724361</v>
      </c>
      <c r="N6" s="94">
        <f>SUMIFS('附表7-扣除项目明细采集底稿'!$R:$R,'附表7-扣除项目明细采集底稿'!$G:$G,B6)</f>
        <v>229582.618531436</v>
      </c>
      <c r="O6" s="99" t="s">
        <v>3017</v>
      </c>
      <c r="P6" s="101">
        <f>SUMIFS('附表7-扣除项目明细采集底稿'!$T:$T,'附表7-扣除项目明细采集底稿'!$G:$G,$B6)</f>
        <v>75652.04</v>
      </c>
      <c r="Q6" s="103">
        <f>ROUND(SUM(N6)-SUM(O6)-SUM(P6),2)</f>
        <v>153930.58</v>
      </c>
      <c r="R6" s="104"/>
      <c r="S6" s="99" t="s">
        <v>12</v>
      </c>
      <c r="T6" s="99" t="s">
        <v>331</v>
      </c>
      <c r="U6" s="99" t="s">
        <v>333</v>
      </c>
      <c r="V6" s="99"/>
      <c r="W6" s="99"/>
      <c r="X6" s="99"/>
      <c r="Y6" s="99"/>
      <c r="Z6" s="99"/>
      <c r="AA6" s="99"/>
      <c r="AB6" s="99"/>
      <c r="AC6" s="94"/>
    </row>
    <row r="7" hidden="1" spans="1:29">
      <c r="A7" s="90">
        <v>2</v>
      </c>
      <c r="B7" s="91" t="s">
        <v>1837</v>
      </c>
      <c r="C7" s="91" t="s">
        <v>3018</v>
      </c>
      <c r="D7" s="92" t="s">
        <v>3019</v>
      </c>
      <c r="E7" s="91" t="s">
        <v>3020</v>
      </c>
      <c r="F7" s="93">
        <v>44077</v>
      </c>
      <c r="G7" s="94">
        <v>36500</v>
      </c>
      <c r="H7" s="94">
        <v>36500</v>
      </c>
      <c r="I7" s="99" t="s">
        <v>332</v>
      </c>
      <c r="J7" s="99" t="s">
        <v>332</v>
      </c>
      <c r="K7" s="99" t="s">
        <v>16</v>
      </c>
      <c r="L7" s="99" t="s">
        <v>311</v>
      </c>
      <c r="M7" s="100">
        <f>IFERROR(IF(COUNTIFS(S7:AB7,清算项目基本情况表!$D$6)&gt;=1,IF(L7="占地面积法",ROUND(SUM('附表4-项目间分摊信息采集表'!$E$5)/SUMPRODUCT(SUMIFS('附表4-项目间分摊信息采集表'!$E:$E,'附表4-项目间分摊信息采集表'!$B:$B,S7:AB7)),20),IF(L7="测绘总建筑面积法",ROUND(SUM('附表4-项目间分摊信息采集表'!$F$5)/SUMPRODUCT(SUMIFS('附表4-项目间分摊信息采集表'!$F:$F,'附表4-项目间分摊信息采集表'!$B:$B,S7:AB7)),20),IF(L7="可售建筑面积法",ROUND(SUM('附表4-项目间分摊信息采集表'!$G$5)/SUMPRODUCT(SUMIFS('附表4-项目间分摊信息采集表'!$G:$G,'附表4-项目间分摊信息采集表'!$B:$B,S7:AB7)),20),IF(L7="其他分摊方法",ROUND(SUM('附表4-项目间分摊信息采集表'!$H$5)/SUMPRODUCT(SUMIFS('附表4-项目间分摊信息采集表'!$H:$H,'附表4-项目间分摊信息采集表'!$B:$B,S7:AB7)),20),IF(L7="手工填写分摊比例","请填写分摊比例",100%))))),IF(COUNTA(S7:AB7)&gt;=1,0%,100%)),100%)</f>
        <v>0.329519901724361</v>
      </c>
      <c r="N7" s="94">
        <f>SUMIFS('附表7-扣除项目明细采集底稿'!$R:$R,'附表7-扣除项目明细采集底稿'!$G:$G,B7)</f>
        <v>30685.84</v>
      </c>
      <c r="O7" s="99" t="s">
        <v>3017</v>
      </c>
      <c r="P7" s="101">
        <f>SUMIFS('附表7-扣除项目明细采集底稿'!$T:$T,'附表7-扣除项目明细采集底稿'!$G:$G,$B7)</f>
        <v>10111.59</v>
      </c>
      <c r="Q7" s="103">
        <f t="shared" ref="Q7:Q16" si="0">ROUND(SUM(N7)-SUM(O7)-SUM(P7),2)</f>
        <v>20574.25</v>
      </c>
      <c r="R7" s="104"/>
      <c r="S7" s="99" t="s">
        <v>12</v>
      </c>
      <c r="T7" s="99" t="s">
        <v>331</v>
      </c>
      <c r="U7" s="99" t="s">
        <v>333</v>
      </c>
      <c r="V7" s="99"/>
      <c r="W7" s="99"/>
      <c r="X7" s="99"/>
      <c r="Y7" s="99"/>
      <c r="Z7" s="99"/>
      <c r="AA7" s="99"/>
      <c r="AB7" s="99"/>
      <c r="AC7" s="94"/>
    </row>
    <row r="8" ht="23.8" hidden="1" spans="1:29">
      <c r="A8" s="90">
        <v>3</v>
      </c>
      <c r="B8" s="91" t="s">
        <v>1955</v>
      </c>
      <c r="C8" s="91" t="s">
        <v>3021</v>
      </c>
      <c r="D8" s="92" t="s">
        <v>3019</v>
      </c>
      <c r="E8" s="91" t="s">
        <v>3022</v>
      </c>
      <c r="F8" s="93">
        <v>44296</v>
      </c>
      <c r="G8" s="94">
        <v>90000</v>
      </c>
      <c r="H8" s="94">
        <v>90000</v>
      </c>
      <c r="I8" s="99" t="s">
        <v>332</v>
      </c>
      <c r="J8" s="99" t="s">
        <v>332</v>
      </c>
      <c r="K8" s="99" t="s">
        <v>16</v>
      </c>
      <c r="L8" s="99" t="s">
        <v>311</v>
      </c>
      <c r="M8" s="100">
        <f>IFERROR(IF(COUNTIFS(S8:AB8,清算项目基本情况表!$D$6)&gt;=1,IF(L8="占地面积法",ROUND(SUM('附表4-项目间分摊信息采集表'!$E$5)/SUMPRODUCT(SUMIFS('附表4-项目间分摊信息采集表'!$E:$E,'附表4-项目间分摊信息采集表'!$B:$B,S8:AB8)),20),IF(L8="测绘总建筑面积法",ROUND(SUM('附表4-项目间分摊信息采集表'!$F$5)/SUMPRODUCT(SUMIFS('附表4-项目间分摊信息采集表'!$F:$F,'附表4-项目间分摊信息采集表'!$B:$B,S8:AB8)),20),IF(L8="可售建筑面积法",ROUND(SUM('附表4-项目间分摊信息采集表'!$G$5)/SUMPRODUCT(SUMIFS('附表4-项目间分摊信息采集表'!$G:$G,'附表4-项目间分摊信息采集表'!$B:$B,S8:AB8)),20),IF(L8="其他分摊方法",ROUND(SUM('附表4-项目间分摊信息采集表'!$H$5)/SUMPRODUCT(SUMIFS('附表4-项目间分摊信息采集表'!$H:$H,'附表4-项目间分摊信息采集表'!$B:$B,S8:AB8)),20),IF(L8="手工填写分摊比例","请填写分摊比例",100%))))),IF(COUNTA(S8:AB8)&gt;=1,0%,100%)),100%)</f>
        <v>0.329519901724361</v>
      </c>
      <c r="N8" s="94">
        <f>SUMIFS('附表7-扣除项目明细采集底稿'!$R:$R,'附表7-扣除项目明细采集底稿'!$G:$G,B8)</f>
        <v>81622.15</v>
      </c>
      <c r="O8" s="99" t="s">
        <v>3017</v>
      </c>
      <c r="P8" s="101">
        <f>SUMIFS('附表7-扣除项目明细采集底稿'!$T:$T,'附表7-扣除项目明细采集底稿'!$G:$G,$B8)</f>
        <v>26896.12</v>
      </c>
      <c r="Q8" s="103">
        <f t="shared" si="0"/>
        <v>54726.03</v>
      </c>
      <c r="R8" s="104"/>
      <c r="S8" s="99" t="s">
        <v>12</v>
      </c>
      <c r="T8" s="99" t="s">
        <v>331</v>
      </c>
      <c r="U8" s="99" t="s">
        <v>333</v>
      </c>
      <c r="V8" s="99"/>
      <c r="W8" s="99"/>
      <c r="X8" s="99"/>
      <c r="Y8" s="99"/>
      <c r="Z8" s="99"/>
      <c r="AA8" s="99"/>
      <c r="AB8" s="99"/>
      <c r="AC8" s="94"/>
    </row>
    <row r="9" ht="23.8" hidden="1" spans="1:29">
      <c r="A9" s="90">
        <v>4</v>
      </c>
      <c r="B9" s="91" t="s">
        <v>1850</v>
      </c>
      <c r="C9" s="91" t="s">
        <v>3023</v>
      </c>
      <c r="D9" s="92" t="s">
        <v>3024</v>
      </c>
      <c r="E9" s="91" t="s">
        <v>3025</v>
      </c>
      <c r="F9" s="93">
        <v>44094</v>
      </c>
      <c r="G9" s="94">
        <v>85000</v>
      </c>
      <c r="H9" s="94">
        <v>85000</v>
      </c>
      <c r="I9" s="99" t="s">
        <v>332</v>
      </c>
      <c r="J9" s="99" t="s">
        <v>332</v>
      </c>
      <c r="K9" s="99" t="s">
        <v>16</v>
      </c>
      <c r="L9" s="99" t="s">
        <v>311</v>
      </c>
      <c r="M9" s="100">
        <f>IFERROR(IF(COUNTIFS(S9:AB9,清算项目基本情况表!$D$6)&gt;=1,IF(L9="占地面积法",ROUND(SUM('附表4-项目间分摊信息采集表'!$E$5)/SUMPRODUCT(SUMIFS('附表4-项目间分摊信息采集表'!$E:$E,'附表4-项目间分摊信息采集表'!$B:$B,S9:AB9)),20),IF(L9="测绘总建筑面积法",ROUND(SUM('附表4-项目间分摊信息采集表'!$F$5)/SUMPRODUCT(SUMIFS('附表4-项目间分摊信息采集表'!$F:$F,'附表4-项目间分摊信息采集表'!$B:$B,S9:AB9)),20),IF(L9="可售建筑面积法",ROUND(SUM('附表4-项目间分摊信息采集表'!$G$5)/SUMPRODUCT(SUMIFS('附表4-项目间分摊信息采集表'!$G:$G,'附表4-项目间分摊信息采集表'!$B:$B,S9:AB9)),20),IF(L9="其他分摊方法",ROUND(SUM('附表4-项目间分摊信息采集表'!$H$5)/SUMPRODUCT(SUMIFS('附表4-项目间分摊信息采集表'!$H:$H,'附表4-项目间分摊信息采集表'!$B:$B,S9:AB9)),20),IF(L9="手工填写分摊比例","请填写分摊比例",100%))))),IF(COUNTA(S9:AB9)&gt;=1,0%,100%)),100%)</f>
        <v>0.329519901724361</v>
      </c>
      <c r="N9" s="94">
        <f>SUMIFS('附表7-扣除项目明细采集底稿'!$R:$R,'附表7-扣除项目明细采集底稿'!$G:$G,B9)</f>
        <v>84158.42</v>
      </c>
      <c r="O9" s="99" t="s">
        <v>3017</v>
      </c>
      <c r="P9" s="101">
        <f>SUMIFS('附表7-扣除项目明细采集底稿'!$T:$T,'附表7-扣除项目明细采集底稿'!$G:$G,$B9)</f>
        <v>27731.88</v>
      </c>
      <c r="Q9" s="103">
        <f t="shared" si="0"/>
        <v>56426.54</v>
      </c>
      <c r="R9" s="104"/>
      <c r="S9" s="99" t="s">
        <v>12</v>
      </c>
      <c r="T9" s="99" t="s">
        <v>331</v>
      </c>
      <c r="U9" s="99" t="s">
        <v>333</v>
      </c>
      <c r="V9" s="99"/>
      <c r="W9" s="99"/>
      <c r="X9" s="99"/>
      <c r="Y9" s="99"/>
      <c r="Z9" s="99"/>
      <c r="AA9" s="99"/>
      <c r="AB9" s="99"/>
      <c r="AC9" s="94"/>
    </row>
    <row r="10" ht="23.8" hidden="1" spans="1:29">
      <c r="A10" s="90">
        <v>5</v>
      </c>
      <c r="B10" s="91" t="s">
        <v>1999</v>
      </c>
      <c r="C10" s="91" t="s">
        <v>3026</v>
      </c>
      <c r="D10" s="92" t="s">
        <v>3024</v>
      </c>
      <c r="E10" s="91" t="s">
        <v>3027</v>
      </c>
      <c r="F10" s="93">
        <v>43922</v>
      </c>
      <c r="G10" s="94">
        <v>23500</v>
      </c>
      <c r="H10" s="94">
        <v>23500</v>
      </c>
      <c r="I10" s="99" t="s">
        <v>332</v>
      </c>
      <c r="J10" s="99" t="s">
        <v>332</v>
      </c>
      <c r="K10" s="99" t="s">
        <v>16</v>
      </c>
      <c r="L10" s="99" t="s">
        <v>311</v>
      </c>
      <c r="M10" s="100">
        <f>IFERROR(IF(COUNTIFS(S10:AB10,清算项目基本情况表!$D$6)&gt;=1,IF(L10="占地面积法",ROUND(SUM('附表4-项目间分摊信息采集表'!$E$5)/SUMPRODUCT(SUMIFS('附表4-项目间分摊信息采集表'!$E:$E,'附表4-项目间分摊信息采集表'!$B:$B,S10:AB10)),20),IF(L10="测绘总建筑面积法",ROUND(SUM('附表4-项目间分摊信息采集表'!$F$5)/SUMPRODUCT(SUMIFS('附表4-项目间分摊信息采集表'!$F:$F,'附表4-项目间分摊信息采集表'!$B:$B,S10:AB10)),20),IF(L10="可售建筑面积法",ROUND(SUM('附表4-项目间分摊信息采集表'!$G$5)/SUMPRODUCT(SUMIFS('附表4-项目间分摊信息采集表'!$G:$G,'附表4-项目间分摊信息采集表'!$B:$B,S10:AB10)),20),IF(L10="其他分摊方法",ROUND(SUM('附表4-项目间分摊信息采集表'!$H$5)/SUMPRODUCT(SUMIFS('附表4-项目间分摊信息采集表'!$H:$H,'附表4-项目间分摊信息采集表'!$B:$B,S10:AB10)),20),IF(L10="手工填写分摊比例","请填写分摊比例",100%))))),IF(COUNTA(S10:AB10)&gt;=1,0%,100%)),100%)</f>
        <v>0.329519901724361</v>
      </c>
      <c r="N10" s="94">
        <f>SUMIFS('附表7-扣除项目明细采集底稿'!$R:$R,'附表7-扣除项目明细采集底稿'!$G:$G,B10)</f>
        <v>22169.81</v>
      </c>
      <c r="O10" s="99" t="s">
        <v>3017</v>
      </c>
      <c r="P10" s="101">
        <f>SUMIFS('附表7-扣除项目明细采集底稿'!$T:$T,'附表7-扣除项目明细采集底稿'!$G:$G,$B10)</f>
        <v>7305.4</v>
      </c>
      <c r="Q10" s="103">
        <f t="shared" si="0"/>
        <v>14864.41</v>
      </c>
      <c r="R10" s="104"/>
      <c r="S10" s="99" t="s">
        <v>12</v>
      </c>
      <c r="T10" s="99" t="s">
        <v>331</v>
      </c>
      <c r="U10" s="99" t="s">
        <v>333</v>
      </c>
      <c r="V10" s="99"/>
      <c r="W10" s="99"/>
      <c r="X10" s="99"/>
      <c r="Y10" s="99"/>
      <c r="Z10" s="99"/>
      <c r="AA10" s="99"/>
      <c r="AB10" s="99"/>
      <c r="AC10" s="94"/>
    </row>
    <row r="11" ht="23.8" hidden="1" spans="1:29">
      <c r="A11" s="90">
        <v>6</v>
      </c>
      <c r="B11" s="91" t="s">
        <v>1936</v>
      </c>
      <c r="C11" s="91" t="s">
        <v>3028</v>
      </c>
      <c r="D11" s="92" t="s">
        <v>3015</v>
      </c>
      <c r="E11" s="91" t="s">
        <v>3029</v>
      </c>
      <c r="F11" s="93">
        <v>44447</v>
      </c>
      <c r="G11" s="94">
        <v>64273.88</v>
      </c>
      <c r="H11" s="94">
        <v>64273.88</v>
      </c>
      <c r="I11" s="99" t="s">
        <v>332</v>
      </c>
      <c r="J11" s="99" t="s">
        <v>332</v>
      </c>
      <c r="K11" s="99" t="s">
        <v>16</v>
      </c>
      <c r="L11" s="99" t="s">
        <v>311</v>
      </c>
      <c r="M11" s="100">
        <f>IFERROR(IF(COUNTIFS(S11:AB11,清算项目基本情况表!$D$6)&gt;=1,IF(L11="占地面积法",ROUND(SUM('附表4-项目间分摊信息采集表'!$E$5)/SUMPRODUCT(SUMIFS('附表4-项目间分摊信息采集表'!$E:$E,'附表4-项目间分摊信息采集表'!$B:$B,S11:AB11)),20),IF(L11="测绘总建筑面积法",ROUND(SUM('附表4-项目间分摊信息采集表'!$F$5)/SUMPRODUCT(SUMIFS('附表4-项目间分摊信息采集表'!$F:$F,'附表4-项目间分摊信息采集表'!$B:$B,S11:AB11)),20),IF(L11="可售建筑面积法",ROUND(SUM('附表4-项目间分摊信息采集表'!$G$5)/SUMPRODUCT(SUMIFS('附表4-项目间分摊信息采集表'!$G:$G,'附表4-项目间分摊信息采集表'!$B:$B,S11:AB11)),20),IF(L11="其他分摊方法",ROUND(SUM('附表4-项目间分摊信息采集表'!$H$5)/SUMPRODUCT(SUMIFS('附表4-项目间分摊信息采集表'!$H:$H,'附表4-项目间分摊信息采集表'!$B:$B,S11:AB11)),20),IF(L11="手工填写分摊比例","请填写分摊比例",100%))))),IF(COUNTA(S11:AB11)&gt;=1,0%,100%)),100%)</f>
        <v>0.329519901724361</v>
      </c>
      <c r="N11" s="94">
        <f>SUMIFS('附表7-扣除项目明细采集底稿'!$R:$R,'附表7-扣除项目明细采集底稿'!$G:$G,B11)</f>
        <v>58966.86</v>
      </c>
      <c r="O11" s="99" t="s">
        <v>3017</v>
      </c>
      <c r="P11" s="101">
        <f>SUMIFS('附表7-扣除项目明细采集底稿'!$T:$T,'附表7-扣除项目明细采集底稿'!$G:$G,$B11)</f>
        <v>19430.75</v>
      </c>
      <c r="Q11" s="103">
        <f t="shared" si="0"/>
        <v>39536.11</v>
      </c>
      <c r="R11" s="104"/>
      <c r="S11" s="99" t="s">
        <v>12</v>
      </c>
      <c r="T11" s="99" t="s">
        <v>331</v>
      </c>
      <c r="U11" s="99" t="s">
        <v>333</v>
      </c>
      <c r="V11" s="99"/>
      <c r="W11" s="99"/>
      <c r="X11" s="99"/>
      <c r="Y11" s="99"/>
      <c r="Z11" s="99"/>
      <c r="AA11" s="99"/>
      <c r="AB11" s="99"/>
      <c r="AC11" s="94"/>
    </row>
    <row r="12" hidden="1" spans="1:29">
      <c r="A12" s="90">
        <v>7</v>
      </c>
      <c r="B12" s="91" t="s">
        <v>2035</v>
      </c>
      <c r="C12" s="91" t="s">
        <v>3030</v>
      </c>
      <c r="D12" s="92" t="s">
        <v>3019</v>
      </c>
      <c r="E12" s="91" t="s">
        <v>3031</v>
      </c>
      <c r="F12" s="93">
        <v>44505</v>
      </c>
      <c r="G12" s="94">
        <v>521622</v>
      </c>
      <c r="H12" s="94">
        <v>521622</v>
      </c>
      <c r="I12" s="99" t="s">
        <v>332</v>
      </c>
      <c r="J12" s="99" t="s">
        <v>332</v>
      </c>
      <c r="K12" s="99" t="s">
        <v>16</v>
      </c>
      <c r="L12" s="99" t="s">
        <v>311</v>
      </c>
      <c r="M12" s="100">
        <f>IFERROR(IF(COUNTIFS(S12:AB12,清算项目基本情况表!$D$6)&gt;=1,IF(L12="占地面积法",ROUND(SUM('附表4-项目间分摊信息采集表'!$E$5)/SUMPRODUCT(SUMIFS('附表4-项目间分摊信息采集表'!$E:$E,'附表4-项目间分摊信息采集表'!$B:$B,S12:AB12)),20),IF(L12="测绘总建筑面积法",ROUND(SUM('附表4-项目间分摊信息采集表'!$F$5)/SUMPRODUCT(SUMIFS('附表4-项目间分摊信息采集表'!$F:$F,'附表4-项目间分摊信息采集表'!$B:$B,S12:AB12)),20),IF(L12="可售建筑面积法",ROUND(SUM('附表4-项目间分摊信息采集表'!$G$5)/SUMPRODUCT(SUMIFS('附表4-项目间分摊信息采集表'!$G:$G,'附表4-项目间分摊信息采集表'!$B:$B,S12:AB12)),20),IF(L12="其他分摊方法",ROUND(SUM('附表4-项目间分摊信息采集表'!$H$5)/SUMPRODUCT(SUMIFS('附表4-项目间分摊信息采集表'!$H:$H,'附表4-项目间分摊信息采集表'!$B:$B,S12:AB12)),20),IF(L12="手工填写分摊比例","请填写分摊比例",100%))))),IF(COUNTA(S12:AB12)&gt;=1,0%,100%)),100%)</f>
        <v>0.329519901724361</v>
      </c>
      <c r="N12" s="94">
        <f>SUMIFS('附表7-扣除项目明细采集底稿'!$R:$R,'附表7-扣除项目明细采集底稿'!$G:$G,B12)</f>
        <v>478552.29</v>
      </c>
      <c r="O12" s="99" t="s">
        <v>3017</v>
      </c>
      <c r="P12" s="101">
        <f>SUMIFS('附表7-扣除项目明细采集底稿'!$T:$T,'附表7-扣除项目明细采集底稿'!$G:$G,$B12)</f>
        <v>157692.5</v>
      </c>
      <c r="Q12" s="103">
        <f t="shared" si="0"/>
        <v>320859.79</v>
      </c>
      <c r="R12" s="104"/>
      <c r="S12" s="99" t="s">
        <v>12</v>
      </c>
      <c r="T12" s="99" t="s">
        <v>331</v>
      </c>
      <c r="U12" s="99" t="s">
        <v>333</v>
      </c>
      <c r="V12" s="99"/>
      <c r="W12" s="99"/>
      <c r="X12" s="99"/>
      <c r="Y12" s="99"/>
      <c r="Z12" s="99"/>
      <c r="AA12" s="99"/>
      <c r="AB12" s="99"/>
      <c r="AC12" s="94"/>
    </row>
    <row r="13" ht="23.8" hidden="1" spans="1:29">
      <c r="A13" s="90">
        <v>8</v>
      </c>
      <c r="B13" s="91" t="s">
        <v>2090</v>
      </c>
      <c r="C13" s="91" t="s">
        <v>3032</v>
      </c>
      <c r="D13" s="92" t="s">
        <v>3015</v>
      </c>
      <c r="E13" s="91" t="s">
        <v>3033</v>
      </c>
      <c r="F13" s="93">
        <v>44784</v>
      </c>
      <c r="G13" s="94">
        <v>60000</v>
      </c>
      <c r="H13" s="94">
        <v>60000</v>
      </c>
      <c r="I13" s="99" t="s">
        <v>332</v>
      </c>
      <c r="J13" s="99" t="s">
        <v>332</v>
      </c>
      <c r="K13" s="99" t="s">
        <v>16</v>
      </c>
      <c r="L13" s="99" t="s">
        <v>311</v>
      </c>
      <c r="M13" s="100">
        <f>IFERROR(IF(COUNTIFS(S13:AB13,清算项目基本情况表!$D$6)&gt;=1,IF(L13="占地面积法",ROUND(SUM('附表4-项目间分摊信息采集表'!$E$5)/SUMPRODUCT(SUMIFS('附表4-项目间分摊信息采集表'!$E:$E,'附表4-项目间分摊信息采集表'!$B:$B,S13:AB13)),20),IF(L13="测绘总建筑面积法",ROUND(SUM('附表4-项目间分摊信息采集表'!$F$5)/SUMPRODUCT(SUMIFS('附表4-项目间分摊信息采集表'!$F:$F,'附表4-项目间分摊信息采集表'!$B:$B,S13:AB13)),20),IF(L13="可售建筑面积法",ROUND(SUM('附表4-项目间分摊信息采集表'!$G$5)/SUMPRODUCT(SUMIFS('附表4-项目间分摊信息采集表'!$G:$G,'附表4-项目间分摊信息采集表'!$B:$B,S13:AB13)),20),IF(L13="其他分摊方法",ROUND(SUM('附表4-项目间分摊信息采集表'!$H$5)/SUMPRODUCT(SUMIFS('附表4-项目间分摊信息采集表'!$H:$H,'附表4-项目间分摊信息采集表'!$B:$B,S13:AB13)),20),IF(L13="手工填写分摊比例","请填写分摊比例",100%))))),IF(COUNTA(S13:AB13)&gt;=1,0%,100%)),100%)</f>
        <v>0.329519901724361</v>
      </c>
      <c r="N13" s="94">
        <f>SUMIFS('附表7-扣除项目明细采集底稿'!$R:$R,'附表7-扣除项目明细采集底稿'!$G:$G,B13)</f>
        <v>55045.87</v>
      </c>
      <c r="O13" s="99" t="s">
        <v>3017</v>
      </c>
      <c r="P13" s="101">
        <f>SUMIFS('附表7-扣除项目明细采集底稿'!$T:$T,'附表7-扣除项目明细采集底稿'!$G:$G,$B13)</f>
        <v>18138.71</v>
      </c>
      <c r="Q13" s="103">
        <f t="shared" si="0"/>
        <v>36907.16</v>
      </c>
      <c r="R13" s="104"/>
      <c r="S13" s="99" t="s">
        <v>12</v>
      </c>
      <c r="T13" s="99" t="s">
        <v>331</v>
      </c>
      <c r="U13" s="99" t="s">
        <v>333</v>
      </c>
      <c r="V13" s="99"/>
      <c r="W13" s="99"/>
      <c r="X13" s="99"/>
      <c r="Y13" s="99"/>
      <c r="Z13" s="99"/>
      <c r="AA13" s="99"/>
      <c r="AB13" s="99"/>
      <c r="AC13" s="94"/>
    </row>
    <row r="14" hidden="1" spans="1:29">
      <c r="A14" s="90">
        <v>9</v>
      </c>
      <c r="B14" s="91" t="s">
        <v>1930</v>
      </c>
      <c r="C14" s="91" t="s">
        <v>3034</v>
      </c>
      <c r="D14" s="92" t="s">
        <v>3019</v>
      </c>
      <c r="E14" s="91" t="s">
        <v>3035</v>
      </c>
      <c r="F14" s="93">
        <v>44273</v>
      </c>
      <c r="G14" s="94">
        <v>325289</v>
      </c>
      <c r="H14" s="94">
        <v>324807</v>
      </c>
      <c r="I14" s="99" t="s">
        <v>332</v>
      </c>
      <c r="J14" s="99" t="s">
        <v>332</v>
      </c>
      <c r="K14" s="99" t="s">
        <v>16</v>
      </c>
      <c r="L14" s="99" t="s">
        <v>311</v>
      </c>
      <c r="M14" s="100">
        <f>IFERROR(IF(COUNTIFS(S14:AB14,清算项目基本情况表!$D$6)&gt;=1,IF(L14="占地面积法",ROUND(SUM('附表4-项目间分摊信息采集表'!$E$5)/SUMPRODUCT(SUMIFS('附表4-项目间分摊信息采集表'!$E:$E,'附表4-项目间分摊信息采集表'!$B:$B,S14:AB14)),20),IF(L14="测绘总建筑面积法",ROUND(SUM('附表4-项目间分摊信息采集表'!$F$5)/SUMPRODUCT(SUMIFS('附表4-项目间分摊信息采集表'!$F:$F,'附表4-项目间分摊信息采集表'!$B:$B,S14:AB14)),20),IF(L14="可售建筑面积法",ROUND(SUM('附表4-项目间分摊信息采集表'!$G$5)/SUMPRODUCT(SUMIFS('附表4-项目间分摊信息采集表'!$G:$G,'附表4-项目间分摊信息采集表'!$B:$B,S14:AB14)),20),IF(L14="其他分摊方法",ROUND(SUM('附表4-项目间分摊信息采集表'!$H$5)/SUMPRODUCT(SUMIFS('附表4-项目间分摊信息采集表'!$H:$H,'附表4-项目间分摊信息采集表'!$B:$B,S14:AB14)),20),IF(L14="手工填写分摊比例","请填写分摊比例",100%))))),IF(COUNTA(S14:AB14)&gt;=1,0%,100%)),100%)</f>
        <v>0.329519901724361</v>
      </c>
      <c r="N14" s="94">
        <f>SUMIFS('附表7-扣除项目明细采集底稿'!$R:$R,'附表7-扣除项目明细采集底稿'!$G:$G,B14)</f>
        <v>287439.82</v>
      </c>
      <c r="O14" s="99" t="s">
        <v>3017</v>
      </c>
      <c r="P14" s="101">
        <f>SUMIFS('附表7-扣除项目明细采集底稿'!$T:$T,'附表7-扣除项目明细采集底稿'!$G:$G,$B14)</f>
        <v>94717.14</v>
      </c>
      <c r="Q14" s="103">
        <f t="shared" si="0"/>
        <v>192722.68</v>
      </c>
      <c r="R14" s="104"/>
      <c r="S14" s="99" t="s">
        <v>12</v>
      </c>
      <c r="T14" s="99" t="s">
        <v>331</v>
      </c>
      <c r="U14" s="99" t="s">
        <v>333</v>
      </c>
      <c r="V14" s="99"/>
      <c r="W14" s="99"/>
      <c r="X14" s="99"/>
      <c r="Y14" s="99"/>
      <c r="Z14" s="99"/>
      <c r="AA14" s="99"/>
      <c r="AB14" s="99"/>
      <c r="AC14" s="94"/>
    </row>
    <row r="15" hidden="1" spans="1:29">
      <c r="A15" s="90">
        <v>10</v>
      </c>
      <c r="B15" s="91" t="s">
        <v>1974</v>
      </c>
      <c r="C15" s="91" t="s">
        <v>3036</v>
      </c>
      <c r="D15" s="92" t="s">
        <v>3019</v>
      </c>
      <c r="E15" s="91" t="s">
        <v>2292</v>
      </c>
      <c r="F15" s="93">
        <v>44420</v>
      </c>
      <c r="G15" s="94">
        <v>63000</v>
      </c>
      <c r="H15" s="94">
        <v>63000</v>
      </c>
      <c r="I15" s="99" t="s">
        <v>332</v>
      </c>
      <c r="J15" s="99" t="s">
        <v>332</v>
      </c>
      <c r="K15" s="99" t="s">
        <v>16</v>
      </c>
      <c r="L15" s="99" t="s">
        <v>311</v>
      </c>
      <c r="M15" s="100">
        <f>IFERROR(IF(COUNTIFS(S15:AB15,清算项目基本情况表!$D$6)&gt;=1,IF(L15="占地面积法",ROUND(SUM('附表4-项目间分摊信息采集表'!$E$5)/SUMPRODUCT(SUMIFS('附表4-项目间分摊信息采集表'!$E:$E,'附表4-项目间分摊信息采集表'!$B:$B,S15:AB15)),20),IF(L15="测绘总建筑面积法",ROUND(SUM('附表4-项目间分摊信息采集表'!$F$5)/SUMPRODUCT(SUMIFS('附表4-项目间分摊信息采集表'!$F:$F,'附表4-项目间分摊信息采集表'!$B:$B,S15:AB15)),20),IF(L15="可售建筑面积法",ROUND(SUM('附表4-项目间分摊信息采集表'!$G$5)/SUMPRODUCT(SUMIFS('附表4-项目间分摊信息采集表'!$G:$G,'附表4-项目间分摊信息采集表'!$B:$B,S15:AB15)),20),IF(L15="其他分摊方法",ROUND(SUM('附表4-项目间分摊信息采集表'!$H$5)/SUMPRODUCT(SUMIFS('附表4-项目间分摊信息采集表'!$H:$H,'附表4-项目间分摊信息采集表'!$B:$B,S15:AB15)),20),IF(L15="手工填写分摊比例","请填写分摊比例",100%))))),IF(COUNTA(S15:AB15)&gt;=1,0%,100%)),100%)</f>
        <v>0.329519901724361</v>
      </c>
      <c r="N15" s="94">
        <f>SUMIFS('附表7-扣除项目明细采集底稿'!$R:$R,'附表7-扣除项目明细采集底稿'!$G:$G,B15)</f>
        <v>55752.21</v>
      </c>
      <c r="O15" s="99" t="s">
        <v>3017</v>
      </c>
      <c r="P15" s="101">
        <f>SUMIFS('附表7-扣除项目明细采集底稿'!$T:$T,'附表7-扣除项目明细采集底稿'!$G:$G,$B15)</f>
        <v>18371.46</v>
      </c>
      <c r="Q15" s="103">
        <f t="shared" si="0"/>
        <v>37380.75</v>
      </c>
      <c r="R15" s="104"/>
      <c r="S15" s="99" t="s">
        <v>12</v>
      </c>
      <c r="T15" s="99" t="s">
        <v>331</v>
      </c>
      <c r="U15" s="99" t="s">
        <v>333</v>
      </c>
      <c r="V15" s="99"/>
      <c r="W15" s="99"/>
      <c r="X15" s="99"/>
      <c r="Y15" s="99"/>
      <c r="Z15" s="99"/>
      <c r="AA15" s="99"/>
      <c r="AB15" s="99"/>
      <c r="AC15" s="94"/>
    </row>
    <row r="16" hidden="1" spans="1:29">
      <c r="A16" s="90">
        <v>11</v>
      </c>
      <c r="B16" s="91" t="s">
        <v>2077</v>
      </c>
      <c r="C16" s="91" t="s">
        <v>3037</v>
      </c>
      <c r="D16" s="92" t="s">
        <v>3019</v>
      </c>
      <c r="E16" s="91" t="s">
        <v>3038</v>
      </c>
      <c r="F16" s="93">
        <v>44699</v>
      </c>
      <c r="G16" s="94">
        <v>2691718.75</v>
      </c>
      <c r="H16" s="94">
        <v>2173437.5</v>
      </c>
      <c r="I16" s="99" t="s">
        <v>332</v>
      </c>
      <c r="J16" s="99" t="s">
        <v>332</v>
      </c>
      <c r="K16" s="99" t="s">
        <v>16</v>
      </c>
      <c r="L16" s="99" t="s">
        <v>311</v>
      </c>
      <c r="M16" s="100">
        <f>IFERROR(IF(COUNTIFS(S16:AB16,清算项目基本情况表!$D$6)&gt;=1,IF(L16="占地面积法",ROUND(SUM('附表4-项目间分摊信息采集表'!$E$5)/SUMPRODUCT(SUMIFS('附表4-项目间分摊信息采集表'!$E:$E,'附表4-项目间分摊信息采集表'!$B:$B,S16:AB16)),20),IF(L16="测绘总建筑面积法",ROUND(SUM('附表4-项目间分摊信息采集表'!$F$5)/SUMPRODUCT(SUMIFS('附表4-项目间分摊信息采集表'!$F:$F,'附表4-项目间分摊信息采集表'!$B:$B,S16:AB16)),20),IF(L16="可售建筑面积法",ROUND(SUM('附表4-项目间分摊信息采集表'!$G$5)/SUMPRODUCT(SUMIFS('附表4-项目间分摊信息采集表'!$G:$G,'附表4-项目间分摊信息采集表'!$B:$B,S16:AB16)),20),IF(L16="其他分摊方法",ROUND(SUM('附表4-项目间分摊信息采集表'!$H$5)/SUMPRODUCT(SUMIFS('附表4-项目间分摊信息采集表'!$H:$H,'附表4-项目间分摊信息采集表'!$B:$B,S16:AB16)),20),IF(L16="手工填写分摊比例","请填写分摊比例",100%))))),IF(COUNTA(S16:AB16)&gt;=1,0%,100%)),100%)</f>
        <v>0.329519901724361</v>
      </c>
      <c r="N16" s="94">
        <f>SUMIFS('附表7-扣除项目明细采集底稿'!$R:$R,'附表7-扣除项目明细采集底稿'!$G:$G,B16)</f>
        <v>1977621.71</v>
      </c>
      <c r="O16" s="99" t="s">
        <v>3017</v>
      </c>
      <c r="P16" s="101">
        <f>SUMIFS('附表7-扣除项目明细采集底稿'!$T:$T,'附表7-扣除项目明细采集底稿'!$G:$G,$B16)</f>
        <v>651665.71</v>
      </c>
      <c r="Q16" s="103">
        <f t="shared" si="0"/>
        <v>1325956</v>
      </c>
      <c r="R16" s="104"/>
      <c r="S16" s="99" t="s">
        <v>12</v>
      </c>
      <c r="T16" s="99" t="s">
        <v>331</v>
      </c>
      <c r="U16" s="99" t="s">
        <v>333</v>
      </c>
      <c r="V16" s="99"/>
      <c r="W16" s="99"/>
      <c r="X16" s="99"/>
      <c r="Y16" s="99"/>
      <c r="Z16" s="99"/>
      <c r="AA16" s="99"/>
      <c r="AB16" s="99"/>
      <c r="AC16" s="94"/>
    </row>
    <row r="17" ht="23.8" hidden="1" spans="1:29">
      <c r="A17" s="90">
        <v>12</v>
      </c>
      <c r="B17" s="91" t="s">
        <v>1920</v>
      </c>
      <c r="C17" s="91" t="s">
        <v>3039</v>
      </c>
      <c r="D17" s="92" t="s">
        <v>3015</v>
      </c>
      <c r="E17" s="91" t="s">
        <v>3040</v>
      </c>
      <c r="F17" s="93">
        <v>44002</v>
      </c>
      <c r="G17" s="94">
        <v>30400</v>
      </c>
      <c r="H17" s="94">
        <v>29936.4</v>
      </c>
      <c r="I17" s="99" t="s">
        <v>332</v>
      </c>
      <c r="J17" s="99" t="s">
        <v>332</v>
      </c>
      <c r="K17" s="99" t="s">
        <v>16</v>
      </c>
      <c r="L17" s="99" t="s">
        <v>311</v>
      </c>
      <c r="M17" s="100">
        <f>IFERROR(IF(COUNTIFS(S17:AB17,清算项目基本情况表!$D$6)&gt;=1,IF(L17="占地面积法",ROUND(SUM('附表4-项目间分摊信息采集表'!$E$5)/SUMPRODUCT(SUMIFS('附表4-项目间分摊信息采集表'!$E:$E,'附表4-项目间分摊信息采集表'!$B:$B,S17:AB17)),20),IF(L17="测绘总建筑面积法",ROUND(SUM('附表4-项目间分摊信息采集表'!$F$5)/SUMPRODUCT(SUMIFS('附表4-项目间分摊信息采集表'!$F:$F,'附表4-项目间分摊信息采集表'!$B:$B,S17:AB17)),20),IF(L17="可售建筑面积法",ROUND(SUM('附表4-项目间分摊信息采集表'!$G$5)/SUMPRODUCT(SUMIFS('附表4-项目间分摊信息采集表'!$G:$G,'附表4-项目间分摊信息采集表'!$B:$B,S17:AB17)),20),IF(L17="其他分摊方法",ROUND(SUM('附表4-项目间分摊信息采集表'!$H$5)/SUMPRODUCT(SUMIFS('附表4-项目间分摊信息采集表'!$H:$H,'附表4-项目间分摊信息采集表'!$B:$B,S17:AB17)),20),IF(L17="手工填写分摊比例","请填写分摊比例",100%))))),IF(COUNTA(S17:AB17)&gt;=1,0%,100%)),100%)</f>
        <v>0.329519901724361</v>
      </c>
      <c r="N17" s="94">
        <f>SUMIFS('附表7-扣除项目明细采集底稿'!$R:$R,'附表7-扣除项目明细采集底稿'!$G:$G,B17)</f>
        <v>26902.65</v>
      </c>
      <c r="O17" s="99" t="s">
        <v>3017</v>
      </c>
      <c r="P17" s="101">
        <f>SUMIFS('附表7-扣除项目明细采集底稿'!$T:$T,'附表7-扣除项目明细采集底稿'!$G:$G,$B17)</f>
        <v>8864.96</v>
      </c>
      <c r="Q17" s="103">
        <f t="shared" ref="Q17:Q58" si="1">ROUND(SUM(N17)-SUM(O17)-SUM(P17),2)</f>
        <v>18037.69</v>
      </c>
      <c r="R17" s="104"/>
      <c r="S17" s="99" t="s">
        <v>12</v>
      </c>
      <c r="T17" s="99" t="s">
        <v>331</v>
      </c>
      <c r="U17" s="99" t="s">
        <v>333</v>
      </c>
      <c r="V17" s="99"/>
      <c r="W17" s="99"/>
      <c r="X17" s="99"/>
      <c r="Y17" s="99"/>
      <c r="Z17" s="99"/>
      <c r="AA17" s="99"/>
      <c r="AB17" s="99"/>
      <c r="AC17" s="94"/>
    </row>
    <row r="18" ht="23.8" hidden="1" spans="1:29">
      <c r="A18" s="90">
        <v>13</v>
      </c>
      <c r="B18" s="91" t="s">
        <v>1882</v>
      </c>
      <c r="C18" s="91" t="s">
        <v>3039</v>
      </c>
      <c r="D18" s="92" t="s">
        <v>3015</v>
      </c>
      <c r="E18" s="91" t="s">
        <v>3041</v>
      </c>
      <c r="F18" s="93">
        <v>44002</v>
      </c>
      <c r="G18" s="94">
        <v>51376</v>
      </c>
      <c r="H18" s="94">
        <v>51376</v>
      </c>
      <c r="I18" s="99" t="s">
        <v>332</v>
      </c>
      <c r="J18" s="99" t="s">
        <v>332</v>
      </c>
      <c r="K18" s="99" t="s">
        <v>16</v>
      </c>
      <c r="L18" s="99" t="s">
        <v>311</v>
      </c>
      <c r="M18" s="100">
        <f>IFERROR(IF(COUNTIFS(S18:AB18,清算项目基本情况表!$D$6)&gt;=1,IF(L18="占地面积法",ROUND(SUM('附表4-项目间分摊信息采集表'!$E$5)/SUMPRODUCT(SUMIFS('附表4-项目间分摊信息采集表'!$E:$E,'附表4-项目间分摊信息采集表'!$B:$B,S18:AB18)),20),IF(L18="测绘总建筑面积法",ROUND(SUM('附表4-项目间分摊信息采集表'!$F$5)/SUMPRODUCT(SUMIFS('附表4-项目间分摊信息采集表'!$F:$F,'附表4-项目间分摊信息采集表'!$B:$B,S18:AB18)),20),IF(L18="可售建筑面积法",ROUND(SUM('附表4-项目间分摊信息采集表'!$G$5)/SUMPRODUCT(SUMIFS('附表4-项目间分摊信息采集表'!$G:$G,'附表4-项目间分摊信息采集表'!$B:$B,S18:AB18)),20),IF(L18="其他分摊方法",ROUND(SUM('附表4-项目间分摊信息采集表'!$H$5)/SUMPRODUCT(SUMIFS('附表4-项目间分摊信息采集表'!$H:$H,'附表4-项目间分摊信息采集表'!$B:$B,S18:AB18)),20),IF(L18="手工填写分摊比例","请填写分摊比例",100%))))),IF(COUNTA(S18:AB18)&gt;=1,0%,100%)),100%)</f>
        <v>0.329519901724361</v>
      </c>
      <c r="N18" s="94">
        <f>SUMIFS('附表7-扣除项目明细采集底稿'!$R:$R,'附表7-扣除项目明细采集底稿'!$G:$G,B18)</f>
        <v>43192.21</v>
      </c>
      <c r="O18" s="99" t="s">
        <v>3017</v>
      </c>
      <c r="P18" s="101">
        <f>SUMIFS('附表7-扣除项目明细采集底稿'!$T:$T,'附表7-扣除项目明细采集底稿'!$G:$G,$B18)</f>
        <v>14232.69</v>
      </c>
      <c r="Q18" s="103">
        <f t="shared" si="1"/>
        <v>28959.52</v>
      </c>
      <c r="R18" s="104"/>
      <c r="S18" s="99" t="s">
        <v>12</v>
      </c>
      <c r="T18" s="99" t="s">
        <v>331</v>
      </c>
      <c r="U18" s="99" t="s">
        <v>333</v>
      </c>
      <c r="V18" s="99"/>
      <c r="W18" s="99"/>
      <c r="X18" s="99"/>
      <c r="Y18" s="99"/>
      <c r="Z18" s="99"/>
      <c r="AA18" s="99"/>
      <c r="AB18" s="99"/>
      <c r="AC18" s="94"/>
    </row>
    <row r="19" ht="23.8" hidden="1" spans="1:29">
      <c r="A19" s="90">
        <v>14</v>
      </c>
      <c r="B19" s="91" t="s">
        <v>2264</v>
      </c>
      <c r="C19" s="91" t="s">
        <v>3042</v>
      </c>
      <c r="D19" s="92" t="s">
        <v>3015</v>
      </c>
      <c r="E19" s="91" t="s">
        <v>3043</v>
      </c>
      <c r="F19" s="93">
        <v>44662</v>
      </c>
      <c r="G19" s="94">
        <v>238501.61</v>
      </c>
      <c r="H19" s="94">
        <v>238501.61</v>
      </c>
      <c r="I19" s="99" t="s">
        <v>332</v>
      </c>
      <c r="J19" s="99" t="s">
        <v>332</v>
      </c>
      <c r="K19" s="99" t="s">
        <v>16</v>
      </c>
      <c r="L19" s="99" t="s">
        <v>311</v>
      </c>
      <c r="M19" s="100">
        <f>IFERROR(IF(COUNTIFS(S19:AB19,清算项目基本情况表!$D$6)&gt;=1,IF(L19="占地面积法",ROUND(SUM('附表4-项目间分摊信息采集表'!$E$5)/SUMPRODUCT(SUMIFS('附表4-项目间分摊信息采集表'!$E:$E,'附表4-项目间分摊信息采集表'!$B:$B,S19:AB19)),20),IF(L19="测绘总建筑面积法",ROUND(SUM('附表4-项目间分摊信息采集表'!$F$5)/SUMPRODUCT(SUMIFS('附表4-项目间分摊信息采集表'!$F:$F,'附表4-项目间分摊信息采集表'!$B:$B,S19:AB19)),20),IF(L19="可售建筑面积法",ROUND(SUM('附表4-项目间分摊信息采集表'!$G$5)/SUMPRODUCT(SUMIFS('附表4-项目间分摊信息采集表'!$G:$G,'附表4-项目间分摊信息采集表'!$B:$B,S19:AB19)),20),IF(L19="其他分摊方法",ROUND(SUM('附表4-项目间分摊信息采集表'!$H$5)/SUMPRODUCT(SUMIFS('附表4-项目间分摊信息采集表'!$H:$H,'附表4-项目间分摊信息采集表'!$B:$B,S19:AB19)),20),IF(L19="手工填写分摊比例","请填写分摊比例",100%))))),IF(COUNTA(S19:AB19)&gt;=1,0%,100%)),100%)</f>
        <v>0.329519901724361</v>
      </c>
      <c r="N19" s="94">
        <f>SUMIFS('附表7-扣除项目明细采集底稿'!$R:$R,'附表7-扣除项目明细采集底稿'!$G:$G,B19)</f>
        <v>25918.59</v>
      </c>
      <c r="O19" s="99" t="s">
        <v>3017</v>
      </c>
      <c r="P19" s="101">
        <f>SUMIFS('附表7-扣除项目明细采集底稿'!$T:$T,'附表7-扣除项目明细采集底稿'!$G:$G,$B19)</f>
        <v>8540.69</v>
      </c>
      <c r="Q19" s="103">
        <f t="shared" si="1"/>
        <v>17377.9</v>
      </c>
      <c r="R19" s="104"/>
      <c r="S19" s="99" t="s">
        <v>12</v>
      </c>
      <c r="T19" s="99" t="s">
        <v>331</v>
      </c>
      <c r="U19" s="99" t="s">
        <v>333</v>
      </c>
      <c r="V19" s="99"/>
      <c r="W19" s="99"/>
      <c r="X19" s="99"/>
      <c r="Y19" s="99"/>
      <c r="Z19" s="99"/>
      <c r="AA19" s="99"/>
      <c r="AB19" s="99"/>
      <c r="AC19" s="94"/>
    </row>
    <row r="20" ht="23.8" hidden="1" spans="1:29">
      <c r="A20" s="90">
        <v>15</v>
      </c>
      <c r="B20" s="91" t="s">
        <v>2266</v>
      </c>
      <c r="C20" s="91" t="s">
        <v>3042</v>
      </c>
      <c r="D20" s="92" t="s">
        <v>3015</v>
      </c>
      <c r="E20" s="91" t="s">
        <v>3043</v>
      </c>
      <c r="F20" s="93">
        <v>44662</v>
      </c>
      <c r="G20" s="94">
        <v>238501.61</v>
      </c>
      <c r="H20" s="94">
        <v>238501.61</v>
      </c>
      <c r="I20" s="99" t="s">
        <v>332</v>
      </c>
      <c r="J20" s="99" t="s">
        <v>332</v>
      </c>
      <c r="K20" s="99" t="s">
        <v>16</v>
      </c>
      <c r="L20" s="99" t="s">
        <v>311</v>
      </c>
      <c r="M20" s="100">
        <f>IFERROR(IF(COUNTIFS(S20:AB20,清算项目基本情况表!$D$6)&gt;=1,IF(L20="占地面积法",ROUND(SUM('附表4-项目间分摊信息采集表'!$E$5)/SUMPRODUCT(SUMIFS('附表4-项目间分摊信息采集表'!$E:$E,'附表4-项目间分摊信息采集表'!$B:$B,S20:AB20)),20),IF(L20="测绘总建筑面积法",ROUND(SUM('附表4-项目间分摊信息采集表'!$F$5)/SUMPRODUCT(SUMIFS('附表4-项目间分摊信息采集表'!$F:$F,'附表4-项目间分摊信息采集表'!$B:$B,S20:AB20)),20),IF(L20="可售建筑面积法",ROUND(SUM('附表4-项目间分摊信息采集表'!$G$5)/SUMPRODUCT(SUMIFS('附表4-项目间分摊信息采集表'!$G:$G,'附表4-项目间分摊信息采集表'!$B:$B,S20:AB20)),20),IF(L20="其他分摊方法",ROUND(SUM('附表4-项目间分摊信息采集表'!$H$5)/SUMPRODUCT(SUMIFS('附表4-项目间分摊信息采集表'!$H:$H,'附表4-项目间分摊信息采集表'!$B:$B,S20:AB20)),20),IF(L20="手工填写分摊比例","请填写分摊比例",100%))))),IF(COUNTA(S20:AB20)&gt;=1,0%,100%)),100%)</f>
        <v>0.329519901724361</v>
      </c>
      <c r="N20" s="94">
        <f>SUMIFS('附表7-扣除项目明细采集底稿'!$R:$R,'附表7-扣除项目明细采集底稿'!$G:$G,B20)</f>
        <v>390880.33</v>
      </c>
      <c r="O20" s="99" t="s">
        <v>3017</v>
      </c>
      <c r="P20" s="101">
        <f>SUMIFS('附表7-扣除项目明细采集底稿'!$T:$T,'附表7-扣除项目明细采集底稿'!$G:$G,$B20)</f>
        <v>128802.85</v>
      </c>
      <c r="Q20" s="103">
        <f t="shared" si="1"/>
        <v>262077.48</v>
      </c>
      <c r="R20" s="104"/>
      <c r="S20" s="99" t="s">
        <v>12</v>
      </c>
      <c r="T20" s="99" t="s">
        <v>331</v>
      </c>
      <c r="U20" s="99" t="s">
        <v>333</v>
      </c>
      <c r="V20" s="99"/>
      <c r="W20" s="99"/>
      <c r="X20" s="99"/>
      <c r="Y20" s="99"/>
      <c r="Z20" s="99"/>
      <c r="AA20" s="99"/>
      <c r="AB20" s="99"/>
      <c r="AC20" s="94"/>
    </row>
    <row r="21" ht="23.8" hidden="1" spans="1:29">
      <c r="A21" s="90">
        <v>16</v>
      </c>
      <c r="B21" s="91" t="s">
        <v>1911</v>
      </c>
      <c r="C21" s="91" t="s">
        <v>3044</v>
      </c>
      <c r="D21" s="92" t="s">
        <v>3019</v>
      </c>
      <c r="E21" s="91" t="s">
        <v>3045</v>
      </c>
      <c r="F21" s="93">
        <v>43606</v>
      </c>
      <c r="G21" s="94">
        <v>520000</v>
      </c>
      <c r="H21" s="94">
        <v>520000</v>
      </c>
      <c r="I21" s="99" t="s">
        <v>332</v>
      </c>
      <c r="J21" s="99" t="s">
        <v>332</v>
      </c>
      <c r="K21" s="99" t="s">
        <v>16</v>
      </c>
      <c r="L21" s="99" t="s">
        <v>311</v>
      </c>
      <c r="M21" s="100">
        <f>IFERROR(IF(COUNTIFS(S21:AB21,清算项目基本情况表!$D$6)&gt;=1,IF(L21="占地面积法",ROUND(SUM('附表4-项目间分摊信息采集表'!$E$5)/SUMPRODUCT(SUMIFS('附表4-项目间分摊信息采集表'!$E:$E,'附表4-项目间分摊信息采集表'!$B:$B,S21:AB21)),20),IF(L21="测绘总建筑面积法",ROUND(SUM('附表4-项目间分摊信息采集表'!$F$5)/SUMPRODUCT(SUMIFS('附表4-项目间分摊信息采集表'!$F:$F,'附表4-项目间分摊信息采集表'!$B:$B,S21:AB21)),20),IF(L21="可售建筑面积法",ROUND(SUM('附表4-项目间分摊信息采集表'!$G$5)/SUMPRODUCT(SUMIFS('附表4-项目间分摊信息采集表'!$G:$G,'附表4-项目间分摊信息采集表'!$B:$B,S21:AB21)),20),IF(L21="其他分摊方法",ROUND(SUM('附表4-项目间分摊信息采集表'!$H$5)/SUMPRODUCT(SUMIFS('附表4-项目间分摊信息采集表'!$H:$H,'附表4-项目间分摊信息采集表'!$B:$B,S21:AB21)),20),IF(L21="手工填写分摊比例","请填写分摊比例",100%))))),IF(COUNTA(S21:AB21)&gt;=1,0%,100%)),100%)</f>
        <v>0.329519901724361</v>
      </c>
      <c r="N21" s="94">
        <f>SUMIFS('附表7-扣除项目明细采集底稿'!$R:$R,'附表7-扣除项目明细采集底稿'!$G:$G,B21)</f>
        <v>514851.481980198</v>
      </c>
      <c r="O21" s="99" t="s">
        <v>3017</v>
      </c>
      <c r="P21" s="101">
        <f>SUMIFS('附表7-扣除项目明细采集底稿'!$T:$T,'附表7-扣除项目明细采集底稿'!$G:$G,$B21)</f>
        <v>169653.81</v>
      </c>
      <c r="Q21" s="103">
        <f t="shared" si="1"/>
        <v>345197.67</v>
      </c>
      <c r="R21" s="104"/>
      <c r="S21" s="99" t="s">
        <v>12</v>
      </c>
      <c r="T21" s="99" t="s">
        <v>331</v>
      </c>
      <c r="U21" s="99" t="s">
        <v>333</v>
      </c>
      <c r="V21" s="99"/>
      <c r="W21" s="99"/>
      <c r="X21" s="99"/>
      <c r="Y21" s="99"/>
      <c r="Z21" s="99"/>
      <c r="AA21" s="99"/>
      <c r="AB21" s="99"/>
      <c r="AC21" s="94"/>
    </row>
    <row r="22" ht="23.8" hidden="1" spans="1:29">
      <c r="A22" s="90">
        <v>17</v>
      </c>
      <c r="B22" s="91" t="s">
        <v>2107</v>
      </c>
      <c r="C22" s="91" t="s">
        <v>3046</v>
      </c>
      <c r="D22" s="92" t="s">
        <v>3019</v>
      </c>
      <c r="E22" s="91" t="s">
        <v>3047</v>
      </c>
      <c r="F22" s="93">
        <v>44980</v>
      </c>
      <c r="G22" s="94">
        <v>11000</v>
      </c>
      <c r="H22" s="94">
        <v>11000</v>
      </c>
      <c r="I22" s="99" t="s">
        <v>332</v>
      </c>
      <c r="J22" s="99" t="s">
        <v>332</v>
      </c>
      <c r="K22" s="99" t="s">
        <v>16</v>
      </c>
      <c r="L22" s="99" t="s">
        <v>311</v>
      </c>
      <c r="M22" s="100">
        <f>IFERROR(IF(COUNTIFS(S22:AB22,清算项目基本情况表!$D$6)&gt;=1,IF(L22="占地面积法",ROUND(SUM('附表4-项目间分摊信息采集表'!$E$5)/SUMPRODUCT(SUMIFS('附表4-项目间分摊信息采集表'!$E:$E,'附表4-项目间分摊信息采集表'!$B:$B,S22:AB22)),20),IF(L22="测绘总建筑面积法",ROUND(SUM('附表4-项目间分摊信息采集表'!$F$5)/SUMPRODUCT(SUMIFS('附表4-项目间分摊信息采集表'!$F:$F,'附表4-项目间分摊信息采集表'!$B:$B,S22:AB22)),20),IF(L22="可售建筑面积法",ROUND(SUM('附表4-项目间分摊信息采集表'!$G$5)/SUMPRODUCT(SUMIFS('附表4-项目间分摊信息采集表'!$G:$G,'附表4-项目间分摊信息采集表'!$B:$B,S22:AB22)),20),IF(L22="其他分摊方法",ROUND(SUM('附表4-项目间分摊信息采集表'!$H$5)/SUMPRODUCT(SUMIFS('附表4-项目间分摊信息采集表'!$H:$H,'附表4-项目间分摊信息采集表'!$B:$B,S22:AB22)),20),IF(L22="手工填写分摊比例","请填写分摊比例",100%))))),IF(COUNTA(S22:AB22)&gt;=1,0%,100%)),100%)</f>
        <v>0.329519901724361</v>
      </c>
      <c r="N22" s="94">
        <f>SUMIFS('附表7-扣除项目明细采集底稿'!$R:$R,'附表7-扣除项目明细采集底稿'!$G:$G,B22)</f>
        <v>0</v>
      </c>
      <c r="O22" s="99" t="s">
        <v>3017</v>
      </c>
      <c r="P22" s="101">
        <f>SUMIFS('附表7-扣除项目明细采集底稿'!$T:$T,'附表7-扣除项目明细采集底稿'!$G:$G,$B22)</f>
        <v>0</v>
      </c>
      <c r="Q22" s="103">
        <f t="shared" si="1"/>
        <v>0</v>
      </c>
      <c r="R22" s="104"/>
      <c r="S22" s="99" t="s">
        <v>12</v>
      </c>
      <c r="T22" s="99" t="s">
        <v>331</v>
      </c>
      <c r="U22" s="99" t="s">
        <v>333</v>
      </c>
      <c r="V22" s="99"/>
      <c r="W22" s="99"/>
      <c r="X22" s="99"/>
      <c r="Y22" s="99"/>
      <c r="Z22" s="99"/>
      <c r="AA22" s="99"/>
      <c r="AB22" s="99"/>
      <c r="AC22" s="94"/>
    </row>
    <row r="23" ht="23.8" hidden="1" spans="1:29">
      <c r="A23" s="90">
        <v>18</v>
      </c>
      <c r="B23" s="91" t="s">
        <v>2290</v>
      </c>
      <c r="C23" s="91" t="s">
        <v>3048</v>
      </c>
      <c r="D23" s="92" t="s">
        <v>3049</v>
      </c>
      <c r="E23" s="91" t="s">
        <v>3050</v>
      </c>
      <c r="F23" s="93">
        <v>45156</v>
      </c>
      <c r="G23" s="94">
        <v>82800</v>
      </c>
      <c r="H23" s="94">
        <v>139525.2</v>
      </c>
      <c r="I23" s="99" t="s">
        <v>332</v>
      </c>
      <c r="J23" s="99" t="s">
        <v>332</v>
      </c>
      <c r="K23" s="99" t="s">
        <v>16</v>
      </c>
      <c r="L23" s="99" t="s">
        <v>311</v>
      </c>
      <c r="M23" s="100">
        <f>IFERROR(IF(COUNTIFS(S23:AB23,清算项目基本情况表!$D$6)&gt;=1,IF(L23="占地面积法",ROUND(SUM('附表4-项目间分摊信息采集表'!$E$5)/SUMPRODUCT(SUMIFS('附表4-项目间分摊信息采集表'!$E:$E,'附表4-项目间分摊信息采集表'!$B:$B,S23:AB23)),20),IF(L23="测绘总建筑面积法",ROUND(SUM('附表4-项目间分摊信息采集表'!$F$5)/SUMPRODUCT(SUMIFS('附表4-项目间分摊信息采集表'!$F:$F,'附表4-项目间分摊信息采集表'!$B:$B,S23:AB23)),20),IF(L23="可售建筑面积法",ROUND(SUM('附表4-项目间分摊信息采集表'!$G$5)/SUMPRODUCT(SUMIFS('附表4-项目间分摊信息采集表'!$G:$G,'附表4-项目间分摊信息采集表'!$B:$B,S23:AB23)),20),IF(L23="其他分摊方法",ROUND(SUM('附表4-项目间分摊信息采集表'!$H$5)/SUMPRODUCT(SUMIFS('附表4-项目间分摊信息采集表'!$H:$H,'附表4-项目间分摊信息采集表'!$B:$B,S23:AB23)),20),IF(L23="手工填写分摊比例","请填写分摊比例",100%))))),IF(COUNTA(S23:AB23)&gt;=1,0%,100%)),100%)</f>
        <v>0.329519901724361</v>
      </c>
      <c r="N23" s="94">
        <f>SUMIFS('附表7-扣除项目明细采集底稿'!$R:$R,'附表7-扣除项目明细采集底稿'!$G:$G,B23)</f>
        <v>135461.359223301</v>
      </c>
      <c r="O23" s="99" t="s">
        <v>3017</v>
      </c>
      <c r="P23" s="101">
        <f>SUMIFS('附表7-扣除项目明细采集底稿'!$T:$T,'附表7-扣除项目明细采集底稿'!$G:$G,$B23)</f>
        <v>44637.21</v>
      </c>
      <c r="Q23" s="103">
        <f t="shared" si="1"/>
        <v>90824.15</v>
      </c>
      <c r="R23" s="104"/>
      <c r="S23" s="99" t="s">
        <v>12</v>
      </c>
      <c r="T23" s="99" t="s">
        <v>331</v>
      </c>
      <c r="U23" s="99" t="s">
        <v>333</v>
      </c>
      <c r="V23" s="99"/>
      <c r="W23" s="99"/>
      <c r="X23" s="99"/>
      <c r="Y23" s="99"/>
      <c r="Z23" s="99"/>
      <c r="AA23" s="99"/>
      <c r="AB23" s="99"/>
      <c r="AC23" s="94"/>
    </row>
    <row r="24" hidden="1" spans="1:29">
      <c r="A24" s="90">
        <v>19</v>
      </c>
      <c r="B24" s="91" t="s">
        <v>1821</v>
      </c>
      <c r="C24" s="91" t="s">
        <v>3051</v>
      </c>
      <c r="D24" s="92" t="s">
        <v>3049</v>
      </c>
      <c r="E24" s="91" t="s">
        <v>3052</v>
      </c>
      <c r="F24" s="93">
        <v>43991</v>
      </c>
      <c r="G24" s="94">
        <v>100000</v>
      </c>
      <c r="H24" s="94">
        <v>100000</v>
      </c>
      <c r="I24" s="99" t="s">
        <v>332</v>
      </c>
      <c r="J24" s="99" t="s">
        <v>332</v>
      </c>
      <c r="K24" s="99" t="s">
        <v>16</v>
      </c>
      <c r="L24" s="99" t="s">
        <v>311</v>
      </c>
      <c r="M24" s="100">
        <f>IFERROR(IF(COUNTIFS(S24:AB24,清算项目基本情况表!$D$6)&gt;=1,IF(L24="占地面积法",ROUND(SUM('附表4-项目间分摊信息采集表'!$E$5)/SUMPRODUCT(SUMIFS('附表4-项目间分摊信息采集表'!$E:$E,'附表4-项目间分摊信息采集表'!$B:$B,S24:AB24)),20),IF(L24="测绘总建筑面积法",ROUND(SUM('附表4-项目间分摊信息采集表'!$F$5)/SUMPRODUCT(SUMIFS('附表4-项目间分摊信息采集表'!$F:$F,'附表4-项目间分摊信息采集表'!$B:$B,S24:AB24)),20),IF(L24="可售建筑面积法",ROUND(SUM('附表4-项目间分摊信息采集表'!$G$5)/SUMPRODUCT(SUMIFS('附表4-项目间分摊信息采集表'!$G:$G,'附表4-项目间分摊信息采集表'!$B:$B,S24:AB24)),20),IF(L24="其他分摊方法",ROUND(SUM('附表4-项目间分摊信息采集表'!$H$5)/SUMPRODUCT(SUMIFS('附表4-项目间分摊信息采集表'!$H:$H,'附表4-项目间分摊信息采集表'!$B:$B,S24:AB24)),20),IF(L24="手工填写分摊比例","请填写分摊比例",100%))))),IF(COUNTA(S24:AB24)&gt;=1,0%,100%)),100%)</f>
        <v>0.329519901724361</v>
      </c>
      <c r="N24" s="94">
        <f>SUMIFS('附表7-扣除项目明细采集底稿'!$R:$R,'附表7-扣除项目明细采集底稿'!$G:$G,B24)</f>
        <v>88495.58</v>
      </c>
      <c r="O24" s="99" t="s">
        <v>3017</v>
      </c>
      <c r="P24" s="101">
        <f>SUMIFS('附表7-扣除项目明细采集底稿'!$T:$T,'附表7-扣除项目明细采集底稿'!$G:$G,$B24)</f>
        <v>29161.05</v>
      </c>
      <c r="Q24" s="103">
        <f t="shared" si="1"/>
        <v>59334.53</v>
      </c>
      <c r="R24" s="104"/>
      <c r="S24" s="99" t="s">
        <v>12</v>
      </c>
      <c r="T24" s="99" t="s">
        <v>331</v>
      </c>
      <c r="U24" s="99" t="s">
        <v>333</v>
      </c>
      <c r="V24" s="99"/>
      <c r="W24" s="99"/>
      <c r="X24" s="99"/>
      <c r="Y24" s="99"/>
      <c r="Z24" s="99"/>
      <c r="AA24" s="99"/>
      <c r="AB24" s="99"/>
      <c r="AC24" s="94"/>
    </row>
    <row r="25" ht="23.8" hidden="1" spans="1:29">
      <c r="A25" s="90">
        <v>20</v>
      </c>
      <c r="B25" s="91" t="s">
        <v>1825</v>
      </c>
      <c r="C25" s="91" t="s">
        <v>3053</v>
      </c>
      <c r="D25" s="92" t="s">
        <v>3049</v>
      </c>
      <c r="E25" s="91" t="s">
        <v>3054</v>
      </c>
      <c r="F25" s="93">
        <v>44027</v>
      </c>
      <c r="G25" s="94">
        <v>66000</v>
      </c>
      <c r="H25" s="94">
        <v>66000</v>
      </c>
      <c r="I25" s="99" t="s">
        <v>332</v>
      </c>
      <c r="J25" s="99" t="s">
        <v>332</v>
      </c>
      <c r="K25" s="99" t="s">
        <v>16</v>
      </c>
      <c r="L25" s="99" t="s">
        <v>311</v>
      </c>
      <c r="M25" s="100">
        <f>IFERROR(IF(COUNTIFS(S25:AB25,清算项目基本情况表!$D$6)&gt;=1,IF(L25="占地面积法",ROUND(SUM('附表4-项目间分摊信息采集表'!$E$5)/SUMPRODUCT(SUMIFS('附表4-项目间分摊信息采集表'!$E:$E,'附表4-项目间分摊信息采集表'!$B:$B,S25:AB25)),20),IF(L25="测绘总建筑面积法",ROUND(SUM('附表4-项目间分摊信息采集表'!$F$5)/SUMPRODUCT(SUMIFS('附表4-项目间分摊信息采集表'!$F:$F,'附表4-项目间分摊信息采集表'!$B:$B,S25:AB25)),20),IF(L25="可售建筑面积法",ROUND(SUM('附表4-项目间分摊信息采集表'!$G$5)/SUMPRODUCT(SUMIFS('附表4-项目间分摊信息采集表'!$G:$G,'附表4-项目间分摊信息采集表'!$B:$B,S25:AB25)),20),IF(L25="其他分摊方法",ROUND(SUM('附表4-项目间分摊信息采集表'!$H$5)/SUMPRODUCT(SUMIFS('附表4-项目间分摊信息采集表'!$H:$H,'附表4-项目间分摊信息采集表'!$B:$B,S25:AB25)),20),IF(L25="手工填写分摊比例","请填写分摊比例",100%))))),IF(COUNTA(S25:AB25)&gt;=1,0%,100%)),100%)</f>
        <v>0.329519901724361</v>
      </c>
      <c r="N25" s="94">
        <f>SUMIFS('附表7-扣除项目明细采集底稿'!$R:$R,'附表7-扣除项目明细采集底稿'!$G:$G,B25)</f>
        <v>58407.08</v>
      </c>
      <c r="O25" s="99" t="s">
        <v>3017</v>
      </c>
      <c r="P25" s="101">
        <f>SUMIFS('附表7-扣除项目明细采集底稿'!$T:$T,'附表7-扣除项目明细采集底稿'!$G:$G,$B25)</f>
        <v>19246.3</v>
      </c>
      <c r="Q25" s="103">
        <f t="shared" si="1"/>
        <v>39160.78</v>
      </c>
      <c r="R25" s="104"/>
      <c r="S25" s="99" t="s">
        <v>12</v>
      </c>
      <c r="T25" s="99" t="s">
        <v>331</v>
      </c>
      <c r="U25" s="99" t="s">
        <v>333</v>
      </c>
      <c r="V25" s="99"/>
      <c r="W25" s="99"/>
      <c r="X25" s="99"/>
      <c r="Y25" s="99"/>
      <c r="Z25" s="99"/>
      <c r="AA25" s="99"/>
      <c r="AB25" s="99"/>
      <c r="AC25" s="94"/>
    </row>
    <row r="26" ht="23.8" hidden="1" spans="1:29">
      <c r="A26" s="90">
        <v>21</v>
      </c>
      <c r="B26" s="91" t="s">
        <v>1755</v>
      </c>
      <c r="C26" s="91" t="s">
        <v>3055</v>
      </c>
      <c r="D26" s="92" t="s">
        <v>3024</v>
      </c>
      <c r="E26" s="91" t="s">
        <v>3056</v>
      </c>
      <c r="F26" s="93">
        <v>44148</v>
      </c>
      <c r="G26" s="94">
        <v>556500</v>
      </c>
      <c r="H26" s="94">
        <v>556500</v>
      </c>
      <c r="I26" s="99" t="s">
        <v>332</v>
      </c>
      <c r="J26" s="99" t="s">
        <v>332</v>
      </c>
      <c r="K26" s="99" t="s">
        <v>16</v>
      </c>
      <c r="L26" s="99" t="s">
        <v>311</v>
      </c>
      <c r="M26" s="100">
        <f>IFERROR(IF(COUNTIFS(S26:AB26,清算项目基本情况表!$D$6)&gt;=1,IF(L26="占地面积法",ROUND(SUM('附表4-项目间分摊信息采集表'!$E$5)/SUMPRODUCT(SUMIFS('附表4-项目间分摊信息采集表'!$E:$E,'附表4-项目间分摊信息采集表'!$B:$B,S26:AB26)),20),IF(L26="测绘总建筑面积法",ROUND(SUM('附表4-项目间分摊信息采集表'!$F$5)/SUMPRODUCT(SUMIFS('附表4-项目间分摊信息采集表'!$F:$F,'附表4-项目间分摊信息采集表'!$B:$B,S26:AB26)),20),IF(L26="可售建筑面积法",ROUND(SUM('附表4-项目间分摊信息采集表'!$G$5)/SUMPRODUCT(SUMIFS('附表4-项目间分摊信息采集表'!$G:$G,'附表4-项目间分摊信息采集表'!$B:$B,S26:AB26)),20),IF(L26="其他分摊方法",ROUND(SUM('附表4-项目间分摊信息采集表'!$H$5)/SUMPRODUCT(SUMIFS('附表4-项目间分摊信息采集表'!$H:$H,'附表4-项目间分摊信息采集表'!$B:$B,S26:AB26)),20),IF(L26="手工填写分摊比例","请填写分摊比例",100%))))),IF(COUNTA(S26:AB26)&gt;=1,0%,100%)),100%)</f>
        <v>0.329519901724361</v>
      </c>
      <c r="N26" s="94">
        <f>SUMIFS('附表7-扣除项目明细采集底稿'!$R:$R,'附表7-扣除项目明细采集底稿'!$G:$G,B26)</f>
        <v>536298.83</v>
      </c>
      <c r="O26" s="99" t="s">
        <v>3017</v>
      </c>
      <c r="P26" s="101">
        <f>SUMIFS('附表7-扣除项目明细采集底稿'!$T:$T,'附表7-扣除项目明细采集底稿'!$G:$G,$B26)</f>
        <v>176721.12</v>
      </c>
      <c r="Q26" s="103">
        <f t="shared" si="1"/>
        <v>359577.71</v>
      </c>
      <c r="R26" s="104"/>
      <c r="S26" s="99" t="s">
        <v>12</v>
      </c>
      <c r="T26" s="99" t="s">
        <v>331</v>
      </c>
      <c r="U26" s="99" t="s">
        <v>333</v>
      </c>
      <c r="V26" s="99"/>
      <c r="W26" s="99"/>
      <c r="X26" s="99"/>
      <c r="Y26" s="99"/>
      <c r="Z26" s="99"/>
      <c r="AA26" s="99"/>
      <c r="AB26" s="99"/>
      <c r="AC26" s="94"/>
    </row>
    <row r="27" ht="23.8" hidden="1" spans="1:29">
      <c r="A27" s="90">
        <v>22</v>
      </c>
      <c r="B27" s="91" t="s">
        <v>1767</v>
      </c>
      <c r="C27" s="91" t="s">
        <v>3057</v>
      </c>
      <c r="D27" s="92" t="s">
        <v>3019</v>
      </c>
      <c r="E27" s="91" t="s">
        <v>3058</v>
      </c>
      <c r="F27" s="93">
        <v>43663</v>
      </c>
      <c r="G27" s="94">
        <v>270183</v>
      </c>
      <c r="H27" s="94">
        <v>294000</v>
      </c>
      <c r="I27" s="99" t="s">
        <v>332</v>
      </c>
      <c r="J27" s="99" t="s">
        <v>332</v>
      </c>
      <c r="K27" s="99" t="s">
        <v>16</v>
      </c>
      <c r="L27" s="99" t="s">
        <v>311</v>
      </c>
      <c r="M27" s="100">
        <f>IFERROR(IF(COUNTIFS(S27:AB27,清算项目基本情况表!$D$6)&gt;=1,IF(L27="占地面积法",ROUND(SUM('附表4-项目间分摊信息采集表'!$E$5)/SUMPRODUCT(SUMIFS('附表4-项目间分摊信息采集表'!$E:$E,'附表4-项目间分摊信息采集表'!$B:$B,S27:AB27)),20),IF(L27="测绘总建筑面积法",ROUND(SUM('附表4-项目间分摊信息采集表'!$F$5)/SUMPRODUCT(SUMIFS('附表4-项目间分摊信息采集表'!$F:$F,'附表4-项目间分摊信息采集表'!$B:$B,S27:AB27)),20),IF(L27="可售建筑面积法",ROUND(SUM('附表4-项目间分摊信息采集表'!$G$5)/SUMPRODUCT(SUMIFS('附表4-项目间分摊信息采集表'!$G:$G,'附表4-项目间分摊信息采集表'!$B:$B,S27:AB27)),20),IF(L27="其他分摊方法",ROUND(SUM('附表4-项目间分摊信息采集表'!$H$5)/SUMPRODUCT(SUMIFS('附表4-项目间分摊信息采集表'!$H:$H,'附表4-项目间分摊信息采集表'!$B:$B,S27:AB27)),20),IF(L27="手工填写分摊比例","请填写分摊比例",100%))))),IF(COUNTA(S27:AB27)&gt;=1,0%,100%)),100%)</f>
        <v>0.329519901724361</v>
      </c>
      <c r="N27" s="94">
        <f>SUMIFS('附表7-扣除项目明细采集底稿'!$R:$R,'附表7-扣除项目明细采集底稿'!$G:$G,B27)</f>
        <v>402108.85</v>
      </c>
      <c r="O27" s="99" t="s">
        <v>3017</v>
      </c>
      <c r="P27" s="101">
        <f>SUMIFS('附表7-扣除项目明细采集底稿'!$T:$T,'附表7-扣除项目明细采集底稿'!$G:$G,$B27)</f>
        <v>132502.87</v>
      </c>
      <c r="Q27" s="103">
        <f t="shared" si="1"/>
        <v>269605.98</v>
      </c>
      <c r="R27" s="104"/>
      <c r="S27" s="99" t="s">
        <v>12</v>
      </c>
      <c r="T27" s="99" t="s">
        <v>331</v>
      </c>
      <c r="U27" s="99" t="s">
        <v>333</v>
      </c>
      <c r="V27" s="99"/>
      <c r="W27" s="99"/>
      <c r="X27" s="99"/>
      <c r="Y27" s="99"/>
      <c r="Z27" s="99"/>
      <c r="AA27" s="99"/>
      <c r="AB27" s="99"/>
      <c r="AC27" s="94"/>
    </row>
    <row r="28" ht="23.8" hidden="1" spans="1:29">
      <c r="A28" s="90">
        <v>23</v>
      </c>
      <c r="B28" s="91" t="s">
        <v>1887</v>
      </c>
      <c r="C28" s="91" t="s">
        <v>3059</v>
      </c>
      <c r="D28" s="92" t="s">
        <v>3015</v>
      </c>
      <c r="E28" s="91" t="s">
        <v>3060</v>
      </c>
      <c r="F28" s="93">
        <v>44148</v>
      </c>
      <c r="G28" s="94">
        <v>4364712.48</v>
      </c>
      <c r="H28" s="94">
        <v>4364712.48</v>
      </c>
      <c r="I28" s="99" t="s">
        <v>332</v>
      </c>
      <c r="J28" s="99" t="s">
        <v>332</v>
      </c>
      <c r="K28" s="99" t="s">
        <v>16</v>
      </c>
      <c r="L28" s="99" t="s">
        <v>311</v>
      </c>
      <c r="M28" s="100">
        <f>IFERROR(IF(COUNTIFS(S28:AB28,清算项目基本情况表!$D$6)&gt;=1,IF(L28="占地面积法",ROUND(SUM('附表4-项目间分摊信息采集表'!$E$5)/SUMPRODUCT(SUMIFS('附表4-项目间分摊信息采集表'!$E:$E,'附表4-项目间分摊信息采集表'!$B:$B,S28:AB28)),20),IF(L28="测绘总建筑面积法",ROUND(SUM('附表4-项目间分摊信息采集表'!$F$5)/SUMPRODUCT(SUMIFS('附表4-项目间分摊信息采集表'!$F:$F,'附表4-项目间分摊信息采集表'!$B:$B,S28:AB28)),20),IF(L28="可售建筑面积法",ROUND(SUM('附表4-项目间分摊信息采集表'!$G$5)/SUMPRODUCT(SUMIFS('附表4-项目间分摊信息采集表'!$G:$G,'附表4-项目间分摊信息采集表'!$B:$B,S28:AB28)),20),IF(L28="其他分摊方法",ROUND(SUM('附表4-项目间分摊信息采集表'!$H$5)/SUMPRODUCT(SUMIFS('附表4-项目间分摊信息采集表'!$H:$H,'附表4-项目间分摊信息采集表'!$B:$B,S28:AB28)),20),IF(L28="手工填写分摊比例","请填写分摊比例",100%))))),IF(COUNTA(S28:AB28)&gt;=1,0%,100%)),100%)</f>
        <v>0.329519901724361</v>
      </c>
      <c r="N28" s="94">
        <f>SUMIFS('附表7-扣除项目明细采集底稿'!$R:$R,'附表7-扣除项目明细采集底稿'!$G:$G,B28)</f>
        <v>4004322.64</v>
      </c>
      <c r="O28" s="99" t="s">
        <v>3017</v>
      </c>
      <c r="P28" s="101">
        <f>SUMIFS('附表7-扣除项目明细采集底稿'!$T:$T,'附表7-扣除项目明细采集底稿'!$G:$G,$B28)</f>
        <v>1319504.01</v>
      </c>
      <c r="Q28" s="103">
        <f t="shared" si="1"/>
        <v>2684818.63</v>
      </c>
      <c r="R28" s="104"/>
      <c r="S28" s="99" t="s">
        <v>12</v>
      </c>
      <c r="T28" s="99" t="s">
        <v>331</v>
      </c>
      <c r="U28" s="99" t="s">
        <v>333</v>
      </c>
      <c r="V28" s="99"/>
      <c r="W28" s="99"/>
      <c r="X28" s="99"/>
      <c r="Y28" s="99"/>
      <c r="Z28" s="99"/>
      <c r="AA28" s="99"/>
      <c r="AB28" s="99"/>
      <c r="AC28" s="94"/>
    </row>
    <row r="29" ht="23.8" hidden="1" spans="1:29">
      <c r="A29" s="90">
        <v>24</v>
      </c>
      <c r="B29" s="91" t="s">
        <v>1710</v>
      </c>
      <c r="C29" s="91" t="s">
        <v>3061</v>
      </c>
      <c r="D29" s="92" t="s">
        <v>3024</v>
      </c>
      <c r="E29" s="91" t="s">
        <v>3062</v>
      </c>
      <c r="F29" s="93">
        <v>43321</v>
      </c>
      <c r="G29" s="95">
        <v>1915344</v>
      </c>
      <c r="H29" s="95">
        <v>1268672.22</v>
      </c>
      <c r="I29" s="99" t="s">
        <v>332</v>
      </c>
      <c r="J29" s="99" t="s">
        <v>332</v>
      </c>
      <c r="K29" s="99" t="s">
        <v>16</v>
      </c>
      <c r="L29" s="99" t="s">
        <v>311</v>
      </c>
      <c r="M29" s="100">
        <f>IFERROR(IF(COUNTIFS(S29:AB29,清算项目基本情况表!$D$6)&gt;=1,IF(L29="占地面积法",ROUND(SUM('附表4-项目间分摊信息采集表'!$E$5)/SUMPRODUCT(SUMIFS('附表4-项目间分摊信息采集表'!$E:$E,'附表4-项目间分摊信息采集表'!$B:$B,S29:AB29)),20),IF(L29="测绘总建筑面积法",ROUND(SUM('附表4-项目间分摊信息采集表'!$F$5)/SUMPRODUCT(SUMIFS('附表4-项目间分摊信息采集表'!$F:$F,'附表4-项目间分摊信息采集表'!$B:$B,S29:AB29)),20),IF(L29="可售建筑面积法",ROUND(SUM('附表4-项目间分摊信息采集表'!$G$5)/SUMPRODUCT(SUMIFS('附表4-项目间分摊信息采集表'!$G:$G,'附表4-项目间分摊信息采集表'!$B:$B,S29:AB29)),20),IF(L29="其他分摊方法",ROUND(SUM('附表4-项目间分摊信息采集表'!$H$5)/SUMPRODUCT(SUMIFS('附表4-项目间分摊信息采集表'!$H:$H,'附表4-项目间分摊信息采集表'!$B:$B,S29:AB29)),20),IF(L29="手工填写分摊比例","请填写分摊比例",100%))))),IF(COUNTA(S29:AB29)&gt;=1,0%,100%)),100%)</f>
        <v>0.329519901724361</v>
      </c>
      <c r="N29" s="94">
        <f>SUMIFS('附表7-扣除项目明细采集底稿'!$R:$R,'附表7-扣除项目明细采集底稿'!$G:$G,B29)</f>
        <v>1196860.56</v>
      </c>
      <c r="O29" s="99" t="s">
        <v>3017</v>
      </c>
      <c r="P29" s="101">
        <f>SUMIFS('附表7-扣除项目明细采集底稿'!$T:$T,'附表7-扣除项目明细采集底稿'!$G:$G,$B29)</f>
        <v>394389.39</v>
      </c>
      <c r="Q29" s="103">
        <f t="shared" si="1"/>
        <v>802471.17</v>
      </c>
      <c r="R29" s="104"/>
      <c r="S29" s="99" t="s">
        <v>12</v>
      </c>
      <c r="T29" s="99" t="s">
        <v>331</v>
      </c>
      <c r="U29" s="99" t="s">
        <v>333</v>
      </c>
      <c r="V29" s="99"/>
      <c r="W29" s="99"/>
      <c r="X29" s="99"/>
      <c r="Y29" s="99"/>
      <c r="Z29" s="99"/>
      <c r="AA29" s="99"/>
      <c r="AB29" s="99"/>
      <c r="AC29" s="94"/>
    </row>
    <row r="30" hidden="1" spans="1:29">
      <c r="A30" s="90">
        <v>25</v>
      </c>
      <c r="B30" s="91" t="s">
        <v>1997</v>
      </c>
      <c r="C30" s="91" t="s">
        <v>3063</v>
      </c>
      <c r="D30" s="92" t="s">
        <v>3019</v>
      </c>
      <c r="E30" s="91" t="s">
        <v>3064</v>
      </c>
      <c r="F30" s="93">
        <v>44390</v>
      </c>
      <c r="G30" s="95">
        <v>1686800</v>
      </c>
      <c r="H30" s="95">
        <v>1686800</v>
      </c>
      <c r="I30" s="99" t="s">
        <v>332</v>
      </c>
      <c r="J30" s="99" t="s">
        <v>332</v>
      </c>
      <c r="K30" s="99" t="s">
        <v>16</v>
      </c>
      <c r="L30" s="99" t="s">
        <v>311</v>
      </c>
      <c r="M30" s="100">
        <f>IFERROR(IF(COUNTIFS(S30:AB30,清算项目基本情况表!$D$6)&gt;=1,IF(L30="占地面积法",ROUND(SUM('附表4-项目间分摊信息采集表'!$E$5)/SUMPRODUCT(SUMIFS('附表4-项目间分摊信息采集表'!$E:$E,'附表4-项目间分摊信息采集表'!$B:$B,S30:AB30)),20),IF(L30="测绘总建筑面积法",ROUND(SUM('附表4-项目间分摊信息采集表'!$F$5)/SUMPRODUCT(SUMIFS('附表4-项目间分摊信息采集表'!$F:$F,'附表4-项目间分摊信息采集表'!$B:$B,S30:AB30)),20),IF(L30="可售建筑面积法",ROUND(SUM('附表4-项目间分摊信息采集表'!$G$5)/SUMPRODUCT(SUMIFS('附表4-项目间分摊信息采集表'!$G:$G,'附表4-项目间分摊信息采集表'!$B:$B,S30:AB30)),20),IF(L30="其他分摊方法",ROUND(SUM('附表4-项目间分摊信息采集表'!$H$5)/SUMPRODUCT(SUMIFS('附表4-项目间分摊信息采集表'!$H:$H,'附表4-项目间分摊信息采集表'!$B:$B,S30:AB30)),20),IF(L30="手工填写分摊比例","请填写分摊比例",100%))))),IF(COUNTA(S30:AB30)&gt;=1,0%,100%)),100%)</f>
        <v>0.329519901724361</v>
      </c>
      <c r="N30" s="94">
        <f>SUMIFS('附表7-扣除项目明细采集底稿'!$R:$R,'附表7-扣除项目明细采集底稿'!$G:$G,B30)</f>
        <v>1492743.33884956</v>
      </c>
      <c r="O30" s="99" t="s">
        <v>3017</v>
      </c>
      <c r="P30" s="101">
        <f>SUMIFS('附表7-扣除项目明细采集底稿'!$T:$T,'附表7-扣除项目明细采集底稿'!$G:$G,$B30)</f>
        <v>491888.64</v>
      </c>
      <c r="Q30" s="103">
        <f t="shared" si="1"/>
        <v>1000854.7</v>
      </c>
      <c r="R30" s="104"/>
      <c r="S30" s="99" t="s">
        <v>12</v>
      </c>
      <c r="T30" s="99" t="s">
        <v>331</v>
      </c>
      <c r="U30" s="99" t="s">
        <v>333</v>
      </c>
      <c r="V30" s="99"/>
      <c r="W30" s="99"/>
      <c r="X30" s="99"/>
      <c r="Y30" s="99"/>
      <c r="Z30" s="99"/>
      <c r="AA30" s="99"/>
      <c r="AB30" s="99"/>
      <c r="AC30" s="94"/>
    </row>
    <row r="31" ht="23.8" hidden="1" spans="1:29">
      <c r="A31" s="90">
        <v>26</v>
      </c>
      <c r="B31" s="91" t="s">
        <v>2102</v>
      </c>
      <c r="C31" s="91" t="s">
        <v>3065</v>
      </c>
      <c r="D31" s="92" t="s">
        <v>3049</v>
      </c>
      <c r="E31" s="91" t="s">
        <v>3066</v>
      </c>
      <c r="F31" s="93">
        <v>43649.46</v>
      </c>
      <c r="G31" s="94">
        <v>92000</v>
      </c>
      <c r="H31" s="94">
        <v>92000</v>
      </c>
      <c r="I31" s="99" t="s">
        <v>332</v>
      </c>
      <c r="J31" s="99" t="s">
        <v>332</v>
      </c>
      <c r="K31" s="99" t="s">
        <v>16</v>
      </c>
      <c r="L31" s="99" t="s">
        <v>311</v>
      </c>
      <c r="M31" s="100">
        <f>IFERROR(IF(COUNTIFS(S31:AB31,清算项目基本情况表!$D$6)&gt;=1,IF(L31="占地面积法",ROUND(SUM('附表4-项目间分摊信息采集表'!$E$5)/SUMPRODUCT(SUMIFS('附表4-项目间分摊信息采集表'!$E:$E,'附表4-项目间分摊信息采集表'!$B:$B,S31:AB31)),20),IF(L31="测绘总建筑面积法",ROUND(SUM('附表4-项目间分摊信息采集表'!$F$5)/SUMPRODUCT(SUMIFS('附表4-项目间分摊信息采集表'!$F:$F,'附表4-项目间分摊信息采集表'!$B:$B,S31:AB31)),20),IF(L31="可售建筑面积法",ROUND(SUM('附表4-项目间分摊信息采集表'!$G$5)/SUMPRODUCT(SUMIFS('附表4-项目间分摊信息采集表'!$G:$G,'附表4-项目间分摊信息采集表'!$B:$B,S31:AB31)),20),IF(L31="其他分摊方法",ROUND(SUM('附表4-项目间分摊信息采集表'!$H$5)/SUMPRODUCT(SUMIFS('附表4-项目间分摊信息采集表'!$H:$H,'附表4-项目间分摊信息采集表'!$B:$B,S31:AB31)),20),IF(L31="手工填写分摊比例","请填写分摊比例",100%))))),IF(COUNTA(S31:AB31)&gt;=1,0%,100%)),100%)</f>
        <v>0.329519901724361</v>
      </c>
      <c r="N31" s="94">
        <f>SUMIFS('附表7-扣除项目明细采集底稿'!$R:$R,'附表7-扣除项目明细采集底稿'!$G:$G,B31)</f>
        <v>41747.57</v>
      </c>
      <c r="O31" s="99" t="s">
        <v>3017</v>
      </c>
      <c r="P31" s="101">
        <f>SUMIFS('附表7-扣除项目明细采集底稿'!$T:$T,'附表7-扣除项目明细采集底稿'!$G:$G,$B31)</f>
        <v>13756.66</v>
      </c>
      <c r="Q31" s="103">
        <f t="shared" si="1"/>
        <v>27990.91</v>
      </c>
      <c r="R31" s="104"/>
      <c r="S31" s="99" t="s">
        <v>12</v>
      </c>
      <c r="T31" s="99" t="s">
        <v>331</v>
      </c>
      <c r="U31" s="99" t="s">
        <v>333</v>
      </c>
      <c r="V31" s="99"/>
      <c r="W31" s="99"/>
      <c r="X31" s="99"/>
      <c r="Y31" s="99"/>
      <c r="Z31" s="99"/>
      <c r="AA31" s="99"/>
      <c r="AB31" s="99"/>
      <c r="AC31" s="94"/>
    </row>
    <row r="32" ht="23.8" hidden="1" spans="1:29">
      <c r="A32" s="90">
        <v>27</v>
      </c>
      <c r="B32" s="91" t="s">
        <v>1763</v>
      </c>
      <c r="C32" s="91" t="s">
        <v>3067</v>
      </c>
      <c r="D32" s="92" t="s">
        <v>3015</v>
      </c>
      <c r="E32" s="91" t="s">
        <v>3066</v>
      </c>
      <c r="F32" s="93">
        <v>43692</v>
      </c>
      <c r="G32" s="94">
        <v>61500</v>
      </c>
      <c r="H32" s="94">
        <v>61500</v>
      </c>
      <c r="I32" s="99" t="s">
        <v>332</v>
      </c>
      <c r="J32" s="99" t="s">
        <v>332</v>
      </c>
      <c r="K32" s="99" t="s">
        <v>16</v>
      </c>
      <c r="L32" s="99" t="s">
        <v>311</v>
      </c>
      <c r="M32" s="100">
        <f>IFERROR(IF(COUNTIFS(S32:AB32,清算项目基本情况表!$D$6)&gt;=1,IF(L32="占地面积法",ROUND(SUM('附表4-项目间分摊信息采集表'!$E$5)/SUMPRODUCT(SUMIFS('附表4-项目间分摊信息采集表'!$E:$E,'附表4-项目间分摊信息采集表'!$B:$B,S32:AB32)),20),IF(L32="测绘总建筑面积法",ROUND(SUM('附表4-项目间分摊信息采集表'!$F$5)/SUMPRODUCT(SUMIFS('附表4-项目间分摊信息采集表'!$F:$F,'附表4-项目间分摊信息采集表'!$B:$B,S32:AB32)),20),IF(L32="可售建筑面积法",ROUND(SUM('附表4-项目间分摊信息采集表'!$G$5)/SUMPRODUCT(SUMIFS('附表4-项目间分摊信息采集表'!$G:$G,'附表4-项目间分摊信息采集表'!$B:$B,S32:AB32)),20),IF(L32="其他分摊方法",ROUND(SUM('附表4-项目间分摊信息采集表'!$H$5)/SUMPRODUCT(SUMIFS('附表4-项目间分摊信息采集表'!$H:$H,'附表4-项目间分摊信息采集表'!$B:$B,S32:AB32)),20),IF(L32="手工填写分摊比例","请填写分摊比例",100%))))),IF(COUNTA(S32:AB32)&gt;=1,0%,100%)),100%)</f>
        <v>0.329519901724361</v>
      </c>
      <c r="N32" s="94">
        <f>SUMIFS('附表7-扣除项目明细采集底稿'!$R:$R,'附表7-扣除项目明细采集底稿'!$G:$G,B32)</f>
        <v>34591.46</v>
      </c>
      <c r="O32" s="99" t="s">
        <v>3017</v>
      </c>
      <c r="P32" s="101">
        <f>SUMIFS('附表7-扣除项目明细采集底稿'!$T:$T,'附表7-扣除项目明细采集底稿'!$G:$G,$B32)</f>
        <v>11398.57</v>
      </c>
      <c r="Q32" s="103">
        <f t="shared" si="1"/>
        <v>23192.89</v>
      </c>
      <c r="R32" s="104"/>
      <c r="S32" s="99" t="s">
        <v>12</v>
      </c>
      <c r="T32" s="99" t="s">
        <v>331</v>
      </c>
      <c r="U32" s="99" t="s">
        <v>333</v>
      </c>
      <c r="V32" s="99"/>
      <c r="W32" s="99"/>
      <c r="X32" s="99"/>
      <c r="Y32" s="99"/>
      <c r="Z32" s="99"/>
      <c r="AA32" s="99"/>
      <c r="AB32" s="99"/>
      <c r="AC32" s="94"/>
    </row>
    <row r="33" ht="23.8" hidden="1" spans="1:29">
      <c r="A33" s="90">
        <v>28</v>
      </c>
      <c r="B33" s="91" t="s">
        <v>2277</v>
      </c>
      <c r="C33" s="91" t="s">
        <v>3068</v>
      </c>
      <c r="D33" s="92" t="s">
        <v>3015</v>
      </c>
      <c r="E33" s="91" t="s">
        <v>3069</v>
      </c>
      <c r="F33" s="93">
        <v>44271</v>
      </c>
      <c r="G33" s="94">
        <v>197686.37</v>
      </c>
      <c r="H33" s="94">
        <v>197686.37</v>
      </c>
      <c r="I33" s="99" t="s">
        <v>332</v>
      </c>
      <c r="J33" s="99" t="s">
        <v>332</v>
      </c>
      <c r="K33" s="99" t="s">
        <v>16</v>
      </c>
      <c r="L33" s="99" t="s">
        <v>311</v>
      </c>
      <c r="M33" s="100">
        <f>IFERROR(IF(COUNTIFS(S33:AB33,清算项目基本情况表!$D$6)&gt;=1,IF(L33="占地面积法",ROUND(SUM('附表4-项目间分摊信息采集表'!$E$5)/SUMPRODUCT(SUMIFS('附表4-项目间分摊信息采集表'!$E:$E,'附表4-项目间分摊信息采集表'!$B:$B,S33:AB33)),20),IF(L33="测绘总建筑面积法",ROUND(SUM('附表4-项目间分摊信息采集表'!$F$5)/SUMPRODUCT(SUMIFS('附表4-项目间分摊信息采集表'!$F:$F,'附表4-项目间分摊信息采集表'!$B:$B,S33:AB33)),20),IF(L33="可售建筑面积法",ROUND(SUM('附表4-项目间分摊信息采集表'!$G$5)/SUMPRODUCT(SUMIFS('附表4-项目间分摊信息采集表'!$G:$G,'附表4-项目间分摊信息采集表'!$B:$B,S33:AB33)),20),IF(L33="其他分摊方法",ROUND(SUM('附表4-项目间分摊信息采集表'!$H$5)/SUMPRODUCT(SUMIFS('附表4-项目间分摊信息采集表'!$H:$H,'附表4-项目间分摊信息采集表'!$B:$B,S33:AB33)),20),IF(L33="手工填写分摊比例","请填写分摊比例",100%))))),IF(COUNTA(S33:AB33)&gt;=1,0%,100%)),100%)</f>
        <v>0.329519901724361</v>
      </c>
      <c r="N33" s="94">
        <f>SUMIFS('附表7-扣除项目明细采集底稿'!$R:$R,'附表7-扣除项目明细采集底稿'!$G:$G,B33)</f>
        <v>181363.64</v>
      </c>
      <c r="O33" s="99" t="s">
        <v>3017</v>
      </c>
      <c r="P33" s="101">
        <f>SUMIFS('附表7-扣除项目明细采集底稿'!$T:$T,'附表7-扣除项目明细采集底稿'!$G:$G,$B33)</f>
        <v>59762.93</v>
      </c>
      <c r="Q33" s="103">
        <f t="shared" si="1"/>
        <v>121600.71</v>
      </c>
      <c r="R33" s="104"/>
      <c r="S33" s="99" t="s">
        <v>12</v>
      </c>
      <c r="T33" s="99" t="s">
        <v>331</v>
      </c>
      <c r="U33" s="99" t="s">
        <v>333</v>
      </c>
      <c r="V33" s="99"/>
      <c r="W33" s="99"/>
      <c r="X33" s="99"/>
      <c r="Y33" s="99"/>
      <c r="Z33" s="99"/>
      <c r="AA33" s="99"/>
      <c r="AB33" s="99"/>
      <c r="AC33" s="94">
        <f>H33/1.09</f>
        <v>181363.642201835</v>
      </c>
    </row>
    <row r="34" ht="23.8" hidden="1" spans="1:29">
      <c r="A34" s="90">
        <v>29</v>
      </c>
      <c r="B34" s="91" t="s">
        <v>2004</v>
      </c>
      <c r="C34" s="91" t="s">
        <v>3070</v>
      </c>
      <c r="D34" s="92" t="s">
        <v>3015</v>
      </c>
      <c r="E34" s="91" t="s">
        <v>3069</v>
      </c>
      <c r="F34" s="93">
        <v>44271</v>
      </c>
      <c r="G34" s="94">
        <v>249434.3804</v>
      </c>
      <c r="H34" s="94">
        <v>249434.3804</v>
      </c>
      <c r="I34" s="99" t="s">
        <v>332</v>
      </c>
      <c r="J34" s="99" t="s">
        <v>332</v>
      </c>
      <c r="K34" s="99" t="s">
        <v>16</v>
      </c>
      <c r="L34" s="99" t="s">
        <v>311</v>
      </c>
      <c r="M34" s="100">
        <f>IFERROR(IF(COUNTIFS(S34:AB34,清算项目基本情况表!$D$6)&gt;=1,IF(L34="占地面积法",ROUND(SUM('附表4-项目间分摊信息采集表'!$E$5)/SUMPRODUCT(SUMIFS('附表4-项目间分摊信息采集表'!$E:$E,'附表4-项目间分摊信息采集表'!$B:$B,S34:AB34)),20),IF(L34="测绘总建筑面积法",ROUND(SUM('附表4-项目间分摊信息采集表'!$F$5)/SUMPRODUCT(SUMIFS('附表4-项目间分摊信息采集表'!$F:$F,'附表4-项目间分摊信息采集表'!$B:$B,S34:AB34)),20),IF(L34="可售建筑面积法",ROUND(SUM('附表4-项目间分摊信息采集表'!$G$5)/SUMPRODUCT(SUMIFS('附表4-项目间分摊信息采集表'!$G:$G,'附表4-项目间分摊信息采集表'!$B:$B,S34:AB34)),20),IF(L34="其他分摊方法",ROUND(SUM('附表4-项目间分摊信息采集表'!$H$5)/SUMPRODUCT(SUMIFS('附表4-项目间分摊信息采集表'!$H:$H,'附表4-项目间分摊信息采集表'!$B:$B,S34:AB34)),20),IF(L34="手工填写分摊比例","请填写分摊比例",100%))))),IF(COUNTA(S34:AB34)&gt;=1,0%,100%)),100%)</f>
        <v>0.329519901724361</v>
      </c>
      <c r="N34" s="94">
        <f>SUMIFS('附表7-扣除项目明细采集底稿'!$R:$R,'附表7-扣除项目明细采集底稿'!$G:$G,B34)</f>
        <v>228838.88</v>
      </c>
      <c r="O34" s="99" t="s">
        <v>3017</v>
      </c>
      <c r="P34" s="101">
        <f>SUMIFS('附表7-扣除项目明细采集底稿'!$T:$T,'附表7-扣除项目明细采集底稿'!$G:$G,$B34)</f>
        <v>75406.96</v>
      </c>
      <c r="Q34" s="103">
        <f t="shared" si="1"/>
        <v>153431.92</v>
      </c>
      <c r="R34" s="104"/>
      <c r="S34" s="99" t="s">
        <v>12</v>
      </c>
      <c r="T34" s="99" t="s">
        <v>331</v>
      </c>
      <c r="U34" s="99" t="s">
        <v>333</v>
      </c>
      <c r="V34" s="99"/>
      <c r="W34" s="99"/>
      <c r="X34" s="99"/>
      <c r="Y34" s="99"/>
      <c r="Z34" s="99"/>
      <c r="AA34" s="99"/>
      <c r="AB34" s="99"/>
      <c r="AC34" s="94">
        <f>H34/1.09</f>
        <v>228838.881100917</v>
      </c>
    </row>
    <row r="35" ht="23.8" hidden="1" spans="1:29">
      <c r="A35" s="90">
        <v>30</v>
      </c>
      <c r="B35" s="91" t="s">
        <v>2061</v>
      </c>
      <c r="C35" s="91" t="s">
        <v>3071</v>
      </c>
      <c r="D35" s="92" t="s">
        <v>3015</v>
      </c>
      <c r="E35" s="91" t="s">
        <v>3072</v>
      </c>
      <c r="F35" s="93">
        <v>44148</v>
      </c>
      <c r="G35" s="94">
        <v>219000</v>
      </c>
      <c r="H35" s="94">
        <v>219000</v>
      </c>
      <c r="I35" s="99" t="s">
        <v>332</v>
      </c>
      <c r="J35" s="99" t="s">
        <v>332</v>
      </c>
      <c r="K35" s="99" t="s">
        <v>16</v>
      </c>
      <c r="L35" s="99" t="s">
        <v>311</v>
      </c>
      <c r="M35" s="100">
        <f>IFERROR(IF(COUNTIFS(S35:AB35,清算项目基本情况表!$D$6)&gt;=1,IF(L35="占地面积法",ROUND(SUM('附表4-项目间分摊信息采集表'!$E$5)/SUMPRODUCT(SUMIFS('附表4-项目间分摊信息采集表'!$E:$E,'附表4-项目间分摊信息采集表'!$B:$B,S35:AB35)),20),IF(L35="测绘总建筑面积法",ROUND(SUM('附表4-项目间分摊信息采集表'!$F$5)/SUMPRODUCT(SUMIFS('附表4-项目间分摊信息采集表'!$F:$F,'附表4-项目间分摊信息采集表'!$B:$B,S35:AB35)),20),IF(L35="可售建筑面积法",ROUND(SUM('附表4-项目间分摊信息采集表'!$G$5)/SUMPRODUCT(SUMIFS('附表4-项目间分摊信息采集表'!$G:$G,'附表4-项目间分摊信息采集表'!$B:$B,S35:AB35)),20),IF(L35="其他分摊方法",ROUND(SUM('附表4-项目间分摊信息采集表'!$H$5)/SUMPRODUCT(SUMIFS('附表4-项目间分摊信息采集表'!$H:$H,'附表4-项目间分摊信息采集表'!$B:$B,S35:AB35)),20),IF(L35="手工填写分摊比例","请填写分摊比例",100%))))),IF(COUNTA(S35:AB35)&gt;=1,0%,100%)),100%)</f>
        <v>0.329519901724361</v>
      </c>
      <c r="N35" s="94">
        <f>SUMIFS('附表7-扣除项目明细采集底稿'!$R:$R,'附表7-扣除项目明细采集底稿'!$G:$G,B35)</f>
        <v>193805.31</v>
      </c>
      <c r="O35" s="99" t="s">
        <v>3017</v>
      </c>
      <c r="P35" s="101">
        <f>SUMIFS('附表7-扣除项目明细采集底稿'!$T:$T,'附表7-扣除项目明细采集底稿'!$G:$G,$B35)</f>
        <v>63862.71</v>
      </c>
      <c r="Q35" s="103">
        <f t="shared" si="1"/>
        <v>129942.6</v>
      </c>
      <c r="R35" s="104"/>
      <c r="S35" s="99" t="s">
        <v>12</v>
      </c>
      <c r="T35" s="99" t="s">
        <v>331</v>
      </c>
      <c r="U35" s="99" t="s">
        <v>333</v>
      </c>
      <c r="V35" s="99"/>
      <c r="W35" s="99"/>
      <c r="X35" s="99"/>
      <c r="Y35" s="99"/>
      <c r="Z35" s="99"/>
      <c r="AA35" s="99"/>
      <c r="AB35" s="99"/>
      <c r="AC35" s="94"/>
    </row>
    <row r="36" hidden="1" spans="1:29">
      <c r="A36" s="90">
        <v>31</v>
      </c>
      <c r="B36" s="91" t="s">
        <v>1726</v>
      </c>
      <c r="C36" s="91" t="s">
        <v>3073</v>
      </c>
      <c r="D36" s="92" t="s">
        <v>3024</v>
      </c>
      <c r="E36" s="91" t="s">
        <v>3074</v>
      </c>
      <c r="F36" s="93">
        <v>43463</v>
      </c>
      <c r="G36" s="94">
        <v>80000</v>
      </c>
      <c r="H36" s="94">
        <v>80000</v>
      </c>
      <c r="I36" s="99" t="s">
        <v>332</v>
      </c>
      <c r="J36" s="99" t="s">
        <v>332</v>
      </c>
      <c r="K36" s="99" t="s">
        <v>16</v>
      </c>
      <c r="L36" s="99" t="s">
        <v>311</v>
      </c>
      <c r="M36" s="100">
        <f>IFERROR(IF(COUNTIFS(S36:AB36,清算项目基本情况表!$D$6)&gt;=1,IF(L36="占地面积法",ROUND(SUM('附表4-项目间分摊信息采集表'!$E$5)/SUMPRODUCT(SUMIFS('附表4-项目间分摊信息采集表'!$E:$E,'附表4-项目间分摊信息采集表'!$B:$B,S36:AB36)),20),IF(L36="测绘总建筑面积法",ROUND(SUM('附表4-项目间分摊信息采集表'!$F$5)/SUMPRODUCT(SUMIFS('附表4-项目间分摊信息采集表'!$F:$F,'附表4-项目间分摊信息采集表'!$B:$B,S36:AB36)),20),IF(L36="可售建筑面积法",ROUND(SUM('附表4-项目间分摊信息采集表'!$G$5)/SUMPRODUCT(SUMIFS('附表4-项目间分摊信息采集表'!$G:$G,'附表4-项目间分摊信息采集表'!$B:$B,S36:AB36)),20),IF(L36="其他分摊方法",ROUND(SUM('附表4-项目间分摊信息采集表'!$H$5)/SUMPRODUCT(SUMIFS('附表4-项目间分摊信息采集表'!$H:$H,'附表4-项目间分摊信息采集表'!$B:$B,S36:AB36)),20),IF(L36="手工填写分摊比例","请填写分摊比例",100%))))),IF(COUNTA(S36:AB36)&gt;=1,0%,100%)),100%)</f>
        <v>0.329519901724361</v>
      </c>
      <c r="N36" s="94">
        <f>SUMIFS('附表7-扣除项目明细采集底稿'!$R:$R,'附表7-扣除项目明细采集底稿'!$G:$G,B36)</f>
        <v>76626.81</v>
      </c>
      <c r="O36" s="99" t="s">
        <v>3017</v>
      </c>
      <c r="P36" s="101">
        <f>SUMIFS('附表7-扣除项目明细采集底稿'!$T:$T,'附表7-扣除项目明细采集底稿'!$G:$G,$B36)</f>
        <v>25250.06</v>
      </c>
      <c r="Q36" s="103">
        <f t="shared" si="1"/>
        <v>51376.75</v>
      </c>
      <c r="R36" s="104"/>
      <c r="S36" s="99" t="s">
        <v>12</v>
      </c>
      <c r="T36" s="99" t="s">
        <v>331</v>
      </c>
      <c r="U36" s="99" t="s">
        <v>333</v>
      </c>
      <c r="V36" s="99"/>
      <c r="W36" s="99"/>
      <c r="X36" s="99"/>
      <c r="Y36" s="99"/>
      <c r="Z36" s="99"/>
      <c r="AA36" s="99"/>
      <c r="AB36" s="99"/>
      <c r="AC36" s="94"/>
    </row>
    <row r="37" hidden="1" spans="1:29">
      <c r="A37" s="90">
        <v>32</v>
      </c>
      <c r="B37" s="91" t="s">
        <v>1871</v>
      </c>
      <c r="C37" s="91" t="s">
        <v>3075</v>
      </c>
      <c r="D37" s="92" t="s">
        <v>3015</v>
      </c>
      <c r="E37" s="91" t="s">
        <v>3076</v>
      </c>
      <c r="F37" s="93">
        <v>44148</v>
      </c>
      <c r="G37" s="94">
        <v>1000000</v>
      </c>
      <c r="H37" s="94">
        <v>1000000</v>
      </c>
      <c r="I37" s="99" t="s">
        <v>332</v>
      </c>
      <c r="J37" s="99" t="s">
        <v>332</v>
      </c>
      <c r="K37" s="99" t="s">
        <v>16</v>
      </c>
      <c r="L37" s="99" t="s">
        <v>3077</v>
      </c>
      <c r="M37" s="100">
        <v>0.313614973484672</v>
      </c>
      <c r="N37" s="94">
        <f>SUMIFS('附表7-扣除项目明细采集底稿'!$R:$R,'附表7-扣除项目明细采集底稿'!$G:$G,B37)</f>
        <v>600000</v>
      </c>
      <c r="O37" s="99" t="s">
        <v>3017</v>
      </c>
      <c r="P37" s="101">
        <f>SUMIFS('附表7-扣除项目明细采集底稿'!$T:$T,'附表7-扣除项目明细采集底稿'!$G:$G,$B37)</f>
        <v>188168.98</v>
      </c>
      <c r="Q37" s="103">
        <f t="shared" si="1"/>
        <v>411831.02</v>
      </c>
      <c r="R37" s="104"/>
      <c r="S37" s="99" t="s">
        <v>12</v>
      </c>
      <c r="T37" s="99" t="s">
        <v>331</v>
      </c>
      <c r="U37" s="99" t="s">
        <v>333</v>
      </c>
      <c r="V37" s="99"/>
      <c r="W37" s="99"/>
      <c r="X37" s="99"/>
      <c r="Y37" s="99"/>
      <c r="Z37" s="99"/>
      <c r="AA37" s="99"/>
      <c r="AB37" s="99"/>
      <c r="AC37" s="94"/>
    </row>
    <row r="38" ht="23.8" spans="1:29">
      <c r="A38" s="90">
        <v>33</v>
      </c>
      <c r="B38" s="91" t="s">
        <v>1877</v>
      </c>
      <c r="C38" s="91" t="s">
        <v>3078</v>
      </c>
      <c r="D38" s="92" t="s">
        <v>3024</v>
      </c>
      <c r="E38" s="91" t="s">
        <v>3079</v>
      </c>
      <c r="F38" s="93" t="s">
        <v>3080</v>
      </c>
      <c r="G38" s="94">
        <v>170000</v>
      </c>
      <c r="H38" s="94">
        <v>170000</v>
      </c>
      <c r="I38" s="99" t="s">
        <v>332</v>
      </c>
      <c r="J38" s="99" t="s">
        <v>332</v>
      </c>
      <c r="K38" s="99" t="s">
        <v>16</v>
      </c>
      <c r="L38" s="99" t="s">
        <v>311</v>
      </c>
      <c r="M38" s="100">
        <f>IFERROR(IF(COUNTIFS(S38:AB38,清算项目基本情况表!$D$6)&gt;=1,IF(L38="占地面积法",ROUND(SUM('附表4-项目间分摊信息采集表'!$E$5)/SUMPRODUCT(SUMIFS('附表4-项目间分摊信息采集表'!$E:$E,'附表4-项目间分摊信息采集表'!$B:$B,S38:AB38)),20),IF(L38="测绘总建筑面积法",ROUND(SUM('附表4-项目间分摊信息采集表'!$F$5)/SUMPRODUCT(SUMIFS('附表4-项目间分摊信息采集表'!$F:$F,'附表4-项目间分摊信息采集表'!$B:$B,S38:AB38)),20),IF(L38="可售建筑面积法",ROUND(SUM('附表4-项目间分摊信息采集表'!$G$5)/SUMPRODUCT(SUMIFS('附表4-项目间分摊信息采集表'!$G:$G,'附表4-项目间分摊信息采集表'!$B:$B,S38:AB38)),20),IF(L38="其他分摊方法",ROUND(SUM('附表4-项目间分摊信息采集表'!$H$5)/SUMPRODUCT(SUMIFS('附表4-项目间分摊信息采集表'!$H:$H,'附表4-项目间分摊信息采集表'!$B:$B,S38:AB38)),20),IF(L38="手工填写分摊比例","请填写分摊比例",100%))))),IF(COUNTA(S38:AB38)&gt;=1,0%,100%)),100%)</f>
        <v>0.329519901724361</v>
      </c>
      <c r="N38" s="94">
        <f>SUMIFS('附表7-扣除项目明细采集底稿'!$R:$R,'附表7-扣除项目明细采集底稿'!$G:$G,B38)</f>
        <v>168316.831683168</v>
      </c>
      <c r="O38" s="99" t="s">
        <v>3017</v>
      </c>
      <c r="P38" s="101">
        <f>SUMIFS('附表7-扣除项目明细采集底稿'!$T:$T,'附表7-扣除项目明细采集底稿'!$G:$G,$B38)</f>
        <v>55463.74</v>
      </c>
      <c r="Q38" s="103">
        <f t="shared" si="1"/>
        <v>112853.09</v>
      </c>
      <c r="R38" s="104"/>
      <c r="S38" s="99" t="s">
        <v>12</v>
      </c>
      <c r="T38" s="99" t="s">
        <v>331</v>
      </c>
      <c r="U38" s="99" t="s">
        <v>333</v>
      </c>
      <c r="V38" s="99"/>
      <c r="W38" s="99"/>
      <c r="X38" s="99"/>
      <c r="Y38" s="99"/>
      <c r="Z38" s="99"/>
      <c r="AA38" s="99"/>
      <c r="AB38" s="99"/>
      <c r="AC38" s="94"/>
    </row>
    <row r="39" hidden="1" spans="1:29">
      <c r="A39" s="90">
        <v>34</v>
      </c>
      <c r="B39" s="91" t="s">
        <v>1866</v>
      </c>
      <c r="C39" s="91" t="s">
        <v>3081</v>
      </c>
      <c r="D39" s="92" t="s">
        <v>3024</v>
      </c>
      <c r="E39" s="91" t="s">
        <v>3082</v>
      </c>
      <c r="F39" s="93" t="s">
        <v>3080</v>
      </c>
      <c r="G39" s="94">
        <v>35000</v>
      </c>
      <c r="H39" s="94">
        <v>35000</v>
      </c>
      <c r="I39" s="99" t="s">
        <v>332</v>
      </c>
      <c r="J39" s="99" t="s">
        <v>332</v>
      </c>
      <c r="K39" s="99" t="s">
        <v>16</v>
      </c>
      <c r="L39" s="99" t="s">
        <v>311</v>
      </c>
      <c r="M39" s="100">
        <f>IFERROR(IF(COUNTIFS(S39:AB39,清算项目基本情况表!$D$6)&gt;=1,IF(L39="占地面积法",ROUND(SUM('附表4-项目间分摊信息采集表'!$E$5)/SUMPRODUCT(SUMIFS('附表4-项目间分摊信息采集表'!$E:$E,'附表4-项目间分摊信息采集表'!$B:$B,S39:AB39)),20),IF(L39="测绘总建筑面积法",ROUND(SUM('附表4-项目间分摊信息采集表'!$F$5)/SUMPRODUCT(SUMIFS('附表4-项目间分摊信息采集表'!$F:$F,'附表4-项目间分摊信息采集表'!$B:$B,S39:AB39)),20),IF(L39="可售建筑面积法",ROUND(SUM('附表4-项目间分摊信息采集表'!$G$5)/SUMPRODUCT(SUMIFS('附表4-项目间分摊信息采集表'!$G:$G,'附表4-项目间分摊信息采集表'!$B:$B,S39:AB39)),20),IF(L39="其他分摊方法",ROUND(SUM('附表4-项目间分摊信息采集表'!$H$5)/SUMPRODUCT(SUMIFS('附表4-项目间分摊信息采集表'!$H:$H,'附表4-项目间分摊信息采集表'!$B:$B,S39:AB39)),20),IF(L39="手工填写分摊比例","请填写分摊比例",100%))))),IF(COUNTA(S39:AB39)&gt;=1,0%,100%)),100%)</f>
        <v>0.329519901724361</v>
      </c>
      <c r="N39" s="94">
        <f>SUMIFS('附表7-扣除项目明细采集底稿'!$R:$R,'附表7-扣除项目明细采集底稿'!$G:$G,B39)</f>
        <v>33018.87</v>
      </c>
      <c r="O39" s="99" t="s">
        <v>3017</v>
      </c>
      <c r="P39" s="101">
        <f>SUMIFS('附表7-扣除项目明细采集底稿'!$T:$T,'附表7-扣除项目明细采集底稿'!$G:$G,$B39)</f>
        <v>10880.37</v>
      </c>
      <c r="Q39" s="103">
        <f t="shared" si="1"/>
        <v>22138.5</v>
      </c>
      <c r="R39" s="104"/>
      <c r="S39" s="99" t="s">
        <v>12</v>
      </c>
      <c r="T39" s="99" t="s">
        <v>331</v>
      </c>
      <c r="U39" s="99" t="s">
        <v>333</v>
      </c>
      <c r="V39" s="99"/>
      <c r="W39" s="99"/>
      <c r="X39" s="99"/>
      <c r="Y39" s="99"/>
      <c r="Z39" s="99"/>
      <c r="AA39" s="99"/>
      <c r="AB39" s="99"/>
      <c r="AC39" s="94"/>
    </row>
    <row r="40" ht="23.8" hidden="1" spans="1:29">
      <c r="A40" s="90">
        <v>35</v>
      </c>
      <c r="B40" s="91" t="s">
        <v>1894</v>
      </c>
      <c r="C40" s="91" t="s">
        <v>3083</v>
      </c>
      <c r="D40" s="92" t="s">
        <v>3024</v>
      </c>
      <c r="E40" s="91" t="s">
        <v>3084</v>
      </c>
      <c r="F40" s="93">
        <v>44166</v>
      </c>
      <c r="G40" s="94">
        <v>100000</v>
      </c>
      <c r="H40" s="94">
        <v>100000</v>
      </c>
      <c r="I40" s="99" t="s">
        <v>332</v>
      </c>
      <c r="J40" s="99" t="s">
        <v>332</v>
      </c>
      <c r="K40" s="99" t="s">
        <v>16</v>
      </c>
      <c r="L40" s="99" t="s">
        <v>3077</v>
      </c>
      <c r="M40" s="100">
        <v>0.313614973484672</v>
      </c>
      <c r="N40" s="94">
        <f>SUMIFS('附表7-扣除项目明细采集底稿'!$R:$R,'附表7-扣除项目明细采集底稿'!$G:$G,B40)</f>
        <v>94339.62</v>
      </c>
      <c r="O40" s="99" t="s">
        <v>3017</v>
      </c>
      <c r="P40" s="101">
        <f>SUMIFS('附表7-扣除项目明细采集底稿'!$T:$T,'附表7-扣除项目明细采集底稿'!$G:$G,$B40)</f>
        <v>29586.32</v>
      </c>
      <c r="Q40" s="103">
        <f t="shared" si="1"/>
        <v>64753.3</v>
      </c>
      <c r="R40" s="104"/>
      <c r="S40" s="99" t="s">
        <v>12</v>
      </c>
      <c r="T40" s="99" t="s">
        <v>331</v>
      </c>
      <c r="U40" s="99" t="s">
        <v>333</v>
      </c>
      <c r="V40" s="99"/>
      <c r="W40" s="99"/>
      <c r="X40" s="99"/>
      <c r="Y40" s="99"/>
      <c r="Z40" s="99"/>
      <c r="AA40" s="99"/>
      <c r="AB40" s="99"/>
      <c r="AC40" s="94"/>
    </row>
    <row r="41" ht="23.8" hidden="1" spans="1:29">
      <c r="A41" s="90">
        <v>36</v>
      </c>
      <c r="B41" s="91" t="s">
        <v>2112</v>
      </c>
      <c r="C41" s="91" t="s">
        <v>3085</v>
      </c>
      <c r="D41" s="92" t="s">
        <v>3015</v>
      </c>
      <c r="E41" s="91" t="s">
        <v>3066</v>
      </c>
      <c r="F41" s="93">
        <v>44927</v>
      </c>
      <c r="G41" s="94">
        <v>6880</v>
      </c>
      <c r="H41" s="94">
        <v>6880</v>
      </c>
      <c r="I41" s="99" t="s">
        <v>332</v>
      </c>
      <c r="J41" s="99" t="s">
        <v>332</v>
      </c>
      <c r="K41" s="99" t="s">
        <v>16</v>
      </c>
      <c r="L41" s="99" t="s">
        <v>311</v>
      </c>
      <c r="M41" s="100">
        <f>IFERROR(IF(COUNTIFS(S41:AB41,清算项目基本情况表!$D$6)&gt;=1,IF(L41="占地面积法",ROUND(SUM('附表4-项目间分摊信息采集表'!$E$5)/SUMPRODUCT(SUMIFS('附表4-项目间分摊信息采集表'!$E:$E,'附表4-项目间分摊信息采集表'!$B:$B,S41:AB41)),20),IF(L41="测绘总建筑面积法",ROUND(SUM('附表4-项目间分摊信息采集表'!$F$5)/SUMPRODUCT(SUMIFS('附表4-项目间分摊信息采集表'!$F:$F,'附表4-项目间分摊信息采集表'!$B:$B,S41:AB41)),20),IF(L41="可售建筑面积法",ROUND(SUM('附表4-项目间分摊信息采集表'!$G$5)/SUMPRODUCT(SUMIFS('附表4-项目间分摊信息采集表'!$G:$G,'附表4-项目间分摊信息采集表'!$B:$B,S41:AB41)),20),IF(L41="其他分摊方法",ROUND(SUM('附表4-项目间分摊信息采集表'!$H$5)/SUMPRODUCT(SUMIFS('附表4-项目间分摊信息采集表'!$H:$H,'附表4-项目间分摊信息采集表'!$B:$B,S41:AB41)),20),IF(L41="手工填写分摊比例","请填写分摊比例",100%))))),IF(COUNTA(S41:AB41)&gt;=1,0%,100%)),100%)</f>
        <v>0.329519901724361</v>
      </c>
      <c r="N41" s="94">
        <f>SUMIFS('附表7-扣除项目明细采集底稿'!$R:$R,'附表7-扣除项目明细采集底稿'!$G:$G,B41)</f>
        <v>6679.61</v>
      </c>
      <c r="O41" s="99" t="s">
        <v>3017</v>
      </c>
      <c r="P41" s="101">
        <f>SUMIFS('附表7-扣除项目明细采集底稿'!$T:$T,'附表7-扣除项目明细采集底稿'!$G:$G,$B41)</f>
        <v>2201.06</v>
      </c>
      <c r="Q41" s="103">
        <f t="shared" si="1"/>
        <v>4478.55</v>
      </c>
      <c r="R41" s="104"/>
      <c r="S41" s="99" t="s">
        <v>12</v>
      </c>
      <c r="T41" s="99" t="s">
        <v>331</v>
      </c>
      <c r="U41" s="99" t="s">
        <v>333</v>
      </c>
      <c r="V41" s="99"/>
      <c r="W41" s="99"/>
      <c r="X41" s="99"/>
      <c r="Y41" s="99"/>
      <c r="Z41" s="99"/>
      <c r="AA41" s="99"/>
      <c r="AB41" s="99"/>
      <c r="AC41" s="94"/>
    </row>
    <row r="42" ht="23.8" hidden="1" spans="1:29">
      <c r="A42" s="90">
        <v>37</v>
      </c>
      <c r="B42" s="91" t="s">
        <v>2271</v>
      </c>
      <c r="C42" s="91" t="s">
        <v>3086</v>
      </c>
      <c r="D42" s="92" t="s">
        <v>3024</v>
      </c>
      <c r="E42" s="91" t="s">
        <v>3027</v>
      </c>
      <c r="F42" s="93">
        <v>43983</v>
      </c>
      <c r="G42" s="94">
        <v>16314.8</v>
      </c>
      <c r="H42" s="94">
        <v>16314.8</v>
      </c>
      <c r="I42" s="99" t="s">
        <v>332</v>
      </c>
      <c r="J42" s="99" t="s">
        <v>332</v>
      </c>
      <c r="K42" s="99" t="s">
        <v>16</v>
      </c>
      <c r="L42" s="99" t="s">
        <v>311</v>
      </c>
      <c r="M42" s="100">
        <f>IFERROR(IF(COUNTIFS(S42:AB42,清算项目基本情况表!$D$6)&gt;=1,IF(L42="占地面积法",ROUND(SUM('附表4-项目间分摊信息采集表'!$E$5)/SUMPRODUCT(SUMIFS('附表4-项目间分摊信息采集表'!$E:$E,'附表4-项目间分摊信息采集表'!$B:$B,S42:AB42)),20),IF(L42="测绘总建筑面积法",ROUND(SUM('附表4-项目间分摊信息采集表'!$F$5)/SUMPRODUCT(SUMIFS('附表4-项目间分摊信息采集表'!$F:$F,'附表4-项目间分摊信息采集表'!$B:$B,S42:AB42)),20),IF(L42="可售建筑面积法",ROUND(SUM('附表4-项目间分摊信息采集表'!$G$5)/SUMPRODUCT(SUMIFS('附表4-项目间分摊信息采集表'!$G:$G,'附表4-项目间分摊信息采集表'!$B:$B,S42:AB42)),20),IF(L42="其他分摊方法",ROUND(SUM('附表4-项目间分摊信息采集表'!$H$5)/SUMPRODUCT(SUMIFS('附表4-项目间分摊信息采集表'!$H:$H,'附表4-项目间分摊信息采集表'!$B:$B,S42:AB42)),20),IF(L42="手工填写分摊比例","请填写分摊比例",100%))))),IF(COUNTA(S42:AB42)&gt;=1,0%,100%)),100%)</f>
        <v>0.329519901724361</v>
      </c>
      <c r="N42" s="94">
        <f>SUMIFS('附表7-扣除项目明细采集底稿'!$R:$R,'附表7-扣除项目明细采集底稿'!$G:$G,B42)</f>
        <v>15391.32</v>
      </c>
      <c r="O42" s="99" t="s">
        <v>3017</v>
      </c>
      <c r="P42" s="101">
        <f>SUMIFS('附表7-扣除项目明细采集底稿'!$T:$T,'附表7-扣除项目明细采集底稿'!$G:$G,$B42)</f>
        <v>5071.75</v>
      </c>
      <c r="Q42" s="103">
        <f t="shared" si="1"/>
        <v>10319.57</v>
      </c>
      <c r="R42" s="104"/>
      <c r="S42" s="99" t="s">
        <v>12</v>
      </c>
      <c r="T42" s="99" t="s">
        <v>331</v>
      </c>
      <c r="U42" s="99" t="s">
        <v>333</v>
      </c>
      <c r="V42" s="99"/>
      <c r="W42" s="99"/>
      <c r="X42" s="99"/>
      <c r="Y42" s="99"/>
      <c r="Z42" s="99"/>
      <c r="AA42" s="99"/>
      <c r="AB42" s="99"/>
      <c r="AC42" s="94"/>
    </row>
    <row r="43" ht="23.8" hidden="1" spans="1:29">
      <c r="A43" s="90">
        <v>38</v>
      </c>
      <c r="B43" s="91" t="s">
        <v>1950</v>
      </c>
      <c r="C43" s="91" t="s">
        <v>3087</v>
      </c>
      <c r="D43" s="92" t="s">
        <v>3015</v>
      </c>
      <c r="E43" s="91" t="s">
        <v>3088</v>
      </c>
      <c r="F43" s="93">
        <v>44148</v>
      </c>
      <c r="G43" s="94">
        <v>100000</v>
      </c>
      <c r="H43" s="94">
        <v>100000</v>
      </c>
      <c r="I43" s="99" t="s">
        <v>332</v>
      </c>
      <c r="J43" s="99" t="s">
        <v>332</v>
      </c>
      <c r="K43" s="99" t="s">
        <v>16</v>
      </c>
      <c r="L43" s="99" t="s">
        <v>311</v>
      </c>
      <c r="M43" s="100">
        <f>IFERROR(IF(COUNTIFS(S43:AB43,清算项目基本情况表!$D$6)&gt;=1,IF(L43="占地面积法",ROUND(SUM('附表4-项目间分摊信息采集表'!$E$5)/SUMPRODUCT(SUMIFS('附表4-项目间分摊信息采集表'!$E:$E,'附表4-项目间分摊信息采集表'!$B:$B,S43:AB43)),20),IF(L43="测绘总建筑面积法",ROUND(SUM('附表4-项目间分摊信息采集表'!$F$5)/SUMPRODUCT(SUMIFS('附表4-项目间分摊信息采集表'!$F:$F,'附表4-项目间分摊信息采集表'!$B:$B,S43:AB43)),20),IF(L43="可售建筑面积法",ROUND(SUM('附表4-项目间分摊信息采集表'!$G$5)/SUMPRODUCT(SUMIFS('附表4-项目间分摊信息采集表'!$G:$G,'附表4-项目间分摊信息采集表'!$B:$B,S43:AB43)),20),IF(L43="其他分摊方法",ROUND(SUM('附表4-项目间分摊信息采集表'!$H$5)/SUMPRODUCT(SUMIFS('附表4-项目间分摊信息采集表'!$H:$H,'附表4-项目间分摊信息采集表'!$B:$B,S43:AB43)),20),IF(L43="手工填写分摊比例","请填写分摊比例",100%))))),IF(COUNTA(S43:AB43)&gt;=1,0%,100%)),100%)</f>
        <v>0.329519901724361</v>
      </c>
      <c r="N43" s="94">
        <f>SUMIFS('附表7-扣除项目明细采集底稿'!$R:$R,'附表7-扣除项目明细采集底稿'!$G:$G,B43)</f>
        <v>91743.12</v>
      </c>
      <c r="O43" s="99" t="s">
        <v>3017</v>
      </c>
      <c r="P43" s="101">
        <f>SUMIFS('附表7-扣除项目明细采集底稿'!$T:$T,'附表7-扣除项目明细采集底稿'!$G:$G,$B43)</f>
        <v>30231.18</v>
      </c>
      <c r="Q43" s="103">
        <f t="shared" si="1"/>
        <v>61511.94</v>
      </c>
      <c r="R43" s="104"/>
      <c r="S43" s="99" t="s">
        <v>12</v>
      </c>
      <c r="T43" s="99" t="s">
        <v>331</v>
      </c>
      <c r="U43" s="99" t="s">
        <v>333</v>
      </c>
      <c r="V43" s="99"/>
      <c r="W43" s="99"/>
      <c r="X43" s="99"/>
      <c r="Y43" s="99"/>
      <c r="Z43" s="99"/>
      <c r="AA43" s="99"/>
      <c r="AB43" s="99"/>
      <c r="AC43" s="94"/>
    </row>
    <row r="44" ht="23.8" hidden="1" spans="1:29">
      <c r="A44" s="90">
        <v>39</v>
      </c>
      <c r="B44" s="91" t="s">
        <v>2154</v>
      </c>
      <c r="C44" s="91" t="s">
        <v>3089</v>
      </c>
      <c r="D44" s="92" t="s">
        <v>3015</v>
      </c>
      <c r="E44" s="91" t="s">
        <v>3090</v>
      </c>
      <c r="F44" s="93">
        <v>44148</v>
      </c>
      <c r="G44" s="94">
        <v>352908.36</v>
      </c>
      <c r="H44" s="94">
        <v>355911.42</v>
      </c>
      <c r="I44" s="99" t="s">
        <v>332</v>
      </c>
      <c r="J44" s="99" t="s">
        <v>332</v>
      </c>
      <c r="K44" s="99" t="s">
        <v>16</v>
      </c>
      <c r="L44" s="99" t="s">
        <v>311</v>
      </c>
      <c r="M44" s="100">
        <f>IFERROR(IF(COUNTIFS(S44:AB44,清算项目基本情况表!$D$6)&gt;=1,IF(L44="占地面积法",ROUND(SUM('附表4-项目间分摊信息采集表'!$E$5)/SUMPRODUCT(SUMIFS('附表4-项目间分摊信息采集表'!$E:$E,'附表4-项目间分摊信息采集表'!$B:$B,S44:AB44)),20),IF(L44="测绘总建筑面积法",ROUND(SUM('附表4-项目间分摊信息采集表'!$F$5)/SUMPRODUCT(SUMIFS('附表4-项目间分摊信息采集表'!$F:$F,'附表4-项目间分摊信息采集表'!$B:$B,S44:AB44)),20),IF(L44="可售建筑面积法",ROUND(SUM('附表4-项目间分摊信息采集表'!$G$5)/SUMPRODUCT(SUMIFS('附表4-项目间分摊信息采集表'!$G:$G,'附表4-项目间分摊信息采集表'!$B:$B,S44:AB44)),20),IF(L44="其他分摊方法",ROUND(SUM('附表4-项目间分摊信息采集表'!$H$5)/SUMPRODUCT(SUMIFS('附表4-项目间分摊信息采集表'!$H:$H,'附表4-项目间分摊信息采集表'!$B:$B,S44:AB44)),20),IF(L44="手工填写分摊比例","请填写分摊比例",100%))))),IF(COUNTA(S44:AB44)&gt;=1,0%,100%)),100%)</f>
        <v>0.329519901724361</v>
      </c>
      <c r="N44" s="94">
        <f>SUMIFS('附表7-扣除项目明细采集底稿'!$R:$R,'附表7-扣除项目明细采集底稿'!$G:$G,B44)</f>
        <v>326524.24</v>
      </c>
      <c r="O44" s="99" t="s">
        <v>3017</v>
      </c>
      <c r="P44" s="101">
        <f>SUMIFS('附表7-扣除项目明细采集底稿'!$T:$T,'附表7-扣除项目明细采集底稿'!$G:$G,$B44)</f>
        <v>107596.24</v>
      </c>
      <c r="Q44" s="103">
        <f t="shared" si="1"/>
        <v>218928</v>
      </c>
      <c r="R44" s="104"/>
      <c r="S44" s="99" t="s">
        <v>12</v>
      </c>
      <c r="T44" s="99" t="s">
        <v>331</v>
      </c>
      <c r="U44" s="99" t="s">
        <v>333</v>
      </c>
      <c r="V44" s="99"/>
      <c r="W44" s="99"/>
      <c r="X44" s="99"/>
      <c r="Y44" s="99"/>
      <c r="Z44" s="99"/>
      <c r="AA44" s="99"/>
      <c r="AB44" s="99"/>
      <c r="AC44" s="94"/>
    </row>
    <row r="45" ht="23.8" hidden="1" spans="1:29">
      <c r="A45" s="90">
        <v>40</v>
      </c>
      <c r="B45" s="91" t="s">
        <v>2125</v>
      </c>
      <c r="C45" s="91" t="s">
        <v>3091</v>
      </c>
      <c r="D45" s="92" t="s">
        <v>3015</v>
      </c>
      <c r="E45" s="91" t="s">
        <v>3092</v>
      </c>
      <c r="F45" s="93">
        <v>44597</v>
      </c>
      <c r="G45" s="94">
        <v>3069771.85</v>
      </c>
      <c r="H45" s="94">
        <v>3069771.85</v>
      </c>
      <c r="I45" s="99" t="s">
        <v>332</v>
      </c>
      <c r="J45" s="99" t="s">
        <v>332</v>
      </c>
      <c r="K45" s="99" t="s">
        <v>16</v>
      </c>
      <c r="L45" s="99" t="s">
        <v>311</v>
      </c>
      <c r="M45" s="100" cm="1">
        <f t="array" ref="M45">IFERROR(IF(COUNTIFS(S45:AB45,清算项目基本情况表!$D$6)&gt;=1,IF(L45="占地面积法",ROUND(SUM('附表4-项目间分摊信息采集表'!$E$5)/SUMPRODUCT(SUMIFS('附表4-项目间分摊信息采集表'!$E:$E,'附表4-项目间分摊信息采集表'!$B:$B,S45:AB45)),20),IF(L45="测绘总建筑面积法",ROUND(SUM('附表4-项目间分摊信息采集表'!$F$5)/SUMPRODUCT(SUMIFS('附表4-项目间分摊信息采集表'!$F:$F,'附表4-项目间分摊信息采集表'!$B:$B,S45:AB45)),20),IF(L45="可售建筑面积法",ROUND(SUM('附表4-项目间分摊信息采集表'!$G$5)/SUMPRODUCT(SUMIFS('附表4-项目间分摊信息采集表'!$G:$G,'附表4-项目间分摊信息采集表'!$B:$B,S45:AB45)),20),IF(L45="其他分摊方法",ROUND(SUM('附表4-项目间分摊信息采集表'!$H$5)/SUMPRODUCT(SUMIFS('附表4-项目间分摊信息采集表'!$H:$H,'附表4-项目间分摊信息采集表'!$B:$B,S45:AB45)),20),IF(L45="手工填写分摊比例","请填写分摊比例",100%))))),IF(COUNTA(S45:AB45)&gt;=1,0%,100%)),100%)</f>
        <v>0.329519901724361</v>
      </c>
      <c r="N45" s="94">
        <f>SUMIFS('附表7-扣除项目明细采集底稿'!$R:$R,'附表7-扣除项目明细采集底稿'!$G:$G,B45)</f>
        <v>3009274.24</v>
      </c>
      <c r="O45" s="99" t="s">
        <v>3017</v>
      </c>
      <c r="P45" s="101">
        <f>SUMIFS('附表7-扣除项目明细采集底稿'!$T:$T,'附表7-扣除项目明细采集底稿'!$G:$G,$B45)</f>
        <v>991615.75</v>
      </c>
      <c r="Q45" s="103">
        <f t="shared" si="1"/>
        <v>2017658.49</v>
      </c>
      <c r="R45" s="104"/>
      <c r="S45" s="99" t="s">
        <v>12</v>
      </c>
      <c r="T45" s="99" t="s">
        <v>331</v>
      </c>
      <c r="U45" s="99" t="s">
        <v>333</v>
      </c>
      <c r="V45" s="99"/>
      <c r="W45" s="99"/>
      <c r="X45" s="99"/>
      <c r="Y45" s="99"/>
      <c r="Z45" s="99"/>
      <c r="AA45" s="99"/>
      <c r="AB45" s="99"/>
      <c r="AC45" s="94"/>
    </row>
    <row r="46" ht="23.8" hidden="1" spans="1:29">
      <c r="A46" s="90">
        <v>41</v>
      </c>
      <c r="B46" s="91" t="s">
        <v>2300</v>
      </c>
      <c r="C46" s="91" t="s">
        <v>3093</v>
      </c>
      <c r="D46" s="92" t="s">
        <v>3015</v>
      </c>
      <c r="E46" s="91" t="s">
        <v>3094</v>
      </c>
      <c r="F46" s="93">
        <v>44478</v>
      </c>
      <c r="G46" s="94">
        <v>396988.9981</v>
      </c>
      <c r="H46" s="94">
        <v>391824</v>
      </c>
      <c r="I46" s="99" t="s">
        <v>332</v>
      </c>
      <c r="J46" s="99" t="s">
        <v>332</v>
      </c>
      <c r="K46" s="99" t="s">
        <v>16</v>
      </c>
      <c r="L46" s="99" t="s">
        <v>311</v>
      </c>
      <c r="M46" s="100">
        <f>IFERROR(IF(COUNTIFS(S46:AB46,清算项目基本情况表!$D$6)&gt;=1,IF(L46="占地面积法",ROUND(SUM('附表4-项目间分摊信息采集表'!$E$5)/SUMPRODUCT(SUMIFS('附表4-项目间分摊信息采集表'!$E:$E,'附表4-项目间分摊信息采集表'!$B:$B,S46:AB46)),20),IF(L46="测绘总建筑面积法",ROUND(SUM('附表4-项目间分摊信息采集表'!$F$5)/SUMPRODUCT(SUMIFS('附表4-项目间分摊信息采集表'!$F:$F,'附表4-项目间分摊信息采集表'!$B:$B,S46:AB46)),20),IF(L46="可售建筑面积法",ROUND(SUM('附表4-项目间分摊信息采集表'!$G$5)/SUMPRODUCT(SUMIFS('附表4-项目间分摊信息采集表'!$G:$G,'附表4-项目间分摊信息采集表'!$B:$B,S46:AB46)),20),IF(L46="其他分摊方法",ROUND(SUM('附表4-项目间分摊信息采集表'!$H$5)/SUMPRODUCT(SUMIFS('附表4-项目间分摊信息采集表'!$H:$H,'附表4-项目间分摊信息采集表'!$B:$B,S46:AB46)),20),IF(L46="手工填写分摊比例","请填写分摊比例",100%))))),IF(COUNTA(S46:AB46)&gt;=1,0%,100%)),100%)</f>
        <v>0.329519901724361</v>
      </c>
      <c r="N46" s="94">
        <f>SUMIFS('附表7-扣除项目明细采集底稿'!$R:$R,'附表7-扣除项目明细采集底稿'!$G:$G,B46)</f>
        <v>359471.56</v>
      </c>
      <c r="O46" s="99" t="s">
        <v>3017</v>
      </c>
      <c r="P46" s="101">
        <f>SUMIFS('附表7-扣除项目明细采集底稿'!$T:$T,'附表7-扣除项目明细采集底稿'!$G:$G,$B46)</f>
        <v>118453.03</v>
      </c>
      <c r="Q46" s="103">
        <f t="shared" si="1"/>
        <v>241018.53</v>
      </c>
      <c r="R46" s="104"/>
      <c r="S46" s="99" t="s">
        <v>12</v>
      </c>
      <c r="T46" s="99" t="s">
        <v>331</v>
      </c>
      <c r="U46" s="99" t="s">
        <v>333</v>
      </c>
      <c r="V46" s="99"/>
      <c r="W46" s="99"/>
      <c r="X46" s="99"/>
      <c r="Y46" s="99"/>
      <c r="Z46" s="99"/>
      <c r="AA46" s="99"/>
      <c r="AB46" s="99"/>
      <c r="AC46" s="94"/>
    </row>
    <row r="47" ht="23.8" hidden="1" spans="1:29">
      <c r="A47" s="90">
        <v>42</v>
      </c>
      <c r="B47" s="91" t="s">
        <v>2009</v>
      </c>
      <c r="C47" s="91" t="s">
        <v>3095</v>
      </c>
      <c r="D47" s="92" t="s">
        <v>3015</v>
      </c>
      <c r="E47" s="91" t="s">
        <v>3096</v>
      </c>
      <c r="F47" s="93">
        <v>44357</v>
      </c>
      <c r="G47" s="94">
        <v>1900000</v>
      </c>
      <c r="H47" s="94">
        <v>1964618.88</v>
      </c>
      <c r="I47" s="99" t="s">
        <v>332</v>
      </c>
      <c r="J47" s="99" t="s">
        <v>332</v>
      </c>
      <c r="K47" s="99" t="s">
        <v>16</v>
      </c>
      <c r="L47" s="99" t="s">
        <v>311</v>
      </c>
      <c r="M47" s="100">
        <f>IFERROR(IF(COUNTIFS(S47:AB47,清算项目基本情况表!$D$6)&gt;=1,IF(L47="占地面积法",ROUND(SUM('附表4-项目间分摊信息采集表'!$E$5)/SUMPRODUCT(SUMIFS('附表4-项目间分摊信息采集表'!$E:$E,'附表4-项目间分摊信息采集表'!$B:$B,S47:AB47)),20),IF(L47="测绘总建筑面积法",ROUND(SUM('附表4-项目间分摊信息采集表'!$F$5)/SUMPRODUCT(SUMIFS('附表4-项目间分摊信息采集表'!$F:$F,'附表4-项目间分摊信息采集表'!$B:$B,S47:AB47)),20),IF(L47="可售建筑面积法",ROUND(SUM('附表4-项目间分摊信息采集表'!$G$5)/SUMPRODUCT(SUMIFS('附表4-项目间分摊信息采集表'!$G:$G,'附表4-项目间分摊信息采集表'!$B:$B,S47:AB47)),20),IF(L47="其他分摊方法",ROUND(SUM('附表4-项目间分摊信息采集表'!$H$5)/SUMPRODUCT(SUMIFS('附表4-项目间分摊信息采集表'!$H:$H,'附表4-项目间分摊信息采集表'!$B:$B,S47:AB47)),20),IF(L47="手工填写分摊比例","请填写分摊比例",100%))))),IF(COUNTA(S47:AB47)&gt;=1,0%,100%)),100%)</f>
        <v>0.329519901724361</v>
      </c>
      <c r="N47" s="94">
        <f>SUMIFS('附表7-扣除项目明细采集底稿'!$R:$R,'附表7-扣除项目明细采集底稿'!$G:$G,B47)</f>
        <v>1802402.64</v>
      </c>
      <c r="O47" s="99" t="s">
        <v>3017</v>
      </c>
      <c r="P47" s="101">
        <f>SUMIFS('附表7-扣除项目明细采集底稿'!$T:$T,'附表7-扣除项目明细采集底稿'!$G:$G,$B47)</f>
        <v>593927.55</v>
      </c>
      <c r="Q47" s="103">
        <f t="shared" si="1"/>
        <v>1208475.09</v>
      </c>
      <c r="R47" s="104"/>
      <c r="S47" s="99" t="s">
        <v>12</v>
      </c>
      <c r="T47" s="99" t="s">
        <v>331</v>
      </c>
      <c r="U47" s="99" t="s">
        <v>333</v>
      </c>
      <c r="V47" s="99"/>
      <c r="W47" s="99"/>
      <c r="X47" s="99"/>
      <c r="Y47" s="99"/>
      <c r="Z47" s="99"/>
      <c r="AA47" s="99"/>
      <c r="AB47" s="99"/>
      <c r="AC47" s="94"/>
    </row>
    <row r="48" ht="23.8" hidden="1" spans="1:29">
      <c r="A48" s="90">
        <v>43</v>
      </c>
      <c r="B48" s="91" t="s">
        <v>2025</v>
      </c>
      <c r="C48" s="91" t="s">
        <v>3097</v>
      </c>
      <c r="D48" s="92" t="s">
        <v>3024</v>
      </c>
      <c r="E48" s="91" t="s">
        <v>1982</v>
      </c>
      <c r="F48" s="93">
        <v>44148</v>
      </c>
      <c r="G48" s="95">
        <v>8663.2634</v>
      </c>
      <c r="H48" s="95">
        <v>8663.2634</v>
      </c>
      <c r="I48" s="99" t="s">
        <v>332</v>
      </c>
      <c r="J48" s="99" t="s">
        <v>332</v>
      </c>
      <c r="K48" s="99" t="s">
        <v>16</v>
      </c>
      <c r="L48" s="99" t="s">
        <v>311</v>
      </c>
      <c r="M48" s="100">
        <f>IFERROR(IF(COUNTIFS(S48:AB48,清算项目基本情况表!$D$6)&gt;=1,IF(L48="占地面积法",ROUND(SUM('附表4-项目间分摊信息采集表'!$E$5)/SUMPRODUCT(SUMIFS('附表4-项目间分摊信息采集表'!$E:$E,'附表4-项目间分摊信息采集表'!$B:$B,S48:AB48)),20),IF(L48="测绘总建筑面积法",ROUND(SUM('附表4-项目间分摊信息采集表'!$F$5)/SUMPRODUCT(SUMIFS('附表4-项目间分摊信息采集表'!$F:$F,'附表4-项目间分摊信息采集表'!$B:$B,S48:AB48)),20),IF(L48="可售建筑面积法",ROUND(SUM('附表4-项目间分摊信息采集表'!$G$5)/SUMPRODUCT(SUMIFS('附表4-项目间分摊信息采集表'!$G:$G,'附表4-项目间分摊信息采集表'!$B:$B,S48:AB48)),20),IF(L48="其他分摊方法",ROUND(SUM('附表4-项目间分摊信息采集表'!$H$5)/SUMPRODUCT(SUMIFS('附表4-项目间分摊信息采集表'!$H:$H,'附表4-项目间分摊信息采集表'!$B:$B,S48:AB48)),20),IF(L48="手工填写分摊比例","请填写分摊比例",100%))))),IF(COUNTA(S48:AB48)&gt;=1,0%,100%)),100%)</f>
        <v>0.329519901724361</v>
      </c>
      <c r="N48" s="94">
        <f>SUMIFS('附表7-扣除项目明细采集底稿'!$R:$R,'附表7-扣除项目明细采集底稿'!$G:$G,B48)</f>
        <v>8172.89</v>
      </c>
      <c r="O48" s="99" t="s">
        <v>3017</v>
      </c>
      <c r="P48" s="101">
        <f>SUMIFS('附表7-扣除项目明细采集底稿'!$T:$T,'附表7-扣除项目明细采集底稿'!$G:$G,$B48)</f>
        <v>2693.13</v>
      </c>
      <c r="Q48" s="103">
        <f t="shared" si="1"/>
        <v>5479.76</v>
      </c>
      <c r="R48" s="104"/>
      <c r="S48" s="99" t="s">
        <v>12</v>
      </c>
      <c r="T48" s="99" t="s">
        <v>331</v>
      </c>
      <c r="U48" s="99" t="s">
        <v>333</v>
      </c>
      <c r="V48" s="99"/>
      <c r="W48" s="99"/>
      <c r="X48" s="99"/>
      <c r="Y48" s="99"/>
      <c r="Z48" s="99"/>
      <c r="AA48" s="99"/>
      <c r="AB48" s="99"/>
      <c r="AC48" s="94"/>
    </row>
    <row r="49" ht="23.8" hidden="1" spans="1:29">
      <c r="A49" s="90">
        <v>44</v>
      </c>
      <c r="B49" s="91" t="s">
        <v>2205</v>
      </c>
      <c r="C49" s="91" t="s">
        <v>3098</v>
      </c>
      <c r="D49" s="92" t="s">
        <v>3024</v>
      </c>
      <c r="E49" s="91" t="s">
        <v>3099</v>
      </c>
      <c r="F49" s="93">
        <v>44148</v>
      </c>
      <c r="G49" s="95">
        <v>3978</v>
      </c>
      <c r="H49" s="95">
        <v>3978</v>
      </c>
      <c r="I49" s="99" t="s">
        <v>332</v>
      </c>
      <c r="J49" s="99" t="s">
        <v>332</v>
      </c>
      <c r="K49" s="99" t="s">
        <v>16</v>
      </c>
      <c r="L49" s="99" t="s">
        <v>311</v>
      </c>
      <c r="M49" s="100">
        <f>IFERROR(IF(COUNTIFS(S49:AB49,清算项目基本情况表!$D$6)&gt;=1,IF(L49="占地面积法",ROUND(SUM('附表4-项目间分摊信息采集表'!$E$5)/SUMPRODUCT(SUMIFS('附表4-项目间分摊信息采集表'!$E:$E,'附表4-项目间分摊信息采集表'!$B:$B,S49:AB49)),20),IF(L49="测绘总建筑面积法",ROUND(SUM('附表4-项目间分摊信息采集表'!$F$5)/SUMPRODUCT(SUMIFS('附表4-项目间分摊信息采集表'!$F:$F,'附表4-项目间分摊信息采集表'!$B:$B,S49:AB49)),20),IF(L49="可售建筑面积法",ROUND(SUM('附表4-项目间分摊信息采集表'!$G$5)/SUMPRODUCT(SUMIFS('附表4-项目间分摊信息采集表'!$G:$G,'附表4-项目间分摊信息采集表'!$B:$B,S49:AB49)),20),IF(L49="其他分摊方法",ROUND(SUM('附表4-项目间分摊信息采集表'!$H$5)/SUMPRODUCT(SUMIFS('附表4-项目间分摊信息采集表'!$H:$H,'附表4-项目间分摊信息采集表'!$B:$B,S49:AB49)),20),IF(L49="手工填写分摊比例","请填写分摊比例",100%))))),IF(COUNTA(S49:AB49)&gt;=1,0%,100%)),100%)</f>
        <v>0.329519901724361</v>
      </c>
      <c r="N49" s="94">
        <f>SUMIFS('附表7-扣除项目明细采集底稿'!$R:$R,'附表7-扣除项目明细采集底稿'!$G:$G,B49)</f>
        <v>3752.83</v>
      </c>
      <c r="O49" s="99" t="s">
        <v>3017</v>
      </c>
      <c r="P49" s="101">
        <f>SUMIFS('附表7-扣除项目明细采集底稿'!$T:$T,'附表7-扣除项目明细采集底稿'!$G:$G,$B49)</f>
        <v>1236.63</v>
      </c>
      <c r="Q49" s="103">
        <f t="shared" si="1"/>
        <v>2516.2</v>
      </c>
      <c r="R49" s="104"/>
      <c r="S49" s="99" t="s">
        <v>12</v>
      </c>
      <c r="T49" s="99" t="s">
        <v>331</v>
      </c>
      <c r="U49" s="99" t="s">
        <v>333</v>
      </c>
      <c r="V49" s="99"/>
      <c r="W49" s="99"/>
      <c r="X49" s="99"/>
      <c r="Y49" s="99"/>
      <c r="Z49" s="99"/>
      <c r="AA49" s="99"/>
      <c r="AB49" s="99"/>
      <c r="AC49" s="94"/>
    </row>
    <row r="50" ht="23.8" hidden="1" spans="1:29">
      <c r="A50" s="90">
        <v>45</v>
      </c>
      <c r="B50" s="91" t="s">
        <v>2243</v>
      </c>
      <c r="C50" s="91" t="s">
        <v>3100</v>
      </c>
      <c r="D50" s="92" t="s">
        <v>3015</v>
      </c>
      <c r="E50" s="91" t="s">
        <v>3029</v>
      </c>
      <c r="F50" s="93">
        <v>44440</v>
      </c>
      <c r="G50" s="94">
        <v>75277.74</v>
      </c>
      <c r="H50" s="94">
        <v>75277.74</v>
      </c>
      <c r="I50" s="99" t="s">
        <v>332</v>
      </c>
      <c r="J50" s="99" t="s">
        <v>332</v>
      </c>
      <c r="K50" s="99" t="s">
        <v>16</v>
      </c>
      <c r="L50" s="99" t="s">
        <v>311</v>
      </c>
      <c r="M50" s="100">
        <f>IFERROR(IF(COUNTIFS(S50:AB50,清算项目基本情况表!$D$6)&gt;=1,IF(L50="占地面积法",ROUND(SUM('附表4-项目间分摊信息采集表'!$E$5)/SUMPRODUCT(SUMIFS('附表4-项目间分摊信息采集表'!$E:$E,'附表4-项目间分摊信息采集表'!$B:$B,S50:AB50)),20),IF(L50="测绘总建筑面积法",ROUND(SUM('附表4-项目间分摊信息采集表'!$F$5)/SUMPRODUCT(SUMIFS('附表4-项目间分摊信息采集表'!$F:$F,'附表4-项目间分摊信息采集表'!$B:$B,S50:AB50)),20),IF(L50="可售建筑面积法",ROUND(SUM('附表4-项目间分摊信息采集表'!$G$5)/SUMPRODUCT(SUMIFS('附表4-项目间分摊信息采集表'!$G:$G,'附表4-项目间分摊信息采集表'!$B:$B,S50:AB50)),20),IF(L50="其他分摊方法",ROUND(SUM('附表4-项目间分摊信息采集表'!$H$5)/SUMPRODUCT(SUMIFS('附表4-项目间分摊信息采集表'!$H:$H,'附表4-项目间分摊信息采集表'!$B:$B,S50:AB50)),20),IF(L50="手工填写分摊比例","请填写分摊比例",100%))))),IF(COUNTA(S50:AB50)&gt;=1,0%,100%)),100%)</f>
        <v>0.329519901724361</v>
      </c>
      <c r="N50" s="94">
        <f>SUMIFS('附表7-扣除项目明细采集底稿'!$R:$R,'附表7-扣除项目明细采集底稿'!$G:$G,B50)</f>
        <v>69062.15</v>
      </c>
      <c r="O50" s="99" t="s">
        <v>3017</v>
      </c>
      <c r="P50" s="101">
        <f>SUMIFS('附表7-扣除项目明细采集底稿'!$T:$T,'附表7-扣除项目明细采集底稿'!$G:$G,$B50)</f>
        <v>22757.35</v>
      </c>
      <c r="Q50" s="103">
        <f t="shared" si="1"/>
        <v>46304.8</v>
      </c>
      <c r="R50" s="104"/>
      <c r="S50" s="99" t="s">
        <v>12</v>
      </c>
      <c r="T50" s="99" t="s">
        <v>331</v>
      </c>
      <c r="U50" s="99" t="s">
        <v>333</v>
      </c>
      <c r="V50" s="99"/>
      <c r="W50" s="99"/>
      <c r="X50" s="99"/>
      <c r="Y50" s="99"/>
      <c r="Z50" s="99"/>
      <c r="AA50" s="99"/>
      <c r="AB50" s="99"/>
      <c r="AC50" s="94"/>
    </row>
    <row r="51" ht="23.8" hidden="1" spans="1:29">
      <c r="A51" s="90">
        <v>46</v>
      </c>
      <c r="B51" s="91" t="s">
        <v>1742</v>
      </c>
      <c r="C51" s="91" t="s">
        <v>3101</v>
      </c>
      <c r="D51" s="92" t="s">
        <v>3015</v>
      </c>
      <c r="E51" s="91" t="s">
        <v>3102</v>
      </c>
      <c r="F51" s="93">
        <v>44148</v>
      </c>
      <c r="G51" s="95">
        <v>51449.12</v>
      </c>
      <c r="H51" s="95">
        <v>51449.12</v>
      </c>
      <c r="I51" s="99" t="s">
        <v>332</v>
      </c>
      <c r="J51" s="99" t="s">
        <v>332</v>
      </c>
      <c r="K51" s="99" t="s">
        <v>16</v>
      </c>
      <c r="L51" s="99" t="s">
        <v>311</v>
      </c>
      <c r="M51" s="100">
        <f>IFERROR(IF(COUNTIFS(S51:AB51,清算项目基本情况表!$D$6)&gt;=1,IF(L51="占地面积法",ROUND(SUM('附表4-项目间分摊信息采集表'!$E$5)/SUMPRODUCT(SUMIFS('附表4-项目间分摊信息采集表'!$E:$E,'附表4-项目间分摊信息采集表'!$B:$B,S51:AB51)),20),IF(L51="测绘总建筑面积法",ROUND(SUM('附表4-项目间分摊信息采集表'!$F$5)/SUMPRODUCT(SUMIFS('附表4-项目间分摊信息采集表'!$F:$F,'附表4-项目间分摊信息采集表'!$B:$B,S51:AB51)),20),IF(L51="可售建筑面积法",ROUND(SUM('附表4-项目间分摊信息采集表'!$G$5)/SUMPRODUCT(SUMIFS('附表4-项目间分摊信息采集表'!$G:$G,'附表4-项目间分摊信息采集表'!$B:$B,S51:AB51)),20),IF(L51="其他分摊方法",ROUND(SUM('附表4-项目间分摊信息采集表'!$H$5)/SUMPRODUCT(SUMIFS('附表4-项目间分摊信息采集表'!$H:$H,'附表4-项目间分摊信息采集表'!$B:$B,S51:AB51)),20),IF(L51="手工填写分摊比例","请填写分摊比例",100%))))),IF(COUNTA(S51:AB51)&gt;=1,0%,100%)),100%)</f>
        <v>0.329519901724361</v>
      </c>
      <c r="N51" s="94">
        <f>SUMIFS('附表7-扣除项目明细采集底稿'!$R:$R,'附表7-扣除项目明细采集底稿'!$G:$G,B51)</f>
        <v>9696.28</v>
      </c>
      <c r="O51" s="99" t="s">
        <v>3017</v>
      </c>
      <c r="P51" s="101">
        <f>SUMIFS('附表7-扣除项目明细采集底稿'!$T:$T,'附表7-扣除项目明细采集底稿'!$G:$G,$B51)</f>
        <v>3195.12</v>
      </c>
      <c r="Q51" s="103">
        <f t="shared" si="1"/>
        <v>6501.16</v>
      </c>
      <c r="R51" s="104"/>
      <c r="S51" s="99" t="s">
        <v>12</v>
      </c>
      <c r="T51" s="99" t="s">
        <v>331</v>
      </c>
      <c r="U51" s="99" t="s">
        <v>333</v>
      </c>
      <c r="V51" s="99"/>
      <c r="W51" s="99"/>
      <c r="X51" s="99"/>
      <c r="Y51" s="99"/>
      <c r="Z51" s="99"/>
      <c r="AA51" s="99"/>
      <c r="AB51" s="99"/>
      <c r="AC51" s="94"/>
    </row>
    <row r="52" ht="23.8" hidden="1" spans="1:29">
      <c r="A52" s="90">
        <v>47</v>
      </c>
      <c r="B52" s="91" t="s">
        <v>1751</v>
      </c>
      <c r="C52" s="91" t="s">
        <v>3044</v>
      </c>
      <c r="D52" s="92" t="s">
        <v>3015</v>
      </c>
      <c r="E52" s="91" t="s">
        <v>3103</v>
      </c>
      <c r="F52" s="93">
        <v>43641</v>
      </c>
      <c r="G52" s="94">
        <v>197940.27</v>
      </c>
      <c r="H52" s="94">
        <v>197940.27</v>
      </c>
      <c r="I52" s="99" t="s">
        <v>332</v>
      </c>
      <c r="J52" s="99" t="s">
        <v>332</v>
      </c>
      <c r="K52" s="99" t="s">
        <v>16</v>
      </c>
      <c r="L52" s="99" t="s">
        <v>311</v>
      </c>
      <c r="M52" s="100">
        <f>IFERROR(IF(COUNTIFS(S52:AB52,清算项目基本情况表!$D$6)&gt;=1,IF(L52="占地面积法",ROUND(SUM('附表4-项目间分摊信息采集表'!$E$5)/SUMPRODUCT(SUMIFS('附表4-项目间分摊信息采集表'!$E:$E,'附表4-项目间分摊信息采集表'!$B:$B,S52:AB52)),20),IF(L52="测绘总建筑面积法",ROUND(SUM('附表4-项目间分摊信息采集表'!$F$5)/SUMPRODUCT(SUMIFS('附表4-项目间分摊信息采集表'!$F:$F,'附表4-项目间分摊信息采集表'!$B:$B,S52:AB52)),20),IF(L52="可售建筑面积法",ROUND(SUM('附表4-项目间分摊信息采集表'!$G$5)/SUMPRODUCT(SUMIFS('附表4-项目间分摊信息采集表'!$G:$G,'附表4-项目间分摊信息采集表'!$B:$B,S52:AB52)),20),IF(L52="其他分摊方法",ROUND(SUM('附表4-项目间分摊信息采集表'!$H$5)/SUMPRODUCT(SUMIFS('附表4-项目间分摊信息采集表'!$H:$H,'附表4-项目间分摊信息采集表'!$B:$B,S52:AB52)),20),IF(L52="手工填写分摊比例","请填写分摊比例",100%))))),IF(COUNTA(S52:AB52)&gt;=1,0%,100%)),100%)</f>
        <v>0.329519901724361</v>
      </c>
      <c r="N52" s="94">
        <f>SUMIFS('附表7-扣除项目明细采集底稿'!$R:$R,'附表7-扣除项目明细采集底稿'!$G:$G,B52)</f>
        <v>192175.02</v>
      </c>
      <c r="O52" s="99" t="s">
        <v>3017</v>
      </c>
      <c r="P52" s="101">
        <f>SUMIFS('附表7-扣除项目明细采集底稿'!$T:$T,'附表7-扣除项目明细采集底稿'!$G:$G,$B52)</f>
        <v>63325.49</v>
      </c>
      <c r="Q52" s="103">
        <f t="shared" si="1"/>
        <v>128849.53</v>
      </c>
      <c r="R52" s="104"/>
      <c r="S52" s="99" t="s">
        <v>12</v>
      </c>
      <c r="T52" s="99" t="s">
        <v>331</v>
      </c>
      <c r="U52" s="99" t="s">
        <v>333</v>
      </c>
      <c r="V52" s="99"/>
      <c r="W52" s="99"/>
      <c r="X52" s="99"/>
      <c r="Y52" s="99"/>
      <c r="Z52" s="99"/>
      <c r="AA52" s="99"/>
      <c r="AB52" s="99"/>
      <c r="AC52" s="94"/>
    </row>
    <row r="53" ht="23.8" hidden="1" spans="1:29">
      <c r="A53" s="90">
        <v>48</v>
      </c>
      <c r="B53" s="91" t="s">
        <v>2259</v>
      </c>
      <c r="C53" s="91" t="s">
        <v>3104</v>
      </c>
      <c r="D53" s="92" t="s">
        <v>3024</v>
      </c>
      <c r="E53" s="91" t="s">
        <v>3105</v>
      </c>
      <c r="F53" s="93">
        <v>44762</v>
      </c>
      <c r="G53" s="94">
        <v>10000</v>
      </c>
      <c r="H53" s="94">
        <v>10000</v>
      </c>
      <c r="I53" s="99" t="s">
        <v>332</v>
      </c>
      <c r="J53" s="99" t="s">
        <v>332</v>
      </c>
      <c r="K53" s="99" t="s">
        <v>16</v>
      </c>
      <c r="L53" s="99" t="s">
        <v>311</v>
      </c>
      <c r="M53" s="100">
        <f>IFERROR(IF(COUNTIFS(S53:AB53,清算项目基本情况表!$D$6)&gt;=1,IF(L53="占地面积法",ROUND(SUM('附表4-项目间分摊信息采集表'!$E$5)/SUMPRODUCT(SUMIFS('附表4-项目间分摊信息采集表'!$E:$E,'附表4-项目间分摊信息采集表'!$B:$B,S53:AB53)),20),IF(L53="测绘总建筑面积法",ROUND(SUM('附表4-项目间分摊信息采集表'!$F$5)/SUMPRODUCT(SUMIFS('附表4-项目间分摊信息采集表'!$F:$F,'附表4-项目间分摊信息采集表'!$B:$B,S53:AB53)),20),IF(L53="可售建筑面积法",ROUND(SUM('附表4-项目间分摊信息采集表'!$G$5)/SUMPRODUCT(SUMIFS('附表4-项目间分摊信息采集表'!$G:$G,'附表4-项目间分摊信息采集表'!$B:$B,S53:AB53)),20),IF(L53="其他分摊方法",ROUND(SUM('附表4-项目间分摊信息采集表'!$H$5)/SUMPRODUCT(SUMIFS('附表4-项目间分摊信息采集表'!$H:$H,'附表4-项目间分摊信息采集表'!$B:$B,S53:AB53)),20),IF(L53="手工填写分摊比例","请填写分摊比例",100%))))),IF(COUNTA(S53:AB53)&gt;=1,0%,100%)),100%)</f>
        <v>0.329519901724361</v>
      </c>
      <c r="N53" s="94">
        <f>SUMIFS('附表7-扣除项目明细采集底稿'!$R:$R,'附表7-扣除项目明细采集底稿'!$G:$G,B53)</f>
        <v>7547.17</v>
      </c>
      <c r="O53" s="99" t="s">
        <v>3017</v>
      </c>
      <c r="P53" s="101">
        <f>SUMIFS('附表7-扣除项目明细采集底稿'!$T:$T,'附表7-扣除项目明细采集底稿'!$G:$G,$B53)</f>
        <v>2486.94</v>
      </c>
      <c r="Q53" s="103">
        <f t="shared" si="1"/>
        <v>5060.23</v>
      </c>
      <c r="R53" s="104"/>
      <c r="S53" s="99" t="s">
        <v>12</v>
      </c>
      <c r="T53" s="99" t="s">
        <v>331</v>
      </c>
      <c r="U53" s="99" t="s">
        <v>333</v>
      </c>
      <c r="V53" s="99"/>
      <c r="W53" s="99"/>
      <c r="X53" s="99"/>
      <c r="Y53" s="99"/>
      <c r="Z53" s="99"/>
      <c r="AA53" s="99"/>
      <c r="AB53" s="99"/>
      <c r="AC53" s="94"/>
    </row>
    <row r="54" ht="23.8" hidden="1" spans="1:29">
      <c r="A54" s="90">
        <v>49</v>
      </c>
      <c r="B54" s="91" t="s">
        <v>1791</v>
      </c>
      <c r="C54" s="91" t="s">
        <v>3106</v>
      </c>
      <c r="D54" s="92" t="s">
        <v>3015</v>
      </c>
      <c r="E54" s="91" t="s">
        <v>3058</v>
      </c>
      <c r="F54" s="93">
        <v>43679</v>
      </c>
      <c r="G54" s="94">
        <v>177200</v>
      </c>
      <c r="H54" s="94">
        <v>277200</v>
      </c>
      <c r="I54" s="99" t="s">
        <v>332</v>
      </c>
      <c r="J54" s="99" t="s">
        <v>332</v>
      </c>
      <c r="K54" s="99" t="s">
        <v>16</v>
      </c>
      <c r="L54" s="99" t="s">
        <v>311</v>
      </c>
      <c r="M54" s="100">
        <f>IFERROR(IF(COUNTIFS(S54:AB54,清算项目基本情况表!$D$6)&gt;=1,IF(L54="占地面积法",ROUND(SUM('附表4-项目间分摊信息采集表'!$E$5)/SUMPRODUCT(SUMIFS('附表4-项目间分摊信息采集表'!$E:$E,'附表4-项目间分摊信息采集表'!$B:$B,S54:AB54)),20),IF(L54="测绘总建筑面积法",ROUND(SUM('附表4-项目间分摊信息采集表'!$F$5)/SUMPRODUCT(SUMIFS('附表4-项目间分摊信息采集表'!$F:$F,'附表4-项目间分摊信息采集表'!$B:$B,S54:AB54)),20),IF(L54="可售建筑面积法",ROUND(SUM('附表4-项目间分摊信息采集表'!$G$5)/SUMPRODUCT(SUMIFS('附表4-项目间分摊信息采集表'!$G:$G,'附表4-项目间分摊信息采集表'!$B:$B,S54:AB54)),20),IF(L54="其他分摊方法",ROUND(SUM('附表4-项目间分摊信息采集表'!$H$5)/SUMPRODUCT(SUMIFS('附表4-项目间分摊信息采集表'!$H:$H,'附表4-项目间分摊信息采集表'!$B:$B,S54:AB54)),20),IF(L54="手工填写分摊比例","请填写分摊比例",100%))))),IF(COUNTA(S54:AB54)&gt;=1,0%,100%)),100%)</f>
        <v>0.329519901724361</v>
      </c>
      <c r="N54" s="94">
        <f>SUMIFS('附表7-扣除项目明细采集底稿'!$R:$R,'附表7-扣除项目明细采集底稿'!$G:$G,B54)</f>
        <v>82300.88</v>
      </c>
      <c r="O54" s="99" t="s">
        <v>3017</v>
      </c>
      <c r="P54" s="101">
        <f>SUMIFS('附表7-扣除项目明细采集底稿'!$T:$T,'附表7-扣除项目明细采集底稿'!$G:$G,$B54)</f>
        <v>27119.78</v>
      </c>
      <c r="Q54" s="103">
        <f t="shared" si="1"/>
        <v>55181.1</v>
      </c>
      <c r="R54" s="104"/>
      <c r="S54" s="99" t="s">
        <v>12</v>
      </c>
      <c r="T54" s="99" t="s">
        <v>331</v>
      </c>
      <c r="U54" s="99" t="s">
        <v>333</v>
      </c>
      <c r="V54" s="99"/>
      <c r="W54" s="99"/>
      <c r="X54" s="99"/>
      <c r="Y54" s="99"/>
      <c r="Z54" s="99"/>
      <c r="AA54" s="99"/>
      <c r="AB54" s="99"/>
      <c r="AC54" s="94"/>
    </row>
    <row r="55" ht="23.8" hidden="1" spans="1:29">
      <c r="A55" s="90">
        <v>50</v>
      </c>
      <c r="B55" s="91" t="s">
        <v>2120</v>
      </c>
      <c r="C55" s="91" t="s">
        <v>3107</v>
      </c>
      <c r="D55" s="92" t="s">
        <v>3019</v>
      </c>
      <c r="E55" s="91" t="s">
        <v>3040</v>
      </c>
      <c r="F55" s="93">
        <v>44144</v>
      </c>
      <c r="G55" s="94">
        <v>140629.114285714</v>
      </c>
      <c r="H55" s="94">
        <v>189604.8</v>
      </c>
      <c r="I55" s="99" t="s">
        <v>332</v>
      </c>
      <c r="J55" s="99" t="s">
        <v>332</v>
      </c>
      <c r="K55" s="99" t="s">
        <v>16</v>
      </c>
      <c r="L55" s="99" t="s">
        <v>311</v>
      </c>
      <c r="M55" s="100">
        <f>IFERROR(IF(COUNTIFS(S55:AB55,清算项目基本情况表!$D$6)&gt;=1,IF(L55="占地面积法",ROUND(SUM('附表4-项目间分摊信息采集表'!$E$5)/SUMPRODUCT(SUMIFS('附表4-项目间分摊信息采集表'!$E:$E,'附表4-项目间分摊信息采集表'!$B:$B,S55:AB55)),20),IF(L55="测绘总建筑面积法",ROUND(SUM('附表4-项目间分摊信息采集表'!$F$5)/SUMPRODUCT(SUMIFS('附表4-项目间分摊信息采集表'!$F:$F,'附表4-项目间分摊信息采集表'!$B:$B,S55:AB55)),20),IF(L55="可售建筑面积法",ROUND(SUM('附表4-项目间分摊信息采集表'!$G$5)/SUMPRODUCT(SUMIFS('附表4-项目间分摊信息采集表'!$G:$G,'附表4-项目间分摊信息采集表'!$B:$B,S55:AB55)),20),IF(L55="其他分摊方法",ROUND(SUM('附表4-项目间分摊信息采集表'!$H$5)/SUMPRODUCT(SUMIFS('附表4-项目间分摊信息采集表'!$H:$H,'附表4-项目间分摊信息采集表'!$B:$B,S55:AB55)),20),IF(L55="手工填写分摊比例","请填写分摊比例",100%))))),IF(COUNTA(S55:AB55)&gt;=1,0%,100%)),100%)</f>
        <v>0.329519901724361</v>
      </c>
      <c r="N55" s="94">
        <f>SUMIFS('附表7-扣除项目明细采集底稿'!$R:$R,'附表7-扣除项目明细采集底稿'!$G:$G,B55)</f>
        <v>167791.85840708</v>
      </c>
      <c r="O55" s="99" t="s">
        <v>3017</v>
      </c>
      <c r="P55" s="101">
        <f>SUMIFS('附表7-扣除项目明细采集底稿'!$T:$T,'附表7-扣除项目明细采集底稿'!$G:$G,$B55)</f>
        <v>55290.76</v>
      </c>
      <c r="Q55" s="103">
        <f t="shared" si="1"/>
        <v>112501.1</v>
      </c>
      <c r="R55" s="104"/>
      <c r="S55" s="99" t="s">
        <v>12</v>
      </c>
      <c r="T55" s="99" t="s">
        <v>331</v>
      </c>
      <c r="U55" s="99" t="s">
        <v>333</v>
      </c>
      <c r="V55" s="99"/>
      <c r="W55" s="99"/>
      <c r="X55" s="99"/>
      <c r="Y55" s="99"/>
      <c r="Z55" s="99"/>
      <c r="AA55" s="99"/>
      <c r="AB55" s="99"/>
      <c r="AC55" s="94">
        <f>H55/1.13</f>
        <v>167791.85840708</v>
      </c>
    </row>
    <row r="56" ht="23.8" hidden="1" spans="1:29">
      <c r="A56" s="90">
        <v>51</v>
      </c>
      <c r="B56" s="91" t="s">
        <v>1829</v>
      </c>
      <c r="C56" s="91" t="s">
        <v>3108</v>
      </c>
      <c r="D56" s="92" t="s">
        <v>3019</v>
      </c>
      <c r="E56" s="91" t="s">
        <v>3040</v>
      </c>
      <c r="F56" s="93">
        <v>43758</v>
      </c>
      <c r="G56" s="94">
        <v>120000</v>
      </c>
      <c r="H56" s="94">
        <v>120000</v>
      </c>
      <c r="I56" s="99" t="s">
        <v>332</v>
      </c>
      <c r="J56" s="99" t="s">
        <v>332</v>
      </c>
      <c r="K56" s="99" t="s">
        <v>16</v>
      </c>
      <c r="L56" s="99" t="s">
        <v>311</v>
      </c>
      <c r="M56" s="100">
        <f>IFERROR(IF(COUNTIFS(S56:AB56,清算项目基本情况表!$D$6)&gt;=1,IF(L56="占地面积法",ROUND(SUM('附表4-项目间分摊信息采集表'!$E$5)/SUMPRODUCT(SUMIFS('附表4-项目间分摊信息采集表'!$E:$E,'附表4-项目间分摊信息采集表'!$B:$B,S56:AB56)),20),IF(L56="测绘总建筑面积法",ROUND(SUM('附表4-项目间分摊信息采集表'!$F$5)/SUMPRODUCT(SUMIFS('附表4-项目间分摊信息采集表'!$F:$F,'附表4-项目间分摊信息采集表'!$B:$B,S56:AB56)),20),IF(L56="可售建筑面积法",ROUND(SUM('附表4-项目间分摊信息采集表'!$G$5)/SUMPRODUCT(SUMIFS('附表4-项目间分摊信息采集表'!$G:$G,'附表4-项目间分摊信息采集表'!$B:$B,S56:AB56)),20),IF(L56="其他分摊方法",ROUND(SUM('附表4-项目间分摊信息采集表'!$H$5)/SUMPRODUCT(SUMIFS('附表4-项目间分摊信息采集表'!$H:$H,'附表4-项目间分摊信息采集表'!$B:$B,S56:AB56)),20),IF(L56="手工填写分摊比例","请填写分摊比例",100%))))),IF(COUNTA(S56:AB56)&gt;=1,0%,100%)),100%)</f>
        <v>0.329519901724361</v>
      </c>
      <c r="N56" s="94">
        <f>SUMIFS('附表7-扣除项目明细采集底稿'!$R:$R,'附表7-扣除项目明细采集底稿'!$G:$G,B56)</f>
        <v>106194.7</v>
      </c>
      <c r="O56" s="99" t="s">
        <v>3017</v>
      </c>
      <c r="P56" s="101">
        <f>SUMIFS('附表7-扣除项目明细采集底稿'!$T:$T,'附表7-扣除项目明细采集底稿'!$G:$G,$B56)</f>
        <v>34993.27</v>
      </c>
      <c r="Q56" s="103">
        <f t="shared" si="1"/>
        <v>71201.43</v>
      </c>
      <c r="R56" s="104"/>
      <c r="S56" s="99" t="s">
        <v>12</v>
      </c>
      <c r="T56" s="99" t="s">
        <v>331</v>
      </c>
      <c r="U56" s="99" t="s">
        <v>333</v>
      </c>
      <c r="V56" s="99"/>
      <c r="W56" s="99"/>
      <c r="X56" s="99"/>
      <c r="Y56" s="99"/>
      <c r="Z56" s="99"/>
      <c r="AA56" s="99"/>
      <c r="AB56" s="99"/>
      <c r="AC56" s="94"/>
    </row>
    <row r="57" ht="23.8" hidden="1" spans="1:29">
      <c r="A57" s="90">
        <v>52</v>
      </c>
      <c r="B57" s="91" t="s">
        <v>1747</v>
      </c>
      <c r="C57" s="91" t="s">
        <v>3109</v>
      </c>
      <c r="D57" s="92" t="s">
        <v>3015</v>
      </c>
      <c r="E57" s="91" t="s">
        <v>3040</v>
      </c>
      <c r="F57" s="93">
        <v>43629</v>
      </c>
      <c r="G57" s="94">
        <v>400000</v>
      </c>
      <c r="H57" s="94">
        <v>400000</v>
      </c>
      <c r="I57" s="99" t="s">
        <v>332</v>
      </c>
      <c r="J57" s="99" t="s">
        <v>332</v>
      </c>
      <c r="K57" s="99" t="s">
        <v>16</v>
      </c>
      <c r="L57" s="99" t="s">
        <v>311</v>
      </c>
      <c r="M57" s="100">
        <f>IFERROR(IF(COUNTIFS(S57:AB57,清算项目基本情况表!$D$6)&gt;=1,IF(L57="占地面积法",ROUND(SUM('附表4-项目间分摊信息采集表'!$E$5)/SUMPRODUCT(SUMIFS('附表4-项目间分摊信息采集表'!$E:$E,'附表4-项目间分摊信息采集表'!$B:$B,S57:AB57)),20),IF(L57="测绘总建筑面积法",ROUND(SUM('附表4-项目间分摊信息采集表'!$F$5)/SUMPRODUCT(SUMIFS('附表4-项目间分摊信息采集表'!$F:$F,'附表4-项目间分摊信息采集表'!$B:$B,S57:AB57)),20),IF(L57="可售建筑面积法",ROUND(SUM('附表4-项目间分摊信息采集表'!$G$5)/SUMPRODUCT(SUMIFS('附表4-项目间分摊信息采集表'!$G:$G,'附表4-项目间分摊信息采集表'!$B:$B,S57:AB57)),20),IF(L57="其他分摊方法",ROUND(SUM('附表4-项目间分摊信息采集表'!$H$5)/SUMPRODUCT(SUMIFS('附表4-项目间分摊信息采集表'!$H:$H,'附表4-项目间分摊信息采集表'!$B:$B,S57:AB57)),20),IF(L57="手工填写分摊比例","请填写分摊比例",100%))))),IF(COUNTA(S57:AB57)&gt;=1,0%,100%)),100%)</f>
        <v>0.329519901724361</v>
      </c>
      <c r="N57" s="94">
        <f>SUMIFS('附表7-扣除项目明细采集底稿'!$R:$R,'附表7-扣除项目明细采集底稿'!$G:$G,B57)</f>
        <v>353982.32</v>
      </c>
      <c r="O57" s="99" t="s">
        <v>3017</v>
      </c>
      <c r="P57" s="101">
        <f>SUMIFS('附表7-扣除项目明细采集底稿'!$T:$T,'附表7-扣除项目明细采集底稿'!$G:$G,$B57)</f>
        <v>116644.21</v>
      </c>
      <c r="Q57" s="103">
        <f t="shared" si="1"/>
        <v>237338.11</v>
      </c>
      <c r="R57" s="104"/>
      <c r="S57" s="99" t="s">
        <v>12</v>
      </c>
      <c r="T57" s="99" t="s">
        <v>331</v>
      </c>
      <c r="U57" s="99" t="s">
        <v>333</v>
      </c>
      <c r="V57" s="99"/>
      <c r="W57" s="99"/>
      <c r="X57" s="99"/>
      <c r="Y57" s="99"/>
      <c r="Z57" s="99"/>
      <c r="AA57" s="99"/>
      <c r="AB57" s="99"/>
      <c r="AC57" s="94"/>
    </row>
    <row r="58" hidden="1" spans="1:29">
      <c r="A58" s="90">
        <v>53</v>
      </c>
      <c r="B58" s="91" t="s">
        <v>1833</v>
      </c>
      <c r="C58" s="91" t="s">
        <v>3110</v>
      </c>
      <c r="D58" s="92" t="s">
        <v>3015</v>
      </c>
      <c r="E58" s="91" t="s">
        <v>3111</v>
      </c>
      <c r="F58" s="93">
        <v>44144</v>
      </c>
      <c r="G58" s="94">
        <v>20160</v>
      </c>
      <c r="H58" s="94">
        <v>20160</v>
      </c>
      <c r="I58" s="99" t="s">
        <v>332</v>
      </c>
      <c r="J58" s="99" t="s">
        <v>332</v>
      </c>
      <c r="K58" s="99" t="s">
        <v>16</v>
      </c>
      <c r="L58" s="99" t="s">
        <v>311</v>
      </c>
      <c r="M58" s="100">
        <f>IFERROR(IF(COUNTIFS(S58:AB58,清算项目基本情况表!$D$6)&gt;=1,IF(L58="占地面积法",ROUND(SUM('附表4-项目间分摊信息采集表'!$E$5)/SUMPRODUCT(SUMIFS('附表4-项目间分摊信息采集表'!$E:$E,'附表4-项目间分摊信息采集表'!$B:$B,S58:AB58)),20),IF(L58="测绘总建筑面积法",ROUND(SUM('附表4-项目间分摊信息采集表'!$F$5)/SUMPRODUCT(SUMIFS('附表4-项目间分摊信息采集表'!$F:$F,'附表4-项目间分摊信息采集表'!$B:$B,S58:AB58)),20),IF(L58="可售建筑面积法",ROUND(SUM('附表4-项目间分摊信息采集表'!$G$5)/SUMPRODUCT(SUMIFS('附表4-项目间分摊信息采集表'!$G:$G,'附表4-项目间分摊信息采集表'!$B:$B,S58:AB58)),20),IF(L58="其他分摊方法",ROUND(SUM('附表4-项目间分摊信息采集表'!$H$5)/SUMPRODUCT(SUMIFS('附表4-项目间分摊信息采集表'!$H:$H,'附表4-项目间分摊信息采集表'!$B:$B,S58:AB58)),20),IF(L58="手工填写分摊比例","请填写分摊比例",100%))))),IF(COUNTA(S58:AB58)&gt;=1,0%,100%)),100%)</f>
        <v>0.329519901724361</v>
      </c>
      <c r="N58" s="94">
        <f>SUMIFS('附表7-扣除项目明细采集底稿'!$R:$R,'附表7-扣除项目明细采集底稿'!$G:$G,B58)</f>
        <v>0</v>
      </c>
      <c r="O58" s="99" t="s">
        <v>3017</v>
      </c>
      <c r="P58" s="101">
        <f>SUMIFS('附表7-扣除项目明细采集底稿'!$T:$T,'附表7-扣除项目明细采集底稿'!$G:$G,$B58)</f>
        <v>0</v>
      </c>
      <c r="Q58" s="103">
        <f t="shared" si="1"/>
        <v>0</v>
      </c>
      <c r="R58" s="104"/>
      <c r="S58" s="99" t="s">
        <v>12</v>
      </c>
      <c r="T58" s="99" t="s">
        <v>331</v>
      </c>
      <c r="U58" s="99" t="s">
        <v>333</v>
      </c>
      <c r="V58" s="99"/>
      <c r="W58" s="99"/>
      <c r="X58" s="99"/>
      <c r="Y58" s="99"/>
      <c r="Z58" s="99"/>
      <c r="AA58" s="99"/>
      <c r="AB58" s="99"/>
      <c r="AC58" s="94"/>
    </row>
    <row r="59" ht="23.8" hidden="1" spans="1:29">
      <c r="A59" s="90">
        <v>54</v>
      </c>
      <c r="B59" s="91" t="s">
        <v>2233</v>
      </c>
      <c r="C59" s="91" t="s">
        <v>3112</v>
      </c>
      <c r="D59" s="92" t="s">
        <v>3024</v>
      </c>
      <c r="E59" s="91" t="s">
        <v>3113</v>
      </c>
      <c r="F59" s="93" t="s">
        <v>3114</v>
      </c>
      <c r="G59" s="94">
        <v>14911.56</v>
      </c>
      <c r="H59" s="94">
        <v>14911.56</v>
      </c>
      <c r="I59" s="99" t="s">
        <v>332</v>
      </c>
      <c r="J59" s="99" t="s">
        <v>332</v>
      </c>
      <c r="K59" s="99" t="s">
        <v>16</v>
      </c>
      <c r="L59" s="99" t="s">
        <v>311</v>
      </c>
      <c r="M59" s="100">
        <f>IFERROR(IF(COUNTIFS(S59:AB59,清算项目基本情况表!$D$6)&gt;=1,IF(L59="占地面积法",ROUND(SUM('附表4-项目间分摊信息采集表'!$E$5)/SUMPRODUCT(SUMIFS('附表4-项目间分摊信息采集表'!$E:$E,'附表4-项目间分摊信息采集表'!$B:$B,S59:AB59)),20),IF(L59="测绘总建筑面积法",ROUND(SUM('附表4-项目间分摊信息采集表'!$F$5)/SUMPRODUCT(SUMIFS('附表4-项目间分摊信息采集表'!$F:$F,'附表4-项目间分摊信息采集表'!$B:$B,S59:AB59)),20),IF(L59="可售建筑面积法",ROUND(SUM('附表4-项目间分摊信息采集表'!$G$5)/SUMPRODUCT(SUMIFS('附表4-项目间分摊信息采集表'!$G:$G,'附表4-项目间分摊信息采集表'!$B:$B,S59:AB59)),20),IF(L59="其他分摊方法",ROUND(SUM('附表4-项目间分摊信息采集表'!$H$5)/SUMPRODUCT(SUMIFS('附表4-项目间分摊信息采集表'!$H:$H,'附表4-项目间分摊信息采集表'!$B:$B,S59:AB59)),20),IF(L59="手工填写分摊比例","请填写分摊比例",100%))))),IF(COUNTA(S59:AB59)&gt;=1,0%,100%)),100%)</f>
        <v>0.329519901724361</v>
      </c>
      <c r="N59" s="94">
        <f>SUMIFS('附表7-扣除项目明细采集底稿'!$R:$R,'附表7-扣除项目明细采集底稿'!$G:$G,B59)</f>
        <v>14069.03</v>
      </c>
      <c r="O59" s="99" t="s">
        <v>3017</v>
      </c>
      <c r="P59" s="101"/>
      <c r="Q59" s="103"/>
      <c r="R59" s="104"/>
      <c r="S59" s="99" t="s">
        <v>12</v>
      </c>
      <c r="T59" s="99" t="s">
        <v>331</v>
      </c>
      <c r="U59" s="99" t="s">
        <v>333</v>
      </c>
      <c r="V59" s="99"/>
      <c r="W59" s="99"/>
      <c r="X59" s="99"/>
      <c r="Y59" s="99"/>
      <c r="Z59" s="99"/>
      <c r="AA59" s="99"/>
      <c r="AB59" s="99"/>
      <c r="AC59" s="94"/>
    </row>
    <row r="60" ht="23.8" hidden="1" spans="1:29">
      <c r="A60" s="90">
        <v>55</v>
      </c>
      <c r="B60" s="91" t="s">
        <v>2304</v>
      </c>
      <c r="C60" s="91" t="s">
        <v>3112</v>
      </c>
      <c r="D60" s="92" t="s">
        <v>3024</v>
      </c>
      <c r="E60" s="91" t="s">
        <v>3113</v>
      </c>
      <c r="F60" s="93">
        <v>43920</v>
      </c>
      <c r="G60" s="94">
        <v>17587.8</v>
      </c>
      <c r="H60" s="94">
        <v>17587.8</v>
      </c>
      <c r="I60" s="99" t="s">
        <v>332</v>
      </c>
      <c r="J60" s="99" t="s">
        <v>332</v>
      </c>
      <c r="K60" s="99" t="s">
        <v>16</v>
      </c>
      <c r="L60" s="99" t="s">
        <v>311</v>
      </c>
      <c r="M60" s="100">
        <f>IFERROR(IF(COUNTIFS(S60:AB60,清算项目基本情况表!$D$6)&gt;=1,IF(L60="占地面积法",ROUND(SUM('附表4-项目间分摊信息采集表'!$E$5)/SUMPRODUCT(SUMIFS('附表4-项目间分摊信息采集表'!$E:$E,'附表4-项目间分摊信息采集表'!$B:$B,S60:AB60)),20),IF(L60="测绘总建筑面积法",ROUND(SUM('附表4-项目间分摊信息采集表'!$F$5)/SUMPRODUCT(SUMIFS('附表4-项目间分摊信息采集表'!$F:$F,'附表4-项目间分摊信息采集表'!$B:$B,S60:AB60)),20),IF(L60="可售建筑面积法",ROUND(SUM('附表4-项目间分摊信息采集表'!$G$5)/SUMPRODUCT(SUMIFS('附表4-项目间分摊信息采集表'!$G:$G,'附表4-项目间分摊信息采集表'!$B:$B,S60:AB60)),20),IF(L60="其他分摊方法",ROUND(SUM('附表4-项目间分摊信息采集表'!$H$5)/SUMPRODUCT(SUMIFS('附表4-项目间分摊信息采集表'!$H:$H,'附表4-项目间分摊信息采集表'!$B:$B,S60:AB60)),20),IF(L60="手工填写分摊比例","请填写分摊比例",100%))))),IF(COUNTA(S60:AB60)&gt;=1,0%,100%)),100%)</f>
        <v>0.329519901724361</v>
      </c>
      <c r="N60" s="94">
        <f>SUMIFS('附表7-扣除项目明细采集底稿'!$R:$R,'附表7-扣除项目明细采集底稿'!$G:$G,B60)</f>
        <v>17413.6633663366</v>
      </c>
      <c r="O60" s="99" t="s">
        <v>3017</v>
      </c>
      <c r="P60" s="101"/>
      <c r="Q60" s="103"/>
      <c r="R60" s="104"/>
      <c r="S60" s="99" t="s">
        <v>12</v>
      </c>
      <c r="T60" s="99" t="s">
        <v>331</v>
      </c>
      <c r="U60" s="99" t="s">
        <v>333</v>
      </c>
      <c r="V60" s="99"/>
      <c r="W60" s="99"/>
      <c r="X60" s="99"/>
      <c r="Y60" s="99"/>
      <c r="Z60" s="99"/>
      <c r="AA60" s="99"/>
      <c r="AB60" s="99"/>
      <c r="AC60" s="94"/>
    </row>
    <row r="61" ht="23.8" hidden="1" spans="1:29">
      <c r="A61" s="90">
        <v>56</v>
      </c>
      <c r="B61" s="91" t="s">
        <v>1862</v>
      </c>
      <c r="C61" s="91" t="s">
        <v>3115</v>
      </c>
      <c r="D61" s="92" t="s">
        <v>3024</v>
      </c>
      <c r="E61" s="91" t="s">
        <v>3116</v>
      </c>
      <c r="F61" s="93" t="s">
        <v>3114</v>
      </c>
      <c r="G61" s="94">
        <v>5000</v>
      </c>
      <c r="H61" s="94">
        <v>5000</v>
      </c>
      <c r="I61" s="99" t="s">
        <v>332</v>
      </c>
      <c r="J61" s="99" t="s">
        <v>332</v>
      </c>
      <c r="K61" s="99" t="s">
        <v>16</v>
      </c>
      <c r="L61" s="99" t="s">
        <v>3077</v>
      </c>
      <c r="M61" s="100">
        <v>0.313614973484672</v>
      </c>
      <c r="N61" s="94">
        <f>SUMIFS('附表7-扣除项目明细采集底稿'!$R:$R,'附表7-扣除项目明细采集底稿'!$G:$G,B61)</f>
        <v>5000</v>
      </c>
      <c r="O61" s="99" t="s">
        <v>3017</v>
      </c>
      <c r="P61" s="101">
        <f>SUMIFS('附表7-扣除项目明细采集底稿'!$T:$T,'附表7-扣除项目明细采集底稿'!$G:$G,$B61)</f>
        <v>1568.07</v>
      </c>
      <c r="Q61" s="103">
        <f>ROUND(SUM(N61)-SUM(O61)-SUM(P61),2)</f>
        <v>3431.93</v>
      </c>
      <c r="R61" s="104"/>
      <c r="S61" s="99" t="s">
        <v>12</v>
      </c>
      <c r="T61" s="99" t="s">
        <v>331</v>
      </c>
      <c r="U61" s="99" t="s">
        <v>333</v>
      </c>
      <c r="V61" s="99"/>
      <c r="W61" s="99"/>
      <c r="X61" s="99"/>
      <c r="Y61" s="99"/>
      <c r="Z61" s="99"/>
      <c r="AA61" s="99"/>
      <c r="AB61" s="99"/>
      <c r="AC61" s="94"/>
    </row>
    <row r="62" ht="23.8" hidden="1" spans="1:29">
      <c r="A62" s="90">
        <v>57</v>
      </c>
      <c r="B62" s="91" t="s">
        <v>1978</v>
      </c>
      <c r="C62" s="91" t="s">
        <v>3117</v>
      </c>
      <c r="D62" s="92" t="s">
        <v>3024</v>
      </c>
      <c r="E62" s="91" t="s">
        <v>3118</v>
      </c>
      <c r="F62" s="93" t="s">
        <v>3114</v>
      </c>
      <c r="G62" s="94">
        <v>2849</v>
      </c>
      <c r="H62" s="94">
        <v>2849</v>
      </c>
      <c r="I62" s="99" t="s">
        <v>332</v>
      </c>
      <c r="J62" s="99" t="s">
        <v>332</v>
      </c>
      <c r="K62" s="99" t="s">
        <v>16</v>
      </c>
      <c r="L62" s="99" t="s">
        <v>311</v>
      </c>
      <c r="M62" s="100">
        <f>IFERROR(IF(COUNTIFS(S62:AB62,清算项目基本情况表!$D$6)&gt;=1,IF(L62="占地面积法",ROUND(SUM('附表4-项目间分摊信息采集表'!$E$5)/SUMPRODUCT(SUMIFS('附表4-项目间分摊信息采集表'!$E:$E,'附表4-项目间分摊信息采集表'!$B:$B,S62:AB62)),20),IF(L62="测绘总建筑面积法",ROUND(SUM('附表4-项目间分摊信息采集表'!$F$5)/SUMPRODUCT(SUMIFS('附表4-项目间分摊信息采集表'!$F:$F,'附表4-项目间分摊信息采集表'!$B:$B,S62:AB62)),20),IF(L62="可售建筑面积法",ROUND(SUM('附表4-项目间分摊信息采集表'!$G$5)/SUMPRODUCT(SUMIFS('附表4-项目间分摊信息采集表'!$G:$G,'附表4-项目间分摊信息采集表'!$B:$B,S62:AB62)),20),IF(L62="其他分摊方法",ROUND(SUM('附表4-项目间分摊信息采集表'!$H$5)/SUMPRODUCT(SUMIFS('附表4-项目间分摊信息采集表'!$H:$H,'附表4-项目间分摊信息采集表'!$B:$B,S62:AB62)),20),IF(L62="手工填写分摊比例","请填写分摊比例",100%))))),IF(COUNTA(S62:AB62)&gt;=1,0%,100%)),100%)</f>
        <v>0.329519901724361</v>
      </c>
      <c r="N62" s="94">
        <f>SUMIFS('附表7-扣除项目明细采集底稿'!$R:$R,'附表7-扣除项目明细采集底稿'!$G:$G,B62)</f>
        <v>2687.74</v>
      </c>
      <c r="O62" s="99" t="s">
        <v>3017</v>
      </c>
      <c r="P62" s="101"/>
      <c r="Q62" s="103"/>
      <c r="R62" s="104"/>
      <c r="S62" s="99" t="s">
        <v>12</v>
      </c>
      <c r="T62" s="99" t="s">
        <v>331</v>
      </c>
      <c r="U62" s="99" t="s">
        <v>333</v>
      </c>
      <c r="V62" s="99"/>
      <c r="W62" s="99"/>
      <c r="X62" s="99"/>
      <c r="Y62" s="99"/>
      <c r="Z62" s="99"/>
      <c r="AA62" s="99"/>
      <c r="AB62" s="99"/>
      <c r="AC62" s="94"/>
    </row>
    <row r="63" ht="23.8" hidden="1" spans="1:29">
      <c r="A63" s="90">
        <v>58</v>
      </c>
      <c r="B63" s="91" t="s">
        <v>2255</v>
      </c>
      <c r="C63" s="91" t="s">
        <v>3119</v>
      </c>
      <c r="D63" s="92" t="s">
        <v>3019</v>
      </c>
      <c r="E63" s="91" t="s">
        <v>2292</v>
      </c>
      <c r="F63" s="93">
        <v>44662</v>
      </c>
      <c r="G63" s="94">
        <v>2440</v>
      </c>
      <c r="H63" s="94">
        <v>2440</v>
      </c>
      <c r="I63" s="99" t="s">
        <v>332</v>
      </c>
      <c r="J63" s="99" t="s">
        <v>332</v>
      </c>
      <c r="K63" s="99" t="s">
        <v>16</v>
      </c>
      <c r="L63" s="99" t="s">
        <v>311</v>
      </c>
      <c r="M63" s="100">
        <f>IFERROR(IF(COUNTIFS(S63:AB63,清算项目基本情况表!$D$6)&gt;=1,IF(L63="占地面积法",ROUND(SUM('附表4-项目间分摊信息采集表'!$E$5)/SUMPRODUCT(SUMIFS('附表4-项目间分摊信息采集表'!$E:$E,'附表4-项目间分摊信息采集表'!$B:$B,S63:AB63)),20),IF(L63="测绘总建筑面积法",ROUND(SUM('附表4-项目间分摊信息采集表'!$F$5)/SUMPRODUCT(SUMIFS('附表4-项目间分摊信息采集表'!$F:$F,'附表4-项目间分摊信息采集表'!$B:$B,S63:AB63)),20),IF(L63="可售建筑面积法",ROUND(SUM('附表4-项目间分摊信息采集表'!$G$5)/SUMPRODUCT(SUMIFS('附表4-项目间分摊信息采集表'!$G:$G,'附表4-项目间分摊信息采集表'!$B:$B,S63:AB63)),20),IF(L63="其他分摊方法",ROUND(SUM('附表4-项目间分摊信息采集表'!$H$5)/SUMPRODUCT(SUMIFS('附表4-项目间分摊信息采集表'!$H:$H,'附表4-项目间分摊信息采集表'!$B:$B,S63:AB63)),20),IF(L63="手工填写分摊比例","请填写分摊比例",100%))))),IF(COUNTA(S63:AB63)&gt;=1,0%,100%)),100%)</f>
        <v>0.329519901724361</v>
      </c>
      <c r="N63" s="94">
        <f>SUMIFS('附表7-扣除项目明细采集底稿'!$R:$R,'附表7-扣除项目明细采集底稿'!$G:$G,B63)</f>
        <v>2159.29</v>
      </c>
      <c r="O63" s="99" t="s">
        <v>3017</v>
      </c>
      <c r="P63" s="101"/>
      <c r="Q63" s="103"/>
      <c r="R63" s="104"/>
      <c r="S63" s="99" t="s">
        <v>12</v>
      </c>
      <c r="T63" s="99" t="s">
        <v>331</v>
      </c>
      <c r="U63" s="99" t="s">
        <v>333</v>
      </c>
      <c r="V63" s="99"/>
      <c r="W63" s="99"/>
      <c r="X63" s="99"/>
      <c r="Y63" s="99"/>
      <c r="Z63" s="99"/>
      <c r="AA63" s="99"/>
      <c r="AB63" s="99"/>
      <c r="AC63" s="94"/>
    </row>
    <row r="64" ht="23.8" hidden="1" spans="1:29">
      <c r="A64" s="90">
        <v>61</v>
      </c>
      <c r="B64" s="91" t="s">
        <v>1720</v>
      </c>
      <c r="C64" s="91" t="s">
        <v>3120</v>
      </c>
      <c r="D64" s="92" t="s">
        <v>3024</v>
      </c>
      <c r="E64" s="91" t="s">
        <v>3121</v>
      </c>
      <c r="F64" s="93">
        <v>43338</v>
      </c>
      <c r="G64" s="94">
        <v>50000</v>
      </c>
      <c r="H64" s="94">
        <v>50000</v>
      </c>
      <c r="I64" s="99" t="s">
        <v>332</v>
      </c>
      <c r="J64" s="99" t="s">
        <v>332</v>
      </c>
      <c r="K64" s="99" t="s">
        <v>16</v>
      </c>
      <c r="L64" s="99" t="s">
        <v>311</v>
      </c>
      <c r="M64" s="100">
        <f>IFERROR(IF(COUNTIFS(S64:AB64,清算项目基本情况表!$D$6)&gt;=1,IF(L64="占地面积法",ROUND(SUM('附表4-项目间分摊信息采集表'!$E$5)/SUMPRODUCT(SUMIFS('附表4-项目间分摊信息采集表'!$E:$E,'附表4-项目间分摊信息采集表'!$B:$B,S64:AB64)),20),IF(L64="测绘总建筑面积法",ROUND(SUM('附表4-项目间分摊信息采集表'!$F$5)/SUMPRODUCT(SUMIFS('附表4-项目间分摊信息采集表'!$F:$F,'附表4-项目间分摊信息采集表'!$B:$B,S64:AB64)),20),IF(L64="可售建筑面积法",ROUND(SUM('附表4-项目间分摊信息采集表'!$G$5)/SUMPRODUCT(SUMIFS('附表4-项目间分摊信息采集表'!$G:$G,'附表4-项目间分摊信息采集表'!$B:$B,S64:AB64)),20),IF(L64="其他分摊方法",ROUND(SUM('附表4-项目间分摊信息采集表'!$H$5)/SUMPRODUCT(SUMIFS('附表4-项目间分摊信息采集表'!$H:$H,'附表4-项目间分摊信息采集表'!$B:$B,S64:AB64)),20),IF(L64="手工填写分摊比例","请填写分摊比例",100%))))),IF(COUNTA(S64:AB64)&gt;=1,0%,100%)),100%)</f>
        <v>0.329519901724361</v>
      </c>
      <c r="N64" s="94">
        <f>SUMIFS('附表7-扣除项目明细采集底稿'!$R:$R,'附表7-扣除项目明细采集底稿'!$G:$G,B64)</f>
        <v>0</v>
      </c>
      <c r="O64" s="99" t="s">
        <v>3017</v>
      </c>
      <c r="P64" s="101"/>
      <c r="Q64" s="103"/>
      <c r="R64" s="104"/>
      <c r="S64" s="99" t="s">
        <v>12</v>
      </c>
      <c r="T64" s="99" t="s">
        <v>331</v>
      </c>
      <c r="U64" s="99" t="s">
        <v>333</v>
      </c>
      <c r="V64" s="99"/>
      <c r="W64" s="99"/>
      <c r="X64" s="99"/>
      <c r="Y64" s="99"/>
      <c r="Z64" s="99"/>
      <c r="AA64" s="99"/>
      <c r="AB64" s="99"/>
      <c r="AC64" s="94"/>
    </row>
    <row r="65" hidden="1" spans="1:29">
      <c r="A65" s="90">
        <v>62</v>
      </c>
      <c r="B65" s="91" t="s">
        <v>2311</v>
      </c>
      <c r="C65" s="91" t="s">
        <v>3122</v>
      </c>
      <c r="D65" s="92" t="s">
        <v>3019</v>
      </c>
      <c r="E65" s="91" t="s">
        <v>2651</v>
      </c>
      <c r="F65" s="93">
        <v>45356</v>
      </c>
      <c r="G65" s="94">
        <v>44660</v>
      </c>
      <c r="H65" s="94">
        <v>44660</v>
      </c>
      <c r="I65" s="99" t="s">
        <v>332</v>
      </c>
      <c r="J65" s="99" t="s">
        <v>332</v>
      </c>
      <c r="K65" s="99" t="s">
        <v>16</v>
      </c>
      <c r="L65" s="99" t="s">
        <v>311</v>
      </c>
      <c r="M65" s="100">
        <f>IFERROR(IF(COUNTIFS(S65:AB65,清算项目基本情况表!$D$6)&gt;=1,IF(L65="占地面积法",ROUND(SUM('附表4-项目间分摊信息采集表'!$E$5)/SUMPRODUCT(SUMIFS('附表4-项目间分摊信息采集表'!$E:$E,'附表4-项目间分摊信息采集表'!$B:$B,S65:AB65)),20),IF(L65="测绘总建筑面积法",ROUND(SUM('附表4-项目间分摊信息采集表'!$F$5)/SUMPRODUCT(SUMIFS('附表4-项目间分摊信息采集表'!$F:$F,'附表4-项目间分摊信息采集表'!$B:$B,S65:AB65)),20),IF(L65="可售建筑面积法",ROUND(SUM('附表4-项目间分摊信息采集表'!$G$5)/SUMPRODUCT(SUMIFS('附表4-项目间分摊信息采集表'!$G:$G,'附表4-项目间分摊信息采集表'!$B:$B,S65:AB65)),20),IF(L65="其他分摊方法",ROUND(SUM('附表4-项目间分摊信息采集表'!$H$5)/SUMPRODUCT(SUMIFS('附表4-项目间分摊信息采集表'!$H:$H,'附表4-项目间分摊信息采集表'!$B:$B,S65:AB65)),20),IF(L65="手工填写分摊比例","请填写分摊比例",100%))))),IF(COUNTA(S65:AB65)&gt;=1,0%,100%)),100%)</f>
        <v>0.329519901724361</v>
      </c>
      <c r="N65" s="94">
        <f>SUMIFS('附表7-扣除项目明细采集底稿'!$R:$R,'附表7-扣除项目明细采集底稿'!$G:$G,B65)</f>
        <v>0</v>
      </c>
      <c r="O65" s="99" t="s">
        <v>3017</v>
      </c>
      <c r="P65" s="101"/>
      <c r="Q65" s="103"/>
      <c r="R65" s="104"/>
      <c r="S65" s="99" t="s">
        <v>12</v>
      </c>
      <c r="T65" s="99" t="s">
        <v>331</v>
      </c>
      <c r="U65" s="99" t="s">
        <v>333</v>
      </c>
      <c r="V65" s="99"/>
      <c r="W65" s="99"/>
      <c r="X65" s="99"/>
      <c r="Y65" s="99"/>
      <c r="Z65" s="99"/>
      <c r="AA65" s="99"/>
      <c r="AB65" s="99"/>
      <c r="AC65" s="94"/>
    </row>
    <row r="66" hidden="1" spans="1:29">
      <c r="A66" s="90">
        <v>63</v>
      </c>
      <c r="B66" s="91" t="s">
        <v>1684</v>
      </c>
      <c r="C66" s="91" t="s">
        <v>3123</v>
      </c>
      <c r="D66" s="92" t="s">
        <v>3124</v>
      </c>
      <c r="E66" s="91" t="s">
        <v>3123</v>
      </c>
      <c r="F66" s="93">
        <v>41703</v>
      </c>
      <c r="G66" s="94">
        <v>3960000</v>
      </c>
      <c r="H66" s="94">
        <v>396000</v>
      </c>
      <c r="I66" s="99" t="s">
        <v>332</v>
      </c>
      <c r="J66" s="99" t="s">
        <v>332</v>
      </c>
      <c r="K66" s="99" t="s">
        <v>16</v>
      </c>
      <c r="L66" s="99" t="s">
        <v>311</v>
      </c>
      <c r="M66" s="100">
        <f>IFERROR(IF(COUNTIFS(S66:AB66,清算项目基本情况表!$D$6)&gt;=1,IF(L66="占地面积法",ROUND(SUM('附表4-项目间分摊信息采集表'!$E$5)/SUMPRODUCT(SUMIFS('附表4-项目间分摊信息采集表'!$E:$E,'附表4-项目间分摊信息采集表'!$B:$B,S66:AB66)),20),IF(L66="测绘总建筑面积法",ROUND(SUM('附表4-项目间分摊信息采集表'!$F$5)/SUMPRODUCT(SUMIFS('附表4-项目间分摊信息采集表'!$F:$F,'附表4-项目间分摊信息采集表'!$B:$B,S66:AB66)),20),IF(L66="可售建筑面积法",ROUND(SUM('附表4-项目间分摊信息采集表'!$G$5)/SUMPRODUCT(SUMIFS('附表4-项目间分摊信息采集表'!$G:$G,'附表4-项目间分摊信息采集表'!$B:$B,S66:AB66)),20),IF(L66="其他分摊方法",ROUND(SUM('附表4-项目间分摊信息采集表'!$H$5)/SUMPRODUCT(SUMIFS('附表4-项目间分摊信息采集表'!$H:$H,'附表4-项目间分摊信息采集表'!$B:$B,S66:AB66)),20),IF(L66="手工填写分摊比例","请填写分摊比例",100%))))),IF(COUNTA(S66:AB66)&gt;=1,0%,100%)),100%)</f>
        <v>0.329519901724361</v>
      </c>
      <c r="N66" s="94">
        <f>SUMIFS('附表7-扣除项目明细采集底稿'!$R:$R,'附表7-扣除项目明细采集底稿'!$G:$G,B66)</f>
        <v>3960000</v>
      </c>
      <c r="O66" s="99" t="s">
        <v>3017</v>
      </c>
      <c r="P66" s="101"/>
      <c r="Q66" s="103"/>
      <c r="R66" s="104"/>
      <c r="S66" s="99" t="s">
        <v>12</v>
      </c>
      <c r="T66" s="99" t="s">
        <v>331</v>
      </c>
      <c r="U66" s="99" t="s">
        <v>333</v>
      </c>
      <c r="V66" s="99"/>
      <c r="W66" s="99"/>
      <c r="X66" s="99"/>
      <c r="Y66" s="99"/>
      <c r="Z66" s="99"/>
      <c r="AA66" s="99"/>
      <c r="AB66" s="99"/>
      <c r="AC66" s="94"/>
    </row>
    <row r="67" hidden="1" spans="1:29">
      <c r="A67" s="90"/>
      <c r="B67" s="91" t="s">
        <v>1697</v>
      </c>
      <c r="C67" s="91"/>
      <c r="D67" s="92"/>
      <c r="E67" s="91"/>
      <c r="F67" s="93"/>
      <c r="G67" s="94"/>
      <c r="H67" s="94"/>
      <c r="I67" s="99" t="s">
        <v>332</v>
      </c>
      <c r="J67" s="99" t="s">
        <v>332</v>
      </c>
      <c r="K67" s="99" t="s">
        <v>16</v>
      </c>
      <c r="L67" s="99" t="s">
        <v>311</v>
      </c>
      <c r="M67" s="100">
        <f>IFERROR(IF(COUNTIFS(S67:AB67,清算项目基本情况表!$D$6)&gt;=1,IF(L67="占地面积法",ROUND(SUM('附表4-项目间分摊信息采集表'!$E$5)/SUMPRODUCT(SUMIFS('附表4-项目间分摊信息采集表'!$E:$E,'附表4-项目间分摊信息采集表'!$B:$B,S67:AB67)),20),IF(L67="测绘总建筑面积法",ROUND(SUM('附表4-项目间分摊信息采集表'!$F$5)/SUMPRODUCT(SUMIFS('附表4-项目间分摊信息采集表'!$F:$F,'附表4-项目间分摊信息采集表'!$B:$B,S67:AB67)),20),IF(L67="可售建筑面积法",ROUND(SUM('附表4-项目间分摊信息采集表'!$G$5)/SUMPRODUCT(SUMIFS('附表4-项目间分摊信息采集表'!$G:$G,'附表4-项目间分摊信息采集表'!$B:$B,S67:AB67)),20),IF(L67="其他分摊方法",ROUND(SUM('附表4-项目间分摊信息采集表'!$H$5)/SUMPRODUCT(SUMIFS('附表4-项目间分摊信息采集表'!$H:$H,'附表4-项目间分摊信息采集表'!$B:$B,S67:AB67)),20),IF(L67="手工填写分摊比例","请填写分摊比例",100%))))),IF(COUNTA(S67:AB67)&gt;=1,0%,100%)),100%)</f>
        <v>0.329519901724361</v>
      </c>
      <c r="N67" s="94"/>
      <c r="O67" s="99"/>
      <c r="P67" s="101"/>
      <c r="Q67" s="103"/>
      <c r="R67" s="104"/>
      <c r="S67" s="99" t="s">
        <v>12</v>
      </c>
      <c r="T67" s="99" t="s">
        <v>331</v>
      </c>
      <c r="U67" s="99" t="s">
        <v>333</v>
      </c>
      <c r="V67" s="99"/>
      <c r="W67" s="99"/>
      <c r="X67" s="99"/>
      <c r="Y67" s="99"/>
      <c r="Z67" s="99"/>
      <c r="AA67" s="99"/>
      <c r="AB67" s="99"/>
      <c r="AC67" s="94"/>
    </row>
    <row r="68" hidden="1" spans="1:29">
      <c r="A68" s="90">
        <v>64</v>
      </c>
      <c r="B68" s="105" t="s">
        <v>1815</v>
      </c>
      <c r="C68" s="106" t="s">
        <v>3125</v>
      </c>
      <c r="D68" s="107" t="s">
        <v>3024</v>
      </c>
      <c r="E68" s="108" t="s">
        <v>3126</v>
      </c>
      <c r="F68" s="109" t="s">
        <v>3114</v>
      </c>
      <c r="G68" s="94">
        <v>168000</v>
      </c>
      <c r="H68" s="94">
        <v>178000</v>
      </c>
      <c r="I68" s="99" t="s">
        <v>332</v>
      </c>
      <c r="J68" s="99" t="s">
        <v>332</v>
      </c>
      <c r="K68" s="99" t="s">
        <v>16</v>
      </c>
      <c r="L68" s="99" t="s">
        <v>3127</v>
      </c>
      <c r="M68" s="100">
        <f>IFERROR(IF(COUNTIFS(S68:AB68,清算项目基本情况表!$D$6)&gt;=1,IF(L68="占地面积法",ROUND(SUM('附表4-项目间分摊信息采集表'!$E$5)/SUMPRODUCT(SUMIFS('附表4-项目间分摊信息采集表'!$E:$E,'附表4-项目间分摊信息采集表'!$B:$B,S68:AB68)),20),IF(L68="测绘总建筑面积法",ROUND(SUM('附表4-项目间分摊信息采集表'!$F$5)/SUMPRODUCT(SUMIFS('附表4-项目间分摊信息采集表'!$F:$F,'附表4-项目间分摊信息采集表'!$B:$B,S68:AB68)),20),IF(L68="可售建筑面积法",ROUND(SUM('附表4-项目间分摊信息采集表'!$G$5)/SUMPRODUCT(SUMIFS('附表4-项目间分摊信息采集表'!$G:$G,'附表4-项目间分摊信息采集表'!$B:$B,S68:AB68)),20),IF(L68="其他分摊方法",ROUND(SUM('附表4-项目间分摊信息采集表'!$H$5)/SUMPRODUCT(SUMIFS('附表4-项目间分摊信息采集表'!$H:$H,'附表4-项目间分摊信息采集表'!$B:$B,S68:AB68)),20),IF(L68="手工填写分摊比例","请填写分摊比例",100%))))),IF(COUNTA(S68:AB68)&gt;=1,0%,100%)),100%)</f>
        <v>0.318696696324277</v>
      </c>
      <c r="N68" s="94">
        <f>SUMIFS('附表7-扣除项目明细采集底稿'!$R:$R,'附表7-扣除项目明细采集底稿'!$G:$G,B68)</f>
        <v>159746.36</v>
      </c>
      <c r="O68" s="99" t="s">
        <v>3017</v>
      </c>
      <c r="P68" s="101"/>
      <c r="Q68" s="103"/>
      <c r="R68" s="104"/>
      <c r="S68" s="99" t="s">
        <v>12</v>
      </c>
      <c r="T68" s="99" t="s">
        <v>331</v>
      </c>
      <c r="U68" s="99" t="s">
        <v>333</v>
      </c>
      <c r="V68" s="99"/>
      <c r="W68" s="99"/>
      <c r="X68" s="99"/>
      <c r="Y68" s="99"/>
      <c r="Z68" s="99"/>
      <c r="AA68" s="99"/>
      <c r="AB68" s="99"/>
      <c r="AC68" s="94"/>
    </row>
    <row r="69" hidden="1" spans="1:29">
      <c r="A69" s="90">
        <v>65</v>
      </c>
      <c r="B69" s="105" t="s">
        <v>1898</v>
      </c>
      <c r="C69" s="110" t="s">
        <v>3128</v>
      </c>
      <c r="D69" s="107" t="s">
        <v>3019</v>
      </c>
      <c r="E69" s="106" t="s">
        <v>3129</v>
      </c>
      <c r="F69" s="111">
        <v>44148</v>
      </c>
      <c r="G69" s="94">
        <v>1850000</v>
      </c>
      <c r="H69" s="94">
        <v>1850000</v>
      </c>
      <c r="I69" s="99" t="s">
        <v>332</v>
      </c>
      <c r="J69" s="99" t="s">
        <v>332</v>
      </c>
      <c r="K69" s="99" t="s">
        <v>16</v>
      </c>
      <c r="L69" s="99" t="s">
        <v>3127</v>
      </c>
      <c r="M69" s="100">
        <f>IFERROR(IF(COUNTIFS(S69:AB69,清算项目基本情况表!$D$6)&gt;=1,IF(L69="占地面积法",ROUND(SUM('附表4-项目间分摊信息采集表'!$E$5)/SUMPRODUCT(SUMIFS('附表4-项目间分摊信息采集表'!$E:$E,'附表4-项目间分摊信息采集表'!$B:$B,S69:AB69)),20),IF(L69="测绘总建筑面积法",ROUND(SUM('附表4-项目间分摊信息采集表'!$F$5)/SUMPRODUCT(SUMIFS('附表4-项目间分摊信息采集表'!$F:$F,'附表4-项目间分摊信息采集表'!$B:$B,S69:AB69)),20),IF(L69="可售建筑面积法",ROUND(SUM('附表4-项目间分摊信息采集表'!$G$5)/SUMPRODUCT(SUMIFS('附表4-项目间分摊信息采集表'!$G:$G,'附表4-项目间分摊信息采集表'!$B:$B,S69:AB69)),20),IF(L69="其他分摊方法",ROUND(SUM('附表4-项目间分摊信息采集表'!$H$5)/SUMPRODUCT(SUMIFS('附表4-项目间分摊信息采集表'!$H:$H,'附表4-项目间分摊信息采集表'!$B:$B,S69:AB69)),20),IF(L69="手工填写分摊比例","请填写分摊比例",100%))))),IF(COUNTA(S69:AB69)&gt;=1,0%,100%)),100%)</f>
        <v>0.318696696324277</v>
      </c>
      <c r="N69" s="94">
        <f>SUMIFS('附表7-扣除项目明细采集底稿'!$R:$R,'附表7-扣除项目明细采集底稿'!$G:$G,B69)</f>
        <v>1690848.08</v>
      </c>
      <c r="O69" s="99" t="s">
        <v>3017</v>
      </c>
      <c r="P69" s="101"/>
      <c r="Q69" s="103"/>
      <c r="R69" s="104"/>
      <c r="S69" s="99" t="s">
        <v>12</v>
      </c>
      <c r="T69" s="99" t="s">
        <v>331</v>
      </c>
      <c r="U69" s="99" t="s">
        <v>333</v>
      </c>
      <c r="V69" s="99"/>
      <c r="W69" s="99"/>
      <c r="X69" s="99"/>
      <c r="Y69" s="99"/>
      <c r="Z69" s="99"/>
      <c r="AA69" s="99"/>
      <c r="AB69" s="99"/>
      <c r="AC69" s="94"/>
    </row>
    <row r="70" hidden="1" spans="1:29">
      <c r="A70" s="90">
        <v>66</v>
      </c>
      <c r="B70" s="105" t="s">
        <v>2164</v>
      </c>
      <c r="C70" s="106" t="s">
        <v>3130</v>
      </c>
      <c r="D70" s="107" t="s">
        <v>3015</v>
      </c>
      <c r="E70" s="106" t="s">
        <v>3040</v>
      </c>
      <c r="F70" s="111">
        <v>45089</v>
      </c>
      <c r="G70" s="94">
        <v>370000</v>
      </c>
      <c r="H70" s="94">
        <v>438128.19</v>
      </c>
      <c r="I70" s="99" t="s">
        <v>332</v>
      </c>
      <c r="J70" s="99" t="s">
        <v>332</v>
      </c>
      <c r="K70" s="99" t="s">
        <v>16</v>
      </c>
      <c r="L70" s="99" t="s">
        <v>3127</v>
      </c>
      <c r="M70" s="100">
        <f>IFERROR(IF(COUNTIFS(S70:AB70,清算项目基本情况表!$D$6)&gt;=1,IF(L70="占地面积法",ROUND(SUM('附表4-项目间分摊信息采集表'!$E$5)/SUMPRODUCT(SUMIFS('附表4-项目间分摊信息采集表'!$E:$E,'附表4-项目间分摊信息采集表'!$B:$B,S70:AB70)),20),IF(L70="测绘总建筑面积法",ROUND(SUM('附表4-项目间分摊信息采集表'!$F$5)/SUMPRODUCT(SUMIFS('附表4-项目间分摊信息采集表'!$F:$F,'附表4-项目间分摊信息采集表'!$B:$B,S70:AB70)),20),IF(L70="可售建筑面积法",ROUND(SUM('附表4-项目间分摊信息采集表'!$G$5)/SUMPRODUCT(SUMIFS('附表4-项目间分摊信息采集表'!$G:$G,'附表4-项目间分摊信息采集表'!$B:$B,S70:AB70)),20),IF(L70="其他分摊方法",ROUND(SUM('附表4-项目间分摊信息采集表'!$H$5)/SUMPRODUCT(SUMIFS('附表4-项目间分摊信息采集表'!$H:$H,'附表4-项目间分摊信息采集表'!$B:$B,S70:AB70)),20),IF(L70="手工填写分摊比例","请填写分摊比例",100%))))),IF(COUNTA(S70:AB70)&gt;=1,0%,100%)),100%)</f>
        <v>0.318696696324277</v>
      </c>
      <c r="N70" s="94">
        <f>SUMIFS('附表7-扣除项目明细采集底稿'!$R:$R,'附表7-扣除项目明细采集底稿'!$G:$G,B70)</f>
        <v>398704.92</v>
      </c>
      <c r="O70" s="99" t="s">
        <v>3017</v>
      </c>
      <c r="P70" s="101"/>
      <c r="Q70" s="103"/>
      <c r="R70" s="104"/>
      <c r="S70" s="99" t="s">
        <v>12</v>
      </c>
      <c r="T70" s="99" t="s">
        <v>331</v>
      </c>
      <c r="U70" s="99" t="s">
        <v>333</v>
      </c>
      <c r="V70" s="99"/>
      <c r="W70" s="99"/>
      <c r="X70" s="99"/>
      <c r="Y70" s="99"/>
      <c r="Z70" s="99"/>
      <c r="AA70" s="99"/>
      <c r="AB70" s="99"/>
      <c r="AC70" s="94"/>
    </row>
    <row r="71" hidden="1" spans="1:29">
      <c r="A71" s="90">
        <v>67</v>
      </c>
      <c r="B71" s="105" t="s">
        <v>2200</v>
      </c>
      <c r="C71" s="110" t="s">
        <v>3131</v>
      </c>
      <c r="D71" s="107" t="s">
        <v>3019</v>
      </c>
      <c r="E71" s="108" t="s">
        <v>3050</v>
      </c>
      <c r="F71" s="111">
        <v>45036</v>
      </c>
      <c r="G71" s="94">
        <v>7530</v>
      </c>
      <c r="H71" s="94">
        <v>7530</v>
      </c>
      <c r="I71" s="99" t="s">
        <v>332</v>
      </c>
      <c r="J71" s="99" t="s">
        <v>332</v>
      </c>
      <c r="K71" s="99" t="s">
        <v>16</v>
      </c>
      <c r="L71" s="99" t="s">
        <v>3127</v>
      </c>
      <c r="M71" s="100" cm="1">
        <f t="array" ref="M71">IFERROR(IF(COUNTIFS(S71:AB71,清算项目基本情况表!$D$6)&gt;=1,IF(L71="占地面积法",ROUND(SUM('附表4-项目间分摊信息采集表'!$E$5)/SUMPRODUCT(SUMIFS('附表4-项目间分摊信息采集表'!$E:$E,'附表4-项目间分摊信息采集表'!$B:$B,S71:AB71)),20),IF(L71="测绘总建筑面积法",ROUND(SUM('附表4-项目间分摊信息采集表'!$F$5)/SUMPRODUCT(SUMIFS('附表4-项目间分摊信息采集表'!$F:$F,'附表4-项目间分摊信息采集表'!$B:$B,S71:AB71)),20),IF(L71="可售建筑面积法",ROUND(SUM('附表4-项目间分摊信息采集表'!$G$5)/SUMPRODUCT(SUMIFS('附表4-项目间分摊信息采集表'!$G:$G,'附表4-项目间分摊信息采集表'!$B:$B,S71:AB71)),20),IF(L71="其他分摊方法",ROUND(SUM('附表4-项目间分摊信息采集表'!$H$5)/SUMPRODUCT(SUMIFS('附表4-项目间分摊信息采集表'!$H:$H,'附表4-项目间分摊信息采集表'!$B:$B,S71:AB71)),20),IF(L71="手工填写分摊比例","请填写分摊比例",100%))))),IF(COUNTA(S71:AB71)&gt;=1,0%,100%)),100%)</f>
        <v>0.318696696324277</v>
      </c>
      <c r="N71" s="94">
        <f>SUMIFS('附表7-扣除项目明细采集底稿'!$R:$R,'附表7-扣除项目明细采集底稿'!$G:$G,B71)</f>
        <v>125900.41</v>
      </c>
      <c r="O71" s="99" t="s">
        <v>3017</v>
      </c>
      <c r="P71" s="101"/>
      <c r="Q71" s="103"/>
      <c r="R71" s="104"/>
      <c r="S71" s="99" t="s">
        <v>12</v>
      </c>
      <c r="T71" s="99" t="s">
        <v>331</v>
      </c>
      <c r="U71" s="99" t="s">
        <v>333</v>
      </c>
      <c r="V71" s="99"/>
      <c r="W71" s="99"/>
      <c r="X71" s="99"/>
      <c r="Y71" s="99"/>
      <c r="Z71" s="99"/>
      <c r="AA71" s="99"/>
      <c r="AB71" s="99"/>
      <c r="AC71" s="94"/>
    </row>
    <row r="72" hidden="1" spans="1:29">
      <c r="A72" s="90">
        <v>68</v>
      </c>
      <c r="B72" s="105" t="s">
        <v>2095</v>
      </c>
      <c r="C72" s="110" t="s">
        <v>3132</v>
      </c>
      <c r="D72" s="107" t="s">
        <v>3015</v>
      </c>
      <c r="E72" s="112" t="s">
        <v>3069</v>
      </c>
      <c r="F72" s="111">
        <v>44271</v>
      </c>
      <c r="G72" s="94">
        <v>1243000</v>
      </c>
      <c r="H72" s="94">
        <v>1243000</v>
      </c>
      <c r="I72" s="99" t="s">
        <v>332</v>
      </c>
      <c r="J72" s="99" t="s">
        <v>332</v>
      </c>
      <c r="K72" s="99" t="s">
        <v>16</v>
      </c>
      <c r="L72" s="99" t="s">
        <v>3127</v>
      </c>
      <c r="M72" s="100">
        <f>IFERROR(IF(COUNTIFS(S72:AB72,清算项目基本情况表!$D$6)&gt;=1,IF(L72="占地面积法",ROUND(SUM('附表4-项目间分摊信息采集表'!$E$5)/SUMPRODUCT(SUMIFS('附表4-项目间分摊信息采集表'!$E:$E,'附表4-项目间分摊信息采集表'!$B:$B,S72:AB72)),20),IF(L72="测绘总建筑面积法",ROUND(SUM('附表4-项目间分摊信息采集表'!$F$5)/SUMPRODUCT(SUMIFS('附表4-项目间分摊信息采集表'!$F:$F,'附表4-项目间分摊信息采集表'!$B:$B,S72:AB72)),20),IF(L72="可售建筑面积法",ROUND(SUM('附表4-项目间分摊信息采集表'!$G$5)/SUMPRODUCT(SUMIFS('附表4-项目间分摊信息采集表'!$G:$G,'附表4-项目间分摊信息采集表'!$B:$B,S72:AB72)),20),IF(L72="其他分摊方法",ROUND(SUM('附表4-项目间分摊信息采集表'!$H$5)/SUMPRODUCT(SUMIFS('附表4-项目间分摊信息采集表'!$H:$H,'附表4-项目间分摊信息采集表'!$B:$B,S72:AB72)),20),IF(L72="手工填写分摊比例","请填写分摊比例",100%))))),IF(COUNTA(S72:AB72)&gt;=1,0%,100%)),100%)</f>
        <v>0.318696696324277</v>
      </c>
      <c r="N72" s="94">
        <f>SUMIFS('附表7-扣除项目明细采集底稿'!$R:$R,'附表7-扣除项目明细采集底稿'!$G:$G,B72)</f>
        <v>1140366.97</v>
      </c>
      <c r="O72" s="99" t="s">
        <v>3017</v>
      </c>
      <c r="P72" s="101"/>
      <c r="Q72" s="103"/>
      <c r="R72" s="104"/>
      <c r="S72" s="99" t="s">
        <v>12</v>
      </c>
      <c r="T72" s="99" t="s">
        <v>331</v>
      </c>
      <c r="U72" s="99" t="s">
        <v>333</v>
      </c>
      <c r="V72" s="99"/>
      <c r="W72" s="99"/>
      <c r="X72" s="99"/>
      <c r="Y72" s="99"/>
      <c r="Z72" s="99"/>
      <c r="AA72" s="99"/>
      <c r="AB72" s="99"/>
      <c r="AC72" s="94">
        <f>H72/1.09</f>
        <v>1140366.97247706</v>
      </c>
    </row>
    <row r="73" hidden="1" spans="1:29">
      <c r="A73" s="90">
        <v>69</v>
      </c>
      <c r="B73" s="105" t="s">
        <v>1841</v>
      </c>
      <c r="C73" s="110" t="s">
        <v>3133</v>
      </c>
      <c r="D73" s="107" t="s">
        <v>3134</v>
      </c>
      <c r="E73" s="108" t="s">
        <v>3135</v>
      </c>
      <c r="F73" s="111">
        <v>44148</v>
      </c>
      <c r="G73" s="94">
        <v>13624</v>
      </c>
      <c r="H73" s="94">
        <v>12852.83</v>
      </c>
      <c r="I73" s="99" t="s">
        <v>332</v>
      </c>
      <c r="J73" s="99" t="s">
        <v>332</v>
      </c>
      <c r="K73" s="99" t="s">
        <v>16</v>
      </c>
      <c r="L73" s="99" t="s">
        <v>3127</v>
      </c>
      <c r="M73" s="100">
        <f>IFERROR(IF(COUNTIFS(S73:AB73,清算项目基本情况表!$D$6)&gt;=1,IF(L73="占地面积法",ROUND(SUM('附表4-项目间分摊信息采集表'!$E$5)/SUMPRODUCT(SUMIFS('附表4-项目间分摊信息采集表'!$E:$E,'附表4-项目间分摊信息采集表'!$B:$B,S73:AB73)),20),IF(L73="测绘总建筑面积法",ROUND(SUM('附表4-项目间分摊信息采集表'!$F$5)/SUMPRODUCT(SUMIFS('附表4-项目间分摊信息采集表'!$F:$F,'附表4-项目间分摊信息采集表'!$B:$B,S73:AB73)),20),IF(L73="可售建筑面积法",ROUND(SUM('附表4-项目间分摊信息采集表'!$G$5)/SUMPRODUCT(SUMIFS('附表4-项目间分摊信息采集表'!$G:$G,'附表4-项目间分摊信息采集表'!$B:$B,S73:AB73)),20),IF(L73="其他分摊方法",ROUND(SUM('附表4-项目间分摊信息采集表'!$H$5)/SUMPRODUCT(SUMIFS('附表4-项目间分摊信息采集表'!$H:$H,'附表4-项目间分摊信息采集表'!$B:$B,S73:AB73)),20),IF(L73="手工填写分摊比例","请填写分摊比例",100%))))),IF(COUNTA(S73:AB73)&gt;=1,0%,100%)),100%)</f>
        <v>0.318696696324277</v>
      </c>
      <c r="N73" s="94">
        <f>SUMIFS('附表7-扣除项目明细采集底稿'!$R:$R,'附表7-扣除项目明细采集底稿'!$G:$G,B73)</f>
        <v>12852.83</v>
      </c>
      <c r="O73" s="99" t="s">
        <v>3017</v>
      </c>
      <c r="P73" s="101"/>
      <c r="Q73" s="103"/>
      <c r="R73" s="104"/>
      <c r="S73" s="99" t="s">
        <v>12</v>
      </c>
      <c r="T73" s="99" t="s">
        <v>331</v>
      </c>
      <c r="U73" s="99" t="s">
        <v>333</v>
      </c>
      <c r="V73" s="99"/>
      <c r="W73" s="99"/>
      <c r="X73" s="99"/>
      <c r="Y73" s="99"/>
      <c r="Z73" s="99"/>
      <c r="AA73" s="99"/>
      <c r="AB73" s="99"/>
      <c r="AC73" s="94"/>
    </row>
    <row r="74" hidden="1" spans="1:29">
      <c r="A74" s="90">
        <v>70</v>
      </c>
      <c r="B74" s="105" t="s">
        <v>2029</v>
      </c>
      <c r="C74" s="106" t="s">
        <v>3136</v>
      </c>
      <c r="D74" s="107" t="s">
        <v>3015</v>
      </c>
      <c r="E74" s="108" t="s">
        <v>3092</v>
      </c>
      <c r="F74" s="111">
        <v>44597</v>
      </c>
      <c r="G74" s="94">
        <v>26703208</v>
      </c>
      <c r="H74" s="94">
        <v>26703208</v>
      </c>
      <c r="I74" s="99" t="s">
        <v>332</v>
      </c>
      <c r="J74" s="99" t="s">
        <v>332</v>
      </c>
      <c r="K74" s="99" t="s">
        <v>16</v>
      </c>
      <c r="L74" s="99" t="s">
        <v>3127</v>
      </c>
      <c r="M74" s="100">
        <f>IFERROR(IF(COUNTIFS(S74:AB74,清算项目基本情况表!$D$6)&gt;=1,IF(L74="占地面积法",ROUND(SUM('附表4-项目间分摊信息采集表'!$E$5)/SUMPRODUCT(SUMIFS('附表4-项目间分摊信息采集表'!$E:$E,'附表4-项目间分摊信息采集表'!$B:$B,S74:AB74)),20),IF(L74="测绘总建筑面积法",ROUND(SUM('附表4-项目间分摊信息采集表'!$F$5)/SUMPRODUCT(SUMIFS('附表4-项目间分摊信息采集表'!$F:$F,'附表4-项目间分摊信息采集表'!$B:$B,S74:AB74)),20),IF(L74="可售建筑面积法",ROUND(SUM('附表4-项目间分摊信息采集表'!$G$5)/SUMPRODUCT(SUMIFS('附表4-项目间分摊信息采集表'!$G:$G,'附表4-项目间分摊信息采集表'!$B:$B,S74:AB74)),20),IF(L74="其他分摊方法",ROUND(SUM('附表4-项目间分摊信息采集表'!$H$5)/SUMPRODUCT(SUMIFS('附表4-项目间分摊信息采集表'!$H:$H,'附表4-项目间分摊信息采集表'!$B:$B,S74:AB74)),20),IF(L74="手工填写分摊比例","请填写分摊比例",100%))))),IF(COUNTA(S74:AB74)&gt;=1,0%,100%)),100%)</f>
        <v>0.318696696324277</v>
      </c>
      <c r="N74" s="94">
        <f>SUMIFS('附表7-扣除项目明细采集底稿'!$R:$R,'附表7-扣除项目明细采集底稿'!$G:$G,B74)</f>
        <v>24498355.9633027</v>
      </c>
      <c r="O74" s="99" t="s">
        <v>3017</v>
      </c>
      <c r="P74" s="101"/>
      <c r="Q74" s="103"/>
      <c r="R74" s="104"/>
      <c r="S74" s="99" t="s">
        <v>12</v>
      </c>
      <c r="T74" s="99" t="s">
        <v>331</v>
      </c>
      <c r="U74" s="99" t="s">
        <v>333</v>
      </c>
      <c r="V74" s="99"/>
      <c r="W74" s="99"/>
      <c r="X74" s="99"/>
      <c r="Y74" s="99"/>
      <c r="Z74" s="99"/>
      <c r="AA74" s="99"/>
      <c r="AB74" s="99"/>
      <c r="AC74" s="94"/>
    </row>
    <row r="75" hidden="1" spans="1:29">
      <c r="A75" s="90">
        <v>71</v>
      </c>
      <c r="B75" s="105" t="s">
        <v>2159</v>
      </c>
      <c r="C75" s="106" t="s">
        <v>3137</v>
      </c>
      <c r="D75" s="107" t="s">
        <v>3134</v>
      </c>
      <c r="E75" s="106" t="s">
        <v>3138</v>
      </c>
      <c r="F75" s="111">
        <v>45132</v>
      </c>
      <c r="G75" s="94">
        <v>275000</v>
      </c>
      <c r="H75" s="94">
        <v>268562</v>
      </c>
      <c r="I75" s="99" t="s">
        <v>332</v>
      </c>
      <c r="J75" s="99" t="s">
        <v>332</v>
      </c>
      <c r="K75" s="99" t="s">
        <v>16</v>
      </c>
      <c r="L75" s="99" t="s">
        <v>3127</v>
      </c>
      <c r="M75" s="100">
        <f>IFERROR(IF(COUNTIFS(S75:AB75,清算项目基本情况表!$D$6)&gt;=1,IF(L75="占地面积法",ROUND(SUM('附表4-项目间分摊信息采集表'!$E$5)/SUMPRODUCT(SUMIFS('附表4-项目间分摊信息采集表'!$E:$E,'附表4-项目间分摊信息采集表'!$B:$B,S75:AB75)),20),IF(L75="测绘总建筑面积法",ROUND(SUM('附表4-项目间分摊信息采集表'!$F$5)/SUMPRODUCT(SUMIFS('附表4-项目间分摊信息采集表'!$F:$F,'附表4-项目间分摊信息采集表'!$B:$B,S75:AB75)),20),IF(L75="可售建筑面积法",ROUND(SUM('附表4-项目间分摊信息采集表'!$G$5)/SUMPRODUCT(SUMIFS('附表4-项目间分摊信息采集表'!$G:$G,'附表4-项目间分摊信息采集表'!$B:$B,S75:AB75)),20),IF(L75="其他分摊方法",ROUND(SUM('附表4-项目间分摊信息采集表'!$H$5)/SUMPRODUCT(SUMIFS('附表4-项目间分摊信息采集表'!$H:$H,'附表4-项目间分摊信息采集表'!$B:$B,S75:AB75)),20),IF(L75="手工填写分摊比例","请填写分摊比例",100%))))),IF(COUNTA(S75:AB75)&gt;=1,0%,100%)),100%)</f>
        <v>0.318696696324277</v>
      </c>
      <c r="N75" s="94">
        <f>SUMIFS('附表7-扣除项目明细采集底稿'!$R:$R,'附表7-扣除项目明细采集底稿'!$G:$G,B75)</f>
        <v>201834.86</v>
      </c>
      <c r="O75" s="99" t="s">
        <v>3017</v>
      </c>
      <c r="P75" s="101"/>
      <c r="Q75" s="103"/>
      <c r="R75" s="104"/>
      <c r="S75" s="99" t="s">
        <v>12</v>
      </c>
      <c r="T75" s="99" t="s">
        <v>331</v>
      </c>
      <c r="U75" s="99" t="s">
        <v>333</v>
      </c>
      <c r="V75" s="99"/>
      <c r="W75" s="99"/>
      <c r="X75" s="99"/>
      <c r="Y75" s="99"/>
      <c r="Z75" s="99"/>
      <c r="AA75" s="99"/>
      <c r="AB75" s="99"/>
      <c r="AC75" s="94"/>
    </row>
    <row r="76" hidden="1" spans="1:29">
      <c r="A76" s="90">
        <v>72</v>
      </c>
      <c r="B76" s="105" t="s">
        <v>2139</v>
      </c>
      <c r="C76" s="106" t="s">
        <v>3139</v>
      </c>
      <c r="D76" s="107" t="s">
        <v>3134</v>
      </c>
      <c r="E76" s="106" t="s">
        <v>3140</v>
      </c>
      <c r="F76" s="111">
        <v>45040</v>
      </c>
      <c r="G76" s="94">
        <v>337900</v>
      </c>
      <c r="H76" s="94">
        <v>337900</v>
      </c>
      <c r="I76" s="99" t="s">
        <v>332</v>
      </c>
      <c r="J76" s="99" t="s">
        <v>332</v>
      </c>
      <c r="K76" s="99" t="s">
        <v>16</v>
      </c>
      <c r="L76" s="99" t="s">
        <v>3127</v>
      </c>
      <c r="M76" s="100">
        <f>IFERROR(IF(COUNTIFS(S76:AB76,清算项目基本情况表!$D$6)&gt;=1,IF(L76="占地面积法",ROUND(SUM('附表4-项目间分摊信息采集表'!$E$5)/SUMPRODUCT(SUMIFS('附表4-项目间分摊信息采集表'!$E:$E,'附表4-项目间分摊信息采集表'!$B:$B,S76:AB76)),20),IF(L76="测绘总建筑面积法",ROUND(SUM('附表4-项目间分摊信息采集表'!$F$5)/SUMPRODUCT(SUMIFS('附表4-项目间分摊信息采集表'!$F:$F,'附表4-项目间分摊信息采集表'!$B:$B,S76:AB76)),20),IF(L76="可售建筑面积法",ROUND(SUM('附表4-项目间分摊信息采集表'!$G$5)/SUMPRODUCT(SUMIFS('附表4-项目间分摊信息采集表'!$G:$G,'附表4-项目间分摊信息采集表'!$B:$B,S76:AB76)),20),IF(L76="其他分摊方法",ROUND(SUM('附表4-项目间分摊信息采集表'!$H$5)/SUMPRODUCT(SUMIFS('附表4-项目间分摊信息采集表'!$H:$H,'附表4-项目间分摊信息采集表'!$B:$B,S76:AB76)),20),IF(L76="手工填写分摊比例","请填写分摊比例",100%))))),IF(COUNTA(S76:AB76)&gt;=1,0%,100%)),100%)</f>
        <v>0.318696696324277</v>
      </c>
      <c r="N76" s="94">
        <f>SUMIFS('附表7-扣除项目明细采集底稿'!$R:$R,'附表7-扣除项目明细采集底稿'!$G:$G,B76)</f>
        <v>299026.54</v>
      </c>
      <c r="O76" s="99" t="s">
        <v>3017</v>
      </c>
      <c r="P76" s="101"/>
      <c r="Q76" s="103"/>
      <c r="R76" s="104"/>
      <c r="S76" s="99" t="s">
        <v>12</v>
      </c>
      <c r="T76" s="99" t="s">
        <v>331</v>
      </c>
      <c r="U76" s="99" t="s">
        <v>333</v>
      </c>
      <c r="V76" s="99"/>
      <c r="W76" s="99"/>
      <c r="X76" s="99"/>
      <c r="Y76" s="99"/>
      <c r="Z76" s="99"/>
      <c r="AA76" s="99"/>
      <c r="AB76" s="99"/>
      <c r="AC76" s="94"/>
    </row>
    <row r="77" hidden="1" spans="1:29">
      <c r="A77" s="90">
        <v>73</v>
      </c>
      <c r="B77" s="105" t="s">
        <v>2235</v>
      </c>
      <c r="C77" s="112" t="s">
        <v>3112</v>
      </c>
      <c r="D77" s="107" t="s">
        <v>3024</v>
      </c>
      <c r="E77" s="108" t="s">
        <v>3113</v>
      </c>
      <c r="F77" s="109" t="s">
        <v>3114</v>
      </c>
      <c r="G77" s="94">
        <v>63244.44</v>
      </c>
      <c r="H77" s="94">
        <v>58390.38</v>
      </c>
      <c r="I77" s="99" t="s">
        <v>332</v>
      </c>
      <c r="J77" s="99" t="s">
        <v>332</v>
      </c>
      <c r="K77" s="99" t="s">
        <v>16</v>
      </c>
      <c r="L77" s="99" t="s">
        <v>3127</v>
      </c>
      <c r="M77" s="100">
        <f>IFERROR(IF(COUNTIFS(S77:AB77,清算项目基本情况表!$D$6)&gt;=1,IF(L77="占地面积法",ROUND(SUM('附表4-项目间分摊信息采集表'!$E$5)/SUMPRODUCT(SUMIFS('附表4-项目间分摊信息采集表'!$E:$E,'附表4-项目间分摊信息采集表'!$B:$B,S77:AB77)),20),IF(L77="测绘总建筑面积法",ROUND(SUM('附表4-项目间分摊信息采集表'!$F$5)/SUMPRODUCT(SUMIFS('附表4-项目间分摊信息采集表'!$F:$F,'附表4-项目间分摊信息采集表'!$B:$B,S77:AB77)),20),IF(L77="可售建筑面积法",ROUND(SUM('附表4-项目间分摊信息采集表'!$G$5)/SUMPRODUCT(SUMIFS('附表4-项目间分摊信息采集表'!$G:$G,'附表4-项目间分摊信息采集表'!$B:$B,S77:AB77)),20),IF(L77="其他分摊方法",ROUND(SUM('附表4-项目间分摊信息采集表'!$H$5)/SUMPRODUCT(SUMIFS('附表4-项目间分摊信息采集表'!$H:$H,'附表4-项目间分摊信息采集表'!$B:$B,S77:AB77)),20),IF(L77="手工填写分摊比例","请填写分摊比例",100%))))),IF(COUNTA(S77:AB77)&gt;=1,0%,100%)),100%)</f>
        <v>0.318696696324277</v>
      </c>
      <c r="N77" s="94">
        <f>SUMIFS('附表7-扣除项目明细采集底稿'!$R:$R,'附表7-扣除项目明细采集底稿'!$G:$G,B77)</f>
        <v>44773.42</v>
      </c>
      <c r="O77" s="99" t="s">
        <v>3017</v>
      </c>
      <c r="P77" s="101"/>
      <c r="Q77" s="103"/>
      <c r="R77" s="104"/>
      <c r="S77" s="99" t="s">
        <v>12</v>
      </c>
      <c r="T77" s="99" t="s">
        <v>331</v>
      </c>
      <c r="U77" s="99" t="s">
        <v>333</v>
      </c>
      <c r="V77" s="99"/>
      <c r="W77" s="99"/>
      <c r="X77" s="99"/>
      <c r="Y77" s="99"/>
      <c r="Z77" s="99"/>
      <c r="AA77" s="99"/>
      <c r="AB77" s="99"/>
      <c r="AC77" s="94"/>
    </row>
    <row r="78" s="80" customFormat="1" hidden="1" spans="1:29">
      <c r="A78" s="113">
        <v>74</v>
      </c>
      <c r="B78" s="114" t="s">
        <v>2730</v>
      </c>
      <c r="C78" s="115" t="s">
        <v>3093</v>
      </c>
      <c r="D78" s="116" t="s">
        <v>3015</v>
      </c>
      <c r="E78" s="115" t="s">
        <v>3094</v>
      </c>
      <c r="F78" s="117">
        <v>44478</v>
      </c>
      <c r="G78" s="118">
        <v>3838176</v>
      </c>
      <c r="H78" s="118">
        <v>3894215.54</v>
      </c>
      <c r="I78" s="131" t="s">
        <v>332</v>
      </c>
      <c r="J78" s="131" t="s">
        <v>332</v>
      </c>
      <c r="K78" s="131" t="s">
        <v>332</v>
      </c>
      <c r="L78" s="131" t="s">
        <v>311</v>
      </c>
      <c r="M78" s="132">
        <f>IFERROR(IF(COUNTIFS(S78:AB78,清算项目基本情况表!$D$6)&gt;=1,IF(L78="占地面积法",ROUND(SUM('附表4-项目间分摊信息采集表'!$E$5)/SUMPRODUCT(SUMIFS('附表4-项目间分摊信息采集表'!$E:$E,'附表4-项目间分摊信息采集表'!$B:$B,S78:AB78)),20),IF(L78="测绘总建筑面积法",ROUND(SUM('附表4-项目间分摊信息采集表'!$F$5)/SUMPRODUCT(SUMIFS('附表4-项目间分摊信息采集表'!$F:$F,'附表4-项目间分摊信息采集表'!$B:$B,S78:AB78)),20),IF(L78="可售建筑面积法",ROUND(SUM('附表4-项目间分摊信息采集表'!$G$5)/SUMPRODUCT(SUMIFS('附表4-项目间分摊信息采集表'!$G:$G,'附表4-项目间分摊信息采集表'!$B:$B,S78:AB78)),20),IF(L78="其他分摊方法",ROUND(SUM('附表4-项目间分摊信息采集表'!$H$5)/SUMPRODUCT(SUMIFS('附表4-项目间分摊信息采集表'!$H:$H,'附表4-项目间分摊信息采集表'!$B:$B,S78:AB78)),20),IF(L78="手工填写分摊比例","请填写分摊比例",100%))))),IF(COUNTA(S78:AB78)&gt;=1,0%,100%)),100%)</f>
        <v>1</v>
      </c>
      <c r="N78" s="118">
        <f>SUMIFS('附表7-扣除项目明细采集底稿'!$R:$R,'附表7-扣除项目明细采集底稿'!$G:$G,B78)</f>
        <v>4947268.33</v>
      </c>
      <c r="O78" s="131" t="s">
        <v>3017</v>
      </c>
      <c r="P78" s="133"/>
      <c r="Q78" s="134"/>
      <c r="R78" s="135"/>
      <c r="S78" s="131"/>
      <c r="T78" s="131"/>
      <c r="U78" s="131"/>
      <c r="V78" s="131"/>
      <c r="W78" s="131"/>
      <c r="X78" s="131"/>
      <c r="Y78" s="131"/>
      <c r="Z78" s="131"/>
      <c r="AA78" s="131"/>
      <c r="AB78" s="131"/>
      <c r="AC78" s="118">
        <f>H78/1.09</f>
        <v>3572674.80733945</v>
      </c>
    </row>
    <row r="79" hidden="1" spans="1:29">
      <c r="A79" s="90">
        <v>75</v>
      </c>
      <c r="B79" s="119" t="s">
        <v>2518</v>
      </c>
      <c r="C79" s="120" t="s">
        <v>3141</v>
      </c>
      <c r="D79" s="92" t="s">
        <v>3024</v>
      </c>
      <c r="E79" s="121" t="s">
        <v>3027</v>
      </c>
      <c r="F79" s="122">
        <v>43808</v>
      </c>
      <c r="G79" s="94">
        <v>245650</v>
      </c>
      <c r="H79" s="94">
        <v>245650</v>
      </c>
      <c r="I79" s="99" t="s">
        <v>332</v>
      </c>
      <c r="J79" s="99" t="s">
        <v>332</v>
      </c>
      <c r="K79" s="99" t="s">
        <v>332</v>
      </c>
      <c r="L79" s="99" t="s">
        <v>311</v>
      </c>
      <c r="M79" s="100">
        <f>IFERROR(IF(COUNTIFS(S79:AB79,清算项目基本情况表!$D$6)&gt;=1,IF(L79="占地面积法",ROUND(SUM('附表4-项目间分摊信息采集表'!$E$5)/SUMPRODUCT(SUMIFS('附表4-项目间分摊信息采集表'!$E:$E,'附表4-项目间分摊信息采集表'!$B:$B,S79:AB79)),20),IF(L79="测绘总建筑面积法",ROUND(SUM('附表4-项目间分摊信息采集表'!$F$5)/SUMPRODUCT(SUMIFS('附表4-项目间分摊信息采集表'!$F:$F,'附表4-项目间分摊信息采集表'!$B:$B,S79:AB79)),20),IF(L79="可售建筑面积法",ROUND(SUM('附表4-项目间分摊信息采集表'!$G$5)/SUMPRODUCT(SUMIFS('附表4-项目间分摊信息采集表'!$G:$G,'附表4-项目间分摊信息采集表'!$B:$B,S79:AB79)),20),IF(L79="其他分摊方法",ROUND(SUM('附表4-项目间分摊信息采集表'!$H$5)/SUMPRODUCT(SUMIFS('附表4-项目间分摊信息采集表'!$H:$H,'附表4-项目间分摊信息采集表'!$B:$B,S79:AB79)),20),IF(L79="手工填写分摊比例","请填写分摊比例",100%))))),IF(COUNTA(S79:AB79)&gt;=1,0%,100%)),100%)</f>
        <v>1</v>
      </c>
      <c r="N79" s="94">
        <f>SUMIFS('附表7-扣除项目明细采集底稿'!$R:$R,'附表7-扣除项目明细采集底稿'!$G:$G,B79)</f>
        <v>231745.28</v>
      </c>
      <c r="O79" s="99" t="s">
        <v>3017</v>
      </c>
      <c r="P79" s="101"/>
      <c r="Q79" s="103"/>
      <c r="R79" s="104"/>
      <c r="S79" s="99"/>
      <c r="T79" s="99"/>
      <c r="U79" s="99"/>
      <c r="V79" s="99"/>
      <c r="W79" s="99"/>
      <c r="X79" s="99"/>
      <c r="Y79" s="99"/>
      <c r="Z79" s="99"/>
      <c r="AA79" s="99"/>
      <c r="AB79" s="99"/>
      <c r="AC79" s="94">
        <f t="shared" ref="AC79:AC82" si="2">H79/1.06</f>
        <v>231745.283018868</v>
      </c>
    </row>
    <row r="80" hidden="1" spans="1:29">
      <c r="A80" s="90">
        <v>76</v>
      </c>
      <c r="B80" s="119" t="s">
        <v>2523</v>
      </c>
      <c r="C80" s="120" t="s">
        <v>3142</v>
      </c>
      <c r="D80" s="92" t="s">
        <v>3024</v>
      </c>
      <c r="E80" s="121" t="s">
        <v>3027</v>
      </c>
      <c r="F80" s="122">
        <v>43895</v>
      </c>
      <c r="G80" s="94">
        <v>127200</v>
      </c>
      <c r="H80" s="94">
        <v>127200</v>
      </c>
      <c r="I80" s="99" t="s">
        <v>332</v>
      </c>
      <c r="J80" s="99" t="s">
        <v>332</v>
      </c>
      <c r="K80" s="99" t="s">
        <v>332</v>
      </c>
      <c r="L80" s="99" t="s">
        <v>311</v>
      </c>
      <c r="M80" s="100">
        <f>IFERROR(IF(COUNTIFS(S80:AB80,清算项目基本情况表!$D$6)&gt;=1,IF(L80="占地面积法",ROUND(SUM('附表4-项目间分摊信息采集表'!$E$5)/SUMPRODUCT(SUMIFS('附表4-项目间分摊信息采集表'!$E:$E,'附表4-项目间分摊信息采集表'!$B:$B,S80:AB80)),20),IF(L80="测绘总建筑面积法",ROUND(SUM('附表4-项目间分摊信息采集表'!$F$5)/SUMPRODUCT(SUMIFS('附表4-项目间分摊信息采集表'!$F:$F,'附表4-项目间分摊信息采集表'!$B:$B,S80:AB80)),20),IF(L80="可售建筑面积法",ROUND(SUM('附表4-项目间分摊信息采集表'!$G$5)/SUMPRODUCT(SUMIFS('附表4-项目间分摊信息采集表'!$G:$G,'附表4-项目间分摊信息采集表'!$B:$B,S80:AB80)),20),IF(L80="其他分摊方法",ROUND(SUM('附表4-项目间分摊信息采集表'!$H$5)/SUMPRODUCT(SUMIFS('附表4-项目间分摊信息采集表'!$H:$H,'附表4-项目间分摊信息采集表'!$B:$B,S80:AB80)),20),IF(L80="手工填写分摊比例","请填写分摊比例",100%))))),IF(COUNTA(S80:AB80)&gt;=1,0%,100%)),100%)</f>
        <v>1</v>
      </c>
      <c r="N80" s="94">
        <f>SUMIFS('附表7-扣除项目明细采集底稿'!$R:$R,'附表7-扣除项目明细采集底稿'!$G:$G,B80)</f>
        <v>120000</v>
      </c>
      <c r="O80" s="99" t="s">
        <v>3017</v>
      </c>
      <c r="P80" s="101"/>
      <c r="Q80" s="103"/>
      <c r="R80" s="104"/>
      <c r="S80" s="99"/>
      <c r="T80" s="99"/>
      <c r="U80" s="99"/>
      <c r="V80" s="99"/>
      <c r="W80" s="99"/>
      <c r="X80" s="99"/>
      <c r="Y80" s="99"/>
      <c r="Z80" s="99"/>
      <c r="AA80" s="99"/>
      <c r="AB80" s="99"/>
      <c r="AC80" s="94">
        <f t="shared" si="2"/>
        <v>120000</v>
      </c>
    </row>
    <row r="81" hidden="1" spans="1:30">
      <c r="A81" s="90">
        <v>77</v>
      </c>
      <c r="B81" s="119" t="s">
        <v>2931</v>
      </c>
      <c r="C81" s="120" t="s">
        <v>3143</v>
      </c>
      <c r="D81" s="92" t="s">
        <v>3024</v>
      </c>
      <c r="E81" s="121" t="s">
        <v>3027</v>
      </c>
      <c r="F81" s="122">
        <v>43895</v>
      </c>
      <c r="G81" s="94">
        <v>65000</v>
      </c>
      <c r="H81" s="94">
        <v>89593</v>
      </c>
      <c r="I81" s="99" t="s">
        <v>332</v>
      </c>
      <c r="J81" s="99" t="s">
        <v>332</v>
      </c>
      <c r="K81" s="99" t="s">
        <v>332</v>
      </c>
      <c r="L81" s="99" t="s">
        <v>311</v>
      </c>
      <c r="M81" s="100">
        <f>IFERROR(IF(COUNTIFS(S81:AB81,清算项目基本情况表!$D$6)&gt;=1,IF(L81="占地面积法",ROUND(SUM('附表4-项目间分摊信息采集表'!$E$5)/SUMPRODUCT(SUMIFS('附表4-项目间分摊信息采集表'!$E:$E,'附表4-项目间分摊信息采集表'!$B:$B,S81:AB81)),20),IF(L81="测绘总建筑面积法",ROUND(SUM('附表4-项目间分摊信息采集表'!$F$5)/SUMPRODUCT(SUMIFS('附表4-项目间分摊信息采集表'!$F:$F,'附表4-项目间分摊信息采集表'!$B:$B,S81:AB81)),20),IF(L81="可售建筑面积法",ROUND(SUM('附表4-项目间分摊信息采集表'!$G$5)/SUMPRODUCT(SUMIFS('附表4-项目间分摊信息采集表'!$G:$G,'附表4-项目间分摊信息采集表'!$B:$B,S81:AB81)),20),IF(L81="其他分摊方法",ROUND(SUM('附表4-项目间分摊信息采集表'!$H$5)/SUMPRODUCT(SUMIFS('附表4-项目间分摊信息采集表'!$H:$H,'附表4-项目间分摊信息采集表'!$B:$B,S81:AB81)),20),IF(L81="手工填写分摊比例","请填写分摊比例",100%))))),IF(COUNTA(S81:AB81)&gt;=1,0%,100%)),100%)</f>
        <v>1</v>
      </c>
      <c r="N81" s="94">
        <f>SUMIFS('附表7-扣除项目明细采集底稿'!$R:$R,'附表7-扣除项目明细采集底稿'!$G:$G,B81)</f>
        <v>0</v>
      </c>
      <c r="O81" s="99" t="s">
        <v>3017</v>
      </c>
      <c r="P81" s="101"/>
      <c r="Q81" s="103"/>
      <c r="R81" s="104"/>
      <c r="S81" s="99"/>
      <c r="T81" s="99"/>
      <c r="U81" s="99"/>
      <c r="V81" s="99"/>
      <c r="W81" s="99"/>
      <c r="X81" s="99"/>
      <c r="Y81" s="99"/>
      <c r="Z81" s="99"/>
      <c r="AA81" s="99"/>
      <c r="AB81" s="99"/>
      <c r="AC81" s="94">
        <f t="shared" si="2"/>
        <v>84521.6981132075</v>
      </c>
      <c r="AD81" s="81">
        <f>AC81-N81</f>
        <v>84521.6981132075</v>
      </c>
    </row>
    <row r="82" hidden="1" spans="1:29">
      <c r="A82" s="90">
        <v>78</v>
      </c>
      <c r="B82" s="119" t="s">
        <v>2656</v>
      </c>
      <c r="C82" s="123" t="s">
        <v>3144</v>
      </c>
      <c r="D82" s="107" t="s">
        <v>3015</v>
      </c>
      <c r="E82" s="121" t="s">
        <v>3027</v>
      </c>
      <c r="F82" s="124" t="s">
        <v>3145</v>
      </c>
      <c r="G82" s="94">
        <v>18000</v>
      </c>
      <c r="H82" s="94">
        <v>18000</v>
      </c>
      <c r="I82" s="99" t="s">
        <v>332</v>
      </c>
      <c r="J82" s="99" t="s">
        <v>332</v>
      </c>
      <c r="K82" s="99" t="s">
        <v>332</v>
      </c>
      <c r="L82" s="99" t="s">
        <v>311</v>
      </c>
      <c r="M82" s="100">
        <f>IFERROR(IF(COUNTIFS(S82:AB82,清算项目基本情况表!$D$6)&gt;=1,IF(L82="占地面积法",ROUND(SUM('附表4-项目间分摊信息采集表'!$E$5)/SUMPRODUCT(SUMIFS('附表4-项目间分摊信息采集表'!$E:$E,'附表4-项目间分摊信息采集表'!$B:$B,S82:AB82)),20),IF(L82="测绘总建筑面积法",ROUND(SUM('附表4-项目间分摊信息采集表'!$F$5)/SUMPRODUCT(SUMIFS('附表4-项目间分摊信息采集表'!$F:$F,'附表4-项目间分摊信息采集表'!$B:$B,S82:AB82)),20),IF(L82="可售建筑面积法",ROUND(SUM('附表4-项目间分摊信息采集表'!$G$5)/SUMPRODUCT(SUMIFS('附表4-项目间分摊信息采集表'!$G:$G,'附表4-项目间分摊信息采集表'!$B:$B,S82:AB82)),20),IF(L82="其他分摊方法",ROUND(SUM('附表4-项目间分摊信息采集表'!$H$5)/SUMPRODUCT(SUMIFS('附表4-项目间分摊信息采集表'!$H:$H,'附表4-项目间分摊信息采集表'!$B:$B,S82:AB82)),20),IF(L82="手工填写分摊比例","请填写分摊比例",100%))))),IF(COUNTA(S82:AB82)&gt;=1,0%,100%)),100%)</f>
        <v>1</v>
      </c>
      <c r="N82" s="94">
        <f>SUMIFS('附表7-扣除项目明细采集底稿'!$R:$R,'附表7-扣除项目明细采集底稿'!$G:$G,B82)</f>
        <v>0</v>
      </c>
      <c r="O82" s="99" t="s">
        <v>3017</v>
      </c>
      <c r="P82" s="101"/>
      <c r="Q82" s="103"/>
      <c r="R82" s="104"/>
      <c r="S82" s="99"/>
      <c r="T82" s="99"/>
      <c r="U82" s="99"/>
      <c r="V82" s="99"/>
      <c r="W82" s="99"/>
      <c r="X82" s="99"/>
      <c r="Y82" s="99"/>
      <c r="Z82" s="99"/>
      <c r="AA82" s="99"/>
      <c r="AB82" s="99"/>
      <c r="AC82" s="94">
        <f t="shared" si="2"/>
        <v>16981.1320754717</v>
      </c>
    </row>
    <row r="83" hidden="1" spans="1:29">
      <c r="A83" s="90">
        <v>79</v>
      </c>
      <c r="B83" s="119" t="s">
        <v>2654</v>
      </c>
      <c r="C83" s="123" t="s">
        <v>3146</v>
      </c>
      <c r="D83" s="107" t="s">
        <v>3015</v>
      </c>
      <c r="E83" s="120" t="s">
        <v>3147</v>
      </c>
      <c r="F83" s="124" t="s">
        <v>3145</v>
      </c>
      <c r="G83" s="94">
        <v>86240</v>
      </c>
      <c r="H83" s="94">
        <v>86240</v>
      </c>
      <c r="I83" s="99" t="s">
        <v>332</v>
      </c>
      <c r="J83" s="99" t="s">
        <v>332</v>
      </c>
      <c r="K83" s="99" t="s">
        <v>332</v>
      </c>
      <c r="L83" s="99" t="s">
        <v>311</v>
      </c>
      <c r="M83" s="100">
        <f>IFERROR(IF(COUNTIFS(S83:AB83,清算项目基本情况表!$D$6)&gt;=1,IF(L83="占地面积法",ROUND(SUM('附表4-项目间分摊信息采集表'!$E$5)/SUMPRODUCT(SUMIFS('附表4-项目间分摊信息采集表'!$E:$E,'附表4-项目间分摊信息采集表'!$B:$B,S83:AB83)),20),IF(L83="测绘总建筑面积法",ROUND(SUM('附表4-项目间分摊信息采集表'!$F$5)/SUMPRODUCT(SUMIFS('附表4-项目间分摊信息采集表'!$F:$F,'附表4-项目间分摊信息采集表'!$B:$B,S83:AB83)),20),IF(L83="可售建筑面积法",ROUND(SUM('附表4-项目间分摊信息采集表'!$G$5)/SUMPRODUCT(SUMIFS('附表4-项目间分摊信息采集表'!$G:$G,'附表4-项目间分摊信息采集表'!$B:$B,S83:AB83)),20),IF(L83="其他分摊方法",ROUND(SUM('附表4-项目间分摊信息采集表'!$H$5)/SUMPRODUCT(SUMIFS('附表4-项目间分摊信息采集表'!$H:$H,'附表4-项目间分摊信息采集表'!$B:$B,S83:AB83)),20),IF(L83="手工填写分摊比例","请填写分摊比例",100%))))),IF(COUNTA(S83:AB83)&gt;=1,0%,100%)),100%)</f>
        <v>1</v>
      </c>
      <c r="N83" s="94">
        <f>SUMIFS('附表7-扣除项目明细采集底稿'!$R:$R,'附表7-扣除项目明细采集底稿'!$G:$G,B83)</f>
        <v>79119.2696330275</v>
      </c>
      <c r="O83" s="99" t="s">
        <v>3017</v>
      </c>
      <c r="P83" s="101"/>
      <c r="Q83" s="103"/>
      <c r="R83" s="104"/>
      <c r="S83" s="99"/>
      <c r="T83" s="99"/>
      <c r="U83" s="99"/>
      <c r="V83" s="99"/>
      <c r="W83" s="99"/>
      <c r="X83" s="99"/>
      <c r="Y83" s="99"/>
      <c r="Z83" s="99"/>
      <c r="AA83" s="99"/>
      <c r="AB83" s="99"/>
      <c r="AC83" s="94">
        <f t="shared" ref="AC83:AC88" si="3">H83/1.09</f>
        <v>79119.2660550459</v>
      </c>
    </row>
    <row r="84" hidden="1" spans="1:29">
      <c r="A84" s="90">
        <v>80</v>
      </c>
      <c r="B84" s="119" t="s">
        <v>2771</v>
      </c>
      <c r="C84" s="120" t="s">
        <v>3148</v>
      </c>
      <c r="D84" s="107" t="s">
        <v>3015</v>
      </c>
      <c r="E84" s="120" t="s">
        <v>3088</v>
      </c>
      <c r="F84" s="124" t="s">
        <v>3145</v>
      </c>
      <c r="G84" s="94">
        <v>2500000</v>
      </c>
      <c r="H84" s="94">
        <v>2610923.51</v>
      </c>
      <c r="I84" s="99" t="s">
        <v>332</v>
      </c>
      <c r="J84" s="99" t="s">
        <v>332</v>
      </c>
      <c r="K84" s="99" t="s">
        <v>332</v>
      </c>
      <c r="L84" s="99" t="s">
        <v>311</v>
      </c>
      <c r="M84" s="100">
        <f>IFERROR(IF(COUNTIFS(S84:AB84,清算项目基本情况表!$D$6)&gt;=1,IF(L84="占地面积法",ROUND(SUM('附表4-项目间分摊信息采集表'!$E$5)/SUMPRODUCT(SUMIFS('附表4-项目间分摊信息采集表'!$E:$E,'附表4-项目间分摊信息采集表'!$B:$B,S84:AB84)),20),IF(L84="测绘总建筑面积法",ROUND(SUM('附表4-项目间分摊信息采集表'!$F$5)/SUMPRODUCT(SUMIFS('附表4-项目间分摊信息采集表'!$F:$F,'附表4-项目间分摊信息采集表'!$B:$B,S84:AB84)),20),IF(L84="可售建筑面积法",ROUND(SUM('附表4-项目间分摊信息采集表'!$G$5)/SUMPRODUCT(SUMIFS('附表4-项目间分摊信息采集表'!$G:$G,'附表4-项目间分摊信息采集表'!$B:$B,S84:AB84)),20),IF(L84="其他分摊方法",ROUND(SUM('附表4-项目间分摊信息采集表'!$H$5)/SUMPRODUCT(SUMIFS('附表4-项目间分摊信息采集表'!$H:$H,'附表4-项目间分摊信息采集表'!$B:$B,S84:AB84)),20),IF(L84="手工填写分摊比例","请填写分摊比例",100%))))),IF(COUNTA(S84:AB84)&gt;=1,0%,100%)),100%)</f>
        <v>1</v>
      </c>
      <c r="N84" s="94">
        <f>SUMIFS('附表7-扣除项目明细采集底稿'!$R:$R,'附表7-扣除项目明细采集底稿'!$G:$G,B84)</f>
        <v>3358612.25</v>
      </c>
      <c r="O84" s="99" t="s">
        <v>3017</v>
      </c>
      <c r="P84" s="101"/>
      <c r="Q84" s="103"/>
      <c r="R84" s="104"/>
      <c r="S84" s="99"/>
      <c r="T84" s="99"/>
      <c r="U84" s="99"/>
      <c r="V84" s="99"/>
      <c r="W84" s="99"/>
      <c r="X84" s="99"/>
      <c r="Y84" s="99"/>
      <c r="Z84" s="99"/>
      <c r="AA84" s="99"/>
      <c r="AB84" s="99"/>
      <c r="AC84" s="94">
        <f t="shared" si="3"/>
        <v>2395342.66972477</v>
      </c>
    </row>
    <row r="85" hidden="1" spans="1:29">
      <c r="A85" s="90">
        <v>81</v>
      </c>
      <c r="B85" s="119" t="s">
        <v>2573</v>
      </c>
      <c r="C85" s="123" t="s">
        <v>3149</v>
      </c>
      <c r="D85" s="107" t="s">
        <v>3015</v>
      </c>
      <c r="E85" s="121" t="s">
        <v>3150</v>
      </c>
      <c r="F85" s="122">
        <v>44216</v>
      </c>
      <c r="G85" s="94">
        <v>3098200</v>
      </c>
      <c r="H85" s="94">
        <v>3098200</v>
      </c>
      <c r="I85" s="99" t="s">
        <v>332</v>
      </c>
      <c r="J85" s="99" t="s">
        <v>332</v>
      </c>
      <c r="K85" s="99" t="s">
        <v>332</v>
      </c>
      <c r="L85" s="99" t="s">
        <v>311</v>
      </c>
      <c r="M85" s="100">
        <f>IFERROR(IF(COUNTIFS(S85:AB85,清算项目基本情况表!$D$6)&gt;=1,IF(L85="占地面积法",ROUND(SUM('附表4-项目间分摊信息采集表'!$E$5)/SUMPRODUCT(SUMIFS('附表4-项目间分摊信息采集表'!$E:$E,'附表4-项目间分摊信息采集表'!$B:$B,S85:AB85)),20),IF(L85="测绘总建筑面积法",ROUND(SUM('附表4-项目间分摊信息采集表'!$F$5)/SUMPRODUCT(SUMIFS('附表4-项目间分摊信息采集表'!$F:$F,'附表4-项目间分摊信息采集表'!$B:$B,S85:AB85)),20),IF(L85="可售建筑面积法",ROUND(SUM('附表4-项目间分摊信息采集表'!$G$5)/SUMPRODUCT(SUMIFS('附表4-项目间分摊信息采集表'!$G:$G,'附表4-项目间分摊信息采集表'!$B:$B,S85:AB85)),20),IF(L85="其他分摊方法",ROUND(SUM('附表4-项目间分摊信息采集表'!$H$5)/SUMPRODUCT(SUMIFS('附表4-项目间分摊信息采集表'!$H:$H,'附表4-项目间分摊信息采集表'!$B:$B,S85:AB85)),20),IF(L85="手工填写分摊比例","请填写分摊比例",100%))))),IF(COUNTA(S85:AB85)&gt;=1,0%,100%)),100%)</f>
        <v>1</v>
      </c>
      <c r="N85" s="94">
        <f>SUMIFS('附表7-扣除项目明细采集底稿'!$R:$R,'附表7-扣除项目明细采集底稿'!$G:$G,B85)</f>
        <v>2842385.32</v>
      </c>
      <c r="O85" s="99" t="s">
        <v>3017</v>
      </c>
      <c r="P85" s="101"/>
      <c r="Q85" s="103"/>
      <c r="R85" s="104"/>
      <c r="S85" s="99"/>
      <c r="T85" s="99"/>
      <c r="U85" s="99"/>
      <c r="V85" s="99"/>
      <c r="W85" s="99"/>
      <c r="X85" s="99"/>
      <c r="Y85" s="99"/>
      <c r="Z85" s="99"/>
      <c r="AA85" s="99"/>
      <c r="AB85" s="99"/>
      <c r="AC85" s="94">
        <f t="shared" si="3"/>
        <v>2842385.32110092</v>
      </c>
    </row>
    <row r="86" hidden="1" spans="1:29">
      <c r="A86" s="90">
        <v>82</v>
      </c>
      <c r="B86" s="119" t="s">
        <v>2490</v>
      </c>
      <c r="C86" s="125" t="s">
        <v>3151</v>
      </c>
      <c r="D86" s="107" t="s">
        <v>3015</v>
      </c>
      <c r="E86" s="121" t="s">
        <v>3060</v>
      </c>
      <c r="F86" s="124" t="s">
        <v>3145</v>
      </c>
      <c r="G86" s="94">
        <v>1451380.232</v>
      </c>
      <c r="H86" s="94">
        <v>1451380.232</v>
      </c>
      <c r="I86" s="99" t="s">
        <v>332</v>
      </c>
      <c r="J86" s="99" t="s">
        <v>332</v>
      </c>
      <c r="K86" s="99" t="s">
        <v>332</v>
      </c>
      <c r="L86" s="99" t="s">
        <v>311</v>
      </c>
      <c r="M86" s="100">
        <f>IFERROR(IF(COUNTIFS(S86:AB86,清算项目基本情况表!$D$6)&gt;=1,IF(L86="占地面积法",ROUND(SUM('附表4-项目间分摊信息采集表'!$E$5)/SUMPRODUCT(SUMIFS('附表4-项目间分摊信息采集表'!$E:$E,'附表4-项目间分摊信息采集表'!$B:$B,S86:AB86)),20),IF(L86="测绘总建筑面积法",ROUND(SUM('附表4-项目间分摊信息采集表'!$F$5)/SUMPRODUCT(SUMIFS('附表4-项目间分摊信息采集表'!$F:$F,'附表4-项目间分摊信息采集表'!$B:$B,S86:AB86)),20),IF(L86="可售建筑面积法",ROUND(SUM('附表4-项目间分摊信息采集表'!$G$5)/SUMPRODUCT(SUMIFS('附表4-项目间分摊信息采集表'!$G:$G,'附表4-项目间分摊信息采集表'!$B:$B,S86:AB86)),20),IF(L86="其他分摊方法",ROUND(SUM('附表4-项目间分摊信息采集表'!$H$5)/SUMPRODUCT(SUMIFS('附表4-项目间分摊信息采集表'!$H:$H,'附表4-项目间分摊信息采集表'!$B:$B,S86:AB86)),20),IF(L86="手工填写分摊比例","请填写分摊比例",100%))))),IF(COUNTA(S86:AB86)&gt;=1,0%,100%)),100%)</f>
        <v>1</v>
      </c>
      <c r="N86" s="94">
        <f>SUMIFS('附表7-扣除项目明细采集底稿'!$R:$R,'附表7-扣除项目明细采集底稿'!$G:$G,B86)</f>
        <v>1331541.49</v>
      </c>
      <c r="O86" s="99" t="s">
        <v>3017</v>
      </c>
      <c r="P86" s="101"/>
      <c r="Q86" s="103"/>
      <c r="R86" s="104"/>
      <c r="S86" s="99"/>
      <c r="T86" s="99"/>
      <c r="U86" s="99"/>
      <c r="V86" s="99"/>
      <c r="W86" s="99"/>
      <c r="X86" s="99"/>
      <c r="Y86" s="99"/>
      <c r="Z86" s="99"/>
      <c r="AA86" s="99"/>
      <c r="AB86" s="99"/>
      <c r="AC86" s="94">
        <f t="shared" si="3"/>
        <v>1331541.49724771</v>
      </c>
    </row>
    <row r="87" s="80" customFormat="1" hidden="1" spans="1:29">
      <c r="A87" s="113">
        <v>83</v>
      </c>
      <c r="B87" s="114" t="s">
        <v>2537</v>
      </c>
      <c r="C87" s="126" t="s">
        <v>3152</v>
      </c>
      <c r="D87" s="116" t="s">
        <v>3015</v>
      </c>
      <c r="E87" s="127" t="s">
        <v>3153</v>
      </c>
      <c r="F87" s="128">
        <v>44079</v>
      </c>
      <c r="G87" s="118">
        <v>82979934.34</v>
      </c>
      <c r="H87" s="118">
        <v>102907018.8</v>
      </c>
      <c r="I87" s="131" t="s">
        <v>332</v>
      </c>
      <c r="J87" s="131" t="s">
        <v>332</v>
      </c>
      <c r="K87" s="131" t="s">
        <v>332</v>
      </c>
      <c r="L87" s="131" t="s">
        <v>311</v>
      </c>
      <c r="M87" s="132">
        <f>IFERROR(IF(COUNTIFS(S87:AB87,清算项目基本情况表!$D$6)&gt;=1,IF(L87="占地面积法",ROUND(SUM('附表4-项目间分摊信息采集表'!$E$5)/SUMPRODUCT(SUMIFS('附表4-项目间分摊信息采集表'!$E:$E,'附表4-项目间分摊信息采集表'!$B:$B,S87:AB87)),20),IF(L87="测绘总建筑面积法",ROUND(SUM('附表4-项目间分摊信息采集表'!$F$5)/SUMPRODUCT(SUMIFS('附表4-项目间分摊信息采集表'!$F:$F,'附表4-项目间分摊信息采集表'!$B:$B,S87:AB87)),20),IF(L87="可售建筑面积法",ROUND(SUM('附表4-项目间分摊信息采集表'!$G$5)/SUMPRODUCT(SUMIFS('附表4-项目间分摊信息采集表'!$G:$G,'附表4-项目间分摊信息采集表'!$B:$B,S87:AB87)),20),IF(L87="其他分摊方法",ROUND(SUM('附表4-项目间分摊信息采集表'!$H$5)/SUMPRODUCT(SUMIFS('附表4-项目间分摊信息采集表'!$H:$H,'附表4-项目间分摊信息采集表'!$B:$B,S87:AB87)),20),IF(L87="手工填写分摊比例","请填写分摊比例",100%))))),IF(COUNTA(S87:AB87)&gt;=1,0%,100%)),100%)</f>
        <v>1</v>
      </c>
      <c r="N87" s="118">
        <f>SUMIFS('附表7-扣除项目明细采集底稿'!$R:$R,'附表7-扣除项目明细采集底稿'!$G:$G,B87)</f>
        <v>99393656.84</v>
      </c>
      <c r="O87" s="131" t="s">
        <v>3017</v>
      </c>
      <c r="P87" s="133"/>
      <c r="Q87" s="134"/>
      <c r="R87" s="135"/>
      <c r="S87" s="131"/>
      <c r="T87" s="131"/>
      <c r="U87" s="131"/>
      <c r="V87" s="131"/>
      <c r="W87" s="131"/>
      <c r="X87" s="131"/>
      <c r="Y87" s="131"/>
      <c r="Z87" s="131"/>
      <c r="AA87" s="131"/>
      <c r="AB87" s="131"/>
      <c r="AC87" s="118">
        <f t="shared" si="3"/>
        <v>94410108.9908257</v>
      </c>
    </row>
    <row r="88" hidden="1" spans="1:29">
      <c r="A88" s="90">
        <v>84</v>
      </c>
      <c r="B88" s="119" t="s">
        <v>2775</v>
      </c>
      <c r="C88" s="129" t="s">
        <v>3154</v>
      </c>
      <c r="D88" s="107" t="s">
        <v>3015</v>
      </c>
      <c r="E88" s="121" t="s">
        <v>3153</v>
      </c>
      <c r="F88" s="124" t="s">
        <v>3145</v>
      </c>
      <c r="G88" s="94">
        <v>6661963.37</v>
      </c>
      <c r="H88" s="94">
        <v>6661963.37</v>
      </c>
      <c r="I88" s="99" t="s">
        <v>332</v>
      </c>
      <c r="J88" s="99" t="s">
        <v>332</v>
      </c>
      <c r="K88" s="99" t="s">
        <v>332</v>
      </c>
      <c r="L88" s="99" t="s">
        <v>311</v>
      </c>
      <c r="M88" s="100">
        <f>IFERROR(IF(COUNTIFS(S88:AB88,清算项目基本情况表!$D$6)&gt;=1,IF(L88="占地面积法",ROUND(SUM('附表4-项目间分摊信息采集表'!$E$5)/SUMPRODUCT(SUMIFS('附表4-项目间分摊信息采集表'!$E:$E,'附表4-项目间分摊信息采集表'!$B:$B,S88:AB88)),20),IF(L88="测绘总建筑面积法",ROUND(SUM('附表4-项目间分摊信息采集表'!$F$5)/SUMPRODUCT(SUMIFS('附表4-项目间分摊信息采集表'!$F:$F,'附表4-项目间分摊信息采集表'!$B:$B,S88:AB88)),20),IF(L88="可售建筑面积法",ROUND(SUM('附表4-项目间分摊信息采集表'!$G$5)/SUMPRODUCT(SUMIFS('附表4-项目间分摊信息采集表'!$G:$G,'附表4-项目间分摊信息采集表'!$B:$B,S88:AB88)),20),IF(L88="其他分摊方法",ROUND(SUM('附表4-项目间分摊信息采集表'!$H$5)/SUMPRODUCT(SUMIFS('附表4-项目间分摊信息采集表'!$H:$H,'附表4-项目间分摊信息采集表'!$B:$B,S88:AB88)),20),IF(L88="手工填写分摊比例","请填写分摊比例",100%))))),IF(COUNTA(S88:AB88)&gt;=1,0%,100%)),100%)</f>
        <v>1</v>
      </c>
      <c r="N88" s="94">
        <f>SUMIFS('附表7-扣除项目明细采集底稿'!$R:$R,'附表7-扣除项目明细采集底稿'!$G:$G,B88)</f>
        <v>6111893.01</v>
      </c>
      <c r="O88" s="99" t="s">
        <v>3017</v>
      </c>
      <c r="P88" s="101"/>
      <c r="Q88" s="103"/>
      <c r="R88" s="104"/>
      <c r="S88" s="99"/>
      <c r="T88" s="99"/>
      <c r="U88" s="99"/>
      <c r="V88" s="99"/>
      <c r="W88" s="99"/>
      <c r="X88" s="99"/>
      <c r="Y88" s="99"/>
      <c r="Z88" s="99"/>
      <c r="AA88" s="99"/>
      <c r="AB88" s="99"/>
      <c r="AC88" s="94">
        <f t="shared" si="3"/>
        <v>6111893</v>
      </c>
    </row>
    <row r="89" hidden="1" spans="1:29">
      <c r="A89" s="90">
        <v>85</v>
      </c>
      <c r="B89" s="119" t="s">
        <v>2515</v>
      </c>
      <c r="C89" s="123" t="s">
        <v>3155</v>
      </c>
      <c r="D89" s="92" t="s">
        <v>3024</v>
      </c>
      <c r="E89" s="121" t="s">
        <v>1982</v>
      </c>
      <c r="F89" s="124" t="s">
        <v>3145</v>
      </c>
      <c r="G89" s="94">
        <v>98202</v>
      </c>
      <c r="H89" s="94">
        <v>98202</v>
      </c>
      <c r="I89" s="99" t="s">
        <v>332</v>
      </c>
      <c r="J89" s="99" t="s">
        <v>332</v>
      </c>
      <c r="K89" s="99" t="s">
        <v>332</v>
      </c>
      <c r="L89" s="99" t="s">
        <v>311</v>
      </c>
      <c r="M89" s="100">
        <f>IFERROR(IF(COUNTIFS(S89:AB89,清算项目基本情况表!$D$6)&gt;=1,IF(L89="占地面积法",ROUND(SUM('附表4-项目间分摊信息采集表'!$E$5)/SUMPRODUCT(SUMIFS('附表4-项目间分摊信息采集表'!$E:$E,'附表4-项目间分摊信息采集表'!$B:$B,S89:AB89)),20),IF(L89="测绘总建筑面积法",ROUND(SUM('附表4-项目间分摊信息采集表'!$F$5)/SUMPRODUCT(SUMIFS('附表4-项目间分摊信息采集表'!$F:$F,'附表4-项目间分摊信息采集表'!$B:$B,S89:AB89)),20),IF(L89="可售建筑面积法",ROUND(SUM('附表4-项目间分摊信息采集表'!$G$5)/SUMPRODUCT(SUMIFS('附表4-项目间分摊信息采集表'!$G:$G,'附表4-项目间分摊信息采集表'!$B:$B,S89:AB89)),20),IF(L89="其他分摊方法",ROUND(SUM('附表4-项目间分摊信息采集表'!$H$5)/SUMPRODUCT(SUMIFS('附表4-项目间分摊信息采集表'!$H:$H,'附表4-项目间分摊信息采集表'!$B:$B,S89:AB89)),20),IF(L89="手工填写分摊比例","请填写分摊比例",100%))))),IF(COUNTA(S89:AB89)&gt;=1,0%,100%)),100%)</f>
        <v>1</v>
      </c>
      <c r="N89" s="94">
        <f>SUMIFS('附表7-扣除项目明细采集底稿'!$R:$R,'附表7-扣除项目明细采集底稿'!$G:$G,B89)</f>
        <v>86143.39</v>
      </c>
      <c r="O89" s="99" t="s">
        <v>3017</v>
      </c>
      <c r="P89" s="101"/>
      <c r="Q89" s="103"/>
      <c r="R89" s="104"/>
      <c r="S89" s="99"/>
      <c r="T89" s="99"/>
      <c r="U89" s="99"/>
      <c r="V89" s="99"/>
      <c r="W89" s="99"/>
      <c r="X89" s="99"/>
      <c r="Y89" s="99"/>
      <c r="Z89" s="99"/>
      <c r="AA89" s="99"/>
      <c r="AB89" s="99"/>
      <c r="AC89" s="94">
        <f t="shared" ref="AC89:AC91" si="4">H89/1.06</f>
        <v>92643.3962264151</v>
      </c>
    </row>
    <row r="90" hidden="1" spans="1:29">
      <c r="A90" s="90">
        <v>86</v>
      </c>
      <c r="B90" s="119" t="s">
        <v>2708</v>
      </c>
      <c r="C90" s="123" t="s">
        <v>3156</v>
      </c>
      <c r="D90" s="92" t="s">
        <v>3024</v>
      </c>
      <c r="E90" s="121" t="s">
        <v>1982</v>
      </c>
      <c r="F90" s="124" t="s">
        <v>3145</v>
      </c>
      <c r="G90" s="94">
        <v>18422.5032</v>
      </c>
      <c r="H90" s="94">
        <v>18422.5032</v>
      </c>
      <c r="I90" s="99" t="s">
        <v>332</v>
      </c>
      <c r="J90" s="99" t="s">
        <v>332</v>
      </c>
      <c r="K90" s="99" t="s">
        <v>332</v>
      </c>
      <c r="L90" s="99" t="s">
        <v>311</v>
      </c>
      <c r="M90" s="100">
        <f>IFERROR(IF(COUNTIFS(S90:AB90,清算项目基本情况表!$D$6)&gt;=1,IF(L90="占地面积法",ROUND(SUM('附表4-项目间分摊信息采集表'!$E$5)/SUMPRODUCT(SUMIFS('附表4-项目间分摊信息采集表'!$E:$E,'附表4-项目间分摊信息采集表'!$B:$B,S90:AB90)),20),IF(L90="测绘总建筑面积法",ROUND(SUM('附表4-项目间分摊信息采集表'!$F$5)/SUMPRODUCT(SUMIFS('附表4-项目间分摊信息采集表'!$F:$F,'附表4-项目间分摊信息采集表'!$B:$B,S90:AB90)),20),IF(L90="可售建筑面积法",ROUND(SUM('附表4-项目间分摊信息采集表'!$G$5)/SUMPRODUCT(SUMIFS('附表4-项目间分摊信息采集表'!$G:$G,'附表4-项目间分摊信息采集表'!$B:$B,S90:AB90)),20),IF(L90="其他分摊方法",ROUND(SUM('附表4-项目间分摊信息采集表'!$H$5)/SUMPRODUCT(SUMIFS('附表4-项目间分摊信息采集表'!$H:$H,'附表4-项目间分摊信息采集表'!$B:$B,S90:AB90)),20),IF(L90="手工填写分摊比例","请填写分摊比例",100%))))),IF(COUNTA(S90:AB90)&gt;=1,0%,100%)),100%)</f>
        <v>1</v>
      </c>
      <c r="N90" s="94">
        <f>SUMIFS('附表7-扣除项目明细采集底稿'!$R:$R,'附表7-扣除项目明细采集底稿'!$G:$G,B90)</f>
        <v>17379.72</v>
      </c>
      <c r="O90" s="99" t="s">
        <v>3017</v>
      </c>
      <c r="P90" s="101"/>
      <c r="Q90" s="103"/>
      <c r="R90" s="104"/>
      <c r="S90" s="99"/>
      <c r="T90" s="99"/>
      <c r="U90" s="99"/>
      <c r="V90" s="99"/>
      <c r="W90" s="99"/>
      <c r="X90" s="99"/>
      <c r="Y90" s="99"/>
      <c r="Z90" s="99"/>
      <c r="AA90" s="99"/>
      <c r="AB90" s="99"/>
      <c r="AC90" s="94">
        <f t="shared" si="4"/>
        <v>17379.72</v>
      </c>
    </row>
    <row r="91" hidden="1" spans="1:29">
      <c r="A91" s="90">
        <v>87</v>
      </c>
      <c r="B91" s="119" t="s">
        <v>2801</v>
      </c>
      <c r="C91" s="120" t="s">
        <v>3157</v>
      </c>
      <c r="D91" s="107" t="s">
        <v>3015</v>
      </c>
      <c r="E91" s="120" t="s">
        <v>3138</v>
      </c>
      <c r="F91" s="122">
        <v>44271</v>
      </c>
      <c r="G91" s="94">
        <v>15265</v>
      </c>
      <c r="H91" s="94">
        <v>15265</v>
      </c>
      <c r="I91" s="99" t="s">
        <v>332</v>
      </c>
      <c r="J91" s="99" t="s">
        <v>332</v>
      </c>
      <c r="K91" s="99" t="s">
        <v>332</v>
      </c>
      <c r="L91" s="99" t="s">
        <v>311</v>
      </c>
      <c r="M91" s="100">
        <f>IFERROR(IF(COUNTIFS(S91:AB91,清算项目基本情况表!$D$6)&gt;=1,IF(L91="占地面积法",ROUND(SUM('附表4-项目间分摊信息采集表'!$E$5)/SUMPRODUCT(SUMIFS('附表4-项目间分摊信息采集表'!$E:$E,'附表4-项目间分摊信息采集表'!$B:$B,S91:AB91)),20),IF(L91="测绘总建筑面积法",ROUND(SUM('附表4-项目间分摊信息采集表'!$F$5)/SUMPRODUCT(SUMIFS('附表4-项目间分摊信息采集表'!$F:$F,'附表4-项目间分摊信息采集表'!$B:$B,S91:AB91)),20),IF(L91="可售建筑面积法",ROUND(SUM('附表4-项目间分摊信息采集表'!$G$5)/SUMPRODUCT(SUMIFS('附表4-项目间分摊信息采集表'!$G:$G,'附表4-项目间分摊信息采集表'!$B:$B,S91:AB91)),20),IF(L91="其他分摊方法",ROUND(SUM('附表4-项目间分摊信息采集表'!$H$5)/SUMPRODUCT(SUMIFS('附表4-项目间分摊信息采集表'!$H:$H,'附表4-项目间分摊信息采集表'!$B:$B,S91:AB91)),20),IF(L91="手工填写分摊比例","请填写分摊比例",100%))))),IF(COUNTA(S91:AB91)&gt;=1,0%,100%)),100%)</f>
        <v>1</v>
      </c>
      <c r="N91" s="94">
        <f>SUMIFS('附表7-扣除项目明细采集底稿'!$R:$R,'附表7-扣除项目明细采集底稿'!$G:$G,B91)</f>
        <v>14004.5871559633</v>
      </c>
      <c r="O91" s="99" t="s">
        <v>3017</v>
      </c>
      <c r="P91" s="101"/>
      <c r="Q91" s="103"/>
      <c r="R91" s="104"/>
      <c r="S91" s="99"/>
      <c r="T91" s="99"/>
      <c r="U91" s="99"/>
      <c r="V91" s="99"/>
      <c r="W91" s="99"/>
      <c r="X91" s="99"/>
      <c r="Y91" s="99"/>
      <c r="Z91" s="99"/>
      <c r="AA91" s="99"/>
      <c r="AB91" s="99"/>
      <c r="AC91" s="94">
        <f t="shared" ref="AC91:AC96" si="5">H91/1.09</f>
        <v>14004.5871559633</v>
      </c>
    </row>
    <row r="92" hidden="1" spans="1:29">
      <c r="A92" s="90">
        <v>88</v>
      </c>
      <c r="B92" s="119" t="s">
        <v>2802</v>
      </c>
      <c r="C92" s="120" t="s">
        <v>3158</v>
      </c>
      <c r="D92" s="107" t="s">
        <v>3015</v>
      </c>
      <c r="E92" s="120" t="s">
        <v>3138</v>
      </c>
      <c r="F92" s="122">
        <v>44271</v>
      </c>
      <c r="G92" s="94">
        <v>11291</v>
      </c>
      <c r="H92" s="94">
        <v>11291</v>
      </c>
      <c r="I92" s="99" t="s">
        <v>332</v>
      </c>
      <c r="J92" s="99" t="s">
        <v>332</v>
      </c>
      <c r="K92" s="99" t="s">
        <v>332</v>
      </c>
      <c r="L92" s="99" t="s">
        <v>311</v>
      </c>
      <c r="M92" s="100">
        <f>IFERROR(IF(COUNTIFS(S92:AB92,清算项目基本情况表!$D$6)&gt;=1,IF(L92="占地面积法",ROUND(SUM('附表4-项目间分摊信息采集表'!$E$5)/SUMPRODUCT(SUMIFS('附表4-项目间分摊信息采集表'!$E:$E,'附表4-项目间分摊信息采集表'!$B:$B,S92:AB92)),20),IF(L92="测绘总建筑面积法",ROUND(SUM('附表4-项目间分摊信息采集表'!$F$5)/SUMPRODUCT(SUMIFS('附表4-项目间分摊信息采集表'!$F:$F,'附表4-项目间分摊信息采集表'!$B:$B,S92:AB92)),20),IF(L92="可售建筑面积法",ROUND(SUM('附表4-项目间分摊信息采集表'!$G$5)/SUMPRODUCT(SUMIFS('附表4-项目间分摊信息采集表'!$G:$G,'附表4-项目间分摊信息采集表'!$B:$B,S92:AB92)),20),IF(L92="其他分摊方法",ROUND(SUM('附表4-项目间分摊信息采集表'!$H$5)/SUMPRODUCT(SUMIFS('附表4-项目间分摊信息采集表'!$H:$H,'附表4-项目间分摊信息采集表'!$B:$B,S92:AB92)),20),IF(L92="手工填写分摊比例","请填写分摊比例",100%))))),IF(COUNTA(S92:AB92)&gt;=1,0%,100%)),100%)</f>
        <v>1</v>
      </c>
      <c r="N92" s="94">
        <f>SUMIFS('附表7-扣除项目明细采集底稿'!$R:$R,'附表7-扣除项目明细采集底稿'!$G:$G,B92)</f>
        <v>10358.7155963303</v>
      </c>
      <c r="O92" s="99" t="s">
        <v>3017</v>
      </c>
      <c r="P92" s="101"/>
      <c r="Q92" s="103"/>
      <c r="R92" s="104"/>
      <c r="S92" s="99"/>
      <c r="T92" s="99"/>
      <c r="U92" s="99"/>
      <c r="V92" s="99"/>
      <c r="W92" s="99"/>
      <c r="X92" s="99"/>
      <c r="Y92" s="99"/>
      <c r="Z92" s="99"/>
      <c r="AA92" s="99"/>
      <c r="AB92" s="99"/>
      <c r="AC92" s="94">
        <f t="shared" si="5"/>
        <v>10358.7155963303</v>
      </c>
    </row>
    <row r="93" hidden="1" spans="1:29">
      <c r="A93" s="90">
        <v>89</v>
      </c>
      <c r="B93" s="119" t="s">
        <v>2671</v>
      </c>
      <c r="C93" s="120" t="s">
        <v>3159</v>
      </c>
      <c r="D93" s="107" t="s">
        <v>3015</v>
      </c>
      <c r="E93" s="120" t="s">
        <v>3138</v>
      </c>
      <c r="F93" s="122"/>
      <c r="G93" s="94">
        <v>277140</v>
      </c>
      <c r="H93" s="94">
        <v>277140</v>
      </c>
      <c r="I93" s="99" t="s">
        <v>332</v>
      </c>
      <c r="J93" s="99" t="s">
        <v>332</v>
      </c>
      <c r="K93" s="99" t="s">
        <v>332</v>
      </c>
      <c r="L93" s="99" t="s">
        <v>311</v>
      </c>
      <c r="M93" s="100">
        <f>IFERROR(IF(COUNTIFS(S93:AB93,清算项目基本情况表!$D$6)&gt;=1,IF(L93="占地面积法",ROUND(SUM('附表4-项目间分摊信息采集表'!$E$5)/SUMPRODUCT(SUMIFS('附表4-项目间分摊信息采集表'!$E:$E,'附表4-项目间分摊信息采集表'!$B:$B,S93:AB93)),20),IF(L93="测绘总建筑面积法",ROUND(SUM('附表4-项目间分摊信息采集表'!$F$5)/SUMPRODUCT(SUMIFS('附表4-项目间分摊信息采集表'!$F:$F,'附表4-项目间分摊信息采集表'!$B:$B,S93:AB93)),20),IF(L93="可售建筑面积法",ROUND(SUM('附表4-项目间分摊信息采集表'!$G$5)/SUMPRODUCT(SUMIFS('附表4-项目间分摊信息采集表'!$G:$G,'附表4-项目间分摊信息采集表'!$B:$B,S93:AB93)),20),IF(L93="其他分摊方法",ROUND(SUM('附表4-项目间分摊信息采集表'!$H$5)/SUMPRODUCT(SUMIFS('附表4-项目间分摊信息采集表'!$H:$H,'附表4-项目间分摊信息采集表'!$B:$B,S93:AB93)),20),IF(L93="手工填写分摊比例","请填写分摊比例",100%))))),IF(COUNTA(S93:AB93)&gt;=1,0%,100%)),100%)</f>
        <v>1</v>
      </c>
      <c r="N93" s="94">
        <f>SUMIFS('附表7-扣除项目明细采集底稿'!$R:$R,'附表7-扣除项目明细采集底稿'!$G:$G,B93)</f>
        <v>254256.878715596</v>
      </c>
      <c r="O93" s="99" t="s">
        <v>3017</v>
      </c>
      <c r="P93" s="101"/>
      <c r="Q93" s="103"/>
      <c r="R93" s="104"/>
      <c r="S93" s="99"/>
      <c r="T93" s="99"/>
      <c r="U93" s="99"/>
      <c r="V93" s="99"/>
      <c r="W93" s="99"/>
      <c r="X93" s="99"/>
      <c r="Y93" s="99"/>
      <c r="Z93" s="99"/>
      <c r="AA93" s="99"/>
      <c r="AB93" s="99"/>
      <c r="AC93" s="94">
        <f t="shared" si="5"/>
        <v>254256.880733945</v>
      </c>
    </row>
    <row r="94" hidden="1" spans="1:29">
      <c r="A94" s="90">
        <v>90</v>
      </c>
      <c r="B94" s="119" t="s">
        <v>2823</v>
      </c>
      <c r="C94" s="123" t="s">
        <v>3160</v>
      </c>
      <c r="D94" s="107" t="s">
        <v>3015</v>
      </c>
      <c r="E94" s="120" t="s">
        <v>3029</v>
      </c>
      <c r="F94" s="122">
        <v>44151</v>
      </c>
      <c r="G94" s="94">
        <v>1153931.53</v>
      </c>
      <c r="H94" s="94">
        <v>1153931.53</v>
      </c>
      <c r="I94" s="99" t="s">
        <v>332</v>
      </c>
      <c r="J94" s="99" t="s">
        <v>332</v>
      </c>
      <c r="K94" s="99" t="s">
        <v>332</v>
      </c>
      <c r="L94" s="99" t="s">
        <v>311</v>
      </c>
      <c r="M94" s="100">
        <f>IFERROR(IF(COUNTIFS(S94:AB94,清算项目基本情况表!$D$6)&gt;=1,IF(L94="占地面积法",ROUND(SUM('附表4-项目间分摊信息采集表'!$E$5)/SUMPRODUCT(SUMIFS('附表4-项目间分摊信息采集表'!$E:$E,'附表4-项目间分摊信息采集表'!$B:$B,S94:AB94)),20),IF(L94="测绘总建筑面积法",ROUND(SUM('附表4-项目间分摊信息采集表'!$F$5)/SUMPRODUCT(SUMIFS('附表4-项目间分摊信息采集表'!$F:$F,'附表4-项目间分摊信息采集表'!$B:$B,S94:AB94)),20),IF(L94="可售建筑面积法",ROUND(SUM('附表4-项目间分摊信息采集表'!$G$5)/SUMPRODUCT(SUMIFS('附表4-项目间分摊信息采集表'!$G:$G,'附表4-项目间分摊信息采集表'!$B:$B,S94:AB94)),20),IF(L94="其他分摊方法",ROUND(SUM('附表4-项目间分摊信息采集表'!$H$5)/SUMPRODUCT(SUMIFS('附表4-项目间分摊信息采集表'!$H:$H,'附表4-项目间分摊信息采集表'!$B:$B,S94:AB94)),20),IF(L94="手工填写分摊比例","请填写分摊比例",100%))))),IF(COUNTA(S94:AB94)&gt;=1,0%,100%)),100%)</f>
        <v>1</v>
      </c>
      <c r="N94" s="94">
        <f>SUMIFS('附表7-扣除项目明细采集底稿'!$R:$R,'附表7-扣除项目明细采集底稿'!$G:$G,B94)</f>
        <v>1058652.78</v>
      </c>
      <c r="O94" s="99" t="s">
        <v>3017</v>
      </c>
      <c r="P94" s="101"/>
      <c r="Q94" s="103"/>
      <c r="R94" s="104"/>
      <c r="S94" s="99"/>
      <c r="T94" s="99"/>
      <c r="U94" s="99"/>
      <c r="V94" s="99"/>
      <c r="W94" s="99"/>
      <c r="X94" s="99"/>
      <c r="Y94" s="99"/>
      <c r="Z94" s="99"/>
      <c r="AA94" s="99"/>
      <c r="AB94" s="99"/>
      <c r="AC94" s="94">
        <f t="shared" si="5"/>
        <v>1058652.77981651</v>
      </c>
    </row>
    <row r="95" hidden="1" spans="1:29">
      <c r="A95" s="90">
        <v>91</v>
      </c>
      <c r="B95" s="119" t="s">
        <v>2762</v>
      </c>
      <c r="C95" s="123" t="s">
        <v>3161</v>
      </c>
      <c r="D95" s="107" t="s">
        <v>3015</v>
      </c>
      <c r="E95" s="120" t="s">
        <v>3029</v>
      </c>
      <c r="F95" s="122">
        <v>44151</v>
      </c>
      <c r="G95" s="94">
        <v>271116.63</v>
      </c>
      <c r="H95" s="94">
        <v>271116.63</v>
      </c>
      <c r="I95" s="99" t="s">
        <v>332</v>
      </c>
      <c r="J95" s="99" t="s">
        <v>332</v>
      </c>
      <c r="K95" s="99" t="s">
        <v>332</v>
      </c>
      <c r="L95" s="99" t="s">
        <v>311</v>
      </c>
      <c r="M95" s="100">
        <f>IFERROR(IF(COUNTIFS(S95:AB95,清算项目基本情况表!$D$6)&gt;=1,IF(L95="占地面积法",ROUND(SUM('附表4-项目间分摊信息采集表'!$E$5)/SUMPRODUCT(SUMIFS('附表4-项目间分摊信息采集表'!$E:$E,'附表4-项目间分摊信息采集表'!$B:$B,S95:AB95)),20),IF(L95="测绘总建筑面积法",ROUND(SUM('附表4-项目间分摊信息采集表'!$F$5)/SUMPRODUCT(SUMIFS('附表4-项目间分摊信息采集表'!$F:$F,'附表4-项目间分摊信息采集表'!$B:$B,S95:AB95)),20),IF(L95="可售建筑面积法",ROUND(SUM('附表4-项目间分摊信息采集表'!$G$5)/SUMPRODUCT(SUMIFS('附表4-项目间分摊信息采集表'!$G:$G,'附表4-项目间分摊信息采集表'!$B:$B,S95:AB95)),20),IF(L95="其他分摊方法",ROUND(SUM('附表4-项目间分摊信息采集表'!$H$5)/SUMPRODUCT(SUMIFS('附表4-项目间分摊信息采集表'!$H:$H,'附表4-项目间分摊信息采集表'!$B:$B,S95:AB95)),20),IF(L95="手工填写分摊比例","请填写分摊比例",100%))))),IF(COUNTA(S95:AB95)&gt;=1,0%,100%)),100%)</f>
        <v>1</v>
      </c>
      <c r="N95" s="94">
        <f>SUMIFS('附表7-扣除项目明细采集底稿'!$R:$R,'附表7-扣除项目明细采集底稿'!$G:$G,B95)</f>
        <v>248730.86</v>
      </c>
      <c r="O95" s="99" t="s">
        <v>3017</v>
      </c>
      <c r="P95" s="101"/>
      <c r="Q95" s="103"/>
      <c r="R95" s="104"/>
      <c r="S95" s="99"/>
      <c r="T95" s="99"/>
      <c r="U95" s="99"/>
      <c r="V95" s="99"/>
      <c r="W95" s="99"/>
      <c r="X95" s="99"/>
      <c r="Y95" s="99"/>
      <c r="Z95" s="99"/>
      <c r="AA95" s="99"/>
      <c r="AB95" s="99"/>
      <c r="AC95" s="94">
        <f t="shared" si="5"/>
        <v>248730.853211009</v>
      </c>
    </row>
    <row r="96" hidden="1" spans="1:29">
      <c r="A96" s="90">
        <v>92</v>
      </c>
      <c r="B96" s="119" t="s">
        <v>2858</v>
      </c>
      <c r="C96" s="120" t="s">
        <v>3162</v>
      </c>
      <c r="D96" s="107" t="s">
        <v>3019</v>
      </c>
      <c r="E96" s="121" t="s">
        <v>3022</v>
      </c>
      <c r="F96" s="122">
        <v>44925</v>
      </c>
      <c r="G96" s="94">
        <v>44000</v>
      </c>
      <c r="H96" s="94">
        <v>44000</v>
      </c>
      <c r="I96" s="99" t="s">
        <v>332</v>
      </c>
      <c r="J96" s="99" t="s">
        <v>332</v>
      </c>
      <c r="K96" s="99" t="s">
        <v>332</v>
      </c>
      <c r="L96" s="99" t="s">
        <v>311</v>
      </c>
      <c r="M96" s="100">
        <f>IFERROR(IF(COUNTIFS(S96:AB96,清算项目基本情况表!$D$6)&gt;=1,IF(L96="占地面积法",ROUND(SUM('附表4-项目间分摊信息采集表'!$E$5)/SUMPRODUCT(SUMIFS('附表4-项目间分摊信息采集表'!$E:$E,'附表4-项目间分摊信息采集表'!$B:$B,S96:AB96)),20),IF(L96="测绘总建筑面积法",ROUND(SUM('附表4-项目间分摊信息采集表'!$F$5)/SUMPRODUCT(SUMIFS('附表4-项目间分摊信息采集表'!$F:$F,'附表4-项目间分摊信息采集表'!$B:$B,S96:AB96)),20),IF(L96="可售建筑面积法",ROUND(SUM('附表4-项目间分摊信息采集表'!$G$5)/SUMPRODUCT(SUMIFS('附表4-项目间分摊信息采集表'!$G:$G,'附表4-项目间分摊信息采集表'!$B:$B,S96:AB96)),20),IF(L96="其他分摊方法",ROUND(SUM('附表4-项目间分摊信息采集表'!$H$5)/SUMPRODUCT(SUMIFS('附表4-项目间分摊信息采集表'!$H:$H,'附表4-项目间分摊信息采集表'!$B:$B,S96:AB96)),20),IF(L96="手工填写分摊比例","请填写分摊比例",100%))))),IF(COUNTA(S96:AB96)&gt;=1,0%,100%)),100%)</f>
        <v>1</v>
      </c>
      <c r="N96" s="94">
        <f>SUMIFS('附表7-扣除项目明细采集底稿'!$R:$R,'附表7-扣除项目明细采集底稿'!$G:$G,B96)</f>
        <v>0</v>
      </c>
      <c r="O96" s="99" t="s">
        <v>3017</v>
      </c>
      <c r="P96" s="101"/>
      <c r="Q96" s="103"/>
      <c r="R96" s="104"/>
      <c r="S96" s="99"/>
      <c r="T96" s="99"/>
      <c r="U96" s="99"/>
      <c r="V96" s="99"/>
      <c r="W96" s="99"/>
      <c r="X96" s="99"/>
      <c r="Y96" s="99"/>
      <c r="Z96" s="99"/>
      <c r="AA96" s="99"/>
      <c r="AB96" s="99"/>
      <c r="AC96" s="94">
        <v>38938.06</v>
      </c>
    </row>
    <row r="97" s="80" customFormat="1" hidden="1" spans="1:29">
      <c r="A97" s="113">
        <v>93</v>
      </c>
      <c r="B97" s="114" t="s">
        <v>2581</v>
      </c>
      <c r="C97" s="130" t="s">
        <v>3163</v>
      </c>
      <c r="D97" s="116" t="s">
        <v>3019</v>
      </c>
      <c r="E97" s="127" t="s">
        <v>3022</v>
      </c>
      <c r="F97" s="128">
        <v>44148</v>
      </c>
      <c r="G97" s="118">
        <v>3180000</v>
      </c>
      <c r="H97" s="118">
        <v>4180000</v>
      </c>
      <c r="I97" s="131" t="s">
        <v>332</v>
      </c>
      <c r="J97" s="131" t="s">
        <v>332</v>
      </c>
      <c r="K97" s="131" t="s">
        <v>332</v>
      </c>
      <c r="L97" s="131" t="s">
        <v>311</v>
      </c>
      <c r="M97" s="132">
        <f>IFERROR(IF(COUNTIFS(S97:AB97,清算项目基本情况表!$D$6)&gt;=1,IF(L97="占地面积法",ROUND(SUM('附表4-项目间分摊信息采集表'!$E$5)/SUMPRODUCT(SUMIFS('附表4-项目间分摊信息采集表'!$E:$E,'附表4-项目间分摊信息采集表'!$B:$B,S97:AB97)),20),IF(L97="测绘总建筑面积法",ROUND(SUM('附表4-项目间分摊信息采集表'!$F$5)/SUMPRODUCT(SUMIFS('附表4-项目间分摊信息采集表'!$F:$F,'附表4-项目间分摊信息采集表'!$B:$B,S97:AB97)),20),IF(L97="可售建筑面积法",ROUND(SUM('附表4-项目间分摊信息采集表'!$G$5)/SUMPRODUCT(SUMIFS('附表4-项目间分摊信息采集表'!$G:$G,'附表4-项目间分摊信息采集表'!$B:$B,S97:AB97)),20),IF(L97="其他分摊方法",ROUND(SUM('附表4-项目间分摊信息采集表'!$H$5)/SUMPRODUCT(SUMIFS('附表4-项目间分摊信息采集表'!$H:$H,'附表4-项目间分摊信息采集表'!$B:$B,S97:AB97)),20),IF(L97="手工填写分摊比例","请填写分摊比例",100%))))),IF(COUNTA(S97:AB97)&gt;=1,0%,100%)),100%)</f>
        <v>1</v>
      </c>
      <c r="N97" s="118">
        <f>SUMIFS('附表7-扣除项目明细采集底稿'!$R:$R,'附表7-扣除项目明细采集底稿'!$G:$G,B97)</f>
        <v>3798779.97221239</v>
      </c>
      <c r="O97" s="131" t="s">
        <v>3017</v>
      </c>
      <c r="P97" s="133"/>
      <c r="Q97" s="134"/>
      <c r="R97" s="135"/>
      <c r="S97" s="131"/>
      <c r="T97" s="131"/>
      <c r="U97" s="131"/>
      <c r="V97" s="131"/>
      <c r="W97" s="131"/>
      <c r="X97" s="131"/>
      <c r="Y97" s="131"/>
      <c r="Z97" s="131"/>
      <c r="AA97" s="131"/>
      <c r="AB97" s="131"/>
      <c r="AC97" s="118">
        <v>2913824.22</v>
      </c>
    </row>
    <row r="98" hidden="1" spans="1:29">
      <c r="A98" s="90">
        <v>94</v>
      </c>
      <c r="B98" s="119" t="s">
        <v>2682</v>
      </c>
      <c r="C98" s="123" t="s">
        <v>3164</v>
      </c>
      <c r="D98" s="107" t="s">
        <v>3019</v>
      </c>
      <c r="E98" s="120" t="s">
        <v>3022</v>
      </c>
      <c r="F98" s="122">
        <v>44403</v>
      </c>
      <c r="G98" s="94">
        <v>165000</v>
      </c>
      <c r="H98" s="94">
        <v>165000</v>
      </c>
      <c r="I98" s="99" t="s">
        <v>332</v>
      </c>
      <c r="J98" s="99" t="s">
        <v>332</v>
      </c>
      <c r="K98" s="99" t="s">
        <v>332</v>
      </c>
      <c r="L98" s="99" t="s">
        <v>311</v>
      </c>
      <c r="M98" s="100">
        <f>IFERROR(IF(COUNTIFS(S98:AB98,清算项目基本情况表!$D$6)&gt;=1,IF(L98="占地面积法",ROUND(SUM('附表4-项目间分摊信息采集表'!$E$5)/SUMPRODUCT(SUMIFS('附表4-项目间分摊信息采集表'!$E:$E,'附表4-项目间分摊信息采集表'!$B:$B,S98:AB98)),20),IF(L98="测绘总建筑面积法",ROUND(SUM('附表4-项目间分摊信息采集表'!$F$5)/SUMPRODUCT(SUMIFS('附表4-项目间分摊信息采集表'!$F:$F,'附表4-项目间分摊信息采集表'!$B:$B,S98:AB98)),20),IF(L98="可售建筑面积法",ROUND(SUM('附表4-项目间分摊信息采集表'!$G$5)/SUMPRODUCT(SUMIFS('附表4-项目间分摊信息采集表'!$G:$G,'附表4-项目间分摊信息采集表'!$B:$B,S98:AB98)),20),IF(L98="其他分摊方法",ROUND(SUM('附表4-项目间分摊信息采集表'!$H$5)/SUMPRODUCT(SUMIFS('附表4-项目间分摊信息采集表'!$H:$H,'附表4-项目间分摊信息采集表'!$B:$B,S98:AB98)),20),IF(L98="手工填写分摊比例","请填写分摊比例",100%))))),IF(COUNTA(S98:AB98)&gt;=1,0%,100%)),100%)</f>
        <v>1</v>
      </c>
      <c r="N98" s="94">
        <f>SUMIFS('附表7-扣除项目明细采集底稿'!$R:$R,'附表7-扣除项目明细采集底稿'!$G:$G,B98)</f>
        <v>150743.19</v>
      </c>
      <c r="O98" s="99" t="s">
        <v>3017</v>
      </c>
      <c r="P98" s="101"/>
      <c r="Q98" s="103"/>
      <c r="R98" s="104"/>
      <c r="S98" s="99"/>
      <c r="T98" s="99"/>
      <c r="U98" s="99"/>
      <c r="V98" s="99"/>
      <c r="W98" s="99"/>
      <c r="X98" s="99"/>
      <c r="Y98" s="99"/>
      <c r="Z98" s="99"/>
      <c r="AA98" s="99"/>
      <c r="AB98" s="99"/>
      <c r="AC98" s="94">
        <v>150743.19</v>
      </c>
    </row>
    <row r="99" hidden="1" spans="1:29">
      <c r="A99" s="90">
        <v>95</v>
      </c>
      <c r="B99" s="119" t="s">
        <v>2625</v>
      </c>
      <c r="C99" s="123" t="s">
        <v>3165</v>
      </c>
      <c r="D99" s="107" t="s">
        <v>3019</v>
      </c>
      <c r="E99" s="121" t="s">
        <v>3035</v>
      </c>
      <c r="F99" s="122">
        <v>44273</v>
      </c>
      <c r="G99" s="94">
        <v>562478</v>
      </c>
      <c r="H99" s="94">
        <v>562478</v>
      </c>
      <c r="I99" s="99" t="s">
        <v>332</v>
      </c>
      <c r="J99" s="99" t="s">
        <v>332</v>
      </c>
      <c r="K99" s="99" t="s">
        <v>332</v>
      </c>
      <c r="L99" s="99" t="s">
        <v>311</v>
      </c>
      <c r="M99" s="100">
        <f>IFERROR(IF(COUNTIFS(S99:AB99,清算项目基本情况表!$D$6)&gt;=1,IF(L99="占地面积法",ROUND(SUM('附表4-项目间分摊信息采集表'!$E$5)/SUMPRODUCT(SUMIFS('附表4-项目间分摊信息采集表'!$E:$E,'附表4-项目间分摊信息采集表'!$B:$B,S99:AB99)),20),IF(L99="测绘总建筑面积法",ROUND(SUM('附表4-项目间分摊信息采集表'!$F$5)/SUMPRODUCT(SUMIFS('附表4-项目间分摊信息采集表'!$F:$F,'附表4-项目间分摊信息采集表'!$B:$B,S99:AB99)),20),IF(L99="可售建筑面积法",ROUND(SUM('附表4-项目间分摊信息采集表'!$G$5)/SUMPRODUCT(SUMIFS('附表4-项目间分摊信息采集表'!$G:$G,'附表4-项目间分摊信息采集表'!$B:$B,S99:AB99)),20),IF(L99="其他分摊方法",ROUND(SUM('附表4-项目间分摊信息采集表'!$H$5)/SUMPRODUCT(SUMIFS('附表4-项目间分摊信息采集表'!$H:$H,'附表4-项目间分摊信息采集表'!$B:$B,S99:AB99)),20),IF(L99="手工填写分摊比例","请填写分摊比例",100%))))),IF(COUNTA(S99:AB99)&gt;=1,0%,100%)),100%)</f>
        <v>1</v>
      </c>
      <c r="N99" s="94">
        <f>SUMIFS('附表7-扣除项目明细采集底稿'!$R:$R,'附表7-扣除项目明细采集底稿'!$G:$G,B99)</f>
        <v>497768.14159292</v>
      </c>
      <c r="O99" s="99" t="s">
        <v>3017</v>
      </c>
      <c r="P99" s="101"/>
      <c r="Q99" s="103"/>
      <c r="R99" s="104"/>
      <c r="S99" s="99"/>
      <c r="T99" s="99"/>
      <c r="U99" s="99"/>
      <c r="V99" s="99"/>
      <c r="W99" s="99"/>
      <c r="X99" s="99"/>
      <c r="Y99" s="99"/>
      <c r="Z99" s="99"/>
      <c r="AA99" s="99"/>
      <c r="AB99" s="99"/>
      <c r="AC99" s="94">
        <v>497768.14159292</v>
      </c>
    </row>
    <row r="100" hidden="1" spans="1:29">
      <c r="A100" s="90">
        <v>96</v>
      </c>
      <c r="B100" s="119" t="s">
        <v>2624</v>
      </c>
      <c r="C100" s="123" t="s">
        <v>3166</v>
      </c>
      <c r="D100" s="107" t="s">
        <v>3019</v>
      </c>
      <c r="E100" s="121" t="s">
        <v>3035</v>
      </c>
      <c r="F100" s="122">
        <v>44273</v>
      </c>
      <c r="G100" s="94">
        <v>128824</v>
      </c>
      <c r="H100" s="94">
        <v>128824</v>
      </c>
      <c r="I100" s="99" t="s">
        <v>332</v>
      </c>
      <c r="J100" s="99" t="s">
        <v>332</v>
      </c>
      <c r="K100" s="99" t="s">
        <v>332</v>
      </c>
      <c r="L100" s="99" t="s">
        <v>311</v>
      </c>
      <c r="M100" s="100">
        <f>IFERROR(IF(COUNTIFS(S100:AB100,清算项目基本情况表!$D$6)&gt;=1,IF(L100="占地面积法",ROUND(SUM('附表4-项目间分摊信息采集表'!$E$5)/SUMPRODUCT(SUMIFS('附表4-项目间分摊信息采集表'!$E:$E,'附表4-项目间分摊信息采集表'!$B:$B,S100:AB100)),20),IF(L100="测绘总建筑面积法",ROUND(SUM('附表4-项目间分摊信息采集表'!$F$5)/SUMPRODUCT(SUMIFS('附表4-项目间分摊信息采集表'!$F:$F,'附表4-项目间分摊信息采集表'!$B:$B,S100:AB100)),20),IF(L100="可售建筑面积法",ROUND(SUM('附表4-项目间分摊信息采集表'!$G$5)/SUMPRODUCT(SUMIFS('附表4-项目间分摊信息采集表'!$G:$G,'附表4-项目间分摊信息采集表'!$B:$B,S100:AB100)),20),IF(L100="其他分摊方法",ROUND(SUM('附表4-项目间分摊信息采集表'!$H$5)/SUMPRODUCT(SUMIFS('附表4-项目间分摊信息采集表'!$H:$H,'附表4-项目间分摊信息采集表'!$B:$B,S100:AB100)),20),IF(L100="手工填写分摊比例","请填写分摊比例",100%))))),IF(COUNTA(S100:AB100)&gt;=1,0%,100%)),100%)</f>
        <v>1</v>
      </c>
      <c r="N100" s="94">
        <f>SUMIFS('附表7-扣除项目明细采集底稿'!$R:$R,'附表7-扣除项目明细采集底稿'!$G:$G,B100)</f>
        <v>114003.539823009</v>
      </c>
      <c r="O100" s="99" t="s">
        <v>3017</v>
      </c>
      <c r="P100" s="101"/>
      <c r="Q100" s="103"/>
      <c r="R100" s="104"/>
      <c r="S100" s="99"/>
      <c r="T100" s="99"/>
      <c r="U100" s="99"/>
      <c r="V100" s="99"/>
      <c r="W100" s="99"/>
      <c r="X100" s="99"/>
      <c r="Y100" s="99"/>
      <c r="Z100" s="99"/>
      <c r="AA100" s="99"/>
      <c r="AB100" s="99"/>
      <c r="AC100" s="94">
        <v>114003.539823009</v>
      </c>
    </row>
    <row r="101" hidden="1" spans="1:29">
      <c r="A101" s="90">
        <v>97</v>
      </c>
      <c r="B101" s="119" t="s">
        <v>2588</v>
      </c>
      <c r="C101" s="123" t="s">
        <v>3167</v>
      </c>
      <c r="D101" s="107" t="s">
        <v>3019</v>
      </c>
      <c r="E101" s="121" t="s">
        <v>3168</v>
      </c>
      <c r="F101" s="122">
        <v>44246</v>
      </c>
      <c r="G101" s="94">
        <v>1151780</v>
      </c>
      <c r="H101" s="94">
        <v>1240956</v>
      </c>
      <c r="I101" s="99" t="s">
        <v>332</v>
      </c>
      <c r="J101" s="99" t="s">
        <v>332</v>
      </c>
      <c r="K101" s="99" t="s">
        <v>332</v>
      </c>
      <c r="L101" s="99" t="s">
        <v>311</v>
      </c>
      <c r="M101" s="100">
        <f>IFERROR(IF(COUNTIFS(S101:AB101,清算项目基本情况表!$D$6)&gt;=1,IF(L101="占地面积法",ROUND(SUM('附表4-项目间分摊信息采集表'!$E$5)/SUMPRODUCT(SUMIFS('附表4-项目间分摊信息采集表'!$E:$E,'附表4-项目间分摊信息采集表'!$B:$B,S101:AB101)),20),IF(L101="测绘总建筑面积法",ROUND(SUM('附表4-项目间分摊信息采集表'!$F$5)/SUMPRODUCT(SUMIFS('附表4-项目间分摊信息采集表'!$F:$F,'附表4-项目间分摊信息采集表'!$B:$B,S101:AB101)),20),IF(L101="可售建筑面积法",ROUND(SUM('附表4-项目间分摊信息采集表'!$G$5)/SUMPRODUCT(SUMIFS('附表4-项目间分摊信息采集表'!$G:$G,'附表4-项目间分摊信息采集表'!$B:$B,S101:AB101)),20),IF(L101="其他分摊方法",ROUND(SUM('附表4-项目间分摊信息采集表'!$H$5)/SUMPRODUCT(SUMIFS('附表4-项目间分摊信息采集表'!$H:$H,'附表4-项目间分摊信息采集表'!$B:$B,S101:AB101)),20),IF(L101="手工填写分摊比例","请填写分摊比例",100%))))),IF(COUNTA(S101:AB101)&gt;=1,0%,100%)),100%)</f>
        <v>1</v>
      </c>
      <c r="N101" s="94">
        <f>SUMIFS('附表7-扣除项目明细采集底稿'!$R:$R,'附表7-扣除项目明细采集底稿'!$G:$G,B101)</f>
        <v>1098191.15</v>
      </c>
      <c r="O101" s="99" t="s">
        <v>3017</v>
      </c>
      <c r="P101" s="101"/>
      <c r="Q101" s="103"/>
      <c r="R101" s="104"/>
      <c r="S101" s="99"/>
      <c r="T101" s="99"/>
      <c r="U101" s="99"/>
      <c r="V101" s="99"/>
      <c r="W101" s="99"/>
      <c r="X101" s="99"/>
      <c r="Y101" s="99"/>
      <c r="Z101" s="99"/>
      <c r="AA101" s="99"/>
      <c r="AB101" s="99"/>
      <c r="AC101" s="94">
        <f>H101/1.13</f>
        <v>1098191.15044248</v>
      </c>
    </row>
    <row r="102" hidden="1" spans="1:29">
      <c r="A102" s="90">
        <v>98</v>
      </c>
      <c r="B102" s="119" t="s">
        <v>2782</v>
      </c>
      <c r="C102" s="123" t="s">
        <v>3169</v>
      </c>
      <c r="D102" s="107" t="s">
        <v>3019</v>
      </c>
      <c r="E102" s="120" t="s">
        <v>3168</v>
      </c>
      <c r="F102" s="122">
        <v>44504</v>
      </c>
      <c r="G102" s="94">
        <v>196000</v>
      </c>
      <c r="H102" s="94">
        <v>196000</v>
      </c>
      <c r="I102" s="99" t="s">
        <v>332</v>
      </c>
      <c r="J102" s="99" t="s">
        <v>332</v>
      </c>
      <c r="K102" s="99" t="s">
        <v>332</v>
      </c>
      <c r="L102" s="99" t="s">
        <v>311</v>
      </c>
      <c r="M102" s="100">
        <f>IFERROR(IF(COUNTIFS(S102:AB102,清算项目基本情况表!$D$6)&gt;=1,IF(L102="占地面积法",ROUND(SUM('附表4-项目间分摊信息采集表'!$E$5)/SUMPRODUCT(SUMIFS('附表4-项目间分摊信息采集表'!$E:$E,'附表4-项目间分摊信息采集表'!$B:$B,S102:AB102)),20),IF(L102="测绘总建筑面积法",ROUND(SUM('附表4-项目间分摊信息采集表'!$F$5)/SUMPRODUCT(SUMIFS('附表4-项目间分摊信息采集表'!$F:$F,'附表4-项目间分摊信息采集表'!$B:$B,S102:AB102)),20),IF(L102="可售建筑面积法",ROUND(SUM('附表4-项目间分摊信息采集表'!$G$5)/SUMPRODUCT(SUMIFS('附表4-项目间分摊信息采集表'!$G:$G,'附表4-项目间分摊信息采集表'!$B:$B,S102:AB102)),20),IF(L102="其他分摊方法",ROUND(SUM('附表4-项目间分摊信息采集表'!$H$5)/SUMPRODUCT(SUMIFS('附表4-项目间分摊信息采集表'!$H:$H,'附表4-项目间分摊信息采集表'!$B:$B,S102:AB102)),20),IF(L102="手工填写分摊比例","请填写分摊比例",100%))))),IF(COUNTA(S102:AB102)&gt;=1,0%,100%)),100%)</f>
        <v>1</v>
      </c>
      <c r="N102" s="94">
        <f>SUMIFS('附表7-扣除项目明细采集底稿'!$R:$R,'附表7-扣除项目明细采集底稿'!$G:$G,B102)</f>
        <v>173451.33</v>
      </c>
      <c r="O102" s="99" t="s">
        <v>3017</v>
      </c>
      <c r="P102" s="101"/>
      <c r="Q102" s="103"/>
      <c r="R102" s="104"/>
      <c r="S102" s="99"/>
      <c r="T102" s="99"/>
      <c r="U102" s="99"/>
      <c r="V102" s="99"/>
      <c r="W102" s="99"/>
      <c r="X102" s="99"/>
      <c r="Y102" s="99"/>
      <c r="Z102" s="99"/>
      <c r="AA102" s="99"/>
      <c r="AB102" s="99"/>
      <c r="AC102" s="94">
        <f>H102/1.13</f>
        <v>173451.327433628</v>
      </c>
    </row>
    <row r="103" hidden="1" spans="1:29">
      <c r="A103" s="90">
        <v>99</v>
      </c>
      <c r="B103" s="119" t="s">
        <v>2541</v>
      </c>
      <c r="C103" s="123" t="s">
        <v>3170</v>
      </c>
      <c r="D103" s="92" t="s">
        <v>3024</v>
      </c>
      <c r="E103" s="121" t="s">
        <v>3171</v>
      </c>
      <c r="F103" s="122">
        <v>44025</v>
      </c>
      <c r="G103" s="94">
        <v>29320</v>
      </c>
      <c r="H103" s="94">
        <v>29320</v>
      </c>
      <c r="I103" s="99" t="s">
        <v>332</v>
      </c>
      <c r="J103" s="99" t="s">
        <v>332</v>
      </c>
      <c r="K103" s="99" t="s">
        <v>332</v>
      </c>
      <c r="L103" s="99" t="s">
        <v>311</v>
      </c>
      <c r="M103" s="100">
        <f>IFERROR(IF(COUNTIFS(S103:AB103,清算项目基本情况表!$D$6)&gt;=1,IF(L103="占地面积法",ROUND(SUM('附表4-项目间分摊信息采集表'!$E$5)/SUMPRODUCT(SUMIFS('附表4-项目间分摊信息采集表'!$E:$E,'附表4-项目间分摊信息采集表'!$B:$B,S103:AB103)),20),IF(L103="测绘总建筑面积法",ROUND(SUM('附表4-项目间分摊信息采集表'!$F$5)/SUMPRODUCT(SUMIFS('附表4-项目间分摊信息采集表'!$F:$F,'附表4-项目间分摊信息采集表'!$B:$B,S103:AB103)),20),IF(L103="可售建筑面积法",ROUND(SUM('附表4-项目间分摊信息采集表'!$G$5)/SUMPRODUCT(SUMIFS('附表4-项目间分摊信息采集表'!$G:$G,'附表4-项目间分摊信息采集表'!$B:$B,S103:AB103)),20),IF(L103="其他分摊方法",ROUND(SUM('附表4-项目间分摊信息采集表'!$H$5)/SUMPRODUCT(SUMIFS('附表4-项目间分摊信息采集表'!$H:$H,'附表4-项目间分摊信息采集表'!$B:$B,S103:AB103)),20),IF(L103="手工填写分摊比例","请填写分摊比例",100%))))),IF(COUNTA(S103:AB103)&gt;=1,0%,100%)),100%)</f>
        <v>1</v>
      </c>
      <c r="N103" s="94">
        <f>SUMIFS('附表7-扣除项目明细采集底稿'!$R:$R,'附表7-扣除项目明细采集底稿'!$G:$G,B103)</f>
        <v>0</v>
      </c>
      <c r="O103" s="99" t="s">
        <v>3017</v>
      </c>
      <c r="P103" s="101"/>
      <c r="Q103" s="103"/>
      <c r="R103" s="104"/>
      <c r="S103" s="99"/>
      <c r="T103" s="99"/>
      <c r="U103" s="99"/>
      <c r="V103" s="99"/>
      <c r="W103" s="99"/>
      <c r="X103" s="99"/>
      <c r="Y103" s="99"/>
      <c r="Z103" s="99"/>
      <c r="AA103" s="99"/>
      <c r="AB103" s="99"/>
      <c r="AC103" s="94">
        <f>H103/1.01</f>
        <v>29029.702970297</v>
      </c>
    </row>
    <row r="104" hidden="1" spans="1:29">
      <c r="A104" s="90">
        <v>100</v>
      </c>
      <c r="B104" s="119" t="s">
        <v>2552</v>
      </c>
      <c r="C104" s="123" t="s">
        <v>3172</v>
      </c>
      <c r="D104" s="92" t="s">
        <v>3024</v>
      </c>
      <c r="E104" s="121" t="s">
        <v>3171</v>
      </c>
      <c r="F104" s="122">
        <v>44425</v>
      </c>
      <c r="G104" s="94">
        <v>2511.47831818497</v>
      </c>
      <c r="H104" s="94">
        <v>2511.47831818497</v>
      </c>
      <c r="I104" s="99" t="s">
        <v>332</v>
      </c>
      <c r="J104" s="99" t="s">
        <v>332</v>
      </c>
      <c r="K104" s="99" t="s">
        <v>332</v>
      </c>
      <c r="L104" s="99" t="s">
        <v>311</v>
      </c>
      <c r="M104" s="100">
        <f>IFERROR(IF(COUNTIFS(S104:AB104,清算项目基本情况表!$D$6)&gt;=1,IF(L104="占地面积法",ROUND(SUM('附表4-项目间分摊信息采集表'!$E$5)/SUMPRODUCT(SUMIFS('附表4-项目间分摊信息采集表'!$E:$E,'附表4-项目间分摊信息采集表'!$B:$B,S104:AB104)),20),IF(L104="测绘总建筑面积法",ROUND(SUM('附表4-项目间分摊信息采集表'!$F$5)/SUMPRODUCT(SUMIFS('附表4-项目间分摊信息采集表'!$F:$F,'附表4-项目间分摊信息采集表'!$B:$B,S104:AB104)),20),IF(L104="可售建筑面积法",ROUND(SUM('附表4-项目间分摊信息采集表'!$G$5)/SUMPRODUCT(SUMIFS('附表4-项目间分摊信息采集表'!$G:$G,'附表4-项目间分摊信息采集表'!$B:$B,S104:AB104)),20),IF(L104="其他分摊方法",ROUND(SUM('附表4-项目间分摊信息采集表'!$H$5)/SUMPRODUCT(SUMIFS('附表4-项目间分摊信息采集表'!$H:$H,'附表4-项目间分摊信息采集表'!$B:$B,S104:AB104)),20),IF(L104="手工填写分摊比例","请填写分摊比例",100%))))),IF(COUNTA(S104:AB104)&gt;=1,0%,100%)),100%)</f>
        <v>1</v>
      </c>
      <c r="N104" s="94">
        <f>SUMIFS('附表7-扣除项目明细采集底稿'!$R:$R,'附表7-扣除项目明细采集底稿'!$G:$G,B104)</f>
        <v>0</v>
      </c>
      <c r="O104" s="99" t="s">
        <v>3017</v>
      </c>
      <c r="P104" s="101"/>
      <c r="Q104" s="103"/>
      <c r="R104" s="104"/>
      <c r="S104" s="99"/>
      <c r="T104" s="99"/>
      <c r="U104" s="99"/>
      <c r="V104" s="99"/>
      <c r="W104" s="99"/>
      <c r="X104" s="99"/>
      <c r="Y104" s="99"/>
      <c r="Z104" s="99"/>
      <c r="AA104" s="99"/>
      <c r="AB104" s="99"/>
      <c r="AC104" s="94">
        <f>H104/1.06</f>
        <v>2369.31916809903</v>
      </c>
    </row>
    <row r="105" hidden="1" spans="1:29">
      <c r="A105" s="90">
        <v>101</v>
      </c>
      <c r="B105" s="119" t="s">
        <v>2585</v>
      </c>
      <c r="C105" s="123" t="s">
        <v>3173</v>
      </c>
      <c r="D105" s="107" t="s">
        <v>3015</v>
      </c>
      <c r="E105" s="121" t="s">
        <v>3040</v>
      </c>
      <c r="F105" s="122">
        <v>44283</v>
      </c>
      <c r="G105" s="94">
        <v>2333994.18</v>
      </c>
      <c r="H105" s="94">
        <v>2095158.96</v>
      </c>
      <c r="I105" s="99" t="s">
        <v>332</v>
      </c>
      <c r="J105" s="99" t="s">
        <v>332</v>
      </c>
      <c r="K105" s="99" t="s">
        <v>332</v>
      </c>
      <c r="L105" s="99" t="s">
        <v>311</v>
      </c>
      <c r="M105" s="100">
        <f>IFERROR(IF(COUNTIFS(S105:AB105,清算项目基本情况表!$D$6)&gt;=1,IF(L105="占地面积法",ROUND(SUM('附表4-项目间分摊信息采集表'!$E$5)/SUMPRODUCT(SUMIFS('附表4-项目间分摊信息采集表'!$E:$E,'附表4-项目间分摊信息采集表'!$B:$B,S105:AB105)),20),IF(L105="测绘总建筑面积法",ROUND(SUM('附表4-项目间分摊信息采集表'!$F$5)/SUMPRODUCT(SUMIFS('附表4-项目间分摊信息采集表'!$F:$F,'附表4-项目间分摊信息采集表'!$B:$B,S105:AB105)),20),IF(L105="可售建筑面积法",ROUND(SUM('附表4-项目间分摊信息采集表'!$G$5)/SUMPRODUCT(SUMIFS('附表4-项目间分摊信息采集表'!$G:$G,'附表4-项目间分摊信息采集表'!$B:$B,S105:AB105)),20),IF(L105="其他分摊方法",ROUND(SUM('附表4-项目间分摊信息采集表'!$H$5)/SUMPRODUCT(SUMIFS('附表4-项目间分摊信息采集表'!$H:$H,'附表4-项目间分摊信息采集表'!$B:$B,S105:AB105)),20),IF(L105="手工填写分摊比例","请填写分摊比例",100%))))),IF(COUNTA(S105:AB105)&gt;=1,0%,100%)),100%)</f>
        <v>1</v>
      </c>
      <c r="N105" s="94">
        <f>SUMIFS('附表7-扣除项目明细采集底稿'!$R:$R,'附表7-扣除项目明细采集底稿'!$G:$G,B105)</f>
        <v>1854122.97</v>
      </c>
      <c r="O105" s="99" t="s">
        <v>3017</v>
      </c>
      <c r="P105" s="101"/>
      <c r="Q105" s="103"/>
      <c r="R105" s="104"/>
      <c r="S105" s="99"/>
      <c r="T105" s="99"/>
      <c r="U105" s="99"/>
      <c r="V105" s="99"/>
      <c r="W105" s="99"/>
      <c r="X105" s="99"/>
      <c r="Y105" s="99"/>
      <c r="Z105" s="99"/>
      <c r="AA105" s="99"/>
      <c r="AB105" s="99"/>
      <c r="AC105" s="94">
        <v>1854122.97345133</v>
      </c>
    </row>
    <row r="106" hidden="1" spans="1:29">
      <c r="A106" s="90">
        <v>102</v>
      </c>
      <c r="B106" s="119" t="s">
        <v>2886</v>
      </c>
      <c r="C106" s="123" t="s">
        <v>3174</v>
      </c>
      <c r="D106" s="107" t="s">
        <v>3015</v>
      </c>
      <c r="E106" s="121" t="s">
        <v>3040</v>
      </c>
      <c r="F106" s="123" t="s">
        <v>3175</v>
      </c>
      <c r="G106" s="94">
        <v>140629.114285714</v>
      </c>
      <c r="H106" s="94">
        <v>96325.2</v>
      </c>
      <c r="I106" s="99" t="s">
        <v>332</v>
      </c>
      <c r="J106" s="99" t="s">
        <v>332</v>
      </c>
      <c r="K106" s="99" t="s">
        <v>332</v>
      </c>
      <c r="L106" s="99" t="s">
        <v>311</v>
      </c>
      <c r="M106" s="100">
        <f>IFERROR(IF(COUNTIFS(S106:AB106,清算项目基本情况表!$D$6)&gt;=1,IF(L106="占地面积法",ROUND(SUM('附表4-项目间分摊信息采集表'!$E$5)/SUMPRODUCT(SUMIFS('附表4-项目间分摊信息采集表'!$E:$E,'附表4-项目间分摊信息采集表'!$B:$B,S106:AB106)),20),IF(L106="测绘总建筑面积法",ROUND(SUM('附表4-项目间分摊信息采集表'!$F$5)/SUMPRODUCT(SUMIFS('附表4-项目间分摊信息采集表'!$F:$F,'附表4-项目间分摊信息采集表'!$B:$B,S106:AB106)),20),IF(L106="可售建筑面积法",ROUND(SUM('附表4-项目间分摊信息采集表'!$G$5)/SUMPRODUCT(SUMIFS('附表4-项目间分摊信息采集表'!$G:$G,'附表4-项目间分摊信息采集表'!$B:$B,S106:AB106)),20),IF(L106="其他分摊方法",ROUND(SUM('附表4-项目间分摊信息采集表'!$H$5)/SUMPRODUCT(SUMIFS('附表4-项目间分摊信息采集表'!$H:$H,'附表4-项目间分摊信息采集表'!$B:$B,S106:AB106)),20),IF(L106="手工填写分摊比例","请填写分摊比例",100%))))),IF(COUNTA(S106:AB106)&gt;=1,0%,100%)),100%)</f>
        <v>1</v>
      </c>
      <c r="N106" s="94">
        <f>SUMIFS('附表7-扣除项目明细采集底稿'!$R:$R,'附表7-扣除项目明细采集底稿'!$G:$G,B106)</f>
        <v>85243.54</v>
      </c>
      <c r="O106" s="99" t="s">
        <v>3017</v>
      </c>
      <c r="P106" s="101"/>
      <c r="Q106" s="103"/>
      <c r="R106" s="104"/>
      <c r="S106" s="99"/>
      <c r="T106" s="99"/>
      <c r="U106" s="99"/>
      <c r="V106" s="99"/>
      <c r="W106" s="99"/>
      <c r="X106" s="99"/>
      <c r="Y106" s="99"/>
      <c r="Z106" s="99"/>
      <c r="AA106" s="99"/>
      <c r="AB106" s="99"/>
      <c r="AC106" s="94">
        <v>85243.5398230089</v>
      </c>
    </row>
    <row r="107" hidden="1" spans="1:29">
      <c r="A107" s="90">
        <v>103</v>
      </c>
      <c r="B107" s="119" t="s">
        <v>2692</v>
      </c>
      <c r="C107" s="123" t="s">
        <v>3176</v>
      </c>
      <c r="D107" s="107" t="s">
        <v>3015</v>
      </c>
      <c r="E107" s="121" t="s">
        <v>3040</v>
      </c>
      <c r="F107" s="122">
        <v>44395</v>
      </c>
      <c r="G107" s="94">
        <v>107600</v>
      </c>
      <c r="H107" s="94">
        <v>107600</v>
      </c>
      <c r="I107" s="99" t="s">
        <v>332</v>
      </c>
      <c r="J107" s="99" t="s">
        <v>332</v>
      </c>
      <c r="K107" s="99" t="s">
        <v>332</v>
      </c>
      <c r="L107" s="99" t="s">
        <v>311</v>
      </c>
      <c r="M107" s="100">
        <f>IFERROR(IF(COUNTIFS(S107:AB107,清算项目基本情况表!$D$6)&gt;=1,IF(L107="占地面积法",ROUND(SUM('附表4-项目间分摊信息采集表'!$E$5)/SUMPRODUCT(SUMIFS('附表4-项目间分摊信息采集表'!$E:$E,'附表4-项目间分摊信息采集表'!$B:$B,S107:AB107)),20),IF(L107="测绘总建筑面积法",ROUND(SUM('附表4-项目间分摊信息采集表'!$F$5)/SUMPRODUCT(SUMIFS('附表4-项目间分摊信息采集表'!$F:$F,'附表4-项目间分摊信息采集表'!$B:$B,S107:AB107)),20),IF(L107="可售建筑面积法",ROUND(SUM('附表4-项目间分摊信息采集表'!$G$5)/SUMPRODUCT(SUMIFS('附表4-项目间分摊信息采集表'!$G:$G,'附表4-项目间分摊信息采集表'!$B:$B,S107:AB107)),20),IF(L107="其他分摊方法",ROUND(SUM('附表4-项目间分摊信息采集表'!$H$5)/SUMPRODUCT(SUMIFS('附表4-项目间分摊信息采集表'!$H:$H,'附表4-项目间分摊信息采集表'!$B:$B,S107:AB107)),20),IF(L107="手工填写分摊比例","请填写分摊比例",100%))))),IF(COUNTA(S107:AB107)&gt;=1,0%,100%)),100%)</f>
        <v>1</v>
      </c>
      <c r="N107" s="94">
        <f>SUMIFS('附表7-扣除项目明细采集底稿'!$R:$R,'附表7-扣除项目明细采集底稿'!$G:$G,B107)</f>
        <v>96269.55</v>
      </c>
      <c r="O107" s="99" t="s">
        <v>3017</v>
      </c>
      <c r="P107" s="101"/>
      <c r="Q107" s="103"/>
      <c r="R107" s="104"/>
      <c r="S107" s="99"/>
      <c r="T107" s="99"/>
      <c r="U107" s="99"/>
      <c r="V107" s="99"/>
      <c r="W107" s="99"/>
      <c r="X107" s="99"/>
      <c r="Y107" s="99"/>
      <c r="Z107" s="99"/>
      <c r="AA107" s="99"/>
      <c r="AB107" s="99"/>
      <c r="AC107" s="94">
        <v>98715.5963302752</v>
      </c>
    </row>
    <row r="108" s="81" customFormat="1" hidden="1" spans="1:29">
      <c r="A108" s="90">
        <v>104</v>
      </c>
      <c r="B108" s="119" t="s">
        <v>2849</v>
      </c>
      <c r="C108" s="123" t="s">
        <v>3177</v>
      </c>
      <c r="D108" s="107" t="s">
        <v>3015</v>
      </c>
      <c r="E108" s="121" t="s">
        <v>3069</v>
      </c>
      <c r="F108" s="122">
        <v>44271</v>
      </c>
      <c r="G108" s="94">
        <v>443029.18</v>
      </c>
      <c r="H108" s="94">
        <v>443029.18</v>
      </c>
      <c r="I108" s="99" t="s">
        <v>332</v>
      </c>
      <c r="J108" s="99" t="s">
        <v>332</v>
      </c>
      <c r="K108" s="99" t="s">
        <v>332</v>
      </c>
      <c r="L108" s="99" t="s">
        <v>311</v>
      </c>
      <c r="M108" s="100">
        <f>IFERROR(IF(COUNTIFS(S108:AB108,清算项目基本情况表!$D$6)&gt;=1,IF(L108="占地面积法",ROUND(SUM('附表4-项目间分摊信息采集表'!$E$5)/SUMPRODUCT(SUMIFS('附表4-项目间分摊信息采集表'!$E:$E,'附表4-项目间分摊信息采集表'!$B:$B,S108:AB108)),20),IF(L108="测绘总建筑面积法",ROUND(SUM('附表4-项目间分摊信息采集表'!$F$5)/SUMPRODUCT(SUMIFS('附表4-项目间分摊信息采集表'!$F:$F,'附表4-项目间分摊信息采集表'!$B:$B,S108:AB108)),20),IF(L108="可售建筑面积法",ROUND(SUM('附表4-项目间分摊信息采集表'!$G$5)/SUMPRODUCT(SUMIFS('附表4-项目间分摊信息采集表'!$G:$G,'附表4-项目间分摊信息采集表'!$B:$B,S108:AB108)),20),IF(L108="其他分摊方法",ROUND(SUM('附表4-项目间分摊信息采集表'!$H$5)/SUMPRODUCT(SUMIFS('附表4-项目间分摊信息采集表'!$H:$H,'附表4-项目间分摊信息采集表'!$B:$B,S108:AB108)),20),IF(L108="手工填写分摊比例","请填写分摊比例",100%))))),IF(COUNTA(S108:AB108)&gt;=1,0%,100%)),100%)</f>
        <v>1</v>
      </c>
      <c r="N108" s="94">
        <f>SUMIFS('附表7-扣除项目明细采集底稿'!$R:$R,'附表7-扣除项目明细采集底稿'!$G:$G,B108)</f>
        <v>406448.79</v>
      </c>
      <c r="O108" s="99" t="s">
        <v>3017</v>
      </c>
      <c r="P108" s="101"/>
      <c r="Q108" s="103"/>
      <c r="R108" s="104"/>
      <c r="S108" s="99"/>
      <c r="T108" s="99"/>
      <c r="U108" s="99"/>
      <c r="V108" s="99"/>
      <c r="W108" s="99"/>
      <c r="X108" s="99"/>
      <c r="Y108" s="99"/>
      <c r="Z108" s="99"/>
      <c r="AA108" s="99"/>
      <c r="AB108" s="99"/>
      <c r="AC108" s="94">
        <f>H108/1.09</f>
        <v>406448.788990826</v>
      </c>
    </row>
    <row r="109" hidden="1" spans="1:29">
      <c r="A109" s="90">
        <v>105</v>
      </c>
      <c r="B109" s="119" t="s">
        <v>2611</v>
      </c>
      <c r="C109" s="123" t="s">
        <v>3178</v>
      </c>
      <c r="D109" s="107" t="s">
        <v>3015</v>
      </c>
      <c r="E109" s="121" t="s">
        <v>3069</v>
      </c>
      <c r="F109" s="122">
        <v>44271</v>
      </c>
      <c r="G109" s="94">
        <v>3093537.83</v>
      </c>
      <c r="H109" s="94">
        <v>3093537.83</v>
      </c>
      <c r="I109" s="99" t="s">
        <v>332</v>
      </c>
      <c r="J109" s="99" t="s">
        <v>332</v>
      </c>
      <c r="K109" s="99" t="s">
        <v>332</v>
      </c>
      <c r="L109" s="99" t="s">
        <v>311</v>
      </c>
      <c r="M109" s="100">
        <f>IFERROR(IF(COUNTIFS(S109:AB109,清算项目基本情况表!$D$6)&gt;=1,IF(L109="占地面积法",ROUND(SUM('附表4-项目间分摊信息采集表'!$E$5)/SUMPRODUCT(SUMIFS('附表4-项目间分摊信息采集表'!$E:$E,'附表4-项目间分摊信息采集表'!$B:$B,S109:AB109)),20),IF(L109="测绘总建筑面积法",ROUND(SUM('附表4-项目间分摊信息采集表'!$F$5)/SUMPRODUCT(SUMIFS('附表4-项目间分摊信息采集表'!$F:$F,'附表4-项目间分摊信息采集表'!$B:$B,S109:AB109)),20),IF(L109="可售建筑面积法",ROUND(SUM('附表4-项目间分摊信息采集表'!$G$5)/SUMPRODUCT(SUMIFS('附表4-项目间分摊信息采集表'!$G:$G,'附表4-项目间分摊信息采集表'!$B:$B,S109:AB109)),20),IF(L109="其他分摊方法",ROUND(SUM('附表4-项目间分摊信息采集表'!$H$5)/SUMPRODUCT(SUMIFS('附表4-项目间分摊信息采集表'!$H:$H,'附表4-项目间分摊信息采集表'!$B:$B,S109:AB109)),20),IF(L109="手工填写分摊比例","请填写分摊比例",100%))))),IF(COUNTA(S109:AB109)&gt;=1,0%,100%)),100%)</f>
        <v>1</v>
      </c>
      <c r="N109" s="94">
        <f>SUMIFS('附表7-扣除项目明细采集底稿'!$R:$R,'附表7-扣除项目明细采集底稿'!$G:$G,B109)</f>
        <v>2838108.10091743</v>
      </c>
      <c r="O109" s="99" t="s">
        <v>3017</v>
      </c>
      <c r="P109" s="101"/>
      <c r="Q109" s="103"/>
      <c r="R109" s="104"/>
      <c r="S109" s="99"/>
      <c r="T109" s="99"/>
      <c r="U109" s="99"/>
      <c r="V109" s="99"/>
      <c r="W109" s="99"/>
      <c r="X109" s="99"/>
      <c r="Y109" s="99"/>
      <c r="Z109" s="99"/>
      <c r="AA109" s="99"/>
      <c r="AB109" s="99"/>
      <c r="AC109" s="94">
        <f>H109/1.09</f>
        <v>2838108.10091743</v>
      </c>
    </row>
    <row r="110" hidden="1" spans="1:29">
      <c r="A110" s="90">
        <v>106</v>
      </c>
      <c r="B110" s="119" t="s">
        <v>2528</v>
      </c>
      <c r="C110" s="123" t="s">
        <v>3112</v>
      </c>
      <c r="D110" s="92" t="s">
        <v>3024</v>
      </c>
      <c r="E110" s="121" t="s">
        <v>3179</v>
      </c>
      <c r="F110" s="122">
        <v>43920</v>
      </c>
      <c r="G110" s="94">
        <v>423200</v>
      </c>
      <c r="H110" s="94">
        <v>423200</v>
      </c>
      <c r="I110" s="99" t="s">
        <v>332</v>
      </c>
      <c r="J110" s="99" t="s">
        <v>332</v>
      </c>
      <c r="K110" s="99" t="s">
        <v>332</v>
      </c>
      <c r="L110" s="99" t="s">
        <v>311</v>
      </c>
      <c r="M110" s="100">
        <f>IFERROR(IF(COUNTIFS(S110:AB110,清算项目基本情况表!$D$6)&gt;=1,IF(L110="占地面积法",ROUND(SUM('附表4-项目间分摊信息采集表'!$E$5)/SUMPRODUCT(SUMIFS('附表4-项目间分摊信息采集表'!$E:$E,'附表4-项目间分摊信息采集表'!$B:$B,S110:AB110)),20),IF(L110="测绘总建筑面积法",ROUND(SUM('附表4-项目间分摊信息采集表'!$F$5)/SUMPRODUCT(SUMIFS('附表4-项目间分摊信息采集表'!$F:$F,'附表4-项目间分摊信息采集表'!$B:$B,S110:AB110)),20),IF(L110="可售建筑面积法",ROUND(SUM('附表4-项目间分摊信息采集表'!$G$5)/SUMPRODUCT(SUMIFS('附表4-项目间分摊信息采集表'!$G:$G,'附表4-项目间分摊信息采集表'!$B:$B,S110:AB110)),20),IF(L110="其他分摊方法",ROUND(SUM('附表4-项目间分摊信息采集表'!$H$5)/SUMPRODUCT(SUMIFS('附表4-项目间分摊信息采集表'!$H:$H,'附表4-项目间分摊信息采集表'!$B:$B,S110:AB110)),20),IF(L110="手工填写分摊比例","请填写分摊比例",100%))))),IF(COUNTA(S110:AB110)&gt;=1,0%,100%)),100%)</f>
        <v>1</v>
      </c>
      <c r="N110" s="94">
        <f>SUMIFS('附表7-扣除项目明细采集底稿'!$R:$R,'附表7-扣除项目明细采集底稿'!$G:$G,B110)</f>
        <v>418196.29</v>
      </c>
      <c r="O110" s="99" t="s">
        <v>3017</v>
      </c>
      <c r="P110" s="101"/>
      <c r="Q110" s="103"/>
      <c r="R110" s="104"/>
      <c r="S110" s="99"/>
      <c r="T110" s="99"/>
      <c r="U110" s="99"/>
      <c r="V110" s="99"/>
      <c r="W110" s="99"/>
      <c r="X110" s="99"/>
      <c r="Y110" s="99"/>
      <c r="Z110" s="99"/>
      <c r="AA110" s="99"/>
      <c r="AB110" s="99"/>
      <c r="AC110" s="94">
        <v>419009.900990099</v>
      </c>
    </row>
    <row r="111" hidden="1" spans="1:29">
      <c r="A111" s="90">
        <v>107</v>
      </c>
      <c r="B111" s="119" t="s">
        <v>2665</v>
      </c>
      <c r="C111" s="123" t="s">
        <v>3159</v>
      </c>
      <c r="D111" s="107" t="s">
        <v>3015</v>
      </c>
      <c r="E111" s="121" t="s">
        <v>3180</v>
      </c>
      <c r="F111" s="122">
        <v>44271</v>
      </c>
      <c r="G111" s="94">
        <v>350312</v>
      </c>
      <c r="H111" s="94">
        <v>350312</v>
      </c>
      <c r="I111" s="99" t="s">
        <v>332</v>
      </c>
      <c r="J111" s="99" t="s">
        <v>332</v>
      </c>
      <c r="K111" s="99" t="s">
        <v>332</v>
      </c>
      <c r="L111" s="99" t="s">
        <v>311</v>
      </c>
      <c r="M111" s="100">
        <f>IFERROR(IF(COUNTIFS(S111:AB111,清算项目基本情况表!$D$6)&gt;=1,IF(L111="占地面积法",ROUND(SUM('附表4-项目间分摊信息采集表'!$E$5)/SUMPRODUCT(SUMIFS('附表4-项目间分摊信息采集表'!$E:$E,'附表4-项目间分摊信息采集表'!$B:$B,S111:AB111)),20),IF(L111="测绘总建筑面积法",ROUND(SUM('附表4-项目间分摊信息采集表'!$F$5)/SUMPRODUCT(SUMIFS('附表4-项目间分摊信息采集表'!$F:$F,'附表4-项目间分摊信息采集表'!$B:$B,S111:AB111)),20),IF(L111="可售建筑面积法",ROUND(SUM('附表4-项目间分摊信息采集表'!$G$5)/SUMPRODUCT(SUMIFS('附表4-项目间分摊信息采集表'!$G:$G,'附表4-项目间分摊信息采集表'!$B:$B,S111:AB111)),20),IF(L111="其他分摊方法",ROUND(SUM('附表4-项目间分摊信息采集表'!$H$5)/SUMPRODUCT(SUMIFS('附表4-项目间分摊信息采集表'!$H:$H,'附表4-项目间分摊信息采集表'!$B:$B,S111:AB111)),20),IF(L111="手工填写分摊比例","请填写分摊比例",100%))))),IF(COUNTA(S111:AB111)&gt;=1,0%,100%)),100%)</f>
        <v>1</v>
      </c>
      <c r="N111" s="94">
        <f>SUMIFS('附表7-扣除项目明细采集底稿'!$R:$R,'附表7-扣除项目明细采集底稿'!$G:$G,B111)</f>
        <v>310010.62</v>
      </c>
      <c r="O111" s="99" t="s">
        <v>3017</v>
      </c>
      <c r="P111" s="101"/>
      <c r="Q111" s="103"/>
      <c r="R111" s="104"/>
      <c r="S111" s="99"/>
      <c r="T111" s="99"/>
      <c r="U111" s="99"/>
      <c r="V111" s="99"/>
      <c r="W111" s="99"/>
      <c r="X111" s="99"/>
      <c r="Y111" s="99"/>
      <c r="Z111" s="99"/>
      <c r="AA111" s="99"/>
      <c r="AB111" s="99"/>
      <c r="AC111" s="94">
        <v>310010.619469027</v>
      </c>
    </row>
    <row r="112" hidden="1" spans="1:29">
      <c r="A112" s="90">
        <v>108</v>
      </c>
      <c r="B112" s="119" t="s">
        <v>2796</v>
      </c>
      <c r="C112" s="123" t="s">
        <v>3181</v>
      </c>
      <c r="D112" s="107" t="s">
        <v>3015</v>
      </c>
      <c r="E112" s="121" t="s">
        <v>3180</v>
      </c>
      <c r="F112" s="122">
        <v>44271</v>
      </c>
      <c r="G112" s="94">
        <v>33568</v>
      </c>
      <c r="H112" s="94">
        <v>33568</v>
      </c>
      <c r="I112" s="99" t="s">
        <v>332</v>
      </c>
      <c r="J112" s="99" t="s">
        <v>332</v>
      </c>
      <c r="K112" s="99" t="s">
        <v>332</v>
      </c>
      <c r="L112" s="99" t="s">
        <v>311</v>
      </c>
      <c r="M112" s="100">
        <f>IFERROR(IF(COUNTIFS(S112:AB112,清算项目基本情况表!$D$6)&gt;=1,IF(L112="占地面积法",ROUND(SUM('附表4-项目间分摊信息采集表'!$E$5)/SUMPRODUCT(SUMIFS('附表4-项目间分摊信息采集表'!$E:$E,'附表4-项目间分摊信息采集表'!$B:$B,S112:AB112)),20),IF(L112="测绘总建筑面积法",ROUND(SUM('附表4-项目间分摊信息采集表'!$F$5)/SUMPRODUCT(SUMIFS('附表4-项目间分摊信息采集表'!$F:$F,'附表4-项目间分摊信息采集表'!$B:$B,S112:AB112)),20),IF(L112="可售建筑面积法",ROUND(SUM('附表4-项目间分摊信息采集表'!$G$5)/SUMPRODUCT(SUMIFS('附表4-项目间分摊信息采集表'!$G:$G,'附表4-项目间分摊信息采集表'!$B:$B,S112:AB112)),20),IF(L112="其他分摊方法",ROUND(SUM('附表4-项目间分摊信息采集表'!$H$5)/SUMPRODUCT(SUMIFS('附表4-项目间分摊信息采集表'!$H:$H,'附表4-项目间分摊信息采集表'!$B:$B,S112:AB112)),20),IF(L112="手工填写分摊比例","请填写分摊比例",100%))))),IF(COUNTA(S112:AB112)&gt;=1,0%,100%)),100%)</f>
        <v>1</v>
      </c>
      <c r="N112" s="94">
        <f>SUMIFS('附表7-扣除项目明细采集底稿'!$R:$R,'附表7-扣除项目明细采集底稿'!$G:$G,B112)</f>
        <v>29706.1904424779</v>
      </c>
      <c r="O112" s="99" t="s">
        <v>3017</v>
      </c>
      <c r="P112" s="101"/>
      <c r="Q112" s="103"/>
      <c r="R112" s="104"/>
      <c r="S112" s="99"/>
      <c r="T112" s="99"/>
      <c r="U112" s="99"/>
      <c r="V112" s="99"/>
      <c r="W112" s="99"/>
      <c r="X112" s="99"/>
      <c r="Y112" s="99"/>
      <c r="Z112" s="99"/>
      <c r="AA112" s="99"/>
      <c r="AB112" s="99"/>
      <c r="AC112" s="94">
        <v>29706.1946902655</v>
      </c>
    </row>
    <row r="113" hidden="1" spans="1:29">
      <c r="A113" s="90">
        <v>109</v>
      </c>
      <c r="B113" s="119" t="s">
        <v>2593</v>
      </c>
      <c r="C113" s="123" t="s">
        <v>3182</v>
      </c>
      <c r="D113" s="107" t="s">
        <v>3015</v>
      </c>
      <c r="E113" s="121" t="s">
        <v>3183</v>
      </c>
      <c r="F113" s="122">
        <v>44286</v>
      </c>
      <c r="G113" s="94">
        <v>4000000</v>
      </c>
      <c r="H113" s="94">
        <v>4031000</v>
      </c>
      <c r="I113" s="99" t="s">
        <v>332</v>
      </c>
      <c r="J113" s="99" t="s">
        <v>332</v>
      </c>
      <c r="K113" s="99" t="s">
        <v>332</v>
      </c>
      <c r="L113" s="99" t="s">
        <v>311</v>
      </c>
      <c r="M113" s="100">
        <f>IFERROR(IF(COUNTIFS(S113:AB113,清算项目基本情况表!$D$6)&gt;=1,IF(L113="占地面积法",ROUND(SUM('附表4-项目间分摊信息采集表'!$E$5)/SUMPRODUCT(SUMIFS('附表4-项目间分摊信息采集表'!$E:$E,'附表4-项目间分摊信息采集表'!$B:$B,S113:AB113)),20),IF(L113="测绘总建筑面积法",ROUND(SUM('附表4-项目间分摊信息采集表'!$F$5)/SUMPRODUCT(SUMIFS('附表4-项目间分摊信息采集表'!$F:$F,'附表4-项目间分摊信息采集表'!$B:$B,S113:AB113)),20),IF(L113="可售建筑面积法",ROUND(SUM('附表4-项目间分摊信息采集表'!$G$5)/SUMPRODUCT(SUMIFS('附表4-项目间分摊信息采集表'!$G:$G,'附表4-项目间分摊信息采集表'!$B:$B,S113:AB113)),20),IF(L113="其他分摊方法",ROUND(SUM('附表4-项目间分摊信息采集表'!$H$5)/SUMPRODUCT(SUMIFS('附表4-项目间分摊信息采集表'!$H:$H,'附表4-项目间分摊信息采集表'!$B:$B,S113:AB113)),20),IF(L113="手工填写分摊比例","请填写分摊比例",100%))))),IF(COUNTA(S113:AB113)&gt;=1,0%,100%)),100%)</f>
        <v>1</v>
      </c>
      <c r="N113" s="94">
        <f>SUMIFS('附表7-扣除项目明细采集底稿'!$R:$R,'附表7-扣除项目明细采集底稿'!$G:$G,B113)</f>
        <v>0</v>
      </c>
      <c r="O113" s="99" t="s">
        <v>3017</v>
      </c>
      <c r="P113" s="101"/>
      <c r="Q113" s="103"/>
      <c r="R113" s="104"/>
      <c r="S113" s="99"/>
      <c r="T113" s="99"/>
      <c r="U113" s="99"/>
      <c r="V113" s="99"/>
      <c r="W113" s="99"/>
      <c r="X113" s="99"/>
      <c r="Y113" s="99"/>
      <c r="Z113" s="99"/>
      <c r="AA113" s="99"/>
      <c r="AB113" s="99"/>
      <c r="AC113" s="94">
        <v>3915403.67</v>
      </c>
    </row>
    <row r="114" hidden="1" spans="1:29">
      <c r="A114" s="90">
        <v>110</v>
      </c>
      <c r="B114" s="119" t="s">
        <v>2741</v>
      </c>
      <c r="C114" s="123" t="s">
        <v>3184</v>
      </c>
      <c r="D114" s="107" t="s">
        <v>3015</v>
      </c>
      <c r="E114" s="121" t="s">
        <v>3183</v>
      </c>
      <c r="F114" s="122">
        <v>44296</v>
      </c>
      <c r="G114" s="94">
        <v>3160000</v>
      </c>
      <c r="H114" s="94">
        <v>3160000</v>
      </c>
      <c r="I114" s="99" t="s">
        <v>332</v>
      </c>
      <c r="J114" s="99" t="s">
        <v>332</v>
      </c>
      <c r="K114" s="99" t="s">
        <v>332</v>
      </c>
      <c r="L114" s="99" t="s">
        <v>311</v>
      </c>
      <c r="M114" s="100">
        <f>IFERROR(IF(COUNTIFS(S114:AB114,清算项目基本情况表!$D$6)&gt;=1,IF(L114="占地面积法",ROUND(SUM('附表4-项目间分摊信息采集表'!$E$5)/SUMPRODUCT(SUMIFS('附表4-项目间分摊信息采集表'!$E:$E,'附表4-项目间分摊信息采集表'!$B:$B,S114:AB114)),20),IF(L114="测绘总建筑面积法",ROUND(SUM('附表4-项目间分摊信息采集表'!$F$5)/SUMPRODUCT(SUMIFS('附表4-项目间分摊信息采集表'!$F:$F,'附表4-项目间分摊信息采集表'!$B:$B,S114:AB114)),20),IF(L114="可售建筑面积法",ROUND(SUM('附表4-项目间分摊信息采集表'!$G$5)/SUMPRODUCT(SUMIFS('附表4-项目间分摊信息采集表'!$G:$G,'附表4-项目间分摊信息采集表'!$B:$B,S114:AB114)),20),IF(L114="其他分摊方法",ROUND(SUM('附表4-项目间分摊信息采集表'!$H$5)/SUMPRODUCT(SUMIFS('附表4-项目间分摊信息采集表'!$H:$H,'附表4-项目间分摊信息采集表'!$B:$B,S114:AB114)),20),IF(L114="手工填写分摊比例","请填写分摊比例",100%))))),IF(COUNTA(S114:AB114)&gt;=1,0%,100%)),100%)</f>
        <v>1</v>
      </c>
      <c r="N114" s="94">
        <f>SUMIFS('附表7-扣除项目明细采集底稿'!$R:$R,'附表7-扣除项目明细采集底稿'!$G:$G,B114)</f>
        <v>3117274.94</v>
      </c>
      <c r="O114" s="99" t="s">
        <v>3017</v>
      </c>
      <c r="P114" s="101"/>
      <c r="Q114" s="103"/>
      <c r="R114" s="104"/>
      <c r="S114" s="99"/>
      <c r="T114" s="99"/>
      <c r="U114" s="99"/>
      <c r="V114" s="99"/>
      <c r="W114" s="99"/>
      <c r="X114" s="99"/>
      <c r="Y114" s="99"/>
      <c r="Z114" s="99"/>
      <c r="AA114" s="99"/>
      <c r="AB114" s="99"/>
      <c r="AC114" s="94">
        <v>3117274.94</v>
      </c>
    </row>
    <row r="115" hidden="1" spans="1:29">
      <c r="A115" s="90">
        <v>111</v>
      </c>
      <c r="B115" s="119" t="s">
        <v>2569</v>
      </c>
      <c r="C115" s="123" t="s">
        <v>3185</v>
      </c>
      <c r="D115" s="92" t="s">
        <v>3024</v>
      </c>
      <c r="E115" s="121" t="s">
        <v>3186</v>
      </c>
      <c r="F115" s="122">
        <v>44246</v>
      </c>
      <c r="G115" s="94">
        <v>2532043.2</v>
      </c>
      <c r="H115" s="94">
        <v>2275245.04</v>
      </c>
      <c r="I115" s="99" t="s">
        <v>332</v>
      </c>
      <c r="J115" s="99" t="s">
        <v>332</v>
      </c>
      <c r="K115" s="99" t="s">
        <v>332</v>
      </c>
      <c r="L115" s="99" t="s">
        <v>311</v>
      </c>
      <c r="M115" s="100">
        <f>IFERROR(IF(COUNTIFS(S115:AB115,清算项目基本情况表!$D$6)&gt;=1,IF(L115="占地面积法",ROUND(SUM('附表4-项目间分摊信息采集表'!$E$5)/SUMPRODUCT(SUMIFS('附表4-项目间分摊信息采集表'!$E:$E,'附表4-项目间分摊信息采集表'!$B:$B,S115:AB115)),20),IF(L115="测绘总建筑面积法",ROUND(SUM('附表4-项目间分摊信息采集表'!$F$5)/SUMPRODUCT(SUMIFS('附表4-项目间分摊信息采集表'!$F:$F,'附表4-项目间分摊信息采集表'!$B:$B,S115:AB115)),20),IF(L115="可售建筑面积法",ROUND(SUM('附表4-项目间分摊信息采集表'!$G$5)/SUMPRODUCT(SUMIFS('附表4-项目间分摊信息采集表'!$G:$G,'附表4-项目间分摊信息采集表'!$B:$B,S115:AB115)),20),IF(L115="其他分摊方法",ROUND(SUM('附表4-项目间分摊信息采集表'!$H$5)/SUMPRODUCT(SUMIFS('附表4-项目间分摊信息采集表'!$H:$H,'附表4-项目间分摊信息采集表'!$B:$B,S115:AB115)),20),IF(L115="手工填写分摊比例","请填写分摊比例",100%))))),IF(COUNTA(S115:AB115)&gt;=1,0%,100%)),100%)</f>
        <v>1</v>
      </c>
      <c r="N115" s="94">
        <f>SUMIFS('附表7-扣除项目明细采集底稿'!$R:$R,'附表7-扣除项目明细采集底稿'!$G:$G,B115)</f>
        <v>2013491.18584071</v>
      </c>
      <c r="O115" s="99" t="s">
        <v>3017</v>
      </c>
      <c r="P115" s="101"/>
      <c r="Q115" s="103"/>
      <c r="R115" s="104"/>
      <c r="S115" s="99"/>
      <c r="T115" s="99"/>
      <c r="U115" s="99"/>
      <c r="V115" s="99"/>
      <c r="W115" s="99"/>
      <c r="X115" s="99"/>
      <c r="Y115" s="99"/>
      <c r="Z115" s="99"/>
      <c r="AA115" s="99"/>
      <c r="AB115" s="99"/>
      <c r="AC115" s="94">
        <v>2013491.18584071</v>
      </c>
    </row>
    <row r="116" hidden="1" spans="1:29">
      <c r="A116" s="90">
        <v>112</v>
      </c>
      <c r="B116" s="119" t="s">
        <v>2769</v>
      </c>
      <c r="C116" s="123" t="s">
        <v>3187</v>
      </c>
      <c r="D116" s="107" t="s">
        <v>3015</v>
      </c>
      <c r="E116" s="121" t="s">
        <v>3186</v>
      </c>
      <c r="F116" s="122">
        <v>44498</v>
      </c>
      <c r="G116" s="94">
        <v>188520.58</v>
      </c>
      <c r="H116" s="94">
        <v>349129.72</v>
      </c>
      <c r="I116" s="99" t="s">
        <v>332</v>
      </c>
      <c r="J116" s="99" t="s">
        <v>332</v>
      </c>
      <c r="K116" s="99" t="s">
        <v>332</v>
      </c>
      <c r="L116" s="99" t="s">
        <v>311</v>
      </c>
      <c r="M116" s="100">
        <f>IFERROR(IF(COUNTIFS(S116:AB116,清算项目基本情况表!$D$6)&gt;=1,IF(L116="占地面积法",ROUND(SUM('附表4-项目间分摊信息采集表'!$E$5)/SUMPRODUCT(SUMIFS('附表4-项目间分摊信息采集表'!$E:$E,'附表4-项目间分摊信息采集表'!$B:$B,S116:AB116)),20),IF(L116="测绘总建筑面积法",ROUND(SUM('附表4-项目间分摊信息采集表'!$F$5)/SUMPRODUCT(SUMIFS('附表4-项目间分摊信息采集表'!$F:$F,'附表4-项目间分摊信息采集表'!$B:$B,S116:AB116)),20),IF(L116="可售建筑面积法",ROUND(SUM('附表4-项目间分摊信息采集表'!$G$5)/SUMPRODUCT(SUMIFS('附表4-项目间分摊信息采集表'!$G:$G,'附表4-项目间分摊信息采集表'!$B:$B,S116:AB116)),20),IF(L116="其他分摊方法",ROUND(SUM('附表4-项目间分摊信息采集表'!$H$5)/SUMPRODUCT(SUMIFS('附表4-项目间分摊信息采集表'!$H:$H,'附表4-项目间分摊信息采集表'!$B:$B,S116:AB116)),20),IF(L116="手工填写分摊比例","请填写分摊比例",100%))))),IF(COUNTA(S116:AB116)&gt;=1,0%,100%)),100%)</f>
        <v>1</v>
      </c>
      <c r="N116" s="94">
        <f>SUMIFS('附表7-扣除项目明细采集底稿'!$R:$R,'附表7-扣除项目明细采集底稿'!$G:$G,B116)</f>
        <v>308964.44415929</v>
      </c>
      <c r="O116" s="99" t="s">
        <v>3017</v>
      </c>
      <c r="P116" s="101"/>
      <c r="Q116" s="103"/>
      <c r="R116" s="104"/>
      <c r="S116" s="99"/>
      <c r="T116" s="99"/>
      <c r="U116" s="99"/>
      <c r="V116" s="99"/>
      <c r="W116" s="99"/>
      <c r="X116" s="99"/>
      <c r="Y116" s="99"/>
      <c r="Z116" s="99"/>
      <c r="AA116" s="99"/>
      <c r="AB116" s="99"/>
      <c r="AC116" s="94">
        <v>308964.353982301</v>
      </c>
    </row>
    <row r="117" hidden="1" spans="1:29">
      <c r="A117" s="90">
        <v>113</v>
      </c>
      <c r="B117" s="119" t="s">
        <v>2641</v>
      </c>
      <c r="C117" s="123" t="s">
        <v>3188</v>
      </c>
      <c r="D117" s="107" t="s">
        <v>3015</v>
      </c>
      <c r="E117" s="121" t="s">
        <v>3066</v>
      </c>
      <c r="F117" s="122">
        <v>44309</v>
      </c>
      <c r="G117" s="94">
        <v>88176</v>
      </c>
      <c r="H117" s="94">
        <v>88176</v>
      </c>
      <c r="I117" s="99" t="s">
        <v>332</v>
      </c>
      <c r="J117" s="99" t="s">
        <v>332</v>
      </c>
      <c r="K117" s="99" t="s">
        <v>332</v>
      </c>
      <c r="L117" s="99" t="s">
        <v>311</v>
      </c>
      <c r="M117" s="100">
        <f>IFERROR(IF(COUNTIFS(S117:AB117,清算项目基本情况表!$D$6)&gt;=1,IF(L117="占地面积法",ROUND(SUM('附表4-项目间分摊信息采集表'!$E$5)/SUMPRODUCT(SUMIFS('附表4-项目间分摊信息采集表'!$E:$E,'附表4-项目间分摊信息采集表'!$B:$B,S117:AB117)),20),IF(L117="测绘总建筑面积法",ROUND(SUM('附表4-项目间分摊信息采集表'!$F$5)/SUMPRODUCT(SUMIFS('附表4-项目间分摊信息采集表'!$F:$F,'附表4-项目间分摊信息采集表'!$B:$B,S117:AB117)),20),IF(L117="可售建筑面积法",ROUND(SUM('附表4-项目间分摊信息采集表'!$G$5)/SUMPRODUCT(SUMIFS('附表4-项目间分摊信息采集表'!$G:$G,'附表4-项目间分摊信息采集表'!$B:$B,S117:AB117)),20),IF(L117="其他分摊方法",ROUND(SUM('附表4-项目间分摊信息采集表'!$H$5)/SUMPRODUCT(SUMIFS('附表4-项目间分摊信息采集表'!$H:$H,'附表4-项目间分摊信息采集表'!$B:$B,S117:AB117)),20),IF(L117="手工填写分摊比例","请填写分摊比例",100%))))),IF(COUNTA(S117:AB117)&gt;=1,0%,100%)),100%)</f>
        <v>1</v>
      </c>
      <c r="N117" s="94">
        <f>SUMIFS('附表7-扣除项目明细采集底稿'!$R:$R,'附表7-扣除项目明细采集底稿'!$G:$G,B117)</f>
        <v>-1805.94</v>
      </c>
      <c r="O117" s="99" t="s">
        <v>3017</v>
      </c>
      <c r="P117" s="101"/>
      <c r="Q117" s="103"/>
      <c r="R117" s="104"/>
      <c r="S117" s="99"/>
      <c r="T117" s="99"/>
      <c r="U117" s="99"/>
      <c r="V117" s="99"/>
      <c r="W117" s="99"/>
      <c r="X117" s="99"/>
      <c r="Y117" s="99"/>
      <c r="Z117" s="99"/>
      <c r="AA117" s="99"/>
      <c r="AB117" s="99"/>
      <c r="AC117" s="94">
        <v>87302.9702970297</v>
      </c>
    </row>
    <row r="118" hidden="1" spans="1:29">
      <c r="A118" s="90">
        <v>114</v>
      </c>
      <c r="B118" s="119" t="s">
        <v>2911</v>
      </c>
      <c r="C118" s="123" t="s">
        <v>3189</v>
      </c>
      <c r="D118" s="107" t="s">
        <v>3015</v>
      </c>
      <c r="E118" s="121" t="s">
        <v>3066</v>
      </c>
      <c r="F118" s="122">
        <v>44309</v>
      </c>
      <c r="G118" s="94">
        <v>3500</v>
      </c>
      <c r="H118" s="94">
        <v>3500</v>
      </c>
      <c r="I118" s="99" t="s">
        <v>332</v>
      </c>
      <c r="J118" s="99" t="s">
        <v>332</v>
      </c>
      <c r="K118" s="99" t="s">
        <v>332</v>
      </c>
      <c r="L118" s="99" t="s">
        <v>311</v>
      </c>
      <c r="M118" s="100">
        <f>IFERROR(IF(COUNTIFS(S118:AB118,清算项目基本情况表!$D$6)&gt;=1,IF(L118="占地面积法",ROUND(SUM('附表4-项目间分摊信息采集表'!$E$5)/SUMPRODUCT(SUMIFS('附表4-项目间分摊信息采集表'!$E:$E,'附表4-项目间分摊信息采集表'!$B:$B,S118:AB118)),20),IF(L118="测绘总建筑面积法",ROUND(SUM('附表4-项目间分摊信息采集表'!$F$5)/SUMPRODUCT(SUMIFS('附表4-项目间分摊信息采集表'!$F:$F,'附表4-项目间分摊信息采集表'!$B:$B,S118:AB118)),20),IF(L118="可售建筑面积法",ROUND(SUM('附表4-项目间分摊信息采集表'!$G$5)/SUMPRODUCT(SUMIFS('附表4-项目间分摊信息采集表'!$G:$G,'附表4-项目间分摊信息采集表'!$B:$B,S118:AB118)),20),IF(L118="其他分摊方法",ROUND(SUM('附表4-项目间分摊信息采集表'!$H$5)/SUMPRODUCT(SUMIFS('附表4-项目间分摊信息采集表'!$H:$H,'附表4-项目间分摊信息采集表'!$B:$B,S118:AB118)),20),IF(L118="手工填写分摊比例","请填写分摊比例",100%))))),IF(COUNTA(S118:AB118)&gt;=1,0%,100%)),100%)</f>
        <v>1</v>
      </c>
      <c r="N118" s="94">
        <f>SUMIFS('附表7-扣除项目明细采集底稿'!$R:$R,'附表7-扣除项目明细采集底稿'!$G:$G,B118)</f>
        <v>0</v>
      </c>
      <c r="O118" s="99" t="s">
        <v>3017</v>
      </c>
      <c r="P118" s="101"/>
      <c r="Q118" s="103"/>
      <c r="R118" s="104"/>
      <c r="S118" s="99"/>
      <c r="T118" s="99"/>
      <c r="U118" s="99"/>
      <c r="V118" s="99"/>
      <c r="W118" s="99"/>
      <c r="X118" s="99"/>
      <c r="Y118" s="99"/>
      <c r="Z118" s="99"/>
      <c r="AA118" s="99"/>
      <c r="AB118" s="99"/>
      <c r="AC118" s="94">
        <v>3465.34653465347</v>
      </c>
    </row>
    <row r="119" hidden="1" spans="1:29">
      <c r="A119" s="90">
        <v>115</v>
      </c>
      <c r="B119" s="119" t="s">
        <v>2645</v>
      </c>
      <c r="C119" s="123" t="s">
        <v>3190</v>
      </c>
      <c r="D119" s="107" t="s">
        <v>3015</v>
      </c>
      <c r="E119" s="121" t="s">
        <v>3066</v>
      </c>
      <c r="F119" s="122">
        <v>44375</v>
      </c>
      <c r="G119" s="94">
        <v>238672</v>
      </c>
      <c r="H119" s="94">
        <v>238672</v>
      </c>
      <c r="I119" s="99" t="s">
        <v>332</v>
      </c>
      <c r="J119" s="99" t="s">
        <v>332</v>
      </c>
      <c r="K119" s="99" t="s">
        <v>332</v>
      </c>
      <c r="L119" s="99" t="s">
        <v>311</v>
      </c>
      <c r="M119" s="100">
        <f>IFERROR(IF(COUNTIFS(S119:AB119,清算项目基本情况表!$D$6)&gt;=1,IF(L119="占地面积法",ROUND(SUM('附表4-项目间分摊信息采集表'!$E$5)/SUMPRODUCT(SUMIFS('附表4-项目间分摊信息采集表'!$E:$E,'附表4-项目间分摊信息采集表'!$B:$B,S119:AB119)),20),IF(L119="测绘总建筑面积法",ROUND(SUM('附表4-项目间分摊信息采集表'!$F$5)/SUMPRODUCT(SUMIFS('附表4-项目间分摊信息采集表'!$F:$F,'附表4-项目间分摊信息采集表'!$B:$B,S119:AB119)),20),IF(L119="可售建筑面积法",ROUND(SUM('附表4-项目间分摊信息采集表'!$G$5)/SUMPRODUCT(SUMIFS('附表4-项目间分摊信息采集表'!$G:$G,'附表4-项目间分摊信息采集表'!$B:$B,S119:AB119)),20),IF(L119="其他分摊方法",ROUND(SUM('附表4-项目间分摊信息采集表'!$H$5)/SUMPRODUCT(SUMIFS('附表4-项目间分摊信息采集表'!$H:$H,'附表4-项目间分摊信息采集表'!$B:$B,S119:AB119)),20),IF(L119="手工填写分摊比例","请填写分摊比例",100%))))),IF(COUNTA(S119:AB119)&gt;=1,0%,100%)),100%)</f>
        <v>1</v>
      </c>
      <c r="N119" s="94">
        <f>SUMIFS('附表7-扣除项目明细采集底稿'!$R:$R,'附表7-扣除项目明细采集底稿'!$G:$G,B119)</f>
        <v>235386.1</v>
      </c>
      <c r="O119" s="99" t="s">
        <v>3017</v>
      </c>
      <c r="P119" s="101"/>
      <c r="Q119" s="103"/>
      <c r="R119" s="104"/>
      <c r="S119" s="99"/>
      <c r="T119" s="99"/>
      <c r="U119" s="99"/>
      <c r="V119" s="99"/>
      <c r="W119" s="99"/>
      <c r="X119" s="99"/>
      <c r="Y119" s="99"/>
      <c r="Z119" s="99"/>
      <c r="AA119" s="99"/>
      <c r="AB119" s="99"/>
      <c r="AC119" s="94">
        <v>236308.910891089</v>
      </c>
    </row>
    <row r="120" hidden="1" spans="1:29">
      <c r="A120" s="90">
        <v>116</v>
      </c>
      <c r="B120" s="119" t="s">
        <v>2778</v>
      </c>
      <c r="C120" s="123" t="s">
        <v>3191</v>
      </c>
      <c r="D120" s="107" t="s">
        <v>3015</v>
      </c>
      <c r="E120" s="121" t="s">
        <v>3066</v>
      </c>
      <c r="F120" s="122">
        <v>44449</v>
      </c>
      <c r="G120" s="94">
        <v>376040</v>
      </c>
      <c r="H120" s="94">
        <v>376040</v>
      </c>
      <c r="I120" s="99" t="s">
        <v>332</v>
      </c>
      <c r="J120" s="99" t="s">
        <v>332</v>
      </c>
      <c r="K120" s="99" t="s">
        <v>332</v>
      </c>
      <c r="L120" s="99" t="s">
        <v>311</v>
      </c>
      <c r="M120" s="100">
        <f>IFERROR(IF(COUNTIFS(S120:AB120,清算项目基本情况表!$D$6)&gt;=1,IF(L120="占地面积法",ROUND(SUM('附表4-项目间分摊信息采集表'!$E$5)/SUMPRODUCT(SUMIFS('附表4-项目间分摊信息采集表'!$E:$E,'附表4-项目间分摊信息采集表'!$B:$B,S120:AB120)),20),IF(L120="测绘总建筑面积法",ROUND(SUM('附表4-项目间分摊信息采集表'!$F$5)/SUMPRODUCT(SUMIFS('附表4-项目间分摊信息采集表'!$F:$F,'附表4-项目间分摊信息采集表'!$B:$B,S120:AB120)),20),IF(L120="可售建筑面积法",ROUND(SUM('附表4-项目间分摊信息采集表'!$G$5)/SUMPRODUCT(SUMIFS('附表4-项目间分摊信息采集表'!$G:$G,'附表4-项目间分摊信息采集表'!$B:$B,S120:AB120)),20),IF(L120="其他分摊方法",ROUND(SUM('附表4-项目间分摊信息采集表'!$H$5)/SUMPRODUCT(SUMIFS('附表4-项目间分摊信息采集表'!$H:$H,'附表4-项目间分摊信息采集表'!$B:$B,S120:AB120)),20),IF(L120="手工填写分摊比例","请填写分摊比例",100%))))),IF(COUNTA(S120:AB120)&gt;=1,0%,100%)),100%)</f>
        <v>1</v>
      </c>
      <c r="N120" s="94">
        <f>SUMIFS('附表7-扣除项目明细采集底稿'!$R:$R,'附表7-扣除项目明细采集底稿'!$G:$G,B120)</f>
        <v>370870.95</v>
      </c>
      <c r="O120" s="99" t="s">
        <v>3017</v>
      </c>
      <c r="P120" s="101"/>
      <c r="Q120" s="103"/>
      <c r="R120" s="104"/>
      <c r="S120" s="99"/>
      <c r="T120" s="99"/>
      <c r="U120" s="99"/>
      <c r="V120" s="99"/>
      <c r="W120" s="99"/>
      <c r="X120" s="99"/>
      <c r="Y120" s="99"/>
      <c r="Z120" s="99"/>
      <c r="AA120" s="99"/>
      <c r="AB120" s="99"/>
      <c r="AC120" s="94">
        <v>370870.945346535</v>
      </c>
    </row>
    <row r="121" hidden="1" spans="1:29">
      <c r="A121" s="90">
        <v>117</v>
      </c>
      <c r="B121" s="119" t="s">
        <v>2893</v>
      </c>
      <c r="C121" s="123" t="s">
        <v>3192</v>
      </c>
      <c r="D121" s="107" t="s">
        <v>3015</v>
      </c>
      <c r="E121" s="121" t="s">
        <v>3066</v>
      </c>
      <c r="F121" s="122">
        <v>44927</v>
      </c>
      <c r="G121" s="94">
        <v>38000</v>
      </c>
      <c r="H121" s="94">
        <v>38000</v>
      </c>
      <c r="I121" s="99" t="s">
        <v>332</v>
      </c>
      <c r="J121" s="99" t="s">
        <v>332</v>
      </c>
      <c r="K121" s="99" t="s">
        <v>332</v>
      </c>
      <c r="L121" s="99" t="s">
        <v>311</v>
      </c>
      <c r="M121" s="100">
        <f>IFERROR(IF(COUNTIFS(S121:AB121,清算项目基本情况表!$D$6)&gt;=1,IF(L121="占地面积法",ROUND(SUM('附表4-项目间分摊信息采集表'!$E$5)/SUMPRODUCT(SUMIFS('附表4-项目间分摊信息采集表'!$E:$E,'附表4-项目间分摊信息采集表'!$B:$B,S121:AB121)),20),IF(L121="测绘总建筑面积法",ROUND(SUM('附表4-项目间分摊信息采集表'!$F$5)/SUMPRODUCT(SUMIFS('附表4-项目间分摊信息采集表'!$F:$F,'附表4-项目间分摊信息采集表'!$B:$B,S121:AB121)),20),IF(L121="可售建筑面积法",ROUND(SUM('附表4-项目间分摊信息采集表'!$G$5)/SUMPRODUCT(SUMIFS('附表4-项目间分摊信息采集表'!$G:$G,'附表4-项目间分摊信息采集表'!$B:$B,S121:AB121)),20),IF(L121="其他分摊方法",ROUND(SUM('附表4-项目间分摊信息采集表'!$H$5)/SUMPRODUCT(SUMIFS('附表4-项目间分摊信息采集表'!$H:$H,'附表4-项目间分摊信息采集表'!$B:$B,S121:AB121)),20),IF(L121="手工填写分摊比例","请填写分摊比例",100%))))),IF(COUNTA(S121:AB121)&gt;=1,0%,100%)),100%)</f>
        <v>1</v>
      </c>
      <c r="N121" s="94">
        <f>SUMIFS('附表7-扣除项目明细采集底稿'!$R:$R,'附表7-扣除项目明细采集底稿'!$G:$G,B121)</f>
        <v>0</v>
      </c>
      <c r="O121" s="99" t="s">
        <v>3017</v>
      </c>
      <c r="P121" s="101"/>
      <c r="Q121" s="103"/>
      <c r="R121" s="104"/>
      <c r="S121" s="99"/>
      <c r="T121" s="99"/>
      <c r="U121" s="99"/>
      <c r="V121" s="99"/>
      <c r="W121" s="99"/>
      <c r="X121" s="99"/>
      <c r="Y121" s="99"/>
      <c r="Z121" s="99"/>
      <c r="AA121" s="99"/>
      <c r="AB121" s="99"/>
      <c r="AC121" s="94">
        <v>36893.2038834951</v>
      </c>
    </row>
    <row r="122" hidden="1" spans="1:29">
      <c r="A122" s="90">
        <v>118</v>
      </c>
      <c r="B122" s="119" t="s">
        <v>2512</v>
      </c>
      <c r="C122" s="123" t="s">
        <v>3193</v>
      </c>
      <c r="D122" s="92" t="s">
        <v>3024</v>
      </c>
      <c r="E122" s="121" t="s">
        <v>3118</v>
      </c>
      <c r="F122" s="122">
        <v>44449</v>
      </c>
      <c r="G122" s="94">
        <v>19842</v>
      </c>
      <c r="H122" s="94">
        <v>19842</v>
      </c>
      <c r="I122" s="99" t="s">
        <v>332</v>
      </c>
      <c r="J122" s="99" t="s">
        <v>332</v>
      </c>
      <c r="K122" s="99" t="s">
        <v>332</v>
      </c>
      <c r="L122" s="99" t="s">
        <v>311</v>
      </c>
      <c r="M122" s="100">
        <f>IFERROR(IF(COUNTIFS(S122:AB122,清算项目基本情况表!$D$6)&gt;=1,IF(L122="占地面积法",ROUND(SUM('附表4-项目间分摊信息采集表'!$E$5)/SUMPRODUCT(SUMIFS('附表4-项目间分摊信息采集表'!$E:$E,'附表4-项目间分摊信息采集表'!$B:$B,S122:AB122)),20),IF(L122="测绘总建筑面积法",ROUND(SUM('附表4-项目间分摊信息采集表'!$F$5)/SUMPRODUCT(SUMIFS('附表4-项目间分摊信息采集表'!$F:$F,'附表4-项目间分摊信息采集表'!$B:$B,S122:AB122)),20),IF(L122="可售建筑面积法",ROUND(SUM('附表4-项目间分摊信息采集表'!$G$5)/SUMPRODUCT(SUMIFS('附表4-项目间分摊信息采集表'!$G:$G,'附表4-项目间分摊信息采集表'!$B:$B,S122:AB122)),20),IF(L122="其他分摊方法",ROUND(SUM('附表4-项目间分摊信息采集表'!$H$5)/SUMPRODUCT(SUMIFS('附表4-项目间分摊信息采集表'!$H:$H,'附表4-项目间分摊信息采集表'!$B:$B,S122:AB122)),20),IF(L122="手工填写分摊比例","请填写分摊比例",100%))))),IF(COUNTA(S122:AB122)&gt;=1,0%,100%)),100%)</f>
        <v>1</v>
      </c>
      <c r="N122" s="94">
        <f>SUMIFS('附表7-扣除项目明细采集底稿'!$R:$R,'附表7-扣除项目明细采集底稿'!$G:$G,B122)</f>
        <v>18718.87</v>
      </c>
      <c r="O122" s="99" t="s">
        <v>3017</v>
      </c>
      <c r="P122" s="101"/>
      <c r="Q122" s="103"/>
      <c r="R122" s="104"/>
      <c r="S122" s="99"/>
      <c r="T122" s="99"/>
      <c r="U122" s="99"/>
      <c r="V122" s="99"/>
      <c r="W122" s="99"/>
      <c r="X122" s="99"/>
      <c r="Y122" s="99"/>
      <c r="Z122" s="99"/>
      <c r="AA122" s="99"/>
      <c r="AB122" s="99"/>
      <c r="AC122" s="94">
        <v>18718.8679245283</v>
      </c>
    </row>
    <row r="123" hidden="1" spans="1:29">
      <c r="A123" s="90">
        <v>119</v>
      </c>
      <c r="B123" s="119" t="s">
        <v>2532</v>
      </c>
      <c r="C123" s="123" t="s">
        <v>3194</v>
      </c>
      <c r="D123" s="92" t="s">
        <v>3024</v>
      </c>
      <c r="E123" s="121" t="s">
        <v>3195</v>
      </c>
      <c r="F123" s="122">
        <v>43800</v>
      </c>
      <c r="G123" s="94">
        <v>37800</v>
      </c>
      <c r="H123" s="94">
        <v>37800</v>
      </c>
      <c r="I123" s="99" t="s">
        <v>332</v>
      </c>
      <c r="J123" s="99" t="s">
        <v>332</v>
      </c>
      <c r="K123" s="99" t="s">
        <v>332</v>
      </c>
      <c r="L123" s="99" t="s">
        <v>311</v>
      </c>
      <c r="M123" s="100" cm="1">
        <f t="array" ref="M123">IFERROR(IF(COUNTIFS(S123:AB123,清算项目基本情况表!$D$6)&gt;=1,IF(L123="占地面积法",ROUND(SUM('附表4-项目间分摊信息采集表'!$E$5)/SUMPRODUCT(SUMIFS('附表4-项目间分摊信息采集表'!$E:$E,'附表4-项目间分摊信息采集表'!$B:$B,S123:AB123)),20),IF(L123="测绘总建筑面积法",ROUND(SUM('附表4-项目间分摊信息采集表'!$F$5)/SUMPRODUCT(SUMIFS('附表4-项目间分摊信息采集表'!$F:$F,'附表4-项目间分摊信息采集表'!$B:$B,S123:AB123)),20),IF(L123="可售建筑面积法",ROUND(SUM('附表4-项目间分摊信息采集表'!$G$5)/SUMPRODUCT(SUMIFS('附表4-项目间分摊信息采集表'!$G:$G,'附表4-项目间分摊信息采集表'!$B:$B,S123:AB123)),20),IF(L123="其他分摊方法",ROUND(SUM('附表4-项目间分摊信息采集表'!$H$5)/SUMPRODUCT(SUMIFS('附表4-项目间分摊信息采集表'!$H:$H,'附表4-项目间分摊信息采集表'!$B:$B,S123:AB123)),20),IF(L123="手工填写分摊比例","请填写分摊比例",100%))))),IF(COUNTA(S123:AB123)&gt;=1,0%,100%)),100%)</f>
        <v>1</v>
      </c>
      <c r="N123" s="94">
        <f>SUMIFS('附表7-扣除项目明细采集底稿'!$R:$R,'附表7-扣除项目明细采集底稿'!$G:$G,B123)</f>
        <v>38213.21</v>
      </c>
      <c r="O123" s="99" t="s">
        <v>3017</v>
      </c>
      <c r="P123" s="101"/>
      <c r="Q123" s="103"/>
      <c r="R123" s="104"/>
      <c r="S123" s="99"/>
      <c r="T123" s="99"/>
      <c r="U123" s="99"/>
      <c r="V123" s="99"/>
      <c r="W123" s="99"/>
      <c r="X123" s="99"/>
      <c r="Y123" s="99"/>
      <c r="Z123" s="99"/>
      <c r="AA123" s="99"/>
      <c r="AB123" s="99"/>
      <c r="AC123" s="94">
        <v>35660.3773584906</v>
      </c>
    </row>
    <row r="124" hidden="1" spans="1:29">
      <c r="A124" s="90">
        <v>120</v>
      </c>
      <c r="B124" s="119" t="s">
        <v>2619</v>
      </c>
      <c r="C124" s="123" t="s">
        <v>3196</v>
      </c>
      <c r="D124" s="92" t="s">
        <v>3024</v>
      </c>
      <c r="E124" s="121" t="s">
        <v>3195</v>
      </c>
      <c r="F124" s="122">
        <v>43983</v>
      </c>
      <c r="G124" s="94">
        <v>65000</v>
      </c>
      <c r="H124" s="94">
        <f>65000/64564.61*11168</f>
        <v>11243.3111576141</v>
      </c>
      <c r="I124" s="99" t="s">
        <v>332</v>
      </c>
      <c r="J124" s="99" t="s">
        <v>332</v>
      </c>
      <c r="K124" s="99" t="s">
        <v>332</v>
      </c>
      <c r="L124" s="99" t="s">
        <v>311</v>
      </c>
      <c r="M124" s="100">
        <f>IFERROR(IF(COUNTIFS(S124:AB124,清算项目基本情况表!$D$6)&gt;=1,IF(L124="占地面积法",ROUND(SUM('附表4-项目间分摊信息采集表'!$E$5)/SUMPRODUCT(SUMIFS('附表4-项目间分摊信息采集表'!$E:$E,'附表4-项目间分摊信息采集表'!$B:$B,S124:AB124)),20),IF(L124="测绘总建筑面积法",ROUND(SUM('附表4-项目间分摊信息采集表'!$F$5)/SUMPRODUCT(SUMIFS('附表4-项目间分摊信息采集表'!$F:$F,'附表4-项目间分摊信息采集表'!$B:$B,S124:AB124)),20),IF(L124="可售建筑面积法",ROUND(SUM('附表4-项目间分摊信息采集表'!$G$5)/SUMPRODUCT(SUMIFS('附表4-项目间分摊信息采集表'!$G:$G,'附表4-项目间分摊信息采集表'!$B:$B,S124:AB124)),20),IF(L124="其他分摊方法",ROUND(SUM('附表4-项目间分摊信息采集表'!$H$5)/SUMPRODUCT(SUMIFS('附表4-项目间分摊信息采集表'!$H:$H,'附表4-项目间分摊信息采集表'!$B:$B,S124:AB124)),20),IF(L124="手工填写分摊比例","请填写分摊比例",100%))))),IF(COUNTA(S124:AB124)&gt;=1,0%,100%)),100%)</f>
        <v>1</v>
      </c>
      <c r="N124" s="94">
        <f>SUMIFS('附表7-扣除项目明细采集底稿'!$R:$R,'附表7-扣除项目明细采集底稿'!$G:$G,B124)</f>
        <v>10606.89</v>
      </c>
      <c r="O124" s="99" t="s">
        <v>3017</v>
      </c>
      <c r="P124" s="101"/>
      <c r="Q124" s="103"/>
      <c r="R124" s="104"/>
      <c r="S124" s="99"/>
      <c r="T124" s="99"/>
      <c r="U124" s="99"/>
      <c r="V124" s="99"/>
      <c r="W124" s="99"/>
      <c r="X124" s="99"/>
      <c r="Y124" s="99"/>
      <c r="Z124" s="99"/>
      <c r="AA124" s="99"/>
      <c r="AB124" s="99"/>
      <c r="AC124" s="94">
        <v>61320.7547169811</v>
      </c>
    </row>
    <row r="125" hidden="1" spans="1:29">
      <c r="A125" s="90">
        <v>121</v>
      </c>
      <c r="B125" s="119" t="s">
        <v>2813</v>
      </c>
      <c r="C125" s="123" t="s">
        <v>3197</v>
      </c>
      <c r="D125" s="107" t="s">
        <v>3019</v>
      </c>
      <c r="E125" s="121" t="s">
        <v>2292</v>
      </c>
      <c r="F125" s="122">
        <v>44419</v>
      </c>
      <c r="G125" s="94">
        <v>301000</v>
      </c>
      <c r="H125" s="94">
        <v>301280</v>
      </c>
      <c r="I125" s="99" t="s">
        <v>332</v>
      </c>
      <c r="J125" s="99" t="s">
        <v>332</v>
      </c>
      <c r="K125" s="99" t="s">
        <v>332</v>
      </c>
      <c r="L125" s="99" t="s">
        <v>311</v>
      </c>
      <c r="M125" s="100">
        <f>IFERROR(IF(COUNTIFS(S125:AB125,清算项目基本情况表!$D$6)&gt;=1,IF(L125="占地面积法",ROUND(SUM('附表4-项目间分摊信息采集表'!$E$5)/SUMPRODUCT(SUMIFS('附表4-项目间分摊信息采集表'!$E:$E,'附表4-项目间分摊信息采集表'!$B:$B,S125:AB125)),20),IF(L125="测绘总建筑面积法",ROUND(SUM('附表4-项目间分摊信息采集表'!$F$5)/SUMPRODUCT(SUMIFS('附表4-项目间分摊信息采集表'!$F:$F,'附表4-项目间分摊信息采集表'!$B:$B,S125:AB125)),20),IF(L125="可售建筑面积法",ROUND(SUM('附表4-项目间分摊信息采集表'!$G$5)/SUMPRODUCT(SUMIFS('附表4-项目间分摊信息采集表'!$G:$G,'附表4-项目间分摊信息采集表'!$B:$B,S125:AB125)),20),IF(L125="其他分摊方法",ROUND(SUM('附表4-项目间分摊信息采集表'!$H$5)/SUMPRODUCT(SUMIFS('附表4-项目间分摊信息采集表'!$H:$H,'附表4-项目间分摊信息采集表'!$B:$B,S125:AB125)),20),IF(L125="手工填写分摊比例","请填写分摊比例",100%))))),IF(COUNTA(S125:AB125)&gt;=1,0%,100%)),100%)</f>
        <v>1</v>
      </c>
      <c r="N125" s="94">
        <f>SUMIFS('附表7-扣除项目明细采集底稿'!$R:$R,'附表7-扣除项目明细采集底稿'!$G:$G,B125)</f>
        <v>266619.47</v>
      </c>
      <c r="O125" s="99" t="s">
        <v>3017</v>
      </c>
      <c r="P125" s="101"/>
      <c r="Q125" s="103"/>
      <c r="R125" s="104"/>
      <c r="S125" s="99"/>
      <c r="T125" s="99"/>
      <c r="U125" s="99"/>
      <c r="V125" s="99"/>
      <c r="W125" s="99"/>
      <c r="X125" s="99"/>
      <c r="Y125" s="99"/>
      <c r="Z125" s="99"/>
      <c r="AA125" s="99"/>
      <c r="AB125" s="99"/>
      <c r="AC125" s="94">
        <v>266619.469026549</v>
      </c>
    </row>
    <row r="126" hidden="1" spans="1:29">
      <c r="A126" s="90">
        <v>122</v>
      </c>
      <c r="B126" s="119" t="s">
        <v>2815</v>
      </c>
      <c r="C126" s="123" t="s">
        <v>3198</v>
      </c>
      <c r="D126" s="107" t="s">
        <v>3019</v>
      </c>
      <c r="E126" s="121" t="s">
        <v>2292</v>
      </c>
      <c r="F126" s="122">
        <v>44531</v>
      </c>
      <c r="G126" s="94">
        <v>151200</v>
      </c>
      <c r="H126" s="94">
        <v>151838.4</v>
      </c>
      <c r="I126" s="99" t="s">
        <v>332</v>
      </c>
      <c r="J126" s="99" t="s">
        <v>332</v>
      </c>
      <c r="K126" s="99" t="s">
        <v>332</v>
      </c>
      <c r="L126" s="99" t="s">
        <v>311</v>
      </c>
      <c r="M126" s="100">
        <f>IFERROR(IF(COUNTIFS(S126:AB126,清算项目基本情况表!$D$6)&gt;=1,IF(L126="占地面积法",ROUND(SUM('附表4-项目间分摊信息采集表'!$E$5)/SUMPRODUCT(SUMIFS('附表4-项目间分摊信息采集表'!$E:$E,'附表4-项目间分摊信息采集表'!$B:$B,S126:AB126)),20),IF(L126="测绘总建筑面积法",ROUND(SUM('附表4-项目间分摊信息采集表'!$F$5)/SUMPRODUCT(SUMIFS('附表4-项目间分摊信息采集表'!$F:$F,'附表4-项目间分摊信息采集表'!$B:$B,S126:AB126)),20),IF(L126="可售建筑面积法",ROUND(SUM('附表4-项目间分摊信息采集表'!$G$5)/SUMPRODUCT(SUMIFS('附表4-项目间分摊信息采集表'!$G:$G,'附表4-项目间分摊信息采集表'!$B:$B,S126:AB126)),20),IF(L126="其他分摊方法",ROUND(SUM('附表4-项目间分摊信息采集表'!$H$5)/SUMPRODUCT(SUMIFS('附表4-项目间分摊信息采集表'!$H:$H,'附表4-项目间分摊信息采集表'!$B:$B,S126:AB126)),20),IF(L126="手工填写分摊比例","请填写分摊比例",100%))))),IF(COUNTA(S126:AB126)&gt;=1,0%,100%)),100%)</f>
        <v>1</v>
      </c>
      <c r="N126" s="94">
        <f>SUMIFS('附表7-扣除项目明细采集底稿'!$R:$R,'附表7-扣除项目明细采集底稿'!$G:$G,B126)</f>
        <v>133805.31</v>
      </c>
      <c r="O126" s="99" t="s">
        <v>3017</v>
      </c>
      <c r="P126" s="101"/>
      <c r="Q126" s="103"/>
      <c r="R126" s="104"/>
      <c r="S126" s="99"/>
      <c r="T126" s="99"/>
      <c r="U126" s="99"/>
      <c r="V126" s="99"/>
      <c r="W126" s="99"/>
      <c r="X126" s="99"/>
      <c r="Y126" s="99"/>
      <c r="Z126" s="99"/>
      <c r="AA126" s="99"/>
      <c r="AB126" s="99"/>
      <c r="AC126" s="94">
        <v>134370.265486726</v>
      </c>
    </row>
    <row r="127" hidden="1" spans="1:29">
      <c r="A127" s="90">
        <v>123</v>
      </c>
      <c r="B127" s="119" t="s">
        <v>2755</v>
      </c>
      <c r="C127" s="123" t="s">
        <v>3199</v>
      </c>
      <c r="D127" s="107" t="s">
        <v>3019</v>
      </c>
      <c r="E127" s="121" t="s">
        <v>3050</v>
      </c>
      <c r="F127" s="122">
        <v>44214</v>
      </c>
      <c r="G127" s="94">
        <v>41000</v>
      </c>
      <c r="H127" s="94">
        <v>41000</v>
      </c>
      <c r="I127" s="99" t="s">
        <v>332</v>
      </c>
      <c r="J127" s="99" t="s">
        <v>332</v>
      </c>
      <c r="K127" s="99" t="s">
        <v>332</v>
      </c>
      <c r="L127" s="99" t="s">
        <v>311</v>
      </c>
      <c r="M127" s="100">
        <f>IFERROR(IF(COUNTIFS(S127:AB127,清算项目基本情况表!$D$6)&gt;=1,IF(L127="占地面积法",ROUND(SUM('附表4-项目间分摊信息采集表'!$E$5)/SUMPRODUCT(SUMIFS('附表4-项目间分摊信息采集表'!$E:$E,'附表4-项目间分摊信息采集表'!$B:$B,S127:AB127)),20),IF(L127="测绘总建筑面积法",ROUND(SUM('附表4-项目间分摊信息采集表'!$F$5)/SUMPRODUCT(SUMIFS('附表4-项目间分摊信息采集表'!$F:$F,'附表4-项目间分摊信息采集表'!$B:$B,S127:AB127)),20),IF(L127="可售建筑面积法",ROUND(SUM('附表4-项目间分摊信息采集表'!$G$5)/SUMPRODUCT(SUMIFS('附表4-项目间分摊信息采集表'!$G:$G,'附表4-项目间分摊信息采集表'!$B:$B,S127:AB127)),20),IF(L127="其他分摊方法",ROUND(SUM('附表4-项目间分摊信息采集表'!$H$5)/SUMPRODUCT(SUMIFS('附表4-项目间分摊信息采集表'!$H:$H,'附表4-项目间分摊信息采集表'!$B:$B,S127:AB127)),20),IF(L127="手工填写分摊比例","请填写分摊比例",100%))))),IF(COUNTA(S127:AB127)&gt;=1,0%,100%)),100%)</f>
        <v>1</v>
      </c>
      <c r="N127" s="94">
        <f>SUMIFS('附表7-扣除项目明细采集底稿'!$R:$R,'附表7-扣除项目明细采集底稿'!$G:$G,B127)</f>
        <v>40594.06</v>
      </c>
      <c r="O127" s="99" t="s">
        <v>3017</v>
      </c>
      <c r="P127" s="101"/>
      <c r="Q127" s="103"/>
      <c r="R127" s="104"/>
      <c r="S127" s="99"/>
      <c r="T127" s="99"/>
      <c r="U127" s="99"/>
      <c r="V127" s="99"/>
      <c r="W127" s="99"/>
      <c r="X127" s="99"/>
      <c r="Y127" s="99"/>
      <c r="Z127" s="99"/>
      <c r="AA127" s="99"/>
      <c r="AB127" s="99"/>
      <c r="AC127" s="94">
        <v>40594.0594059406</v>
      </c>
    </row>
    <row r="128" hidden="1" spans="1:29">
      <c r="A128" s="90">
        <v>124</v>
      </c>
      <c r="B128" s="119" t="s">
        <v>2752</v>
      </c>
      <c r="C128" s="123" t="s">
        <v>3200</v>
      </c>
      <c r="D128" s="107" t="s">
        <v>3019</v>
      </c>
      <c r="E128" s="121" t="s">
        <v>3201</v>
      </c>
      <c r="F128" s="122">
        <v>44572</v>
      </c>
      <c r="G128" s="94">
        <v>100000</v>
      </c>
      <c r="H128" s="94">
        <v>100000</v>
      </c>
      <c r="I128" s="99" t="s">
        <v>332</v>
      </c>
      <c r="J128" s="99" t="s">
        <v>332</v>
      </c>
      <c r="K128" s="99" t="s">
        <v>332</v>
      </c>
      <c r="L128" s="99" t="s">
        <v>311</v>
      </c>
      <c r="M128" s="100">
        <f>IFERROR(IF(COUNTIFS(S128:AB128,清算项目基本情况表!$D$6)&gt;=1,IF(L128="占地面积法",ROUND(SUM('附表4-项目间分摊信息采集表'!$E$5)/SUMPRODUCT(SUMIFS('附表4-项目间分摊信息采集表'!$E:$E,'附表4-项目间分摊信息采集表'!$B:$B,S128:AB128)),20),IF(L128="测绘总建筑面积法",ROUND(SUM('附表4-项目间分摊信息采集表'!$F$5)/SUMPRODUCT(SUMIFS('附表4-项目间分摊信息采集表'!$F:$F,'附表4-项目间分摊信息采集表'!$B:$B,S128:AB128)),20),IF(L128="可售建筑面积法",ROUND(SUM('附表4-项目间分摊信息采集表'!$G$5)/SUMPRODUCT(SUMIFS('附表4-项目间分摊信息采集表'!$G:$G,'附表4-项目间分摊信息采集表'!$B:$B,S128:AB128)),20),IF(L128="其他分摊方法",ROUND(SUM('附表4-项目间分摊信息采集表'!$H$5)/SUMPRODUCT(SUMIFS('附表4-项目间分摊信息采集表'!$H:$H,'附表4-项目间分摊信息采集表'!$B:$B,S128:AB128)),20),IF(L128="手工填写分摊比例","请填写分摊比例",100%))))),IF(COUNTA(S128:AB128)&gt;=1,0%,100%)),100%)</f>
        <v>1</v>
      </c>
      <c r="N128" s="94">
        <f>SUMIFS('附表7-扣除项目明细采集底稿'!$R:$R,'附表7-扣除项目明细采集底稿'!$G:$G,B128)</f>
        <v>99009.9</v>
      </c>
      <c r="O128" s="99" t="s">
        <v>3017</v>
      </c>
      <c r="P128" s="101"/>
      <c r="Q128" s="103"/>
      <c r="R128" s="104"/>
      <c r="S128" s="99"/>
      <c r="T128" s="99"/>
      <c r="U128" s="99"/>
      <c r="V128" s="99"/>
      <c r="W128" s="99"/>
      <c r="X128" s="99"/>
      <c r="Y128" s="99"/>
      <c r="Z128" s="99"/>
      <c r="AA128" s="99"/>
      <c r="AB128" s="99"/>
      <c r="AC128" s="94">
        <v>99009.900990099</v>
      </c>
    </row>
    <row r="131" spans="14:14">
      <c r="N131" s="136"/>
    </row>
  </sheetData>
  <autoFilter xmlns:etc="http://www.wps.cn/officeDocument/2017/etCustomData" ref="A5:AD128" etc:filterBottomFollowUsedRange="0">
    <filterColumn colId="2">
      <customFilters>
        <customFilter operator="equal" val="沁园春锦BIM咨询服务协议"/>
      </customFilters>
    </filterColumn>
    <extLst/>
  </autoFilter>
  <mergeCells count="15">
    <mergeCell ref="A1:AB1"/>
    <mergeCell ref="A2:AB2"/>
    <mergeCell ref="L3:AB3"/>
    <mergeCell ref="S4:AB4"/>
    <mergeCell ref="A3:A5"/>
    <mergeCell ref="B3:B4"/>
    <mergeCell ref="C3:C4"/>
    <mergeCell ref="D3:D4"/>
    <mergeCell ref="E3:E4"/>
    <mergeCell ref="F3:F4"/>
    <mergeCell ref="G3:G4"/>
    <mergeCell ref="H3:H4"/>
    <mergeCell ref="I3:I4"/>
    <mergeCell ref="J3:J4"/>
    <mergeCell ref="K3:K4"/>
  </mergeCells>
  <conditionalFormatting sqref="M37">
    <cfRule type="expression" dxfId="1" priority="4">
      <formula>OR($K37="否",$K37="")</formula>
    </cfRule>
  </conditionalFormatting>
  <conditionalFormatting sqref="M40">
    <cfRule type="expression" dxfId="1" priority="2">
      <formula>OR($K40="否",$K40="")</formula>
    </cfRule>
  </conditionalFormatting>
  <conditionalFormatting sqref="M61">
    <cfRule type="expression" dxfId="1" priority="13">
      <formula>OR($K61="否",$K61="")</formula>
    </cfRule>
  </conditionalFormatting>
  <conditionalFormatting sqref="L79">
    <cfRule type="expression" dxfId="1" priority="199">
      <formula>OR($K79="否",$K79="")</formula>
    </cfRule>
  </conditionalFormatting>
  <conditionalFormatting sqref="P79:AB79">
    <cfRule type="expression" dxfId="1" priority="238">
      <formula>OR($K79="否",$K79="")</formula>
    </cfRule>
  </conditionalFormatting>
  <conditionalFormatting sqref="L80">
    <cfRule type="expression" dxfId="1" priority="198">
      <formula>OR($K80="否",$K80="")</formula>
    </cfRule>
  </conditionalFormatting>
  <conditionalFormatting sqref="P80:AB80">
    <cfRule type="expression" dxfId="1" priority="237">
      <formula>OR($K80="否",$K80="")</formula>
    </cfRule>
  </conditionalFormatting>
  <conditionalFormatting sqref="L81">
    <cfRule type="expression" dxfId="1" priority="197">
      <formula>OR($K81="否",$K81="")</formula>
    </cfRule>
  </conditionalFormatting>
  <conditionalFormatting sqref="P81:AB81">
    <cfRule type="expression" dxfId="1" priority="236">
      <formula>OR($K81="否",$K81="")</formula>
    </cfRule>
  </conditionalFormatting>
  <conditionalFormatting sqref="L82">
    <cfRule type="expression" dxfId="1" priority="196">
      <formula>OR($K82="否",$K82="")</formula>
    </cfRule>
  </conditionalFormatting>
  <conditionalFormatting sqref="P82:AB82">
    <cfRule type="expression" dxfId="1" priority="235">
      <formula>OR($K82="否",$K82="")</formula>
    </cfRule>
  </conditionalFormatting>
  <conditionalFormatting sqref="L83">
    <cfRule type="expression" dxfId="1" priority="195">
      <formula>OR($K83="否",$K83="")</formula>
    </cfRule>
  </conditionalFormatting>
  <conditionalFormatting sqref="P83:AB83">
    <cfRule type="expression" dxfId="1" priority="234">
      <formula>OR($K83="否",$K83="")</formula>
    </cfRule>
  </conditionalFormatting>
  <conditionalFormatting sqref="L84">
    <cfRule type="expression" dxfId="1" priority="194">
      <formula>OR($K84="否",$K84="")</formula>
    </cfRule>
  </conditionalFormatting>
  <conditionalFormatting sqref="P84:AB84">
    <cfRule type="expression" dxfId="1" priority="233">
      <formula>OR($K84="否",$K84="")</formula>
    </cfRule>
  </conditionalFormatting>
  <conditionalFormatting sqref="L85">
    <cfRule type="expression" dxfId="1" priority="193">
      <formula>OR($K85="否",$K85="")</formula>
    </cfRule>
  </conditionalFormatting>
  <conditionalFormatting sqref="P85:AB85">
    <cfRule type="expression" dxfId="1" priority="232">
      <formula>OR($K85="否",$K85="")</formula>
    </cfRule>
  </conditionalFormatting>
  <conditionalFormatting sqref="L86">
    <cfRule type="expression" dxfId="1" priority="192">
      <formula>OR($K86="否",$K86="")</formula>
    </cfRule>
  </conditionalFormatting>
  <conditionalFormatting sqref="P86:AB86">
    <cfRule type="expression" dxfId="1" priority="231">
      <formula>OR($K86="否",$K86="")</formula>
    </cfRule>
  </conditionalFormatting>
  <conditionalFormatting sqref="L87">
    <cfRule type="expression" dxfId="1" priority="191">
      <formula>OR($K87="否",$K87="")</formula>
    </cfRule>
  </conditionalFormatting>
  <conditionalFormatting sqref="P87:AB87">
    <cfRule type="expression" dxfId="1" priority="230">
      <formula>OR($K87="否",$K87="")</formula>
    </cfRule>
  </conditionalFormatting>
  <conditionalFormatting sqref="L88">
    <cfRule type="expression" dxfId="1" priority="190">
      <formula>OR($K88="否",$K88="")</formula>
    </cfRule>
  </conditionalFormatting>
  <conditionalFormatting sqref="P88:AB88">
    <cfRule type="expression" dxfId="1" priority="229">
      <formula>OR($K88="否",$K88="")</formula>
    </cfRule>
  </conditionalFormatting>
  <conditionalFormatting sqref="L89">
    <cfRule type="expression" dxfId="1" priority="189">
      <formula>OR($K89="否",$K89="")</formula>
    </cfRule>
  </conditionalFormatting>
  <conditionalFormatting sqref="P89:AB89">
    <cfRule type="expression" dxfId="1" priority="228">
      <formula>OR($K89="否",$K89="")</formula>
    </cfRule>
  </conditionalFormatting>
  <conditionalFormatting sqref="L90">
    <cfRule type="expression" dxfId="1" priority="188">
      <formula>OR($K90="否",$K90="")</formula>
    </cfRule>
  </conditionalFormatting>
  <conditionalFormatting sqref="P90:AB90">
    <cfRule type="expression" dxfId="1" priority="227">
      <formula>OR($K90="否",$K90="")</formula>
    </cfRule>
  </conditionalFormatting>
  <conditionalFormatting sqref="L91">
    <cfRule type="expression" dxfId="1" priority="186">
      <formula>OR($K91="否",$K91="")</formula>
    </cfRule>
  </conditionalFormatting>
  <conditionalFormatting sqref="P91:AB91">
    <cfRule type="expression" dxfId="1" priority="225">
      <formula>OR($K91="否",$K91="")</formula>
    </cfRule>
  </conditionalFormatting>
  <conditionalFormatting sqref="L92">
    <cfRule type="expression" dxfId="1" priority="185">
      <formula>OR($K92="否",$K92="")</formula>
    </cfRule>
  </conditionalFormatting>
  <conditionalFormatting sqref="P92:AB92">
    <cfRule type="expression" dxfId="1" priority="224">
      <formula>OR($K92="否",$K92="")</formula>
    </cfRule>
  </conditionalFormatting>
  <conditionalFormatting sqref="L93">
    <cfRule type="expression" dxfId="1" priority="184">
      <formula>OR($K93="否",$K93="")</formula>
    </cfRule>
  </conditionalFormatting>
  <conditionalFormatting sqref="P93:AB93">
    <cfRule type="expression" dxfId="1" priority="223">
      <formula>OR($K93="否",$K93="")</formula>
    </cfRule>
  </conditionalFormatting>
  <conditionalFormatting sqref="L94">
    <cfRule type="expression" dxfId="1" priority="183">
      <formula>OR($K94="否",$K94="")</formula>
    </cfRule>
  </conditionalFormatting>
  <conditionalFormatting sqref="P94:AB94">
    <cfRule type="expression" dxfId="1" priority="222">
      <formula>OR($K94="否",$K94="")</formula>
    </cfRule>
  </conditionalFormatting>
  <conditionalFormatting sqref="L95">
    <cfRule type="expression" dxfId="1" priority="182">
      <formula>OR($K95="否",$K95="")</formula>
    </cfRule>
  </conditionalFormatting>
  <conditionalFormatting sqref="P95:AB95">
    <cfRule type="expression" dxfId="1" priority="221">
      <formula>OR($K95="否",$K95="")</formula>
    </cfRule>
  </conditionalFormatting>
  <conditionalFormatting sqref="L96">
    <cfRule type="expression" dxfId="1" priority="180">
      <formula>OR($K96="否",$K96="")</formula>
    </cfRule>
  </conditionalFormatting>
  <conditionalFormatting sqref="P96:AB96">
    <cfRule type="expression" dxfId="1" priority="219">
      <formula>OR($K96="否",$K96="")</formula>
    </cfRule>
  </conditionalFormatting>
  <conditionalFormatting sqref="L97">
    <cfRule type="expression" dxfId="1" priority="179">
      <formula>OR($K97="否",$K97="")</formula>
    </cfRule>
  </conditionalFormatting>
  <conditionalFormatting sqref="P97:AB97">
    <cfRule type="expression" dxfId="1" priority="218">
      <formula>OR($K97="否",$K97="")</formula>
    </cfRule>
  </conditionalFormatting>
  <conditionalFormatting sqref="L98">
    <cfRule type="expression" dxfId="1" priority="178">
      <formula>OR($K98="否",$K98="")</formula>
    </cfRule>
  </conditionalFormatting>
  <conditionalFormatting sqref="P98:AB98">
    <cfRule type="expression" dxfId="1" priority="217">
      <formula>OR($K98="否",$K98="")</formula>
    </cfRule>
  </conditionalFormatting>
  <conditionalFormatting sqref="L99">
    <cfRule type="expression" dxfId="1" priority="177">
      <formula>OR($K99="否",$K99="")</formula>
    </cfRule>
  </conditionalFormatting>
  <conditionalFormatting sqref="P99:AB99">
    <cfRule type="expression" dxfId="1" priority="216">
      <formula>OR($K99="否",$K99="")</formula>
    </cfRule>
  </conditionalFormatting>
  <conditionalFormatting sqref="L100">
    <cfRule type="expression" dxfId="1" priority="176">
      <formula>OR($K100="否",$K100="")</formula>
    </cfRule>
  </conditionalFormatting>
  <conditionalFormatting sqref="P100:AB100">
    <cfRule type="expression" dxfId="1" priority="215">
      <formula>OR($K100="否",$K100="")</formula>
    </cfRule>
  </conditionalFormatting>
  <conditionalFormatting sqref="L101">
    <cfRule type="expression" dxfId="1" priority="175">
      <formula>OR($K101="否",$K101="")</formula>
    </cfRule>
  </conditionalFormatting>
  <conditionalFormatting sqref="P101:AB101">
    <cfRule type="expression" dxfId="1" priority="214">
      <formula>OR($K101="否",$K101="")</formula>
    </cfRule>
  </conditionalFormatting>
  <conditionalFormatting sqref="L102">
    <cfRule type="expression" dxfId="1" priority="174">
      <formula>OR($K102="否",$K102="")</formula>
    </cfRule>
  </conditionalFormatting>
  <conditionalFormatting sqref="P102:AB102">
    <cfRule type="expression" dxfId="1" priority="213">
      <formula>OR($K102="否",$K102="")</formula>
    </cfRule>
  </conditionalFormatting>
  <conditionalFormatting sqref="L103">
    <cfRule type="expression" dxfId="1" priority="173">
      <formula>OR($K103="否",$K103="")</formula>
    </cfRule>
  </conditionalFormatting>
  <conditionalFormatting sqref="P103:AB103">
    <cfRule type="expression" dxfId="1" priority="212">
      <formula>OR($K103="否",$K103="")</formula>
    </cfRule>
  </conditionalFormatting>
  <conditionalFormatting sqref="L104">
    <cfRule type="expression" dxfId="1" priority="172">
      <formula>OR($K104="否",$K104="")</formula>
    </cfRule>
  </conditionalFormatting>
  <conditionalFormatting sqref="P104:AB104">
    <cfRule type="expression" dxfId="1" priority="211">
      <formula>OR($K104="否",$K104="")</formula>
    </cfRule>
  </conditionalFormatting>
  <conditionalFormatting sqref="L105">
    <cfRule type="expression" dxfId="1" priority="171">
      <formula>OR($K105="否",$K105="")</formula>
    </cfRule>
  </conditionalFormatting>
  <conditionalFormatting sqref="P105:AB105">
    <cfRule type="expression" dxfId="1" priority="210">
      <formula>OR($K105="否",$K105="")</formula>
    </cfRule>
  </conditionalFormatting>
  <conditionalFormatting sqref="L106">
    <cfRule type="expression" dxfId="1" priority="170">
      <formula>OR($K106="否",$K106="")</formula>
    </cfRule>
  </conditionalFormatting>
  <conditionalFormatting sqref="P106:AB106">
    <cfRule type="expression" dxfId="1" priority="209">
      <formula>OR($K106="否",$K106="")</formula>
    </cfRule>
  </conditionalFormatting>
  <conditionalFormatting sqref="L107">
    <cfRule type="expression" dxfId="1" priority="169">
      <formula>OR($K107="否",$K107="")</formula>
    </cfRule>
  </conditionalFormatting>
  <conditionalFormatting sqref="P107:AB107">
    <cfRule type="expression" dxfId="1" priority="208">
      <formula>OR($K107="否",$K107="")</formula>
    </cfRule>
  </conditionalFormatting>
  <conditionalFormatting sqref="L108">
    <cfRule type="expression" dxfId="1" priority="84">
      <formula>OR($K108="否",$K108="")</formula>
    </cfRule>
  </conditionalFormatting>
  <conditionalFormatting sqref="M108:O108">
    <cfRule type="expression" dxfId="1" priority="147">
      <formula>OR($K108="否",$K108="")</formula>
    </cfRule>
  </conditionalFormatting>
  <conditionalFormatting sqref="P108:AB108">
    <cfRule type="expression" dxfId="1" priority="126">
      <formula>OR($K108="否",$K108="")</formula>
    </cfRule>
  </conditionalFormatting>
  <conditionalFormatting sqref="L109">
    <cfRule type="expression" dxfId="1" priority="83">
      <formula>OR($K109="否",$K109="")</formula>
    </cfRule>
  </conditionalFormatting>
  <conditionalFormatting sqref="M109:O109">
    <cfRule type="expression" dxfId="1" priority="146">
      <formula>OR($K109="否",$K109="")</formula>
    </cfRule>
  </conditionalFormatting>
  <conditionalFormatting sqref="P109:AB109">
    <cfRule type="expression" dxfId="1" priority="125">
      <formula>OR($K109="否",$K109="")</formula>
    </cfRule>
  </conditionalFormatting>
  <conditionalFormatting sqref="L110">
    <cfRule type="expression" dxfId="1" priority="82">
      <formula>OR($K110="否",$K110="")</formula>
    </cfRule>
  </conditionalFormatting>
  <conditionalFormatting sqref="M110:O110">
    <cfRule type="expression" dxfId="1" priority="145">
      <formula>OR($K110="否",$K110="")</formula>
    </cfRule>
  </conditionalFormatting>
  <conditionalFormatting sqref="P110:AB110">
    <cfRule type="expression" dxfId="1" priority="124">
      <formula>OR($K110="否",$K110="")</formula>
    </cfRule>
  </conditionalFormatting>
  <conditionalFormatting sqref="L111">
    <cfRule type="expression" dxfId="1" priority="81">
      <formula>OR($K111="否",$K111="")</formula>
    </cfRule>
  </conditionalFormatting>
  <conditionalFormatting sqref="M111:O111">
    <cfRule type="expression" dxfId="1" priority="144">
      <formula>OR($K111="否",$K111="")</formula>
    </cfRule>
  </conditionalFormatting>
  <conditionalFormatting sqref="P111:AB111">
    <cfRule type="expression" dxfId="1" priority="123">
      <formula>OR($K111="否",$K111="")</formula>
    </cfRule>
  </conditionalFormatting>
  <conditionalFormatting sqref="L112">
    <cfRule type="expression" dxfId="1" priority="80">
      <formula>OR($K112="否",$K112="")</formula>
    </cfRule>
  </conditionalFormatting>
  <conditionalFormatting sqref="M112:O112">
    <cfRule type="expression" dxfId="1" priority="143">
      <formula>OR($K112="否",$K112="")</formula>
    </cfRule>
  </conditionalFormatting>
  <conditionalFormatting sqref="P112:AB112">
    <cfRule type="expression" dxfId="1" priority="122">
      <formula>OR($K112="否",$K112="")</formula>
    </cfRule>
  </conditionalFormatting>
  <conditionalFormatting sqref="L113">
    <cfRule type="expression" dxfId="1" priority="79">
      <formula>OR($K113="否",$K113="")</formula>
    </cfRule>
  </conditionalFormatting>
  <conditionalFormatting sqref="M113:O113">
    <cfRule type="expression" dxfId="1" priority="142">
      <formula>OR($K113="否",$K113="")</formula>
    </cfRule>
  </conditionalFormatting>
  <conditionalFormatting sqref="P113:AB113">
    <cfRule type="expression" dxfId="1" priority="121">
      <formula>OR($K113="否",$K113="")</formula>
    </cfRule>
  </conditionalFormatting>
  <conditionalFormatting sqref="L114">
    <cfRule type="expression" dxfId="1" priority="78">
      <formula>OR($K114="否",$K114="")</formula>
    </cfRule>
  </conditionalFormatting>
  <conditionalFormatting sqref="M114:O114">
    <cfRule type="expression" dxfId="1" priority="141">
      <formula>OR($K114="否",$K114="")</formula>
    </cfRule>
  </conditionalFormatting>
  <conditionalFormatting sqref="P114:AB114">
    <cfRule type="expression" dxfId="1" priority="120">
      <formula>OR($K114="否",$K114="")</formula>
    </cfRule>
  </conditionalFormatting>
  <conditionalFormatting sqref="L115">
    <cfRule type="expression" dxfId="1" priority="77">
      <formula>OR($K115="否",$K115="")</formula>
    </cfRule>
  </conditionalFormatting>
  <conditionalFormatting sqref="M115:O115">
    <cfRule type="expression" dxfId="1" priority="140">
      <formula>OR($K115="否",$K115="")</formula>
    </cfRule>
  </conditionalFormatting>
  <conditionalFormatting sqref="P115:AB115">
    <cfRule type="expression" dxfId="1" priority="119">
      <formula>OR($K115="否",$K115="")</formula>
    </cfRule>
  </conditionalFormatting>
  <conditionalFormatting sqref="L116">
    <cfRule type="expression" dxfId="1" priority="76">
      <formula>OR($K116="否",$K116="")</formula>
    </cfRule>
  </conditionalFormatting>
  <conditionalFormatting sqref="M116:O116">
    <cfRule type="expression" dxfId="1" priority="139">
      <formula>OR($K116="否",$K116="")</formula>
    </cfRule>
  </conditionalFormatting>
  <conditionalFormatting sqref="P116:AB116">
    <cfRule type="expression" dxfId="1" priority="118">
      <formula>OR($K116="否",$K116="")</formula>
    </cfRule>
  </conditionalFormatting>
  <conditionalFormatting sqref="L117">
    <cfRule type="expression" dxfId="1" priority="75">
      <formula>OR($K117="否",$K117="")</formula>
    </cfRule>
  </conditionalFormatting>
  <conditionalFormatting sqref="M117:O117">
    <cfRule type="expression" dxfId="1" priority="138">
      <formula>OR($K117="否",$K117="")</formula>
    </cfRule>
  </conditionalFormatting>
  <conditionalFormatting sqref="P117:AB117">
    <cfRule type="expression" dxfId="1" priority="117">
      <formula>OR($K117="否",$K117="")</formula>
    </cfRule>
  </conditionalFormatting>
  <conditionalFormatting sqref="L118">
    <cfRule type="expression" dxfId="1" priority="74">
      <formula>OR($K118="否",$K118="")</formula>
    </cfRule>
  </conditionalFormatting>
  <conditionalFormatting sqref="M118:O118">
    <cfRule type="expression" dxfId="1" priority="137">
      <formula>OR($K118="否",$K118="")</formula>
    </cfRule>
  </conditionalFormatting>
  <conditionalFormatting sqref="P118:AB118">
    <cfRule type="expression" dxfId="1" priority="116">
      <formula>OR($K118="否",$K118="")</formula>
    </cfRule>
  </conditionalFormatting>
  <conditionalFormatting sqref="L119">
    <cfRule type="expression" dxfId="1" priority="73">
      <formula>OR($K119="否",$K119="")</formula>
    </cfRule>
  </conditionalFormatting>
  <conditionalFormatting sqref="M119:O119">
    <cfRule type="expression" dxfId="1" priority="136">
      <formula>OR($K119="否",$K119="")</formula>
    </cfRule>
  </conditionalFormatting>
  <conditionalFormatting sqref="P119:AB119">
    <cfRule type="expression" dxfId="1" priority="115">
      <formula>OR($K119="否",$K119="")</formula>
    </cfRule>
  </conditionalFormatting>
  <conditionalFormatting sqref="L120">
    <cfRule type="expression" dxfId="1" priority="72">
      <formula>OR($K120="否",$K120="")</formula>
    </cfRule>
  </conditionalFormatting>
  <conditionalFormatting sqref="M120:O120">
    <cfRule type="expression" dxfId="1" priority="135">
      <formula>OR($K120="否",$K120="")</formula>
    </cfRule>
  </conditionalFormatting>
  <conditionalFormatting sqref="P120:AB120">
    <cfRule type="expression" dxfId="1" priority="114">
      <formula>OR($K120="否",$K120="")</formula>
    </cfRule>
  </conditionalFormatting>
  <conditionalFormatting sqref="L121">
    <cfRule type="expression" dxfId="1" priority="71">
      <formula>OR($K121="否",$K121="")</formula>
    </cfRule>
  </conditionalFormatting>
  <conditionalFormatting sqref="M121:O121">
    <cfRule type="expression" dxfId="1" priority="134">
      <formula>OR($K121="否",$K121="")</formula>
    </cfRule>
  </conditionalFormatting>
  <conditionalFormatting sqref="P121:AB121">
    <cfRule type="expression" dxfId="1" priority="113">
      <formula>OR($K121="否",$K121="")</formula>
    </cfRule>
  </conditionalFormatting>
  <conditionalFormatting sqref="L122">
    <cfRule type="expression" dxfId="1" priority="70">
      <formula>OR($K122="否",$K122="")</formula>
    </cfRule>
  </conditionalFormatting>
  <conditionalFormatting sqref="M122:O122">
    <cfRule type="expression" dxfId="1" priority="133">
      <formula>OR($K122="否",$K122="")</formula>
    </cfRule>
  </conditionalFormatting>
  <conditionalFormatting sqref="P122:AB122">
    <cfRule type="expression" dxfId="1" priority="112">
      <formula>OR($K122="否",$K122="")</formula>
    </cfRule>
  </conditionalFormatting>
  <conditionalFormatting sqref="L123">
    <cfRule type="expression" dxfId="1" priority="69">
      <formula>OR($K123="否",$K123="")</formula>
    </cfRule>
  </conditionalFormatting>
  <conditionalFormatting sqref="M123:O123">
    <cfRule type="expression" dxfId="1" priority="132">
      <formula>OR($K123="否",$K123="")</formula>
    </cfRule>
  </conditionalFormatting>
  <conditionalFormatting sqref="P123:AB123">
    <cfRule type="expression" dxfId="1" priority="111">
      <formula>OR($K123="否",$K123="")</formula>
    </cfRule>
  </conditionalFormatting>
  <conditionalFormatting sqref="L124">
    <cfRule type="expression" dxfId="1" priority="68">
      <formula>OR($K124="否",$K124="")</formula>
    </cfRule>
  </conditionalFormatting>
  <conditionalFormatting sqref="M124:O124">
    <cfRule type="expression" dxfId="1" priority="131">
      <formula>OR($K124="否",$K124="")</formula>
    </cfRule>
  </conditionalFormatting>
  <conditionalFormatting sqref="P124:AB124">
    <cfRule type="expression" dxfId="1" priority="110">
      <formula>OR($K124="否",$K124="")</formula>
    </cfRule>
  </conditionalFormatting>
  <conditionalFormatting sqref="L125">
    <cfRule type="expression" dxfId="1" priority="67">
      <formula>OR($K125="否",$K125="")</formula>
    </cfRule>
  </conditionalFormatting>
  <conditionalFormatting sqref="M125:O125">
    <cfRule type="expression" dxfId="1" priority="130">
      <formula>OR($K125="否",$K125="")</formula>
    </cfRule>
  </conditionalFormatting>
  <conditionalFormatting sqref="P125:AB125">
    <cfRule type="expression" dxfId="1" priority="109">
      <formula>OR($K125="否",$K125="")</formula>
    </cfRule>
  </conditionalFormatting>
  <conditionalFormatting sqref="L126">
    <cfRule type="expression" dxfId="1" priority="66">
      <formula>OR($K126="否",$K126="")</formula>
    </cfRule>
  </conditionalFormatting>
  <conditionalFormatting sqref="M126:O126">
    <cfRule type="expression" dxfId="1" priority="129">
      <formula>OR($K126="否",$K126="")</formula>
    </cfRule>
  </conditionalFormatting>
  <conditionalFormatting sqref="P126:AB126">
    <cfRule type="expression" dxfId="1" priority="108">
      <formula>OR($K126="否",$K126="")</formula>
    </cfRule>
  </conditionalFormatting>
  <conditionalFormatting sqref="L127">
    <cfRule type="expression" dxfId="1" priority="65">
      <formula>OR($K127="否",$K127="")</formula>
    </cfRule>
  </conditionalFormatting>
  <conditionalFormatting sqref="M127:O127">
    <cfRule type="expression" dxfId="1" priority="128">
      <formula>OR($K127="否",$K127="")</formula>
    </cfRule>
  </conditionalFormatting>
  <conditionalFormatting sqref="P127:AB127">
    <cfRule type="expression" dxfId="1" priority="107">
      <formula>OR($K127="否",$K127="")</formula>
    </cfRule>
  </conditionalFormatting>
  <conditionalFormatting sqref="L128">
    <cfRule type="expression" dxfId="1" priority="64">
      <formula>OR($K128="否",$K128="")</formula>
    </cfRule>
  </conditionalFormatting>
  <conditionalFormatting sqref="M128:O128">
    <cfRule type="expression" dxfId="1" priority="127">
      <formula>OR($K128="否",$K128="")</formula>
    </cfRule>
  </conditionalFormatting>
  <conditionalFormatting sqref="P128:AB128">
    <cfRule type="expression" dxfId="1" priority="106">
      <formula>OR($K128="否",$K128="")</formula>
    </cfRule>
  </conditionalFormatting>
  <conditionalFormatting sqref="B6:B128">
    <cfRule type="duplicateValues" dxfId="0" priority="296"/>
  </conditionalFormatting>
  <conditionalFormatting sqref="L7:L36">
    <cfRule type="expression" dxfId="1" priority="207">
      <formula>OR($K7="否",$K7="")</formula>
    </cfRule>
  </conditionalFormatting>
  <conditionalFormatting sqref="L38:L39">
    <cfRule type="expression" dxfId="1" priority="206">
      <formula>OR($K38="否",$K38="")</formula>
    </cfRule>
  </conditionalFormatting>
  <conditionalFormatting sqref="L41:L60">
    <cfRule type="expression" dxfId="1" priority="205">
      <formula>OR($K41="否",$K41="")</formula>
    </cfRule>
  </conditionalFormatting>
  <conditionalFormatting sqref="L62:L65">
    <cfRule type="expression" dxfId="1" priority="204">
      <formula>OR($K62="否",$K62="")</formula>
    </cfRule>
  </conditionalFormatting>
  <conditionalFormatting sqref="L66:L67">
    <cfRule type="expression" dxfId="1" priority="6">
      <formula>OR($K66="否",$K66="")</formula>
    </cfRule>
  </conditionalFormatting>
  <conditionalFormatting sqref="M38:M39">
    <cfRule type="expression" dxfId="1" priority="12">
      <formula>OR($K38="否",$K38="")</formula>
    </cfRule>
  </conditionalFormatting>
  <conditionalFormatting sqref="T7:T77">
    <cfRule type="expression" dxfId="1" priority="1">
      <formula>OR($K7="否",$K7="")</formula>
    </cfRule>
  </conditionalFormatting>
  <conditionalFormatting sqref="L6:R6 V6:AB15 M7:R15">
    <cfRule type="expression" dxfId="1" priority="295">
      <formula>OR($K6="否",$K6="")</formula>
    </cfRule>
  </conditionalFormatting>
  <conditionalFormatting sqref="S6:U6 S7:S67 U7:U67">
    <cfRule type="expression" dxfId="1" priority="5">
      <formula>OR($K6="否",$K6="")</formula>
    </cfRule>
  </conditionalFormatting>
  <conditionalFormatting sqref="M16:R16 V16:AB16">
    <cfRule type="expression" dxfId="1" priority="294">
      <formula>OR($K16="否",$K16="")</formula>
    </cfRule>
  </conditionalFormatting>
  <conditionalFormatting sqref="M17:R17 V17:AB17">
    <cfRule type="expression" dxfId="1" priority="293">
      <formula>OR($K17="否",$K17="")</formula>
    </cfRule>
  </conditionalFormatting>
  <conditionalFormatting sqref="M18:R18 V18:AB18">
    <cfRule type="expression" dxfId="1" priority="292">
      <formula>OR($K18="否",$K18="")</formula>
    </cfRule>
  </conditionalFormatting>
  <conditionalFormatting sqref="M19:R19 V19:AB19">
    <cfRule type="expression" dxfId="1" priority="291">
      <formula>OR($K19="否",$K19="")</formula>
    </cfRule>
  </conditionalFormatting>
  <conditionalFormatting sqref="M20:R20 V20:AB20">
    <cfRule type="expression" dxfId="1" priority="290">
      <formula>OR($K20="否",$K20="")</formula>
    </cfRule>
  </conditionalFormatting>
  <conditionalFormatting sqref="M21:R21 V21:AB21">
    <cfRule type="expression" dxfId="1" priority="289">
      <formula>OR($K21="否",$K21="")</formula>
    </cfRule>
  </conditionalFormatting>
  <conditionalFormatting sqref="M22:R22 V22:AB22">
    <cfRule type="expression" dxfId="1" priority="288">
      <formula>OR($K22="否",$K22="")</formula>
    </cfRule>
  </conditionalFormatting>
  <conditionalFormatting sqref="M23:R23 V23:AB23">
    <cfRule type="expression" dxfId="1" priority="287">
      <formula>OR($K23="否",$K23="")</formula>
    </cfRule>
  </conditionalFormatting>
  <conditionalFormatting sqref="M24:R24 V24:AB24">
    <cfRule type="expression" dxfId="1" priority="286">
      <formula>OR($K24="否",$K24="")</formula>
    </cfRule>
  </conditionalFormatting>
  <conditionalFormatting sqref="M25:R25 V25:AB25">
    <cfRule type="expression" dxfId="1" priority="285">
      <formula>OR($K25="否",$K25="")</formula>
    </cfRule>
  </conditionalFormatting>
  <conditionalFormatting sqref="M26:R26 V26:AB26">
    <cfRule type="expression" dxfId="1" priority="284">
      <formula>OR($K26="否",$K26="")</formula>
    </cfRule>
  </conditionalFormatting>
  <conditionalFormatting sqref="M27:R27 V27:AB27">
    <cfRule type="expression" dxfId="1" priority="283">
      <formula>OR($K27="否",$K27="")</formula>
    </cfRule>
  </conditionalFormatting>
  <conditionalFormatting sqref="M28:R28 V28:AB28">
    <cfRule type="expression" dxfId="1" priority="282">
      <formula>OR($K28="否",$K28="")</formula>
    </cfRule>
  </conditionalFormatting>
  <conditionalFormatting sqref="M29:R29 V29:AB29">
    <cfRule type="expression" dxfId="1" priority="281">
      <formula>OR($K29="否",$K29="")</formula>
    </cfRule>
  </conditionalFormatting>
  <conditionalFormatting sqref="M30:R30 V30:AB30">
    <cfRule type="expression" dxfId="1" priority="280">
      <formula>OR($K30="否",$K30="")</formula>
    </cfRule>
  </conditionalFormatting>
  <conditionalFormatting sqref="M31:R31 V31:AB31">
    <cfRule type="expression" dxfId="1" priority="279">
      <formula>OR($K31="否",$K31="")</formula>
    </cfRule>
  </conditionalFormatting>
  <conditionalFormatting sqref="M32:R32 V32:AB32">
    <cfRule type="expression" dxfId="1" priority="278">
      <formula>OR($K32="否",$K32="")</formula>
    </cfRule>
  </conditionalFormatting>
  <conditionalFormatting sqref="M33:R33 V33:AB33">
    <cfRule type="expression" dxfId="1" priority="277">
      <formula>OR($K33="否",$K33="")</formula>
    </cfRule>
  </conditionalFormatting>
  <conditionalFormatting sqref="M34:R34 V34:AB34">
    <cfRule type="expression" dxfId="1" priority="276">
      <formula>OR($K34="否",$K34="")</formula>
    </cfRule>
  </conditionalFormatting>
  <conditionalFormatting sqref="M35:R35 V35:AB35">
    <cfRule type="expression" dxfId="1" priority="275">
      <formula>OR($K35="否",$K35="")</formula>
    </cfRule>
  </conditionalFormatting>
  <conditionalFormatting sqref="M36:R36 V36:AB36">
    <cfRule type="expression" dxfId="1" priority="274">
      <formula>OR($K36="否",$K36="")</formula>
    </cfRule>
  </conditionalFormatting>
  <conditionalFormatting sqref="L37 N37:R37 V37:AB37">
    <cfRule type="expression" dxfId="1" priority="273">
      <formula>OR($K37="否",$K37="")</formula>
    </cfRule>
  </conditionalFormatting>
  <conditionalFormatting sqref="N38:R38 V38:AB38">
    <cfRule type="expression" dxfId="1" priority="272">
      <formula>OR($K38="否",$K38="")</formula>
    </cfRule>
  </conditionalFormatting>
  <conditionalFormatting sqref="N39:R39 V39:AB39">
    <cfRule type="expression" dxfId="1" priority="271">
      <formula>OR($K39="否",$K39="")</formula>
    </cfRule>
  </conditionalFormatting>
  <conditionalFormatting sqref="L40 N40:R40 V40:AB40 P61:Q61">
    <cfRule type="expression" dxfId="1" priority="270">
      <formula>OR($K40="否",$K40="")</formula>
    </cfRule>
  </conditionalFormatting>
  <conditionalFormatting sqref="M41:R41 V41:AB41">
    <cfRule type="expression" dxfId="1" priority="269">
      <formula>OR($K41="否",$K41="")</formula>
    </cfRule>
  </conditionalFormatting>
  <conditionalFormatting sqref="M42:R42 V42:AB42">
    <cfRule type="expression" dxfId="1" priority="268">
      <formula>OR($K42="否",$K42="")</formula>
    </cfRule>
  </conditionalFormatting>
  <conditionalFormatting sqref="M43:R43 V43:AB43">
    <cfRule type="expression" dxfId="1" priority="267">
      <formula>OR($K43="否",$K43="")</formula>
    </cfRule>
  </conditionalFormatting>
  <conditionalFormatting sqref="M44:R44 V44:AB44">
    <cfRule type="expression" dxfId="1" priority="266">
      <formula>OR($K44="否",$K44="")</formula>
    </cfRule>
  </conditionalFormatting>
  <conditionalFormatting sqref="M45:R45 V45:AB45">
    <cfRule type="expression" dxfId="1" priority="265">
      <formula>OR($K45="否",$K45="")</formula>
    </cfRule>
  </conditionalFormatting>
  <conditionalFormatting sqref="M46:R46 V46:AB46">
    <cfRule type="expression" dxfId="1" priority="264">
      <formula>OR($K46="否",$K46="")</formula>
    </cfRule>
  </conditionalFormatting>
  <conditionalFormatting sqref="M47:R47 V47:AB47">
    <cfRule type="expression" dxfId="1" priority="263">
      <formula>OR($K47="否",$K47="")</formula>
    </cfRule>
  </conditionalFormatting>
  <conditionalFormatting sqref="M48:R48 V48:AB48">
    <cfRule type="expression" dxfId="1" priority="262">
      <formula>OR($K48="否",$K48="")</formula>
    </cfRule>
  </conditionalFormatting>
  <conditionalFormatting sqref="M49:R49 V49:AB49">
    <cfRule type="expression" dxfId="1" priority="261">
      <formula>OR($K49="否",$K49="")</formula>
    </cfRule>
  </conditionalFormatting>
  <conditionalFormatting sqref="M50:R50 V50:AB50">
    <cfRule type="expression" dxfId="1" priority="260">
      <formula>OR($K50="否",$K50="")</formula>
    </cfRule>
  </conditionalFormatting>
  <conditionalFormatting sqref="M51:R51 V51:AB51">
    <cfRule type="expression" dxfId="1" priority="259">
      <formula>OR($K51="否",$K51="")</formula>
    </cfRule>
  </conditionalFormatting>
  <conditionalFormatting sqref="M52:R52 V52:AB52">
    <cfRule type="expression" dxfId="1" priority="258">
      <formula>OR($K52="否",$K52="")</formula>
    </cfRule>
  </conditionalFormatting>
  <conditionalFormatting sqref="M53:R53 V53:AB53">
    <cfRule type="expression" dxfId="1" priority="257">
      <formula>OR($K53="否",$K53="")</formula>
    </cfRule>
  </conditionalFormatting>
  <conditionalFormatting sqref="M54:R54 V54:AB54">
    <cfRule type="expression" dxfId="1" priority="256">
      <formula>OR($K54="否",$K54="")</formula>
    </cfRule>
  </conditionalFormatting>
  <conditionalFormatting sqref="M55:R55 V55:AB55">
    <cfRule type="expression" dxfId="1" priority="255">
      <formula>OR($K55="否",$K55="")</formula>
    </cfRule>
  </conditionalFormatting>
  <conditionalFormatting sqref="M56:R56 V56:AB56">
    <cfRule type="expression" dxfId="1" priority="254">
      <formula>OR($K56="否",$K56="")</formula>
    </cfRule>
  </conditionalFormatting>
  <conditionalFormatting sqref="M57:R57 V57:AB57">
    <cfRule type="expression" dxfId="1" priority="253">
      <formula>OR($K57="否",$K57="")</formula>
    </cfRule>
  </conditionalFormatting>
  <conditionalFormatting sqref="M58:R58 V58:AB58 M59:O60 N61:O61 M62:O107">
    <cfRule type="expression" dxfId="1" priority="252">
      <formula>OR($K58="否",$K58="")</formula>
    </cfRule>
  </conditionalFormatting>
  <conditionalFormatting sqref="P59:R59 V59:AB59">
    <cfRule type="expression" dxfId="1" priority="251">
      <formula>OR($K59="否",$K59="")</formula>
    </cfRule>
  </conditionalFormatting>
  <conditionalFormatting sqref="P60:R60 V60:AB60">
    <cfRule type="expression" dxfId="1" priority="250">
      <formula>OR($K60="否",$K60="")</formula>
    </cfRule>
  </conditionalFormatting>
  <conditionalFormatting sqref="L61 R61 V61:AB61">
    <cfRule type="expression" dxfId="1" priority="249">
      <formula>OR($K61="否",$K61="")</formula>
    </cfRule>
  </conditionalFormatting>
  <conditionalFormatting sqref="P62:R62 V62:AB62">
    <cfRule type="expression" dxfId="1" priority="248">
      <formula>OR($K62="否",$K62="")</formula>
    </cfRule>
  </conditionalFormatting>
  <conditionalFormatting sqref="P63:R63 V63:AB63">
    <cfRule type="expression" dxfId="1" priority="247">
      <formula>OR($K63="否",$K63="")</formula>
    </cfRule>
  </conditionalFormatting>
  <conditionalFormatting sqref="P64:R64 V64:AB64">
    <cfRule type="expression" dxfId="1" priority="242">
      <formula>OR($K64="否",$K64="")</formula>
    </cfRule>
  </conditionalFormatting>
  <conditionalFormatting sqref="P65:R65 V65:AB65">
    <cfRule type="expression" dxfId="1" priority="241">
      <formula>OR($K65="否",$K65="")</formula>
    </cfRule>
  </conditionalFormatting>
  <conditionalFormatting sqref="P66:R77 V66:AB67 L68:L77">
    <cfRule type="expression" dxfId="1" priority="240">
      <formula>OR($K66="否",$K66="")</formula>
    </cfRule>
  </conditionalFormatting>
  <conditionalFormatting sqref="S68:S77 U68:AB77">
    <cfRule type="expression" dxfId="1" priority="14">
      <formula>OR($K68="否",$K68="")</formula>
    </cfRule>
  </conditionalFormatting>
  <conditionalFormatting sqref="L78 P78:AB78">
    <cfRule type="expression" dxfId="1" priority="239">
      <formula>OR($K78="否",$K78="")</formula>
    </cfRule>
  </conditionalFormatting>
  <dataValidations count="4">
    <dataValidation type="list" allowBlank="1" showInputMessage="1" showErrorMessage="1" sqref="D110 D115 D1:D2 D6:D67 D79:D81 D89:D90 D103:D104 D122:D124 D129:D1048576">
      <formula1>OFFSET(数据对照表!$U$2,,,COUNTA(数据对照表!$U:$U)-1,1)</formula1>
    </dataValidation>
    <dataValidation type="list" allowBlank="1" showInputMessage="1" showErrorMessage="1" sqref="L1:L2 L6:L1048576">
      <formula1>OFFSET(数据对照表!$AE$2,,,COUNTA(数据对照表!$AE:$AE)-1,1)</formula1>
    </dataValidation>
    <dataValidation type="list" allowBlank="1" showInputMessage="1" showErrorMessage="1" sqref="S1:AB2 S6:AB1048576">
      <formula1>OFFSET('附表4-项目间分摊信息采集表'!$B$5,,,COUNTA('附表4-项目间分摊信息采集表'!$B:$B)-2,1)</formula1>
    </dataValidation>
    <dataValidation type="list" allowBlank="1" showInputMessage="1" showErrorMessage="1" sqref="I1:K2 I6:K1048576">
      <formula1>"是,否"</formula1>
    </dataValidation>
  </dataValidations>
  <printOptions horizontalCentered="1"/>
  <pageMargins left="0.747916666666667" right="0.747916666666667" top="0.984027777777778" bottom="0.984027777777778" header="0.511805555555556" footer="0.511805555555556"/>
  <pageSetup paperSize="9" scale="32" fitToHeight="0" orientation="landscape"/>
  <headerFooter>
    <oddFooter>&amp;C第 &amp;P 页，共 &amp;N 页</oddFooter>
  </headerFooter>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2">
    <pageSetUpPr fitToPage="1"/>
  </sheetPr>
  <dimension ref="A1:U26"/>
  <sheetViews>
    <sheetView zoomScale="85" zoomScaleNormal="85" workbookViewId="0">
      <selection activeCell="I4" sqref="I4:I6"/>
    </sheetView>
  </sheetViews>
  <sheetFormatPr defaultColWidth="7" defaultRowHeight="15.65"/>
  <cols>
    <col min="1" max="1" width="8.88405797101449" style="47" customWidth="1"/>
    <col min="2" max="2" width="14.1159420289855" style="47" customWidth="1"/>
    <col min="3" max="10" width="9.61594202898551" style="43" customWidth="1"/>
    <col min="11" max="11" width="11.3840579710145" style="43" customWidth="1"/>
    <col min="12" max="17" width="9.61594202898551" style="47" customWidth="1"/>
    <col min="18" max="19" width="9.61594202898551" style="43" customWidth="1"/>
    <col min="20" max="20" width="9.61594202898551" style="49" customWidth="1"/>
    <col min="21" max="21" width="9.61594202898551" style="50" customWidth="1"/>
    <col min="22" max="16384" width="7" style="51"/>
  </cols>
  <sheetData>
    <row r="1" s="43" customFormat="1" ht="24" customHeight="1" spans="1:21">
      <c r="A1" s="52" t="s">
        <v>3202</v>
      </c>
      <c r="B1" s="52"/>
      <c r="C1" s="52"/>
      <c r="D1" s="52"/>
      <c r="E1" s="52"/>
      <c r="F1" s="52"/>
      <c r="G1" s="52"/>
      <c r="H1" s="52"/>
      <c r="I1" s="52"/>
      <c r="J1" s="52"/>
      <c r="K1" s="52"/>
      <c r="L1" s="52"/>
      <c r="M1" s="52"/>
      <c r="N1" s="52"/>
      <c r="O1" s="52"/>
      <c r="P1" s="52"/>
      <c r="Q1" s="52"/>
      <c r="R1" s="52"/>
      <c r="S1" s="52"/>
      <c r="T1" s="52"/>
      <c r="U1" s="52"/>
    </row>
    <row r="2" s="43" customFormat="1" ht="24" customHeight="1" spans="1:21">
      <c r="A2" s="53" t="str">
        <f>土地增值税税源明细表!F5&amp;"："&amp;土地增值税税源明细表!H5&amp;"          "&amp;土地增值税税源明细表!A5&amp;"："&amp;土地增值税税源明细表!B5</f>
        <v>项目编码：Z65280120200027          项目名称：沁春锦苑二期</v>
      </c>
      <c r="B2" s="53"/>
      <c r="C2" s="53"/>
      <c r="D2" s="53"/>
      <c r="E2" s="53"/>
      <c r="F2" s="53"/>
      <c r="G2" s="53"/>
      <c r="H2" s="53"/>
      <c r="I2" s="53"/>
      <c r="J2" s="53"/>
      <c r="K2" s="53"/>
      <c r="L2" s="53"/>
      <c r="M2" s="53"/>
      <c r="N2" s="53"/>
      <c r="O2" s="53"/>
      <c r="P2" s="53"/>
      <c r="Q2" s="53"/>
      <c r="R2" s="53"/>
      <c r="S2" s="53"/>
      <c r="T2" s="53"/>
      <c r="U2" s="53"/>
    </row>
    <row r="3" s="44" customFormat="1" ht="24" customHeight="1" spans="1:21">
      <c r="A3" s="54" t="s">
        <v>3203</v>
      </c>
      <c r="B3" s="55"/>
      <c r="C3" s="55"/>
      <c r="D3" s="55"/>
      <c r="E3" s="55"/>
      <c r="F3" s="55"/>
      <c r="G3" s="55"/>
      <c r="H3" s="55"/>
      <c r="I3" s="55"/>
      <c r="J3" s="55"/>
      <c r="K3" s="55"/>
      <c r="L3" s="55"/>
      <c r="M3" s="55"/>
      <c r="N3" s="55"/>
      <c r="O3" s="55"/>
      <c r="P3" s="55"/>
      <c r="Q3" s="55"/>
      <c r="R3" s="55"/>
      <c r="S3" s="55"/>
      <c r="T3" s="55"/>
      <c r="U3" s="55"/>
    </row>
    <row r="4" s="45" customFormat="1" ht="24" customHeight="1" spans="1:21">
      <c r="A4" s="56" t="s">
        <v>3204</v>
      </c>
      <c r="B4" s="56" t="s">
        <v>3205</v>
      </c>
      <c r="C4" s="57" t="str">
        <f>"*"&amp;数据对照表!E2</f>
        <v>*桩基础工程费用</v>
      </c>
      <c r="D4" s="58" t="str">
        <f>"*"&amp;数据对照表!E3</f>
        <v>*地下室工程费用</v>
      </c>
      <c r="E4" s="58" t="str">
        <f>"*"&amp;数据对照表!E4</f>
        <v>*地上建筑工程费用</v>
      </c>
      <c r="F4" s="58" t="str">
        <f>"*"&amp;数据对照表!E5</f>
        <v>*户内装修费用</v>
      </c>
      <c r="G4" s="58" t="str">
        <f>"*"&amp;数据对照表!E6</f>
        <v>*高档外立面工程费用</v>
      </c>
      <c r="H4" s="58" t="str">
        <f>"*"&amp;数据对照表!F11</f>
        <v>*绿化费用</v>
      </c>
      <c r="I4" s="58" t="str">
        <f>"*"&amp;数据对照表!D3</f>
        <v>*设计费用</v>
      </c>
      <c r="J4" s="58" t="str">
        <f>数据对照表!F2</f>
        <v>开发小区内道路工程支出</v>
      </c>
      <c r="K4" s="58" t="s">
        <v>3206</v>
      </c>
      <c r="L4" s="58" t="s">
        <v>3207</v>
      </c>
      <c r="M4" s="58" t="s">
        <v>3208</v>
      </c>
      <c r="N4" s="58" t="s">
        <v>3209</v>
      </c>
      <c r="O4" s="74" t="s">
        <v>3210</v>
      </c>
      <c r="P4" s="58" t="s">
        <v>3211</v>
      </c>
      <c r="Q4" s="58" t="s">
        <v>3212</v>
      </c>
      <c r="R4" s="74" t="s">
        <v>3213</v>
      </c>
      <c r="S4" s="58" t="s">
        <v>3214</v>
      </c>
      <c r="T4" s="58" t="s">
        <v>3215</v>
      </c>
      <c r="U4" s="58" t="s">
        <v>3216</v>
      </c>
    </row>
    <row r="5" s="46" customFormat="1" ht="24" customHeight="1" spans="1:21">
      <c r="A5" s="56"/>
      <c r="B5" s="56"/>
      <c r="C5" s="59"/>
      <c r="D5" s="58"/>
      <c r="E5" s="58"/>
      <c r="F5" s="58"/>
      <c r="G5" s="58"/>
      <c r="H5" s="58"/>
      <c r="I5" s="58"/>
      <c r="J5" s="58"/>
      <c r="K5" s="58"/>
      <c r="L5" s="58"/>
      <c r="M5" s="58"/>
      <c r="N5" s="58"/>
      <c r="O5" s="74"/>
      <c r="P5" s="58"/>
      <c r="Q5" s="58"/>
      <c r="R5" s="74"/>
      <c r="S5" s="58"/>
      <c r="T5" s="58"/>
      <c r="U5" s="58"/>
    </row>
    <row r="6" s="46" customFormat="1" ht="39" customHeight="1" spans="1:21">
      <c r="A6" s="56"/>
      <c r="B6" s="56"/>
      <c r="C6" s="60"/>
      <c r="D6" s="58"/>
      <c r="E6" s="58"/>
      <c r="F6" s="58"/>
      <c r="G6" s="58"/>
      <c r="H6" s="58"/>
      <c r="I6" s="58"/>
      <c r="J6" s="58"/>
      <c r="K6" s="58"/>
      <c r="L6" s="58"/>
      <c r="M6" s="58"/>
      <c r="N6" s="58"/>
      <c r="O6" s="74"/>
      <c r="P6" s="58"/>
      <c r="Q6" s="58"/>
      <c r="R6" s="74"/>
      <c r="S6" s="58"/>
      <c r="T6" s="58"/>
      <c r="U6" s="58"/>
    </row>
    <row r="7" s="46" customFormat="1" ht="24" customHeight="1" spans="1:21">
      <c r="A7" s="56"/>
      <c r="B7" s="56"/>
      <c r="C7" s="577" t="s">
        <v>42</v>
      </c>
      <c r="D7" s="577" t="s">
        <v>45</v>
      </c>
      <c r="E7" s="577" t="s">
        <v>48</v>
      </c>
      <c r="F7" s="577" t="s">
        <v>92</v>
      </c>
      <c r="G7" s="577" t="s">
        <v>95</v>
      </c>
      <c r="H7" s="577" t="s">
        <v>99</v>
      </c>
      <c r="I7" s="577" t="s">
        <v>102</v>
      </c>
      <c r="J7" s="577" t="s">
        <v>105</v>
      </c>
      <c r="K7" s="577" t="s">
        <v>110</v>
      </c>
      <c r="L7" s="577" t="s">
        <v>113</v>
      </c>
      <c r="M7" s="577" t="s">
        <v>117</v>
      </c>
      <c r="N7" s="577" t="s">
        <v>120</v>
      </c>
      <c r="O7" s="577" t="s">
        <v>123</v>
      </c>
      <c r="P7" s="577" t="s">
        <v>290</v>
      </c>
      <c r="Q7" s="577" t="s">
        <v>291</v>
      </c>
      <c r="R7" s="577" t="s">
        <v>316</v>
      </c>
      <c r="S7" s="577" t="s">
        <v>317</v>
      </c>
      <c r="T7" s="577" t="s">
        <v>318</v>
      </c>
      <c r="U7" s="577" t="s">
        <v>320</v>
      </c>
    </row>
    <row r="8" s="47" customFormat="1" ht="24" customHeight="1" spans="1:21">
      <c r="A8" s="61" t="s">
        <v>3217</v>
      </c>
      <c r="B8" s="62" t="s">
        <v>3218</v>
      </c>
      <c r="C8" s="63" t="s">
        <v>3219</v>
      </c>
      <c r="D8" s="63" t="s">
        <v>3219</v>
      </c>
      <c r="E8" s="63" t="s">
        <v>3219</v>
      </c>
      <c r="F8" s="63" t="s">
        <v>3219</v>
      </c>
      <c r="G8" s="63" t="s">
        <v>3219</v>
      </c>
      <c r="H8" s="63" t="s">
        <v>3219</v>
      </c>
      <c r="I8" s="63" t="s">
        <v>3219</v>
      </c>
      <c r="J8" s="63" t="s">
        <v>3219</v>
      </c>
      <c r="K8" s="63" t="s">
        <v>3017</v>
      </c>
      <c r="L8" s="63" t="s">
        <v>3017</v>
      </c>
      <c r="M8" s="63" t="s">
        <v>3017</v>
      </c>
      <c r="N8" s="63" t="s">
        <v>3017</v>
      </c>
      <c r="O8" s="63" t="s">
        <v>3017</v>
      </c>
      <c r="P8" s="63" t="s">
        <v>3017</v>
      </c>
      <c r="Q8" s="63" t="s">
        <v>3017</v>
      </c>
      <c r="R8" s="63" t="s">
        <v>3017</v>
      </c>
      <c r="S8" s="63" t="s">
        <v>3017</v>
      </c>
      <c r="T8" s="63" t="s">
        <v>3017</v>
      </c>
      <c r="U8" s="63" t="s">
        <v>3017</v>
      </c>
    </row>
    <row r="9" s="48" customFormat="1" ht="24" customHeight="1" spans="1:21">
      <c r="A9" s="61"/>
      <c r="B9" s="64" t="s">
        <v>3220</v>
      </c>
      <c r="C9" s="65">
        <f>'附表1-面积统计表'!D29</f>
        <v>53048.66</v>
      </c>
      <c r="D9" s="65">
        <f>SUMIFS('附表6-收入明细采集底稿'!P:P,'附表6-收入明细采集底稿'!D:D,"&lt;0")</f>
        <v>0</v>
      </c>
      <c r="E9" s="65">
        <f>SUMIFS('附表6-收入明细采集底稿'!P:P,'附表6-收入明细采集底稿'!D:D,"&gt;0")</f>
        <v>0</v>
      </c>
      <c r="F9" s="65" t="s">
        <v>3017</v>
      </c>
      <c r="G9" s="65" t="s">
        <v>3017</v>
      </c>
      <c r="H9" s="63">
        <f>SUM(清算项目基本情况表!D9)*SUM(清算项目基本情况表!D10)</f>
        <v>13181.189</v>
      </c>
      <c r="I9" s="63">
        <f>'附表1-面积统计表'!D29</f>
        <v>53048.66</v>
      </c>
      <c r="J9" s="63" t="s">
        <v>3017</v>
      </c>
      <c r="K9" s="63" t="s">
        <v>3017</v>
      </c>
      <c r="L9" s="63" t="s">
        <v>3017</v>
      </c>
      <c r="M9" s="63" t="s">
        <v>3017</v>
      </c>
      <c r="N9" s="63" t="s">
        <v>3017</v>
      </c>
      <c r="O9" s="63" t="s">
        <v>3017</v>
      </c>
      <c r="P9" s="63" t="s">
        <v>3017</v>
      </c>
      <c r="Q9" s="63" t="s">
        <v>3017</v>
      </c>
      <c r="R9" s="63" t="s">
        <v>3017</v>
      </c>
      <c r="S9" s="63" t="s">
        <v>3017</v>
      </c>
      <c r="T9" s="63" t="s">
        <v>3017</v>
      </c>
      <c r="U9" s="63" t="s">
        <v>3017</v>
      </c>
    </row>
    <row r="10" s="48" customFormat="1" ht="24" customHeight="1" spans="1:21">
      <c r="A10" s="61"/>
      <c r="B10" s="64" t="s">
        <v>3221</v>
      </c>
      <c r="C10" s="65">
        <f>'附表5-扣除项目统计表'!M30</f>
        <v>0</v>
      </c>
      <c r="D10" s="65">
        <f>'附表5-扣除项目统计表'!M31</f>
        <v>0</v>
      </c>
      <c r="E10" s="65">
        <f>'附表5-扣除项目统计表'!M32</f>
        <v>123347972.83</v>
      </c>
      <c r="F10" s="65">
        <f>'附表5-扣除项目统计表'!M33</f>
        <v>0</v>
      </c>
      <c r="G10" s="65">
        <f>'附表5-扣除项目统计表'!M34</f>
        <v>0</v>
      </c>
      <c r="H10" s="63">
        <f>'附表5-扣除项目统计表'!M46</f>
        <v>3918601.64</v>
      </c>
      <c r="I10" s="63">
        <f>'附表5-扣除项目统计表'!M21</f>
        <v>910294.56</v>
      </c>
      <c r="J10" s="63">
        <f>'附表5-扣除项目统计表'!M37</f>
        <v>4025889.81</v>
      </c>
      <c r="K10" s="63" t="s">
        <v>3017</v>
      </c>
      <c r="L10" s="63" t="s">
        <v>3017</v>
      </c>
      <c r="M10" s="63" t="s">
        <v>3017</v>
      </c>
      <c r="N10" s="63" t="s">
        <v>3017</v>
      </c>
      <c r="O10" s="63" t="s">
        <v>3017</v>
      </c>
      <c r="P10" s="63" t="s">
        <v>3017</v>
      </c>
      <c r="Q10" s="63" t="s">
        <v>3017</v>
      </c>
      <c r="R10" s="63" t="s">
        <v>3017</v>
      </c>
      <c r="S10" s="63" t="s">
        <v>3017</v>
      </c>
      <c r="T10" s="63" t="s">
        <v>3017</v>
      </c>
      <c r="U10" s="63" t="s">
        <v>3017</v>
      </c>
    </row>
    <row r="11" s="48" customFormat="1" ht="24" customHeight="1" spans="1:21">
      <c r="A11" s="61"/>
      <c r="B11" s="64" t="s">
        <v>3222</v>
      </c>
      <c r="C11" s="65">
        <f t="shared" ref="C11:U11" si="0">IF(SUM(C9)=0,"",ROUND((SUM(C10)/SUM(C9)),2))</f>
        <v>0</v>
      </c>
      <c r="D11" s="65" t="str">
        <f t="shared" si="0"/>
        <v/>
      </c>
      <c r="E11" s="65" t="str">
        <f t="shared" si="0"/>
        <v/>
      </c>
      <c r="F11" s="65" t="str">
        <f t="shared" si="0"/>
        <v/>
      </c>
      <c r="G11" s="65" t="str">
        <f t="shared" si="0"/>
        <v/>
      </c>
      <c r="H11" s="65">
        <f t="shared" si="0"/>
        <v>297.29</v>
      </c>
      <c r="I11" s="65">
        <f t="shared" si="0"/>
        <v>17.16</v>
      </c>
      <c r="J11" s="65" t="str">
        <f t="shared" si="0"/>
        <v/>
      </c>
      <c r="K11" s="65" t="str">
        <f t="shared" si="0"/>
        <v/>
      </c>
      <c r="L11" s="65" t="str">
        <f t="shared" si="0"/>
        <v/>
      </c>
      <c r="M11" s="65" t="str">
        <f t="shared" si="0"/>
        <v/>
      </c>
      <c r="N11" s="65" t="str">
        <f t="shared" si="0"/>
        <v/>
      </c>
      <c r="O11" s="65" t="str">
        <f t="shared" si="0"/>
        <v/>
      </c>
      <c r="P11" s="65" t="str">
        <f t="shared" si="0"/>
        <v/>
      </c>
      <c r="Q11" s="65" t="str">
        <f t="shared" si="0"/>
        <v/>
      </c>
      <c r="R11" s="65" t="str">
        <f t="shared" si="0"/>
        <v/>
      </c>
      <c r="S11" s="65" t="str">
        <f t="shared" si="0"/>
        <v/>
      </c>
      <c r="T11" s="65" t="str">
        <f t="shared" si="0"/>
        <v/>
      </c>
      <c r="U11" s="65" t="str">
        <f t="shared" si="0"/>
        <v/>
      </c>
    </row>
    <row r="12" s="46" customFormat="1" ht="24" customHeight="1" spans="1:21">
      <c r="A12" s="66" t="s">
        <v>3223</v>
      </c>
      <c r="B12" s="66"/>
      <c r="C12" s="66"/>
      <c r="D12" s="66"/>
      <c r="E12" s="66"/>
      <c r="F12" s="66"/>
      <c r="G12" s="66"/>
      <c r="H12" s="66"/>
      <c r="I12" s="66"/>
      <c r="J12" s="66"/>
      <c r="K12" s="66"/>
      <c r="L12" s="66"/>
      <c r="M12" s="66"/>
      <c r="N12" s="66"/>
      <c r="O12" s="66"/>
      <c r="P12" s="66"/>
      <c r="Q12" s="66"/>
      <c r="R12" s="66"/>
      <c r="S12" s="66"/>
      <c r="T12" s="66"/>
      <c r="U12" s="66"/>
    </row>
    <row r="13" s="44" customFormat="1" ht="24" customHeight="1" spans="1:21">
      <c r="A13" s="66" t="s">
        <v>37</v>
      </c>
      <c r="B13" s="66" t="s">
        <v>352</v>
      </c>
      <c r="C13" s="66" t="s">
        <v>3224</v>
      </c>
      <c r="D13" s="66" t="s">
        <v>3225</v>
      </c>
      <c r="E13" s="66" t="s">
        <v>3226</v>
      </c>
      <c r="F13" s="67" t="s">
        <v>3227</v>
      </c>
      <c r="G13" s="66" t="s">
        <v>3228</v>
      </c>
      <c r="H13" s="66" t="s">
        <v>3229</v>
      </c>
      <c r="I13" s="66" t="s">
        <v>3230</v>
      </c>
      <c r="J13" s="66" t="s">
        <v>3231</v>
      </c>
      <c r="K13" s="66" t="s">
        <v>3232</v>
      </c>
      <c r="L13" s="66" t="s">
        <v>3233</v>
      </c>
      <c r="M13" s="66"/>
      <c r="N13" s="66"/>
      <c r="O13" s="66" t="s">
        <v>3234</v>
      </c>
      <c r="P13" s="66"/>
      <c r="Q13" s="66"/>
      <c r="R13" s="77" t="s">
        <v>3235</v>
      </c>
      <c r="S13" s="66" t="s">
        <v>3236</v>
      </c>
      <c r="T13" s="78" t="s">
        <v>3237</v>
      </c>
      <c r="U13" s="78" t="s">
        <v>3238</v>
      </c>
    </row>
    <row r="14" s="44" customFormat="1" ht="24" customHeight="1" spans="1:21">
      <c r="A14" s="66"/>
      <c r="B14" s="66"/>
      <c r="C14" s="66"/>
      <c r="D14" s="66"/>
      <c r="E14" s="66"/>
      <c r="F14" s="67"/>
      <c r="G14" s="66"/>
      <c r="H14" s="66"/>
      <c r="I14" s="66"/>
      <c r="J14" s="66"/>
      <c r="K14" s="66"/>
      <c r="L14" s="578" t="s">
        <v>3239</v>
      </c>
      <c r="M14" s="578" t="s">
        <v>3240</v>
      </c>
      <c r="N14" s="578" t="s">
        <v>3241</v>
      </c>
      <c r="O14" s="578" t="s">
        <v>3239</v>
      </c>
      <c r="P14" s="578" t="s">
        <v>3240</v>
      </c>
      <c r="Q14" s="578" t="s">
        <v>3241</v>
      </c>
      <c r="R14" s="79"/>
      <c r="S14" s="66"/>
      <c r="T14" s="78"/>
      <c r="U14" s="78"/>
    </row>
    <row r="15" s="44" customFormat="1" ht="24" customHeight="1" spans="1:21">
      <c r="A15" s="66"/>
      <c r="B15" s="579" t="s">
        <v>322</v>
      </c>
      <c r="C15" s="579" t="s">
        <v>382</v>
      </c>
      <c r="D15" s="579" t="s">
        <v>324</v>
      </c>
      <c r="E15" s="579" t="s">
        <v>384</v>
      </c>
      <c r="F15" s="579" t="s">
        <v>1195</v>
      </c>
      <c r="G15" s="579" t="s">
        <v>386</v>
      </c>
      <c r="H15" s="579" t="s">
        <v>1201</v>
      </c>
      <c r="I15" s="579" t="s">
        <v>1205</v>
      </c>
      <c r="J15" s="579" t="s">
        <v>1208</v>
      </c>
      <c r="K15" s="579" t="s">
        <v>1037</v>
      </c>
      <c r="L15" s="579" t="s">
        <v>1214</v>
      </c>
      <c r="M15" s="579" t="s">
        <v>1253</v>
      </c>
      <c r="N15" s="579" t="s">
        <v>1254</v>
      </c>
      <c r="O15" s="579" t="s">
        <v>929</v>
      </c>
      <c r="P15" s="579" t="s">
        <v>671</v>
      </c>
      <c r="Q15" s="579" t="s">
        <v>1255</v>
      </c>
      <c r="R15" s="579" t="s">
        <v>1256</v>
      </c>
      <c r="S15" s="579" t="s">
        <v>679</v>
      </c>
      <c r="T15" s="579" t="s">
        <v>1257</v>
      </c>
      <c r="U15" s="579" t="s">
        <v>1258</v>
      </c>
    </row>
    <row r="16" s="43" customFormat="1" ht="24" customHeight="1" spans="1:21">
      <c r="A16" s="62"/>
      <c r="B16" s="68" t="s">
        <v>3017</v>
      </c>
      <c r="C16" s="69"/>
      <c r="D16" s="70"/>
      <c r="E16" s="70"/>
      <c r="F16" s="71"/>
      <c r="G16" s="62"/>
      <c r="H16" s="62"/>
      <c r="I16" s="76">
        <f>IF(_xlfn.MAXIFS('附表6-收入明细采集底稿'!D:D,'附表6-收入明细采集底稿'!B:B,B16)&gt;0,_xlfn.MAXIFS('附表6-收入明细采集底稿'!D:D,'附表6-收入明细采集底稿'!B:B,B16),0)</f>
        <v>0</v>
      </c>
      <c r="J16" s="76">
        <f>IF(_xlfn.MINIFS('附表6-收入明细采集底稿'!D:D,'附表6-收入明细采集底稿'!B:B,B16)&lt;0,ABS(_xlfn.MINIFS('附表6-收入明细采集底稿'!D:D,'附表6-收入明细采集底稿'!B:B,B16)),0)</f>
        <v>0</v>
      </c>
      <c r="K16" s="63">
        <f>SUMIFS('附表6-收入明细采集底稿'!P:P,'附表6-收入明细采集底稿'!B:B,B16,'附表6-收入明细采集底稿'!D:D,"&gt;0")</f>
        <v>0</v>
      </c>
      <c r="L16" s="63">
        <f>SUMIFS('附表6-收入明细采集底稿'!P:P,'附表6-收入明细采集底稿'!B:B,B16,'附表6-收入明细采集底稿'!D:D,"=-1")</f>
        <v>0</v>
      </c>
      <c r="M16" s="63">
        <f>SUMIFS('附表6-收入明细采集底稿'!P:P,'附表6-收入明细采集底稿'!B:B,B16,'附表6-收入明细采集底稿'!D:D,"=-2")</f>
        <v>0</v>
      </c>
      <c r="N16" s="63">
        <f>SUMIFS('附表6-收入明细采集底稿'!P:P,'附表6-收入明细采集底稿'!B:B,B16,'附表6-收入明细采集底稿'!D:D,"&lt;-2")</f>
        <v>0</v>
      </c>
      <c r="O16" s="63">
        <f>SUMIFS('附表6-收入明细采集底稿'!P:P,'附表6-收入明细采集底稿'!B:B,B16,'附表6-收入明细采集底稿'!D:D,"-1",'附表6-收入明细采集底稿'!G:G,数据对照表!$A$12)</f>
        <v>0</v>
      </c>
      <c r="P16" s="63">
        <f>SUMIFS('附表6-收入明细采集底稿'!P:P,'附表6-收入明细采集底稿'!B:B,B16,'附表6-收入明细采集底稿'!D:D,"-2",'附表6-收入明细采集底稿'!G:G,数据对照表!$A$12)</f>
        <v>0</v>
      </c>
      <c r="Q16" s="63">
        <f>SUMIFS('附表6-收入明细采集底稿'!P:P,'附表6-收入明细采集底稿'!B:B,B16,'附表6-收入明细采集底稿'!D:D,"&lt;-2",'附表6-收入明细采集底稿'!G:G,数据对照表!$A$12)</f>
        <v>0</v>
      </c>
      <c r="R16" s="63">
        <f>SUMIFS('附表6-收入明细采集底稿'!P:P,'附表6-收入明细采集底稿'!B:B,B16)</f>
        <v>0</v>
      </c>
      <c r="S16" s="65" t="s">
        <v>3017</v>
      </c>
      <c r="T16" s="73"/>
      <c r="U16" s="73"/>
    </row>
    <row r="17" s="43" customFormat="1" ht="24" customHeight="1" spans="1:21">
      <c r="A17" s="62"/>
      <c r="B17" s="68"/>
      <c r="C17" s="72"/>
      <c r="D17" s="70"/>
      <c r="E17" s="70"/>
      <c r="F17" s="73"/>
      <c r="G17" s="62"/>
      <c r="H17" s="62"/>
      <c r="I17" s="76">
        <f>IF(_xlfn.MAXIFS('附表6-收入明细采集底稿'!D:D,'附表6-收入明细采集底稿'!B:B,B17)&gt;0,_xlfn.MAXIFS('附表6-收入明细采集底稿'!D:D,'附表6-收入明细采集底稿'!B:B,B17),0)</f>
        <v>0</v>
      </c>
      <c r="J17" s="76">
        <f>IF(_xlfn.MINIFS('附表6-收入明细采集底稿'!D:D,'附表6-收入明细采集底稿'!B:B,B17)&lt;0,ABS(_xlfn.MINIFS('附表6-收入明细采集底稿'!D:D,'附表6-收入明细采集底稿'!B:B,B17)),0)</f>
        <v>0</v>
      </c>
      <c r="K17" s="63">
        <f>SUMIFS('附表6-收入明细采集底稿'!P:P,'附表6-收入明细采集底稿'!B:B,B17,'附表6-收入明细采集底稿'!D:D,"&gt;0")</f>
        <v>0</v>
      </c>
      <c r="L17" s="63">
        <f>SUMIFS('附表6-收入明细采集底稿'!P:P,'附表6-收入明细采集底稿'!B:B,B17,'附表6-收入明细采集底稿'!D:D,"=-1")</f>
        <v>0</v>
      </c>
      <c r="M17" s="63">
        <f>SUMIFS('附表6-收入明细采集底稿'!P:P,'附表6-收入明细采集底稿'!B:B,B17,'附表6-收入明细采集底稿'!D:D,"=-2")</f>
        <v>0</v>
      </c>
      <c r="N17" s="63">
        <f>SUMIFS('附表6-收入明细采集底稿'!P:P,'附表6-收入明细采集底稿'!B:B,B17,'附表6-收入明细采集底稿'!D:D,"&lt;-2")</f>
        <v>0</v>
      </c>
      <c r="O17" s="63">
        <f>SUMIFS('附表6-收入明细采集底稿'!P:P,'附表6-收入明细采集底稿'!B:B,B17,'附表6-收入明细采集底稿'!D:D,"-1",'附表6-收入明细采集底稿'!G:G,数据对照表!$A$12)</f>
        <v>0</v>
      </c>
      <c r="P17" s="63">
        <f>SUMIFS('附表6-收入明细采集底稿'!P:P,'附表6-收入明细采集底稿'!B:B,B17,'附表6-收入明细采集底稿'!D:D,"-2",'附表6-收入明细采集底稿'!G:G,数据对照表!$A$12)</f>
        <v>0</v>
      </c>
      <c r="Q17" s="63">
        <f>SUMIFS('附表6-收入明细采集底稿'!P:P,'附表6-收入明细采集底稿'!B:B,B17,'附表6-收入明细采集底稿'!D:D,"&lt;-2",'附表6-收入明细采集底稿'!G:G,数据对照表!$A$12)</f>
        <v>0</v>
      </c>
      <c r="R17" s="63">
        <f>SUMIFS('附表6-收入明细采集底稿'!P:P,'附表6-收入明细采集底稿'!B:B,B17)</f>
        <v>0</v>
      </c>
      <c r="S17" s="65"/>
      <c r="T17" s="73"/>
      <c r="U17" s="73"/>
    </row>
    <row r="18" s="43" customFormat="1" ht="24" customHeight="1" spans="1:21">
      <c r="A18" s="62"/>
      <c r="B18" s="68"/>
      <c r="C18" s="72"/>
      <c r="D18" s="70"/>
      <c r="E18" s="70"/>
      <c r="F18" s="73"/>
      <c r="G18" s="62"/>
      <c r="H18" s="62"/>
      <c r="I18" s="76">
        <f>IF(_xlfn.MAXIFS('附表6-收入明细采集底稿'!D:D,'附表6-收入明细采集底稿'!B:B,B18)&gt;0,_xlfn.MAXIFS('附表6-收入明细采集底稿'!D:D,'附表6-收入明细采集底稿'!B:B,B18),0)</f>
        <v>0</v>
      </c>
      <c r="J18" s="76">
        <f>IF(_xlfn.MINIFS('附表6-收入明细采集底稿'!D:D,'附表6-收入明细采集底稿'!B:B,B18)&lt;0,ABS(_xlfn.MINIFS('附表6-收入明细采集底稿'!D:D,'附表6-收入明细采集底稿'!B:B,B18)),0)</f>
        <v>0</v>
      </c>
      <c r="K18" s="63">
        <f>SUMIFS('附表6-收入明细采集底稿'!P:P,'附表6-收入明细采集底稿'!B:B,B18,'附表6-收入明细采集底稿'!D:D,"&gt;0")</f>
        <v>0</v>
      </c>
      <c r="L18" s="63">
        <f>SUMIFS('附表6-收入明细采集底稿'!P:P,'附表6-收入明细采集底稿'!B:B,B18,'附表6-收入明细采集底稿'!D:D,"=-1")</f>
        <v>0</v>
      </c>
      <c r="M18" s="63">
        <f>SUMIFS('附表6-收入明细采集底稿'!P:P,'附表6-收入明细采集底稿'!B:B,B18,'附表6-收入明细采集底稿'!D:D,"=-2")</f>
        <v>0</v>
      </c>
      <c r="N18" s="63">
        <f>SUMIFS('附表6-收入明细采集底稿'!P:P,'附表6-收入明细采集底稿'!B:B,B18,'附表6-收入明细采集底稿'!D:D,"&lt;-2")</f>
        <v>0</v>
      </c>
      <c r="O18" s="63">
        <f>SUMIFS('附表6-收入明细采集底稿'!P:P,'附表6-收入明细采集底稿'!B:B,B18,'附表6-收入明细采集底稿'!D:D,"-1",'附表6-收入明细采集底稿'!G:G,数据对照表!$A$12)</f>
        <v>0</v>
      </c>
      <c r="P18" s="63">
        <f>SUMIFS('附表6-收入明细采集底稿'!P:P,'附表6-收入明细采集底稿'!B:B,B18,'附表6-收入明细采集底稿'!D:D,"-2",'附表6-收入明细采集底稿'!G:G,数据对照表!$A$12)</f>
        <v>0</v>
      </c>
      <c r="Q18" s="63">
        <f>SUMIFS('附表6-收入明细采集底稿'!P:P,'附表6-收入明细采集底稿'!B:B,B18,'附表6-收入明细采集底稿'!D:D,"&lt;-2",'附表6-收入明细采集底稿'!G:G,数据对照表!$A$12)</f>
        <v>0</v>
      </c>
      <c r="R18" s="63">
        <f>SUMIFS('附表6-收入明细采集底稿'!P:P,'附表6-收入明细采集底稿'!B:B,B18)</f>
        <v>0</v>
      </c>
      <c r="S18" s="65"/>
      <c r="T18" s="73"/>
      <c r="U18" s="73"/>
    </row>
    <row r="19" s="43" customFormat="1" ht="24" customHeight="1" spans="1:21">
      <c r="A19" s="62"/>
      <c r="B19" s="68"/>
      <c r="C19" s="72"/>
      <c r="D19" s="70"/>
      <c r="E19" s="70"/>
      <c r="F19" s="73"/>
      <c r="G19" s="62"/>
      <c r="H19" s="62"/>
      <c r="I19" s="76">
        <f>IF(_xlfn.MAXIFS('附表6-收入明细采集底稿'!D:D,'附表6-收入明细采集底稿'!B:B,B19)&gt;0,_xlfn.MAXIFS('附表6-收入明细采集底稿'!D:D,'附表6-收入明细采集底稿'!B:B,B19),0)</f>
        <v>0</v>
      </c>
      <c r="J19" s="76">
        <f>IF(_xlfn.MINIFS('附表6-收入明细采集底稿'!D:D,'附表6-收入明细采集底稿'!B:B,B19)&lt;0,ABS(_xlfn.MINIFS('附表6-收入明细采集底稿'!D:D,'附表6-收入明细采集底稿'!B:B,B19)),0)</f>
        <v>0</v>
      </c>
      <c r="K19" s="63">
        <f>SUMIFS('附表6-收入明细采集底稿'!P:P,'附表6-收入明细采集底稿'!B:B,B19,'附表6-收入明细采集底稿'!D:D,"&gt;0")</f>
        <v>0</v>
      </c>
      <c r="L19" s="63">
        <f>SUMIFS('附表6-收入明细采集底稿'!P:P,'附表6-收入明细采集底稿'!B:B,B19,'附表6-收入明细采集底稿'!D:D,"=-1")</f>
        <v>0</v>
      </c>
      <c r="M19" s="63">
        <f>SUMIFS('附表6-收入明细采集底稿'!P:P,'附表6-收入明细采集底稿'!B:B,B19,'附表6-收入明细采集底稿'!D:D,"=-2")</f>
        <v>0</v>
      </c>
      <c r="N19" s="63">
        <f>SUMIFS('附表6-收入明细采集底稿'!P:P,'附表6-收入明细采集底稿'!B:B,B19,'附表6-收入明细采集底稿'!D:D,"&lt;-2")</f>
        <v>0</v>
      </c>
      <c r="O19" s="63">
        <f>SUMIFS('附表6-收入明细采集底稿'!P:P,'附表6-收入明细采集底稿'!B:B,B19,'附表6-收入明细采集底稿'!D:D,"-1",'附表6-收入明细采集底稿'!G:G,数据对照表!$A$12)</f>
        <v>0</v>
      </c>
      <c r="P19" s="63">
        <f>SUMIFS('附表6-收入明细采集底稿'!P:P,'附表6-收入明细采集底稿'!B:B,B19,'附表6-收入明细采集底稿'!D:D,"-2",'附表6-收入明细采集底稿'!G:G,数据对照表!$A$12)</f>
        <v>0</v>
      </c>
      <c r="Q19" s="63">
        <f>SUMIFS('附表6-收入明细采集底稿'!P:P,'附表6-收入明细采集底稿'!B:B,B19,'附表6-收入明细采集底稿'!D:D,"&lt;-2",'附表6-收入明细采集底稿'!G:G,数据对照表!$A$12)</f>
        <v>0</v>
      </c>
      <c r="R19" s="63">
        <f>SUMIFS('附表6-收入明细采集底稿'!P:P,'附表6-收入明细采集底稿'!B:B,B19)</f>
        <v>0</v>
      </c>
      <c r="S19" s="65"/>
      <c r="T19" s="73"/>
      <c r="U19" s="73"/>
    </row>
    <row r="20" s="43" customFormat="1" ht="24" customHeight="1" spans="1:21">
      <c r="A20" s="62"/>
      <c r="B20" s="68"/>
      <c r="C20" s="72"/>
      <c r="D20" s="70"/>
      <c r="E20" s="70"/>
      <c r="F20" s="73"/>
      <c r="G20" s="62"/>
      <c r="H20" s="62"/>
      <c r="I20" s="76">
        <f>IF(_xlfn.MAXIFS('附表6-收入明细采集底稿'!D:D,'附表6-收入明细采集底稿'!B:B,B20)&gt;0,_xlfn.MAXIFS('附表6-收入明细采集底稿'!D:D,'附表6-收入明细采集底稿'!B:B,B20),0)</f>
        <v>0</v>
      </c>
      <c r="J20" s="76">
        <f>IF(_xlfn.MINIFS('附表6-收入明细采集底稿'!D:D,'附表6-收入明细采集底稿'!B:B,B20)&lt;0,ABS(_xlfn.MINIFS('附表6-收入明细采集底稿'!D:D,'附表6-收入明细采集底稿'!B:B,B20)),0)</f>
        <v>0</v>
      </c>
      <c r="K20" s="63">
        <f>SUMIFS('附表6-收入明细采集底稿'!P:P,'附表6-收入明细采集底稿'!B:B,B20,'附表6-收入明细采集底稿'!D:D,"&gt;0")</f>
        <v>0</v>
      </c>
      <c r="L20" s="63">
        <f>SUMIFS('附表6-收入明细采集底稿'!P:P,'附表6-收入明细采集底稿'!B:B,B20,'附表6-收入明细采集底稿'!D:D,"=-1")</f>
        <v>0</v>
      </c>
      <c r="M20" s="63">
        <f>SUMIFS('附表6-收入明细采集底稿'!P:P,'附表6-收入明细采集底稿'!B:B,B20,'附表6-收入明细采集底稿'!D:D,"=-2")</f>
        <v>0</v>
      </c>
      <c r="N20" s="63">
        <f>SUMIFS('附表6-收入明细采集底稿'!P:P,'附表6-收入明细采集底稿'!B:B,B20,'附表6-收入明细采集底稿'!D:D,"&lt;-2")</f>
        <v>0</v>
      </c>
      <c r="O20" s="63">
        <f>SUMIFS('附表6-收入明细采集底稿'!P:P,'附表6-收入明细采集底稿'!B:B,B20,'附表6-收入明细采集底稿'!D:D,"-1",'附表6-收入明细采集底稿'!G:G,数据对照表!$A$12)</f>
        <v>0</v>
      </c>
      <c r="P20" s="63">
        <f>SUMIFS('附表6-收入明细采集底稿'!P:P,'附表6-收入明细采集底稿'!B:B,B20,'附表6-收入明细采集底稿'!D:D,"-2",'附表6-收入明细采集底稿'!G:G,数据对照表!$A$12)</f>
        <v>0</v>
      </c>
      <c r="Q20" s="63">
        <f>SUMIFS('附表6-收入明细采集底稿'!P:P,'附表6-收入明细采集底稿'!B:B,B20,'附表6-收入明细采集底稿'!D:D,"&lt;-2",'附表6-收入明细采集底稿'!G:G,数据对照表!$A$12)</f>
        <v>0</v>
      </c>
      <c r="R20" s="63">
        <f>SUMIFS('附表6-收入明细采集底稿'!P:P,'附表6-收入明细采集底稿'!B:B,B20)</f>
        <v>0</v>
      </c>
      <c r="S20" s="65"/>
      <c r="T20" s="73"/>
      <c r="U20" s="73"/>
    </row>
    <row r="21" s="43" customFormat="1" ht="24" customHeight="1" spans="1:21">
      <c r="A21" s="62"/>
      <c r="B21" s="68"/>
      <c r="C21" s="72"/>
      <c r="D21" s="70"/>
      <c r="E21" s="70"/>
      <c r="F21" s="73"/>
      <c r="G21" s="62"/>
      <c r="H21" s="62"/>
      <c r="I21" s="76">
        <f>IF(_xlfn.MAXIFS('附表6-收入明细采集底稿'!D:D,'附表6-收入明细采集底稿'!B:B,B21)&gt;0,_xlfn.MAXIFS('附表6-收入明细采集底稿'!D:D,'附表6-收入明细采集底稿'!B:B,B21),0)</f>
        <v>0</v>
      </c>
      <c r="J21" s="76">
        <f>IF(_xlfn.MINIFS('附表6-收入明细采集底稿'!D:D,'附表6-收入明细采集底稿'!B:B,B21)&lt;0,ABS(_xlfn.MINIFS('附表6-收入明细采集底稿'!D:D,'附表6-收入明细采集底稿'!B:B,B21)),0)</f>
        <v>0</v>
      </c>
      <c r="K21" s="63">
        <f>SUMIFS('附表6-收入明细采集底稿'!P:P,'附表6-收入明细采集底稿'!B:B,B21,'附表6-收入明细采集底稿'!D:D,"&gt;0")</f>
        <v>0</v>
      </c>
      <c r="L21" s="63">
        <f>SUMIFS('附表6-收入明细采集底稿'!P:P,'附表6-收入明细采集底稿'!B:B,B21,'附表6-收入明细采集底稿'!D:D,"=-1")</f>
        <v>0</v>
      </c>
      <c r="M21" s="63">
        <f>SUMIFS('附表6-收入明细采集底稿'!P:P,'附表6-收入明细采集底稿'!B:B,B21,'附表6-收入明细采集底稿'!D:D,"=-2")</f>
        <v>0</v>
      </c>
      <c r="N21" s="63">
        <f>SUMIFS('附表6-收入明细采集底稿'!P:P,'附表6-收入明细采集底稿'!B:B,B21,'附表6-收入明细采集底稿'!D:D,"&lt;-2")</f>
        <v>0</v>
      </c>
      <c r="O21" s="63">
        <f>SUMIFS('附表6-收入明细采集底稿'!P:P,'附表6-收入明细采集底稿'!B:B,B21,'附表6-收入明细采集底稿'!D:D,"-1",'附表6-收入明细采集底稿'!G:G,数据对照表!$A$12)</f>
        <v>0</v>
      </c>
      <c r="P21" s="63">
        <f>SUMIFS('附表6-收入明细采集底稿'!P:P,'附表6-收入明细采集底稿'!B:B,B21,'附表6-收入明细采集底稿'!D:D,"-2",'附表6-收入明细采集底稿'!G:G,数据对照表!$A$12)</f>
        <v>0</v>
      </c>
      <c r="Q21" s="63">
        <f>SUMIFS('附表6-收入明细采集底稿'!P:P,'附表6-收入明细采集底稿'!B:B,B21,'附表6-收入明细采集底稿'!D:D,"&lt;-2",'附表6-收入明细采集底稿'!G:G,数据对照表!$A$12)</f>
        <v>0</v>
      </c>
      <c r="R21" s="63">
        <f>SUMIFS('附表6-收入明细采集底稿'!P:P,'附表6-收入明细采集底稿'!B:B,B21)</f>
        <v>0</v>
      </c>
      <c r="S21" s="65"/>
      <c r="T21" s="73"/>
      <c r="U21" s="73"/>
    </row>
    <row r="22" s="43" customFormat="1" ht="24" customHeight="1" spans="1:21">
      <c r="A22" s="62"/>
      <c r="B22" s="68"/>
      <c r="C22" s="72"/>
      <c r="D22" s="70"/>
      <c r="E22" s="70"/>
      <c r="F22" s="73"/>
      <c r="G22" s="62"/>
      <c r="H22" s="62"/>
      <c r="I22" s="76">
        <f>IF(_xlfn.MAXIFS('附表6-收入明细采集底稿'!D:D,'附表6-收入明细采集底稿'!B:B,B22)&gt;0,_xlfn.MAXIFS('附表6-收入明细采集底稿'!D:D,'附表6-收入明细采集底稿'!B:B,B22),0)</f>
        <v>0</v>
      </c>
      <c r="J22" s="76">
        <f>IF(_xlfn.MINIFS('附表6-收入明细采集底稿'!D:D,'附表6-收入明细采集底稿'!B:B,B22)&lt;0,ABS(_xlfn.MINIFS('附表6-收入明细采集底稿'!D:D,'附表6-收入明细采集底稿'!B:B,B22)),0)</f>
        <v>0</v>
      </c>
      <c r="K22" s="63">
        <f>SUMIFS('附表6-收入明细采集底稿'!P:P,'附表6-收入明细采集底稿'!B:B,B22,'附表6-收入明细采集底稿'!D:D,"&gt;0")</f>
        <v>0</v>
      </c>
      <c r="L22" s="63">
        <f>SUMIFS('附表6-收入明细采集底稿'!P:P,'附表6-收入明细采集底稿'!B:B,B22,'附表6-收入明细采集底稿'!D:D,"=-1")</f>
        <v>0</v>
      </c>
      <c r="M22" s="63">
        <f>SUMIFS('附表6-收入明细采集底稿'!P:P,'附表6-收入明细采集底稿'!B:B,B22,'附表6-收入明细采集底稿'!D:D,"=-2")</f>
        <v>0</v>
      </c>
      <c r="N22" s="63">
        <f>SUMIFS('附表6-收入明细采集底稿'!P:P,'附表6-收入明细采集底稿'!B:B,B22,'附表6-收入明细采集底稿'!D:D,"&lt;-2")</f>
        <v>0</v>
      </c>
      <c r="O22" s="63">
        <f>SUMIFS('附表6-收入明细采集底稿'!P:P,'附表6-收入明细采集底稿'!B:B,B22,'附表6-收入明细采集底稿'!D:D,"-1",'附表6-收入明细采集底稿'!G:G,数据对照表!$A$12)</f>
        <v>0</v>
      </c>
      <c r="P22" s="63">
        <f>SUMIFS('附表6-收入明细采集底稿'!P:P,'附表6-收入明细采集底稿'!B:B,B22,'附表6-收入明细采集底稿'!D:D,"-2",'附表6-收入明细采集底稿'!G:G,数据对照表!$A$12)</f>
        <v>0</v>
      </c>
      <c r="Q22" s="63">
        <f>SUMIFS('附表6-收入明细采集底稿'!P:P,'附表6-收入明细采集底稿'!B:B,B22,'附表6-收入明细采集底稿'!D:D,"&lt;-2",'附表6-收入明细采集底稿'!G:G,数据对照表!$A$12)</f>
        <v>0</v>
      </c>
      <c r="R22" s="63">
        <f>SUMIFS('附表6-收入明细采集底稿'!P:P,'附表6-收入明细采集底稿'!B:B,B22)</f>
        <v>0</v>
      </c>
      <c r="S22" s="65"/>
      <c r="T22" s="73"/>
      <c r="U22" s="73"/>
    </row>
    <row r="23" s="43" customFormat="1" ht="24" customHeight="1" spans="1:21">
      <c r="A23" s="62"/>
      <c r="B23" s="68"/>
      <c r="C23" s="72"/>
      <c r="D23" s="70"/>
      <c r="E23" s="70"/>
      <c r="F23" s="73"/>
      <c r="G23" s="62"/>
      <c r="H23" s="62"/>
      <c r="I23" s="76">
        <f>IF(_xlfn.MAXIFS('附表6-收入明细采集底稿'!D:D,'附表6-收入明细采集底稿'!B:B,B23)&gt;0,_xlfn.MAXIFS('附表6-收入明细采集底稿'!D:D,'附表6-收入明细采集底稿'!B:B,B23),0)</f>
        <v>0</v>
      </c>
      <c r="J23" s="76">
        <f>IF(_xlfn.MINIFS('附表6-收入明细采集底稿'!D:D,'附表6-收入明细采集底稿'!B:B,B23)&lt;0,ABS(_xlfn.MINIFS('附表6-收入明细采集底稿'!D:D,'附表6-收入明细采集底稿'!B:B,B23)),0)</f>
        <v>0</v>
      </c>
      <c r="K23" s="63">
        <f>SUMIFS('附表6-收入明细采集底稿'!P:P,'附表6-收入明细采集底稿'!B:B,B23,'附表6-收入明细采集底稿'!D:D,"&gt;0")</f>
        <v>0</v>
      </c>
      <c r="L23" s="63">
        <f>SUMIFS('附表6-收入明细采集底稿'!P:P,'附表6-收入明细采集底稿'!B:B,B23,'附表6-收入明细采集底稿'!D:D,"=-1")</f>
        <v>0</v>
      </c>
      <c r="M23" s="63">
        <f>SUMIFS('附表6-收入明细采集底稿'!P:P,'附表6-收入明细采集底稿'!B:B,B23,'附表6-收入明细采集底稿'!D:D,"=-2")</f>
        <v>0</v>
      </c>
      <c r="N23" s="63">
        <f>SUMIFS('附表6-收入明细采集底稿'!P:P,'附表6-收入明细采集底稿'!B:B,B23,'附表6-收入明细采集底稿'!D:D,"&lt;-2")</f>
        <v>0</v>
      </c>
      <c r="O23" s="63">
        <f>SUMIFS('附表6-收入明细采集底稿'!P:P,'附表6-收入明细采集底稿'!B:B,B23,'附表6-收入明细采集底稿'!D:D,"-1",'附表6-收入明细采集底稿'!G:G,数据对照表!$A$12)</f>
        <v>0</v>
      </c>
      <c r="P23" s="63">
        <f>SUMIFS('附表6-收入明细采集底稿'!P:P,'附表6-收入明细采集底稿'!B:B,B23,'附表6-收入明细采集底稿'!D:D,"-2",'附表6-收入明细采集底稿'!G:G,数据对照表!$A$12)</f>
        <v>0</v>
      </c>
      <c r="Q23" s="63">
        <f>SUMIFS('附表6-收入明细采集底稿'!P:P,'附表6-收入明细采集底稿'!B:B,B23,'附表6-收入明细采集底稿'!D:D,"&lt;-2",'附表6-收入明细采集底稿'!G:G,数据对照表!$A$12)</f>
        <v>0</v>
      </c>
      <c r="R23" s="63">
        <f>SUMIFS('附表6-收入明细采集底稿'!P:P,'附表6-收入明细采集底稿'!B:B,B23)</f>
        <v>0</v>
      </c>
      <c r="S23" s="65"/>
      <c r="T23" s="73"/>
      <c r="U23" s="73"/>
    </row>
    <row r="24" s="43" customFormat="1" ht="24" customHeight="1" spans="1:21">
      <c r="A24" s="62"/>
      <c r="B24" s="68"/>
      <c r="C24" s="72"/>
      <c r="D24" s="70"/>
      <c r="E24" s="70"/>
      <c r="F24" s="73"/>
      <c r="G24" s="62"/>
      <c r="H24" s="62"/>
      <c r="I24" s="76">
        <f>IF(_xlfn.MAXIFS('附表6-收入明细采集底稿'!D:D,'附表6-收入明细采集底稿'!B:B,B24)&gt;0,_xlfn.MAXIFS('附表6-收入明细采集底稿'!D:D,'附表6-收入明细采集底稿'!B:B,B24),0)</f>
        <v>0</v>
      </c>
      <c r="J24" s="76">
        <f>IF(_xlfn.MINIFS('附表6-收入明细采集底稿'!D:D,'附表6-收入明细采集底稿'!B:B,B24)&lt;0,ABS(_xlfn.MINIFS('附表6-收入明细采集底稿'!D:D,'附表6-收入明细采集底稿'!B:B,B24)),0)</f>
        <v>0</v>
      </c>
      <c r="K24" s="63">
        <f>SUMIFS('附表6-收入明细采集底稿'!P:P,'附表6-收入明细采集底稿'!B:B,B24,'附表6-收入明细采集底稿'!D:D,"&gt;0")</f>
        <v>0</v>
      </c>
      <c r="L24" s="63">
        <f>SUMIFS('附表6-收入明细采集底稿'!P:P,'附表6-收入明细采集底稿'!B:B,B24,'附表6-收入明细采集底稿'!D:D,"=-1")</f>
        <v>0</v>
      </c>
      <c r="M24" s="63">
        <f>SUMIFS('附表6-收入明细采集底稿'!P:P,'附表6-收入明细采集底稿'!B:B,B24,'附表6-收入明细采集底稿'!D:D,"=-2")</f>
        <v>0</v>
      </c>
      <c r="N24" s="63">
        <f>SUMIFS('附表6-收入明细采集底稿'!P:P,'附表6-收入明细采集底稿'!B:B,B24,'附表6-收入明细采集底稿'!D:D,"&lt;-2")</f>
        <v>0</v>
      </c>
      <c r="O24" s="63">
        <f>SUMIFS('附表6-收入明细采集底稿'!P:P,'附表6-收入明细采集底稿'!B:B,B24,'附表6-收入明细采集底稿'!D:D,"-1",'附表6-收入明细采集底稿'!G:G,数据对照表!$A$12)</f>
        <v>0</v>
      </c>
      <c r="P24" s="63">
        <f>SUMIFS('附表6-收入明细采集底稿'!P:P,'附表6-收入明细采集底稿'!B:B,B24,'附表6-收入明细采集底稿'!D:D,"-2",'附表6-收入明细采集底稿'!G:G,数据对照表!$A$12)</f>
        <v>0</v>
      </c>
      <c r="Q24" s="63">
        <f>SUMIFS('附表6-收入明细采集底稿'!P:P,'附表6-收入明细采集底稿'!B:B,B24,'附表6-收入明细采集底稿'!D:D,"&lt;-2",'附表6-收入明细采集底稿'!G:G,数据对照表!$A$12)</f>
        <v>0</v>
      </c>
      <c r="R24" s="63">
        <f>SUMIFS('附表6-收入明细采集底稿'!P:P,'附表6-收入明细采集底稿'!B:B,B24)</f>
        <v>0</v>
      </c>
      <c r="S24" s="65"/>
      <c r="T24" s="73"/>
      <c r="U24" s="73"/>
    </row>
    <row r="25" s="43" customFormat="1" ht="24" customHeight="1" spans="1:21">
      <c r="A25" s="62"/>
      <c r="B25" s="68"/>
      <c r="C25" s="72"/>
      <c r="D25" s="70"/>
      <c r="E25" s="70"/>
      <c r="F25" s="73"/>
      <c r="G25" s="62"/>
      <c r="H25" s="62"/>
      <c r="I25" s="76">
        <f>IF(_xlfn.MAXIFS('附表6-收入明细采集底稿'!D:D,'附表6-收入明细采集底稿'!B:B,B25)&gt;0,_xlfn.MAXIFS('附表6-收入明细采集底稿'!D:D,'附表6-收入明细采集底稿'!B:B,B25),0)</f>
        <v>0</v>
      </c>
      <c r="J25" s="76">
        <f>IF(_xlfn.MINIFS('附表6-收入明细采集底稿'!D:D,'附表6-收入明细采集底稿'!B:B,B25)&lt;0,ABS(_xlfn.MINIFS('附表6-收入明细采集底稿'!D:D,'附表6-收入明细采集底稿'!B:B,B25)),0)</f>
        <v>0</v>
      </c>
      <c r="K25" s="63">
        <f>SUMIFS('附表6-收入明细采集底稿'!P:P,'附表6-收入明细采集底稿'!B:B,B25,'附表6-收入明细采集底稿'!D:D,"&gt;0")</f>
        <v>0</v>
      </c>
      <c r="L25" s="63">
        <f>SUMIFS('附表6-收入明细采集底稿'!P:P,'附表6-收入明细采集底稿'!B:B,B25,'附表6-收入明细采集底稿'!D:D,"=-1")</f>
        <v>0</v>
      </c>
      <c r="M25" s="63">
        <f>SUMIFS('附表6-收入明细采集底稿'!P:P,'附表6-收入明细采集底稿'!B:B,B25,'附表6-收入明细采集底稿'!D:D,"=-2")</f>
        <v>0</v>
      </c>
      <c r="N25" s="63">
        <f>SUMIFS('附表6-收入明细采集底稿'!P:P,'附表6-收入明细采集底稿'!B:B,B25,'附表6-收入明细采集底稿'!D:D,"&lt;-2")</f>
        <v>0</v>
      </c>
      <c r="O25" s="63">
        <f>SUMIFS('附表6-收入明细采集底稿'!P:P,'附表6-收入明细采集底稿'!B:B,B25,'附表6-收入明细采集底稿'!D:D,"-1",'附表6-收入明细采集底稿'!G:G,数据对照表!$A$12)</f>
        <v>0</v>
      </c>
      <c r="P25" s="63">
        <f>SUMIFS('附表6-收入明细采集底稿'!P:P,'附表6-收入明细采集底稿'!B:B,B25,'附表6-收入明细采集底稿'!D:D,"-2",'附表6-收入明细采集底稿'!G:G,数据对照表!$A$12)</f>
        <v>0</v>
      </c>
      <c r="Q25" s="63">
        <f>SUMIFS('附表6-收入明细采集底稿'!P:P,'附表6-收入明细采集底稿'!B:B,B25,'附表6-收入明细采集底稿'!D:D,"&lt;-2",'附表6-收入明细采集底稿'!G:G,数据对照表!$A$12)</f>
        <v>0</v>
      </c>
      <c r="R25" s="63">
        <f>SUMIFS('附表6-收入明细采集底稿'!P:P,'附表6-收入明细采集底稿'!B:B,B25)</f>
        <v>0</v>
      </c>
      <c r="S25" s="65"/>
      <c r="T25" s="73"/>
      <c r="U25" s="73"/>
    </row>
    <row r="26" s="43" customFormat="1" ht="24" customHeight="1" spans="1:21">
      <c r="A26" s="62"/>
      <c r="B26" s="68"/>
      <c r="C26" s="72"/>
      <c r="D26" s="70"/>
      <c r="E26" s="70"/>
      <c r="F26" s="73"/>
      <c r="G26" s="62"/>
      <c r="H26" s="62"/>
      <c r="I26" s="76">
        <f>IF(_xlfn.MAXIFS('附表6-收入明细采集底稿'!D:D,'附表6-收入明细采集底稿'!B:B,B26)&gt;0,_xlfn.MAXIFS('附表6-收入明细采集底稿'!D:D,'附表6-收入明细采集底稿'!B:B,B26),0)</f>
        <v>0</v>
      </c>
      <c r="J26" s="76">
        <f>IF(_xlfn.MINIFS('附表6-收入明细采集底稿'!D:D,'附表6-收入明细采集底稿'!B:B,B26)&lt;0,ABS(_xlfn.MINIFS('附表6-收入明细采集底稿'!D:D,'附表6-收入明细采集底稿'!B:B,B26)),0)</f>
        <v>0</v>
      </c>
      <c r="K26" s="63">
        <f>SUMIFS('附表6-收入明细采集底稿'!P:P,'附表6-收入明细采集底稿'!B:B,B26,'附表6-收入明细采集底稿'!D:D,"&gt;0")</f>
        <v>0</v>
      </c>
      <c r="L26" s="63">
        <f>SUMIFS('附表6-收入明细采集底稿'!P:P,'附表6-收入明细采集底稿'!B:B,B26,'附表6-收入明细采集底稿'!D:D,"=-1")</f>
        <v>0</v>
      </c>
      <c r="M26" s="63">
        <f>SUMIFS('附表6-收入明细采集底稿'!P:P,'附表6-收入明细采集底稿'!B:B,B26,'附表6-收入明细采集底稿'!D:D,"=-2")</f>
        <v>0</v>
      </c>
      <c r="N26" s="63">
        <f>SUMIFS('附表6-收入明细采集底稿'!P:P,'附表6-收入明细采集底稿'!B:B,B26,'附表6-收入明细采集底稿'!D:D,"&lt;-2")</f>
        <v>0</v>
      </c>
      <c r="O26" s="63">
        <f>SUMIFS('附表6-收入明细采集底稿'!P:P,'附表6-收入明细采集底稿'!B:B,B26,'附表6-收入明细采集底稿'!D:D,"-1",'附表6-收入明细采集底稿'!G:G,数据对照表!$A$12)</f>
        <v>0</v>
      </c>
      <c r="P26" s="63">
        <f>SUMIFS('附表6-收入明细采集底稿'!P:P,'附表6-收入明细采集底稿'!B:B,B26,'附表6-收入明细采集底稿'!D:D,"-2",'附表6-收入明细采集底稿'!G:G,数据对照表!$A$12)</f>
        <v>0</v>
      </c>
      <c r="Q26" s="63">
        <f>SUMIFS('附表6-收入明细采集底稿'!P:P,'附表6-收入明细采集底稿'!B:B,B26,'附表6-收入明细采集底稿'!D:D,"&lt;-2",'附表6-收入明细采集底稿'!G:G,数据对照表!$A$12)</f>
        <v>0</v>
      </c>
      <c r="R26" s="63">
        <f>SUMIFS('附表6-收入明细采集底稿'!P:P,'附表6-收入明细采集底稿'!B:B,B26)</f>
        <v>0</v>
      </c>
      <c r="S26" s="65"/>
      <c r="T26" s="73"/>
      <c r="U26" s="73"/>
    </row>
  </sheetData>
  <mergeCells count="43">
    <mergeCell ref="A1:U1"/>
    <mergeCell ref="A2:U2"/>
    <mergeCell ref="A3:U3"/>
    <mergeCell ref="A12:U12"/>
    <mergeCell ref="L13:N13"/>
    <mergeCell ref="O13:Q13"/>
    <mergeCell ref="A4:A7"/>
    <mergeCell ref="A8:A11"/>
    <mergeCell ref="A13:A15"/>
    <mergeCell ref="B4:B7"/>
    <mergeCell ref="B13:B14"/>
    <mergeCell ref="C4:C6"/>
    <mergeCell ref="C13:C14"/>
    <mergeCell ref="D4:D6"/>
    <mergeCell ref="D13:D14"/>
    <mergeCell ref="E4:E6"/>
    <mergeCell ref="E13:E14"/>
    <mergeCell ref="F4:F6"/>
    <mergeCell ref="F13:F14"/>
    <mergeCell ref="G4:G6"/>
    <mergeCell ref="G13:G14"/>
    <mergeCell ref="H4:H6"/>
    <mergeCell ref="H13:H14"/>
    <mergeCell ref="I4:I6"/>
    <mergeCell ref="I13:I14"/>
    <mergeCell ref="J4:J6"/>
    <mergeCell ref="J13:J14"/>
    <mergeCell ref="K4:K6"/>
    <mergeCell ref="K13:K14"/>
    <mergeCell ref="L4:L6"/>
    <mergeCell ref="M4:M6"/>
    <mergeCell ref="N4:N6"/>
    <mergeCell ref="O4:O6"/>
    <mergeCell ref="P4:P6"/>
    <mergeCell ref="Q4:Q6"/>
    <mergeCell ref="R4:R6"/>
    <mergeCell ref="R13:R14"/>
    <mergeCell ref="S4:S6"/>
    <mergeCell ref="S13:S14"/>
    <mergeCell ref="T4:T6"/>
    <mergeCell ref="T13:T14"/>
    <mergeCell ref="U4:U6"/>
    <mergeCell ref="U13:U14"/>
  </mergeCells>
  <dataValidations count="7">
    <dataValidation type="list" allowBlank="1" showInputMessage="1" showErrorMessage="1" sqref="C16:C26">
      <formula1>OFFSET(数据对照表!$V$2,,,COUNTA(数据对照表!$V:$V)-1,1)</formula1>
    </dataValidation>
    <dataValidation type="list" allowBlank="1" showInputMessage="1" showErrorMessage="1" sqref="D16:D26">
      <formula1>OFFSET(数据对照表!$W$2,,,COUNTA(数据对照表!$W:$W)-1,1)</formula1>
    </dataValidation>
    <dataValidation type="list" allowBlank="1" showInputMessage="1" showErrorMessage="1" sqref="E16:E26">
      <formula1>OFFSET(数据对照表!$X$2,,,COUNTA(数据对照表!$X:$X)-1,1)</formula1>
    </dataValidation>
    <dataValidation type="list" allowBlank="1" showInputMessage="1" showErrorMessage="1" sqref="F16:F26">
      <formula1>OFFSET(数据对照表!$Y$2,,,COUNTA(数据对照表!$Y:$Y)-1,1)</formula1>
    </dataValidation>
    <dataValidation type="list" allowBlank="1" showInputMessage="1" showErrorMessage="1" sqref="G16:G26">
      <formula1>OFFSET(数据对照表!$Z$2,,,COUNTA(数据对照表!$Z:$Z)-1,1)</formula1>
    </dataValidation>
    <dataValidation type="list" allowBlank="1" showInputMessage="1" showErrorMessage="1" sqref="H16:H26">
      <formula1>OFFSET(数据对照表!$AA$2,,,COUNTA(数据对照表!$AA:$AA)-1,1)</formula1>
    </dataValidation>
    <dataValidation allowBlank="1" showInputMessage="1" showErrorMessage="1" sqref="T16:U26"/>
  </dataValidations>
  <pageMargins left="0.747916666666667" right="0.747916666666667" top="0.984027777777778" bottom="0.984027777777778" header="0.511805555555556" footer="0.511805555555556"/>
  <pageSetup paperSize="9" scale="96" fitToHeight="0"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1"/>
  <dimension ref="A1:AC59"/>
  <sheetViews>
    <sheetView zoomScale="80" zoomScaleNormal="80" workbookViewId="0">
      <pane xSplit="6" ySplit="2" topLeftCell="G19" activePane="bottomRight" state="frozen"/>
      <selection/>
      <selection pane="topRight"/>
      <selection pane="bottomLeft"/>
      <selection pane="bottomRight" activeCell="J60" sqref="J60"/>
    </sheetView>
  </sheetViews>
  <sheetFormatPr defaultColWidth="6.7536231884058" defaultRowHeight="15.65"/>
  <cols>
    <col min="1" max="1" width="6.7536231884058" style="12"/>
    <col min="2" max="2" width="11.6666666666667" style="12" customWidth="1"/>
    <col min="3" max="3" width="7.03623188405797" style="12" customWidth="1"/>
    <col min="4" max="4" width="9.90579710144928" style="12" customWidth="1"/>
    <col min="5" max="5" width="8.6304347826087" style="13" customWidth="1"/>
    <col min="6" max="6" width="10.6666666666667" style="13"/>
    <col min="7" max="7" width="11.6666666666667" style="13" customWidth="1"/>
    <col min="8" max="8" width="12.3985507246377" style="13" customWidth="1"/>
    <col min="9" max="9" width="12.3333333333333" style="13" customWidth="1"/>
    <col min="10" max="10" width="13.2536231884058" style="13"/>
    <col min="11" max="13" width="11.5797101449275" style="14"/>
    <col min="14" max="14" width="24.7971014492754" style="14" customWidth="1"/>
    <col min="15" max="15" width="10.6666666666667" style="13"/>
    <col min="16" max="16" width="9.7536231884058" style="13"/>
    <col min="17" max="17" width="13.5" style="13" customWidth="1"/>
    <col min="18" max="19" width="9.09420289855072" style="15" customWidth="1"/>
    <col min="20" max="20" width="14.2971014492754" style="15" customWidth="1"/>
    <col min="21" max="21" width="24.4710144927536" style="12" customWidth="1"/>
    <col min="22" max="22" width="10.6666666666667" style="12"/>
    <col min="23" max="23" width="10.5217391304348" style="12"/>
    <col min="24" max="24" width="6.7536231884058" style="12"/>
    <col min="25" max="25" width="10.7971014492754" style="12" customWidth="1"/>
    <col min="26" max="26" width="10.7971014492754" style="14"/>
    <col min="27" max="28" width="10.5" style="12"/>
    <col min="29" max="29" width="12.5942028985507" style="12"/>
    <col min="30" max="16384" width="6.7536231884058" style="12"/>
  </cols>
  <sheetData>
    <row r="1" s="12" customFormat="1" spans="5:26">
      <c r="E1" s="13"/>
      <c r="F1" s="13"/>
      <c r="G1" s="13"/>
      <c r="H1" s="13"/>
      <c r="I1" s="13"/>
      <c r="J1" s="13"/>
      <c r="K1" s="14"/>
      <c r="L1" s="14"/>
      <c r="M1" s="14"/>
      <c r="N1" s="14"/>
      <c r="O1" s="13"/>
      <c r="P1" s="13"/>
      <c r="Q1" s="13"/>
      <c r="R1" s="15"/>
      <c r="S1" s="15"/>
      <c r="T1" s="15"/>
      <c r="Z1" s="14"/>
    </row>
    <row r="2" s="12" customFormat="1" spans="1:29">
      <c r="A2" s="16" t="s">
        <v>3242</v>
      </c>
      <c r="B2" s="16" t="s">
        <v>3243</v>
      </c>
      <c r="C2" s="16" t="s">
        <v>3244</v>
      </c>
      <c r="D2" s="16" t="s">
        <v>3245</v>
      </c>
      <c r="E2" s="17" t="s">
        <v>3246</v>
      </c>
      <c r="F2" s="17" t="s">
        <v>3247</v>
      </c>
      <c r="G2" s="17" t="s">
        <v>214</v>
      </c>
      <c r="H2" s="17" t="s">
        <v>215</v>
      </c>
      <c r="I2" s="17" t="s">
        <v>3248</v>
      </c>
      <c r="J2" s="17" t="s">
        <v>3249</v>
      </c>
      <c r="K2" s="27" t="s">
        <v>3250</v>
      </c>
      <c r="L2" s="27" t="s">
        <v>3251</v>
      </c>
      <c r="M2" s="27" t="s">
        <v>3252</v>
      </c>
      <c r="N2" s="28" t="s">
        <v>3253</v>
      </c>
      <c r="O2" s="22" t="s">
        <v>284</v>
      </c>
      <c r="P2" s="22" t="s">
        <v>3254</v>
      </c>
      <c r="Q2" s="22" t="s">
        <v>3255</v>
      </c>
      <c r="R2" s="29" t="s">
        <v>3256</v>
      </c>
      <c r="S2" s="29" t="s">
        <v>3256</v>
      </c>
      <c r="T2" s="29" t="s">
        <v>3257</v>
      </c>
      <c r="U2" s="16" t="s">
        <v>329</v>
      </c>
      <c r="Y2" s="34" t="s">
        <v>3258</v>
      </c>
      <c r="Z2" s="35"/>
      <c r="AA2" s="36"/>
      <c r="AB2" s="16"/>
      <c r="AC2" s="16"/>
    </row>
    <row r="3" s="12" customFormat="1" spans="1:29">
      <c r="A3" s="16" t="s">
        <v>3259</v>
      </c>
      <c r="B3" s="16" t="s">
        <v>3260</v>
      </c>
      <c r="C3" s="17"/>
      <c r="D3" s="17">
        <v>32</v>
      </c>
      <c r="E3" s="17">
        <v>4</v>
      </c>
      <c r="F3" s="17">
        <v>4482.24</v>
      </c>
      <c r="G3" s="17">
        <v>4482.24</v>
      </c>
      <c r="H3" s="17"/>
      <c r="I3" s="17">
        <v>421</v>
      </c>
      <c r="J3" s="17"/>
      <c r="K3" s="27">
        <v>4903.24</v>
      </c>
      <c r="L3" s="27"/>
      <c r="M3" s="27"/>
      <c r="N3" s="28">
        <f>G3+H3+I3</f>
        <v>4903.24</v>
      </c>
      <c r="O3" s="22">
        <f t="shared" ref="O3:O9" si="0">K3-L3</f>
        <v>4903.24</v>
      </c>
      <c r="P3" s="22"/>
      <c r="Q3" s="22">
        <f t="shared" ref="Q3:Q6" si="1">I3</f>
        <v>421</v>
      </c>
      <c r="R3" s="29"/>
      <c r="S3" s="29"/>
      <c r="T3" s="29"/>
      <c r="U3" s="16"/>
      <c r="Y3" s="16"/>
      <c r="Z3" s="27" t="s">
        <v>57</v>
      </c>
      <c r="AA3" s="16" t="s">
        <v>3261</v>
      </c>
      <c r="AB3" s="16"/>
      <c r="AC3" s="16"/>
    </row>
    <row r="4" s="12" customFormat="1" spans="1:29">
      <c r="A4" s="16" t="s">
        <v>3262</v>
      </c>
      <c r="B4" s="16" t="s">
        <v>3260</v>
      </c>
      <c r="C4" s="17"/>
      <c r="D4" s="17">
        <v>28</v>
      </c>
      <c r="E4" s="17">
        <v>4</v>
      </c>
      <c r="F4" s="17">
        <v>4942.08</v>
      </c>
      <c r="G4" s="17"/>
      <c r="H4" s="17">
        <v>4942.08</v>
      </c>
      <c r="I4" s="17">
        <v>518.22</v>
      </c>
      <c r="J4" s="17"/>
      <c r="K4" s="27">
        <v>5460.3</v>
      </c>
      <c r="L4" s="27"/>
      <c r="M4" s="27"/>
      <c r="N4" s="28">
        <f t="shared" ref="N4:N12" si="2">G4+H4+I4</f>
        <v>5460.3</v>
      </c>
      <c r="O4" s="22">
        <f t="shared" si="0"/>
        <v>5460.3</v>
      </c>
      <c r="P4" s="22"/>
      <c r="Q4" s="22">
        <f t="shared" si="1"/>
        <v>518.22</v>
      </c>
      <c r="R4" s="29"/>
      <c r="S4" s="29"/>
      <c r="T4" s="29"/>
      <c r="U4" s="16"/>
      <c r="Y4" s="16" t="s">
        <v>3263</v>
      </c>
      <c r="Z4" s="27">
        <v>40521.01</v>
      </c>
      <c r="AA4" s="33">
        <f>Z4/Z7</f>
        <v>0.356664307154603</v>
      </c>
      <c r="AB4" s="16"/>
      <c r="AC4" s="16">
        <v>5200000</v>
      </c>
    </row>
    <row r="5" s="12" customFormat="1" spans="1:29">
      <c r="A5" s="16" t="s">
        <v>3264</v>
      </c>
      <c r="B5" s="16" t="s">
        <v>3260</v>
      </c>
      <c r="C5" s="17"/>
      <c r="D5" s="17">
        <v>32</v>
      </c>
      <c r="E5" s="17">
        <v>32</v>
      </c>
      <c r="F5" s="17">
        <v>4037.24</v>
      </c>
      <c r="G5" s="17">
        <v>4037.24</v>
      </c>
      <c r="H5" s="17"/>
      <c r="I5" s="17">
        <v>483.74</v>
      </c>
      <c r="J5" s="17"/>
      <c r="K5" s="27">
        <v>4520.98</v>
      </c>
      <c r="L5" s="27"/>
      <c r="M5" s="27"/>
      <c r="N5" s="28">
        <f t="shared" si="2"/>
        <v>4520.98</v>
      </c>
      <c r="O5" s="22">
        <f t="shared" si="0"/>
        <v>4520.98</v>
      </c>
      <c r="P5" s="22">
        <v>483.74</v>
      </c>
      <c r="Q5" s="22"/>
      <c r="R5" s="29"/>
      <c r="S5" s="29"/>
      <c r="T5" s="29"/>
      <c r="U5" s="16"/>
      <c r="Y5" s="16" t="s">
        <v>3265</v>
      </c>
      <c r="Z5" s="27">
        <v>37660.54</v>
      </c>
      <c r="AA5" s="33">
        <f>Z5/Z7</f>
        <v>0.331486564776352</v>
      </c>
      <c r="AB5" s="37">
        <f>Z7/Z10</f>
        <v>0.746988715453738</v>
      </c>
      <c r="AC5" s="27">
        <f>AC4*AB5</f>
        <v>3884341.32035944</v>
      </c>
    </row>
    <row r="6" s="12" customFormat="1" spans="1:29">
      <c r="A6" s="16" t="s">
        <v>3266</v>
      </c>
      <c r="B6" s="16" t="s">
        <v>3260</v>
      </c>
      <c r="C6" s="17"/>
      <c r="D6" s="17">
        <v>32</v>
      </c>
      <c r="E6" s="17">
        <v>4</v>
      </c>
      <c r="F6" s="17">
        <v>4871</v>
      </c>
      <c r="G6" s="17"/>
      <c r="H6" s="17">
        <v>4871</v>
      </c>
      <c r="I6" s="17">
        <v>470.48</v>
      </c>
      <c r="J6" s="17"/>
      <c r="K6" s="27">
        <v>5341.48</v>
      </c>
      <c r="L6" s="27"/>
      <c r="M6" s="27"/>
      <c r="N6" s="28">
        <f t="shared" si="2"/>
        <v>5341.48</v>
      </c>
      <c r="O6" s="22">
        <f t="shared" si="0"/>
        <v>5341.48</v>
      </c>
      <c r="P6" s="22"/>
      <c r="Q6" s="22">
        <f t="shared" si="1"/>
        <v>470.48</v>
      </c>
      <c r="R6" s="29"/>
      <c r="S6" s="29"/>
      <c r="T6" s="29"/>
      <c r="U6" s="16"/>
      <c r="Y6" s="16" t="s">
        <v>3267</v>
      </c>
      <c r="Z6" s="27">
        <v>35429.51</v>
      </c>
      <c r="AA6" s="38">
        <f>Z6/Z7</f>
        <v>0.311849128069045</v>
      </c>
      <c r="AB6" s="37">
        <f>Z8/Z10</f>
        <v>0.161479556429208</v>
      </c>
      <c r="AC6" s="27">
        <f>AC4*AB6</f>
        <v>839693.69343188</v>
      </c>
    </row>
    <row r="7" s="12" customFormat="1" spans="1:29">
      <c r="A7" s="16" t="s">
        <v>3268</v>
      </c>
      <c r="B7" s="16" t="s">
        <v>3269</v>
      </c>
      <c r="C7" s="17"/>
      <c r="D7" s="17">
        <v>28</v>
      </c>
      <c r="E7" s="17">
        <v>28</v>
      </c>
      <c r="F7" s="17">
        <v>4175.88</v>
      </c>
      <c r="G7" s="17">
        <v>3339.84</v>
      </c>
      <c r="H7" s="17">
        <v>836.04</v>
      </c>
      <c r="I7" s="17">
        <v>546.06</v>
      </c>
      <c r="J7" s="17"/>
      <c r="K7" s="27">
        <v>4721.94</v>
      </c>
      <c r="L7" s="27"/>
      <c r="M7" s="27"/>
      <c r="N7" s="28">
        <f t="shared" si="2"/>
        <v>4721.94</v>
      </c>
      <c r="O7" s="22">
        <f t="shared" si="0"/>
        <v>4721.94</v>
      </c>
      <c r="P7" s="22">
        <v>546.06</v>
      </c>
      <c r="Q7" s="22"/>
      <c r="R7" s="29"/>
      <c r="S7" s="29"/>
      <c r="T7" s="29"/>
      <c r="U7" s="16"/>
      <c r="Y7" s="16" t="s">
        <v>152</v>
      </c>
      <c r="Z7" s="27">
        <f>SUM(Z4:Z6)</f>
        <v>113611.06</v>
      </c>
      <c r="AA7" s="33">
        <f>SUM(AA4:AA6)</f>
        <v>1</v>
      </c>
      <c r="AB7" s="37">
        <f>Z9/Z10</f>
        <v>0.0915317281170544</v>
      </c>
      <c r="AC7" s="27">
        <f>AC4*AB7</f>
        <v>475964.986208683</v>
      </c>
    </row>
    <row r="8" s="12" customFormat="1" spans="1:29">
      <c r="A8" s="16" t="s">
        <v>3270</v>
      </c>
      <c r="B8" s="16" t="s">
        <v>3269</v>
      </c>
      <c r="C8" s="17"/>
      <c r="D8" s="17">
        <v>28</v>
      </c>
      <c r="E8" s="17">
        <v>28</v>
      </c>
      <c r="F8" s="17">
        <v>4580.24</v>
      </c>
      <c r="G8" s="17"/>
      <c r="H8" s="17">
        <v>4580.24</v>
      </c>
      <c r="I8" s="17">
        <v>598.66</v>
      </c>
      <c r="J8" s="17"/>
      <c r="K8" s="27">
        <v>5178.9</v>
      </c>
      <c r="L8" s="27"/>
      <c r="M8" s="27"/>
      <c r="N8" s="28">
        <f t="shared" si="2"/>
        <v>5178.9</v>
      </c>
      <c r="O8" s="22">
        <f t="shared" si="0"/>
        <v>5178.9</v>
      </c>
      <c r="P8" s="22">
        <v>598.66</v>
      </c>
      <c r="Q8" s="22"/>
      <c r="R8" s="29"/>
      <c r="S8" s="29"/>
      <c r="T8" s="29"/>
      <c r="U8" s="16"/>
      <c r="Y8" s="16" t="s">
        <v>3271</v>
      </c>
      <c r="Z8" s="27">
        <v>24559.76</v>
      </c>
      <c r="AA8" s="16"/>
      <c r="AB8" s="16"/>
      <c r="AC8" s="27">
        <f>SUM(AC5:AC7)</f>
        <v>5200000</v>
      </c>
    </row>
    <row r="9" s="12" customFormat="1" spans="1:29">
      <c r="A9" s="16" t="s">
        <v>3272</v>
      </c>
      <c r="B9" s="16" t="s">
        <v>3269</v>
      </c>
      <c r="C9" s="17"/>
      <c r="D9" s="17">
        <v>28</v>
      </c>
      <c r="E9" s="17">
        <v>28</v>
      </c>
      <c r="F9" s="17">
        <v>3743.2</v>
      </c>
      <c r="G9" s="17">
        <v>3000.52</v>
      </c>
      <c r="H9" s="17">
        <v>742.68</v>
      </c>
      <c r="I9" s="17">
        <v>489.18</v>
      </c>
      <c r="J9" s="17"/>
      <c r="K9" s="27">
        <v>4232.38</v>
      </c>
      <c r="L9" s="27"/>
      <c r="M9" s="27"/>
      <c r="N9" s="28">
        <f t="shared" si="2"/>
        <v>4232.38</v>
      </c>
      <c r="O9" s="22">
        <f t="shared" si="0"/>
        <v>4232.38</v>
      </c>
      <c r="P9" s="22">
        <v>489.18</v>
      </c>
      <c r="Q9" s="22"/>
      <c r="R9" s="29"/>
      <c r="S9" s="29"/>
      <c r="T9" s="29"/>
      <c r="U9" s="16"/>
      <c r="Y9" s="16" t="s">
        <v>3273</v>
      </c>
      <c r="Z9" s="27">
        <v>13921.25</v>
      </c>
      <c r="AA9" s="16"/>
      <c r="AB9" s="16"/>
      <c r="AC9" s="16"/>
    </row>
    <row r="10" s="12" customFormat="1" spans="1:29">
      <c r="A10" s="16" t="s">
        <v>3274</v>
      </c>
      <c r="B10" s="16" t="s">
        <v>3269</v>
      </c>
      <c r="C10" s="13"/>
      <c r="D10" s="17">
        <v>44</v>
      </c>
      <c r="E10" s="17">
        <v>20</v>
      </c>
      <c r="F10" s="17">
        <v>5524.66</v>
      </c>
      <c r="G10" s="17">
        <v>5524.66</v>
      </c>
      <c r="H10" s="17"/>
      <c r="I10" s="17">
        <v>486.18</v>
      </c>
      <c r="J10" s="17"/>
      <c r="K10" s="27">
        <f>F10+I10+53.55</f>
        <v>6064.39</v>
      </c>
      <c r="L10" s="27">
        <v>-53.55</v>
      </c>
      <c r="M10" s="27" t="s">
        <v>3275</v>
      </c>
      <c r="N10" s="28">
        <f t="shared" si="2"/>
        <v>6010.84</v>
      </c>
      <c r="O10" s="22">
        <f>K10+L10</f>
        <v>6010.84</v>
      </c>
      <c r="P10" s="22"/>
      <c r="Q10" s="22">
        <v>486.18</v>
      </c>
      <c r="R10" s="30"/>
      <c r="S10" s="30"/>
      <c r="T10" s="30"/>
      <c r="U10" s="16"/>
      <c r="Y10" s="16"/>
      <c r="Z10" s="27">
        <f>SUM(Z7:Z9)</f>
        <v>152092.07</v>
      </c>
      <c r="AA10" s="16"/>
      <c r="AB10" s="16" t="s">
        <v>3276</v>
      </c>
      <c r="AC10" s="16">
        <f>AC6+AC7</f>
        <v>1315658.67964056</v>
      </c>
    </row>
    <row r="11" s="12" customFormat="1" spans="1:29">
      <c r="A11" s="16" t="s">
        <v>3277</v>
      </c>
      <c r="B11" s="16" t="s">
        <v>3269</v>
      </c>
      <c r="C11" s="17"/>
      <c r="D11" s="17">
        <v>28</v>
      </c>
      <c r="E11" s="17">
        <v>28</v>
      </c>
      <c r="F11" s="17">
        <v>3743.2</v>
      </c>
      <c r="G11" s="17">
        <v>3000.52</v>
      </c>
      <c r="H11" s="17">
        <v>742.68</v>
      </c>
      <c r="I11" s="17">
        <v>489.18</v>
      </c>
      <c r="J11" s="17"/>
      <c r="K11" s="27">
        <v>4232.38</v>
      </c>
      <c r="L11" s="27"/>
      <c r="M11" s="27"/>
      <c r="N11" s="28">
        <f t="shared" si="2"/>
        <v>4232.38</v>
      </c>
      <c r="O11" s="22">
        <f t="shared" ref="O11:O18" si="3">K11-L11</f>
        <v>4232.38</v>
      </c>
      <c r="P11" s="22">
        <v>489.18</v>
      </c>
      <c r="Q11" s="22"/>
      <c r="R11" s="29"/>
      <c r="S11" s="29"/>
      <c r="T11" s="29"/>
      <c r="U11" s="16"/>
      <c r="Y11" s="16"/>
      <c r="Z11" s="27"/>
      <c r="AA11" s="16"/>
      <c r="AB11" s="16"/>
      <c r="AC11" s="16"/>
    </row>
    <row r="12" s="12" customFormat="1" spans="1:29">
      <c r="A12" s="16" t="s">
        <v>3278</v>
      </c>
      <c r="B12" s="16" t="s">
        <v>3269</v>
      </c>
      <c r="C12" s="17"/>
      <c r="D12" s="17">
        <v>28</v>
      </c>
      <c r="E12" s="17">
        <v>28</v>
      </c>
      <c r="F12" s="17">
        <v>3743.2</v>
      </c>
      <c r="G12" s="17">
        <v>3000.52</v>
      </c>
      <c r="H12" s="17">
        <v>742.68</v>
      </c>
      <c r="I12" s="17">
        <v>489.18</v>
      </c>
      <c r="J12" s="17"/>
      <c r="K12" s="27">
        <v>4232.38</v>
      </c>
      <c r="L12" s="27"/>
      <c r="M12" s="27"/>
      <c r="N12" s="28">
        <f t="shared" si="2"/>
        <v>4232.38</v>
      </c>
      <c r="O12" s="22">
        <f t="shared" si="3"/>
        <v>4232.38</v>
      </c>
      <c r="P12" s="22">
        <v>489.18</v>
      </c>
      <c r="Q12" s="22"/>
      <c r="R12" s="29"/>
      <c r="S12" s="29"/>
      <c r="T12" s="29"/>
      <c r="U12" s="16"/>
      <c r="Y12" s="16"/>
      <c r="Z12" s="27"/>
      <c r="AA12" s="16"/>
      <c r="AB12" s="16"/>
      <c r="AC12" s="16"/>
    </row>
    <row r="13" s="12" customFormat="1" spans="1:29">
      <c r="A13" s="18" t="s">
        <v>3279</v>
      </c>
      <c r="B13" s="19"/>
      <c r="C13" s="20">
        <f t="shared" ref="C13:L13" si="4">SUM(C3:C12)</f>
        <v>0</v>
      </c>
      <c r="D13" s="20">
        <f t="shared" si="4"/>
        <v>308</v>
      </c>
      <c r="E13" s="20">
        <f t="shared" si="4"/>
        <v>204</v>
      </c>
      <c r="F13" s="20">
        <f t="shared" si="4"/>
        <v>43842.94</v>
      </c>
      <c r="G13" s="21">
        <f t="shared" si="4"/>
        <v>26385.54</v>
      </c>
      <c r="H13" s="21">
        <f t="shared" si="4"/>
        <v>17457.4</v>
      </c>
      <c r="I13" s="20">
        <f t="shared" si="4"/>
        <v>4991.88</v>
      </c>
      <c r="J13" s="20">
        <f t="shared" si="4"/>
        <v>0</v>
      </c>
      <c r="K13" s="21">
        <f t="shared" si="4"/>
        <v>48888.37</v>
      </c>
      <c r="L13" s="21">
        <f t="shared" si="4"/>
        <v>-53.55</v>
      </c>
      <c r="M13" s="21"/>
      <c r="N13" s="21">
        <f>SUM(N3:N12)</f>
        <v>48834.82</v>
      </c>
      <c r="O13" s="21">
        <f t="shared" ref="O13:Q13" si="5">SUM(O3:O12)</f>
        <v>48834.82</v>
      </c>
      <c r="P13" s="20">
        <f t="shared" si="5"/>
        <v>3096</v>
      </c>
      <c r="Q13" s="20">
        <f t="shared" si="5"/>
        <v>1895.88</v>
      </c>
      <c r="R13" s="30"/>
      <c r="S13" s="30">
        <f>ROUND(O13/$O$48,4)</f>
        <v>0.3036</v>
      </c>
      <c r="T13" s="30">
        <f>ROUND(O13/($O$13+$O$34+$O$47),4)</f>
        <v>0.3232</v>
      </c>
      <c r="U13" s="16"/>
      <c r="Y13" s="16"/>
      <c r="Z13" s="27"/>
      <c r="AA13" s="16"/>
      <c r="AB13" s="16"/>
      <c r="AC13" s="16"/>
    </row>
    <row r="14" s="12" customFormat="1" spans="1:26">
      <c r="A14" s="16" t="s">
        <v>3280</v>
      </c>
      <c r="B14" s="16" t="s">
        <v>3269</v>
      </c>
      <c r="C14" s="17">
        <v>11</v>
      </c>
      <c r="D14" s="17"/>
      <c r="E14" s="17"/>
      <c r="F14" s="17"/>
      <c r="G14" s="17"/>
      <c r="H14" s="17"/>
      <c r="I14" s="17"/>
      <c r="J14" s="17">
        <f>967.92-27.14</f>
        <v>940.78</v>
      </c>
      <c r="K14" s="27">
        <f>940.78+27.14</f>
        <v>967.92</v>
      </c>
      <c r="L14" s="27">
        <v>-27.14</v>
      </c>
      <c r="M14" s="27" t="s">
        <v>3281</v>
      </c>
      <c r="N14" s="28">
        <f t="shared" ref="N14:N18" si="6">J14</f>
        <v>940.78</v>
      </c>
      <c r="O14" s="22">
        <f>K14+L14</f>
        <v>940.78</v>
      </c>
      <c r="P14" s="22">
        <v>27.14</v>
      </c>
      <c r="Q14" s="22"/>
      <c r="R14" s="29"/>
      <c r="S14" s="29"/>
      <c r="T14" s="29"/>
      <c r="U14" s="16" t="s">
        <v>3282</v>
      </c>
      <c r="Z14" s="14"/>
    </row>
    <row r="15" s="12" customFormat="1" spans="1:26">
      <c r="A15" s="16" t="s">
        <v>3283</v>
      </c>
      <c r="B15" s="16" t="s">
        <v>3269</v>
      </c>
      <c r="C15" s="17">
        <v>13</v>
      </c>
      <c r="D15" s="17"/>
      <c r="E15" s="17"/>
      <c r="F15" s="17"/>
      <c r="G15" s="17"/>
      <c r="H15" s="17"/>
      <c r="I15" s="17"/>
      <c r="J15" s="17">
        <v>1180.52</v>
      </c>
      <c r="K15" s="27">
        <v>1180.52</v>
      </c>
      <c r="L15" s="27"/>
      <c r="M15" s="27"/>
      <c r="N15" s="28">
        <f t="shared" si="6"/>
        <v>1180.52</v>
      </c>
      <c r="O15" s="22">
        <f t="shared" si="3"/>
        <v>1180.52</v>
      </c>
      <c r="P15" s="22"/>
      <c r="Q15" s="22"/>
      <c r="R15" s="29"/>
      <c r="S15" s="29"/>
      <c r="T15" s="29"/>
      <c r="U15" s="16" t="s">
        <v>3284</v>
      </c>
      <c r="Z15" s="14"/>
    </row>
    <row r="16" s="12" customFormat="1" spans="1:26">
      <c r="A16" s="16" t="s">
        <v>3285</v>
      </c>
      <c r="B16" s="16" t="s">
        <v>3269</v>
      </c>
      <c r="C16" s="17">
        <v>11</v>
      </c>
      <c r="D16" s="17"/>
      <c r="E16" s="17"/>
      <c r="F16" s="17"/>
      <c r="G16" s="17"/>
      <c r="H16" s="17"/>
      <c r="I16" s="17"/>
      <c r="J16" s="17">
        <v>895.27</v>
      </c>
      <c r="K16" s="27">
        <v>895.27</v>
      </c>
      <c r="L16" s="27"/>
      <c r="M16" s="27"/>
      <c r="N16" s="28">
        <f t="shared" si="6"/>
        <v>895.27</v>
      </c>
      <c r="O16" s="22">
        <f t="shared" si="3"/>
        <v>895.27</v>
      </c>
      <c r="P16" s="22"/>
      <c r="Q16" s="22"/>
      <c r="R16" s="29"/>
      <c r="S16" s="29"/>
      <c r="T16" s="29"/>
      <c r="U16" s="16" t="s">
        <v>3284</v>
      </c>
      <c r="Z16" s="14"/>
    </row>
    <row r="17" s="12" customFormat="1" spans="1:29">
      <c r="A17" s="16" t="s">
        <v>3286</v>
      </c>
      <c r="B17" s="16" t="s">
        <v>3260</v>
      </c>
      <c r="C17" s="17">
        <v>2</v>
      </c>
      <c r="D17" s="17"/>
      <c r="E17" s="17"/>
      <c r="F17" s="17"/>
      <c r="G17" s="17"/>
      <c r="H17" s="17"/>
      <c r="I17" s="17"/>
      <c r="J17" s="17">
        <v>1391.28</v>
      </c>
      <c r="K17" s="27">
        <v>1391.28</v>
      </c>
      <c r="L17" s="27"/>
      <c r="M17" s="27"/>
      <c r="N17" s="28">
        <f t="shared" si="6"/>
        <v>1391.28</v>
      </c>
      <c r="O17" s="22">
        <f t="shared" si="3"/>
        <v>1391.28</v>
      </c>
      <c r="P17" s="22"/>
      <c r="Q17" s="22"/>
      <c r="R17" s="29"/>
      <c r="S17" s="29"/>
      <c r="T17" s="29"/>
      <c r="U17" s="16" t="s">
        <v>3284</v>
      </c>
      <c r="Y17" s="39" t="s">
        <v>3287</v>
      </c>
      <c r="Z17" s="39"/>
      <c r="AA17" s="39"/>
      <c r="AB17" s="39"/>
      <c r="AC17" s="39"/>
    </row>
    <row r="18" s="12" customFormat="1" spans="1:29">
      <c r="A18" s="16" t="s">
        <v>3288</v>
      </c>
      <c r="B18" s="16" t="s">
        <v>3260</v>
      </c>
      <c r="C18" s="17">
        <v>12</v>
      </c>
      <c r="D18" s="17"/>
      <c r="E18" s="17"/>
      <c r="F18" s="17"/>
      <c r="G18" s="17"/>
      <c r="H18" s="17"/>
      <c r="I18" s="17"/>
      <c r="J18" s="17">
        <v>1220.8</v>
      </c>
      <c r="K18" s="27">
        <v>1220.8</v>
      </c>
      <c r="L18" s="27"/>
      <c r="M18" s="27"/>
      <c r="N18" s="28">
        <f t="shared" si="6"/>
        <v>1220.8</v>
      </c>
      <c r="O18" s="22">
        <f t="shared" si="3"/>
        <v>1220.8</v>
      </c>
      <c r="P18" s="22"/>
      <c r="Q18" s="22"/>
      <c r="R18" s="29"/>
      <c r="S18" s="29"/>
      <c r="T18" s="29"/>
      <c r="U18" s="16"/>
      <c r="Y18" s="39" t="s">
        <v>3242</v>
      </c>
      <c r="Z18" s="39" t="s">
        <v>3289</v>
      </c>
      <c r="AA18" s="39" t="s">
        <v>3290</v>
      </c>
      <c r="AB18" s="39"/>
      <c r="AC18" s="39"/>
    </row>
    <row r="19" s="12" customFormat="1" spans="1:29">
      <c r="A19" s="18" t="s">
        <v>3291</v>
      </c>
      <c r="B19" s="19"/>
      <c r="C19" s="22">
        <f t="shared" ref="C19:F19" si="7">SUM(C14:C18)</f>
        <v>49</v>
      </c>
      <c r="D19" s="22">
        <f t="shared" si="7"/>
        <v>0</v>
      </c>
      <c r="E19" s="22">
        <f t="shared" si="7"/>
        <v>0</v>
      </c>
      <c r="F19" s="22">
        <f t="shared" si="7"/>
        <v>0</v>
      </c>
      <c r="G19" s="22"/>
      <c r="H19" s="22"/>
      <c r="I19" s="22">
        <f t="shared" ref="I19:L19" si="8">SUM(I14:I18)</f>
        <v>0</v>
      </c>
      <c r="J19" s="22">
        <f t="shared" si="8"/>
        <v>5628.65</v>
      </c>
      <c r="K19" s="21">
        <f t="shared" si="8"/>
        <v>5655.79</v>
      </c>
      <c r="L19" s="21">
        <f t="shared" si="8"/>
        <v>-27.14</v>
      </c>
      <c r="M19" s="21"/>
      <c r="N19" s="22">
        <f>SUM(N14:N18)</f>
        <v>5628.65</v>
      </c>
      <c r="O19" s="22">
        <f t="shared" ref="O19:Q19" si="9">SUM(O14:O18)</f>
        <v>5628.65</v>
      </c>
      <c r="P19" s="22">
        <f t="shared" si="9"/>
        <v>27.14</v>
      </c>
      <c r="Q19" s="22">
        <f t="shared" si="9"/>
        <v>0</v>
      </c>
      <c r="R19" s="30"/>
      <c r="S19" s="30">
        <f>ROUND(O19/$O$48,4)</f>
        <v>0.035</v>
      </c>
      <c r="T19" s="30"/>
      <c r="U19" s="16"/>
      <c r="Y19" s="16" t="s">
        <v>3280</v>
      </c>
      <c r="Z19" s="27">
        <v>37.4</v>
      </c>
      <c r="AA19" s="40">
        <f t="shared" ref="AA19:AA22" si="10">ROUND(Z19/$Z$47,4)</f>
        <v>0.0063</v>
      </c>
      <c r="AB19" s="16"/>
      <c r="AC19" s="16"/>
    </row>
    <row r="20" s="12" customFormat="1" spans="1:29">
      <c r="A20" s="16" t="s">
        <v>3292</v>
      </c>
      <c r="B20" s="16" t="s">
        <v>3293</v>
      </c>
      <c r="C20" s="17">
        <v>9</v>
      </c>
      <c r="D20" s="17"/>
      <c r="E20" s="17"/>
      <c r="F20" s="17"/>
      <c r="G20" s="17"/>
      <c r="H20" s="17"/>
      <c r="I20" s="17"/>
      <c r="J20" s="17">
        <v>893.63</v>
      </c>
      <c r="K20" s="27">
        <v>893.63</v>
      </c>
      <c r="L20" s="27"/>
      <c r="M20" s="27"/>
      <c r="N20" s="28">
        <f t="shared" ref="N20:N22" si="11">J20</f>
        <v>893.63</v>
      </c>
      <c r="O20" s="22">
        <f t="shared" ref="O20:O33" si="12">K20-L20</f>
        <v>893.63</v>
      </c>
      <c r="P20" s="22"/>
      <c r="Q20" s="22"/>
      <c r="R20" s="29"/>
      <c r="S20" s="29"/>
      <c r="T20" s="29"/>
      <c r="U20" s="16" t="s">
        <v>3284</v>
      </c>
      <c r="Y20" s="16" t="s">
        <v>3283</v>
      </c>
      <c r="Z20" s="27">
        <v>47.22</v>
      </c>
      <c r="AA20" s="40">
        <f t="shared" si="10"/>
        <v>0.0079</v>
      </c>
      <c r="AB20" s="16"/>
      <c r="AC20" s="16"/>
    </row>
    <row r="21" s="12" customFormat="1" spans="1:29">
      <c r="A21" s="16" t="s">
        <v>3294</v>
      </c>
      <c r="B21" s="16" t="s">
        <v>3293</v>
      </c>
      <c r="C21" s="17">
        <v>17</v>
      </c>
      <c r="D21" s="17"/>
      <c r="E21" s="17"/>
      <c r="F21" s="17"/>
      <c r="G21" s="17"/>
      <c r="H21" s="17"/>
      <c r="I21" s="17"/>
      <c r="J21" s="17">
        <f>762.81+725.15</f>
        <v>1487.96</v>
      </c>
      <c r="K21" s="27">
        <v>1487.96</v>
      </c>
      <c r="L21" s="27"/>
      <c r="M21" s="27"/>
      <c r="N21" s="28">
        <f t="shared" si="11"/>
        <v>1487.96</v>
      </c>
      <c r="O21" s="22">
        <f t="shared" si="12"/>
        <v>1487.96</v>
      </c>
      <c r="P21" s="22"/>
      <c r="Q21" s="22"/>
      <c r="R21" s="29"/>
      <c r="S21" s="29"/>
      <c r="T21" s="29"/>
      <c r="U21" s="16"/>
      <c r="Y21" s="16" t="s">
        <v>3285</v>
      </c>
      <c r="Z21" s="27">
        <v>35.81</v>
      </c>
      <c r="AA21" s="40">
        <f t="shared" si="10"/>
        <v>0.006</v>
      </c>
      <c r="AB21" s="16"/>
      <c r="AC21" s="16"/>
    </row>
    <row r="22" s="12" customFormat="1" spans="1:29">
      <c r="A22" s="16" t="s">
        <v>3295</v>
      </c>
      <c r="B22" s="16" t="s">
        <v>3293</v>
      </c>
      <c r="C22" s="17">
        <v>14</v>
      </c>
      <c r="D22" s="17"/>
      <c r="E22" s="17"/>
      <c r="F22" s="17"/>
      <c r="G22" s="17"/>
      <c r="H22" s="17"/>
      <c r="I22" s="17">
        <v>38.8</v>
      </c>
      <c r="J22" s="17">
        <f>1800.51-38.8</f>
        <v>1761.71</v>
      </c>
      <c r="K22" s="27">
        <v>1800.51</v>
      </c>
      <c r="L22" s="27">
        <v>-38.8</v>
      </c>
      <c r="M22" s="27" t="s">
        <v>1640</v>
      </c>
      <c r="N22" s="28">
        <f t="shared" si="11"/>
        <v>1761.71</v>
      </c>
      <c r="O22" s="22">
        <f>K22+L22</f>
        <v>1761.71</v>
      </c>
      <c r="P22" s="22"/>
      <c r="Q22" s="22"/>
      <c r="R22" s="29"/>
      <c r="S22" s="29"/>
      <c r="T22" s="29"/>
      <c r="U22" s="16" t="s">
        <v>3296</v>
      </c>
      <c r="V22" s="12">
        <v>4369614.13</v>
      </c>
      <c r="W22" s="12">
        <f>V22/O22</f>
        <v>2480.32543948777</v>
      </c>
      <c r="Y22" s="16" t="s">
        <v>3274</v>
      </c>
      <c r="Z22" s="27">
        <v>534.92</v>
      </c>
      <c r="AA22" s="40">
        <f t="shared" si="10"/>
        <v>0.0896</v>
      </c>
      <c r="AB22" s="27">
        <f>ROUND(Z22/Z23,4)</f>
        <v>0.8162</v>
      </c>
      <c r="AC22" s="16"/>
    </row>
    <row r="23" s="12" customFormat="1" spans="1:29">
      <c r="A23" s="18" t="s">
        <v>3297</v>
      </c>
      <c r="B23" s="19"/>
      <c r="C23" s="22">
        <f t="shared" ref="C23:F23" si="13">SUM(C20:C22)</f>
        <v>40</v>
      </c>
      <c r="D23" s="22">
        <f t="shared" si="13"/>
        <v>0</v>
      </c>
      <c r="E23" s="22">
        <f t="shared" si="13"/>
        <v>0</v>
      </c>
      <c r="F23" s="22">
        <f t="shared" si="13"/>
        <v>0</v>
      </c>
      <c r="G23" s="22"/>
      <c r="H23" s="22"/>
      <c r="I23" s="22">
        <f>SUM(I20:I22)</f>
        <v>38.8</v>
      </c>
      <c r="J23" s="22">
        <f>SUM(J20:J22)</f>
        <v>4143.3</v>
      </c>
      <c r="K23" s="21">
        <f>SUM(K20:K22)</f>
        <v>4182.1</v>
      </c>
      <c r="L23" s="21">
        <f>SUM(L20:L22)</f>
        <v>-38.8</v>
      </c>
      <c r="M23" s="21"/>
      <c r="N23" s="22">
        <f>SUM(N20:N22)</f>
        <v>4143.3</v>
      </c>
      <c r="O23" s="22">
        <f>SUM(O20:O22)</f>
        <v>4143.3</v>
      </c>
      <c r="P23" s="22">
        <f>SUM(P20:P22)</f>
        <v>0</v>
      </c>
      <c r="Q23" s="22">
        <f>SUM(Q20:Q22)</f>
        <v>0</v>
      </c>
      <c r="R23" s="30"/>
      <c r="S23" s="30">
        <f>ROUND(O23/$O$48,4)</f>
        <v>0.0258</v>
      </c>
      <c r="T23" s="30"/>
      <c r="U23" s="16"/>
      <c r="Y23" s="16" t="s">
        <v>3298</v>
      </c>
      <c r="Z23" s="27">
        <f>SUM(Z19:Z22)</f>
        <v>655.35</v>
      </c>
      <c r="AA23" s="33">
        <f>Z23/$Z$47</f>
        <v>0.109829243890136</v>
      </c>
      <c r="AB23" s="16"/>
      <c r="AC23" s="16"/>
    </row>
    <row r="24" s="12" customFormat="1" spans="1:29">
      <c r="A24" s="16" t="s">
        <v>3299</v>
      </c>
      <c r="B24" s="16" t="s">
        <v>3293</v>
      </c>
      <c r="C24" s="17"/>
      <c r="D24" s="17">
        <v>28</v>
      </c>
      <c r="E24" s="17">
        <v>28</v>
      </c>
      <c r="F24" s="17">
        <v>3743.77</v>
      </c>
      <c r="G24" s="17">
        <v>3000.7</v>
      </c>
      <c r="H24" s="17">
        <v>743.07</v>
      </c>
      <c r="I24" s="17">
        <v>489.18</v>
      </c>
      <c r="J24" s="17"/>
      <c r="K24" s="27">
        <v>4232.95</v>
      </c>
      <c r="L24" s="27"/>
      <c r="M24" s="27"/>
      <c r="N24" s="28">
        <f t="shared" ref="N24:N33" si="14">G24+H24+I24</f>
        <v>4232.95</v>
      </c>
      <c r="O24" s="22">
        <f t="shared" si="12"/>
        <v>4232.95</v>
      </c>
      <c r="P24" s="17">
        <v>489.18</v>
      </c>
      <c r="Q24" s="22"/>
      <c r="R24" s="29"/>
      <c r="S24" s="29"/>
      <c r="T24" s="29"/>
      <c r="U24" s="16"/>
      <c r="Y24" s="23" t="s">
        <v>3299</v>
      </c>
      <c r="Z24" s="28">
        <v>150.3</v>
      </c>
      <c r="AA24" s="16"/>
      <c r="AB24" s="16"/>
      <c r="AC24" s="16"/>
    </row>
    <row r="25" s="12" customFormat="1" spans="1:29">
      <c r="A25" s="16" t="s">
        <v>3300</v>
      </c>
      <c r="B25" s="16" t="s">
        <v>3293</v>
      </c>
      <c r="C25" s="17"/>
      <c r="D25" s="17">
        <v>28</v>
      </c>
      <c r="E25" s="17">
        <v>28</v>
      </c>
      <c r="F25" s="17">
        <v>4175.88</v>
      </c>
      <c r="G25" s="17">
        <v>3339.84</v>
      </c>
      <c r="H25" s="17">
        <v>836.04</v>
      </c>
      <c r="I25" s="17">
        <v>546.06</v>
      </c>
      <c r="J25" s="17"/>
      <c r="K25" s="27">
        <v>4721.94</v>
      </c>
      <c r="L25" s="27"/>
      <c r="M25" s="27"/>
      <c r="N25" s="28">
        <f t="shared" si="14"/>
        <v>4721.94</v>
      </c>
      <c r="O25" s="22">
        <f t="shared" si="12"/>
        <v>4721.94</v>
      </c>
      <c r="P25" s="17">
        <v>546.06</v>
      </c>
      <c r="Q25" s="22"/>
      <c r="R25" s="29"/>
      <c r="S25" s="29"/>
      <c r="T25" s="29"/>
      <c r="U25" s="16"/>
      <c r="Y25" s="23" t="s">
        <v>3300</v>
      </c>
      <c r="Z25" s="28">
        <v>167.56</v>
      </c>
      <c r="AA25" s="16"/>
      <c r="AB25" s="16"/>
      <c r="AC25" s="16"/>
    </row>
    <row r="26" s="12" customFormat="1" spans="1:29">
      <c r="A26" s="16" t="s">
        <v>3301</v>
      </c>
      <c r="B26" s="16" t="s">
        <v>3293</v>
      </c>
      <c r="C26" s="17"/>
      <c r="D26" s="17">
        <v>28</v>
      </c>
      <c r="E26" s="17">
        <v>28</v>
      </c>
      <c r="F26" s="17">
        <v>3743.77</v>
      </c>
      <c r="G26" s="17">
        <v>3000.7</v>
      </c>
      <c r="H26" s="17">
        <v>743.07</v>
      </c>
      <c r="I26" s="17">
        <v>489.18</v>
      </c>
      <c r="J26" s="17"/>
      <c r="K26" s="27">
        <v>4232.95</v>
      </c>
      <c r="L26" s="27"/>
      <c r="M26" s="27"/>
      <c r="N26" s="28">
        <f t="shared" si="14"/>
        <v>4232.95</v>
      </c>
      <c r="O26" s="22">
        <f t="shared" si="12"/>
        <v>4232.95</v>
      </c>
      <c r="P26" s="17">
        <v>489.18</v>
      </c>
      <c r="Q26" s="22"/>
      <c r="R26" s="29"/>
      <c r="S26" s="29"/>
      <c r="T26" s="29"/>
      <c r="U26" s="16"/>
      <c r="Y26" s="23" t="s">
        <v>3301</v>
      </c>
      <c r="Z26" s="28">
        <v>150.3</v>
      </c>
      <c r="AA26" s="16"/>
      <c r="AB26" s="16"/>
      <c r="AC26" s="16"/>
    </row>
    <row r="27" s="12" customFormat="1" spans="1:29">
      <c r="A27" s="16" t="s">
        <v>3302</v>
      </c>
      <c r="B27" s="16" t="s">
        <v>3293</v>
      </c>
      <c r="C27" s="17"/>
      <c r="D27" s="17">
        <v>28</v>
      </c>
      <c r="E27" s="17">
        <v>28</v>
      </c>
      <c r="F27" s="17">
        <v>4175.88</v>
      </c>
      <c r="G27" s="17">
        <v>3339.84</v>
      </c>
      <c r="H27" s="17">
        <v>836.04</v>
      </c>
      <c r="I27" s="17">
        <v>546.06</v>
      </c>
      <c r="J27" s="17"/>
      <c r="K27" s="27">
        <v>4721.94</v>
      </c>
      <c r="L27" s="27"/>
      <c r="M27" s="27"/>
      <c r="N27" s="28">
        <f t="shared" si="14"/>
        <v>4721.94</v>
      </c>
      <c r="O27" s="22">
        <f t="shared" si="12"/>
        <v>4721.94</v>
      </c>
      <c r="P27" s="17">
        <v>546.06</v>
      </c>
      <c r="Q27" s="22"/>
      <c r="R27" s="29"/>
      <c r="S27" s="29"/>
      <c r="T27" s="29"/>
      <c r="U27" s="16"/>
      <c r="Y27" s="23" t="s">
        <v>3302</v>
      </c>
      <c r="Z27" s="28">
        <v>167.56</v>
      </c>
      <c r="AA27" s="16"/>
      <c r="AB27" s="16"/>
      <c r="AC27" s="16"/>
    </row>
    <row r="28" s="12" customFormat="1" spans="1:29">
      <c r="A28" s="16" t="s">
        <v>3303</v>
      </c>
      <c r="B28" s="16" t="s">
        <v>3293</v>
      </c>
      <c r="C28" s="17"/>
      <c r="D28" s="17">
        <v>28</v>
      </c>
      <c r="E28" s="17">
        <v>28</v>
      </c>
      <c r="F28" s="17">
        <v>4580.43</v>
      </c>
      <c r="G28" s="17"/>
      <c r="H28" s="17">
        <v>4580.43</v>
      </c>
      <c r="I28" s="17">
        <v>592.04</v>
      </c>
      <c r="J28" s="17"/>
      <c r="K28" s="27">
        <v>5172.47</v>
      </c>
      <c r="L28" s="27"/>
      <c r="M28" s="27"/>
      <c r="N28" s="28">
        <f t="shared" si="14"/>
        <v>5172.47</v>
      </c>
      <c r="O28" s="22">
        <f t="shared" si="12"/>
        <v>5172.47</v>
      </c>
      <c r="P28" s="17">
        <v>592.04</v>
      </c>
      <c r="Q28" s="22"/>
      <c r="R28" s="29"/>
      <c r="S28" s="29"/>
      <c r="T28" s="29"/>
      <c r="U28" s="16"/>
      <c r="Y28" s="23" t="s">
        <v>3303</v>
      </c>
      <c r="Z28" s="28">
        <v>183.73</v>
      </c>
      <c r="AA28" s="16"/>
      <c r="AB28" s="16"/>
      <c r="AC28" s="16"/>
    </row>
    <row r="29" s="12" customFormat="1" spans="1:29">
      <c r="A29" s="16" t="s">
        <v>3304</v>
      </c>
      <c r="B29" s="16" t="s">
        <v>3293</v>
      </c>
      <c r="C29" s="17"/>
      <c r="D29" s="17">
        <v>28</v>
      </c>
      <c r="E29" s="17">
        <v>28</v>
      </c>
      <c r="F29" s="17">
        <v>4580.43</v>
      </c>
      <c r="G29" s="17"/>
      <c r="H29" s="17">
        <v>4580.43</v>
      </c>
      <c r="I29" s="17">
        <v>592.04</v>
      </c>
      <c r="J29" s="17"/>
      <c r="K29" s="27">
        <v>5172.47</v>
      </c>
      <c r="L29" s="27"/>
      <c r="M29" s="27"/>
      <c r="N29" s="28">
        <f t="shared" si="14"/>
        <v>5172.47</v>
      </c>
      <c r="O29" s="22">
        <f t="shared" si="12"/>
        <v>5172.47</v>
      </c>
      <c r="P29" s="17">
        <v>592.04</v>
      </c>
      <c r="Q29" s="22"/>
      <c r="R29" s="29"/>
      <c r="S29" s="29"/>
      <c r="T29" s="29"/>
      <c r="U29" s="16"/>
      <c r="Y29" s="23" t="s">
        <v>3304</v>
      </c>
      <c r="Z29" s="28">
        <v>183.73</v>
      </c>
      <c r="AA29" s="16"/>
      <c r="AB29" s="16"/>
      <c r="AC29" s="16"/>
    </row>
    <row r="30" s="12" customFormat="1" spans="1:29">
      <c r="A30" s="16" t="s">
        <v>3305</v>
      </c>
      <c r="B30" s="16" t="s">
        <v>3293</v>
      </c>
      <c r="C30" s="17"/>
      <c r="D30" s="17">
        <v>28</v>
      </c>
      <c r="E30" s="17">
        <v>28</v>
      </c>
      <c r="F30" s="17">
        <v>4175.88</v>
      </c>
      <c r="G30" s="17">
        <v>3339.84</v>
      </c>
      <c r="H30" s="17">
        <v>836.04</v>
      </c>
      <c r="I30" s="17">
        <v>546.06</v>
      </c>
      <c r="J30" s="17"/>
      <c r="K30" s="27">
        <v>4721.94</v>
      </c>
      <c r="L30" s="27"/>
      <c r="M30" s="27"/>
      <c r="N30" s="28">
        <f t="shared" si="14"/>
        <v>4721.94</v>
      </c>
      <c r="O30" s="22">
        <f t="shared" si="12"/>
        <v>4721.94</v>
      </c>
      <c r="P30" s="22">
        <v>546.06</v>
      </c>
      <c r="Q30" s="22"/>
      <c r="R30" s="29"/>
      <c r="S30" s="29"/>
      <c r="T30" s="29"/>
      <c r="U30" s="16"/>
      <c r="Y30" s="23" t="s">
        <v>3305</v>
      </c>
      <c r="Z30" s="28">
        <v>167.56</v>
      </c>
      <c r="AA30" s="16"/>
      <c r="AB30" s="16"/>
      <c r="AC30" s="16"/>
    </row>
    <row r="31" s="12" customFormat="1" spans="1:29">
      <c r="A31" s="23" t="s">
        <v>3306</v>
      </c>
      <c r="B31" s="16" t="s">
        <v>3293</v>
      </c>
      <c r="C31" s="17"/>
      <c r="D31" s="17">
        <v>28</v>
      </c>
      <c r="E31" s="17">
        <v>28</v>
      </c>
      <c r="F31" s="17">
        <v>4942.98</v>
      </c>
      <c r="G31" s="17"/>
      <c r="H31" s="17">
        <v>4942.98</v>
      </c>
      <c r="I31" s="17">
        <v>641</v>
      </c>
      <c r="J31" s="17"/>
      <c r="K31" s="27">
        <v>5583.98</v>
      </c>
      <c r="L31" s="27"/>
      <c r="M31" s="27"/>
      <c r="N31" s="28">
        <f t="shared" si="14"/>
        <v>5583.98</v>
      </c>
      <c r="O31" s="22">
        <f t="shared" si="12"/>
        <v>5583.98</v>
      </c>
      <c r="P31" s="22">
        <v>641</v>
      </c>
      <c r="Q31" s="22"/>
      <c r="R31" s="29"/>
      <c r="S31" s="29"/>
      <c r="T31" s="29"/>
      <c r="U31" s="16"/>
      <c r="Y31" s="23" t="s">
        <v>3306</v>
      </c>
      <c r="Z31" s="28">
        <v>198.05</v>
      </c>
      <c r="AA31" s="16"/>
      <c r="AB31" s="16"/>
      <c r="AC31" s="16"/>
    </row>
    <row r="32" s="12" customFormat="1" spans="1:29">
      <c r="A32" s="16" t="s">
        <v>3307</v>
      </c>
      <c r="B32" s="16" t="s">
        <v>3293</v>
      </c>
      <c r="C32" s="17"/>
      <c r="D32" s="17">
        <v>28</v>
      </c>
      <c r="E32" s="17">
        <v>28</v>
      </c>
      <c r="F32" s="17">
        <v>4175.88</v>
      </c>
      <c r="G32" s="17">
        <v>3339.84</v>
      </c>
      <c r="H32" s="17">
        <v>836.04</v>
      </c>
      <c r="I32" s="17">
        <v>546.06</v>
      </c>
      <c r="J32" s="17"/>
      <c r="K32" s="27">
        <v>4721.94</v>
      </c>
      <c r="L32" s="27"/>
      <c r="M32" s="27"/>
      <c r="N32" s="28">
        <f t="shared" si="14"/>
        <v>4721.94</v>
      </c>
      <c r="O32" s="22">
        <f t="shared" si="12"/>
        <v>4721.94</v>
      </c>
      <c r="P32" s="22">
        <v>546.06</v>
      </c>
      <c r="Q32" s="22"/>
      <c r="R32" s="29"/>
      <c r="S32" s="29"/>
      <c r="T32" s="29"/>
      <c r="U32" s="16"/>
      <c r="Y32" s="23" t="s">
        <v>3307</v>
      </c>
      <c r="Z32" s="28">
        <v>167.56</v>
      </c>
      <c r="AA32" s="16"/>
      <c r="AB32" s="16"/>
      <c r="AC32" s="16"/>
    </row>
    <row r="33" s="12" customFormat="1" spans="1:29">
      <c r="A33" s="23" t="s">
        <v>3308</v>
      </c>
      <c r="B33" s="16" t="s">
        <v>3293</v>
      </c>
      <c r="C33" s="17"/>
      <c r="D33" s="17">
        <v>28</v>
      </c>
      <c r="E33" s="17">
        <v>28</v>
      </c>
      <c r="F33" s="17">
        <v>4942.98</v>
      </c>
      <c r="G33" s="17"/>
      <c r="H33" s="17">
        <v>4942.98</v>
      </c>
      <c r="I33" s="17">
        <v>641</v>
      </c>
      <c r="J33" s="17"/>
      <c r="K33" s="27">
        <v>5583.98</v>
      </c>
      <c r="L33" s="27"/>
      <c r="M33" s="27"/>
      <c r="N33" s="28">
        <f t="shared" si="14"/>
        <v>5583.98</v>
      </c>
      <c r="O33" s="22">
        <f t="shared" si="12"/>
        <v>5583.98</v>
      </c>
      <c r="P33" s="22">
        <v>641</v>
      </c>
      <c r="Q33" s="22"/>
      <c r="R33" s="29"/>
      <c r="S33" s="29"/>
      <c r="T33" s="29"/>
      <c r="U33" s="16"/>
      <c r="Y33" s="23" t="s">
        <v>3308</v>
      </c>
      <c r="Z33" s="28">
        <v>198.05</v>
      </c>
      <c r="AA33" s="16"/>
      <c r="AB33" s="16"/>
      <c r="AC33" s="16"/>
    </row>
    <row r="34" s="12" customFormat="1" spans="1:29">
      <c r="A34" s="18" t="s">
        <v>3309</v>
      </c>
      <c r="B34" s="19"/>
      <c r="C34" s="22">
        <f t="shared" ref="C34:L34" si="15">SUM(C24:C33)</f>
        <v>0</v>
      </c>
      <c r="D34" s="22">
        <f t="shared" si="15"/>
        <v>280</v>
      </c>
      <c r="E34" s="22">
        <f t="shared" si="15"/>
        <v>280</v>
      </c>
      <c r="F34" s="22">
        <f t="shared" si="15"/>
        <v>43237.88</v>
      </c>
      <c r="G34" s="22">
        <f t="shared" si="15"/>
        <v>19360.76</v>
      </c>
      <c r="H34" s="22">
        <f t="shared" si="15"/>
        <v>23877.12</v>
      </c>
      <c r="I34" s="22">
        <f t="shared" si="15"/>
        <v>5628.68</v>
      </c>
      <c r="J34" s="22">
        <f t="shared" si="15"/>
        <v>0</v>
      </c>
      <c r="K34" s="21">
        <f t="shared" si="15"/>
        <v>48866.56</v>
      </c>
      <c r="L34" s="21">
        <f t="shared" si="15"/>
        <v>0</v>
      </c>
      <c r="M34" s="21"/>
      <c r="N34" s="22">
        <f>SUM(N24:N33)</f>
        <v>48866.56</v>
      </c>
      <c r="O34" s="22">
        <f t="shared" ref="O34:Q34" si="16">SUM(O24:O33)</f>
        <v>48866.56</v>
      </c>
      <c r="P34" s="22">
        <f t="shared" si="16"/>
        <v>5628.68</v>
      </c>
      <c r="Q34" s="22">
        <f t="shared" si="16"/>
        <v>0</v>
      </c>
      <c r="R34" s="30"/>
      <c r="S34" s="30">
        <f>ROUND(O34/$O$48,4)</f>
        <v>0.3038</v>
      </c>
      <c r="T34" s="30">
        <f>ROUND(O34/($O$13+$O$34+$O$47),4)</f>
        <v>0.3234</v>
      </c>
      <c r="U34" s="16"/>
      <c r="Y34" s="23" t="s">
        <v>3294</v>
      </c>
      <c r="Z34" s="28">
        <v>59.53</v>
      </c>
      <c r="AA34" s="16"/>
      <c r="AB34" s="16"/>
      <c r="AC34" s="16"/>
    </row>
    <row r="35" s="12" customFormat="1" spans="1:29">
      <c r="A35" s="16" t="s">
        <v>3310</v>
      </c>
      <c r="B35" s="23" t="s">
        <v>3311</v>
      </c>
      <c r="C35" s="17"/>
      <c r="D35" s="17"/>
      <c r="E35" s="17"/>
      <c r="F35" s="17"/>
      <c r="G35" s="17"/>
      <c r="H35" s="17"/>
      <c r="I35" s="17"/>
      <c r="J35" s="17"/>
      <c r="K35" s="27">
        <v>0</v>
      </c>
      <c r="L35" s="27"/>
      <c r="M35" s="27"/>
      <c r="N35" s="28">
        <f t="shared" ref="N35:N37" si="17">K35+L35</f>
        <v>0</v>
      </c>
      <c r="O35" s="22">
        <f t="shared" ref="O35:O37" si="18">K35+L35</f>
        <v>0</v>
      </c>
      <c r="P35" s="22">
        <v>1954.2</v>
      </c>
      <c r="Q35" s="22">
        <v>4364712.48</v>
      </c>
      <c r="R35" s="31">
        <f t="shared" ref="R35:R37" si="19">Q35/P35</f>
        <v>2233.50346945041</v>
      </c>
      <c r="S35" s="29"/>
      <c r="T35" s="29"/>
      <c r="U35" s="16" t="s">
        <v>3312</v>
      </c>
      <c r="Y35" s="23" t="s">
        <v>3295</v>
      </c>
      <c r="Z35" s="28">
        <v>72.02</v>
      </c>
      <c r="AA35" s="16"/>
      <c r="AB35" s="16"/>
      <c r="AC35" s="16"/>
    </row>
    <row r="36" s="12" customFormat="1" ht="15" customHeight="1" spans="1:29">
      <c r="A36" s="16" t="s">
        <v>3313</v>
      </c>
      <c r="B36" s="23" t="s">
        <v>3314</v>
      </c>
      <c r="C36" s="17"/>
      <c r="D36" s="17"/>
      <c r="E36" s="17"/>
      <c r="F36" s="17"/>
      <c r="G36" s="17"/>
      <c r="H36" s="17"/>
      <c r="I36" s="17"/>
      <c r="J36" s="17"/>
      <c r="K36" s="27">
        <v>0</v>
      </c>
      <c r="L36" s="27"/>
      <c r="M36" s="27"/>
      <c r="N36" s="28">
        <f t="shared" si="17"/>
        <v>0</v>
      </c>
      <c r="O36" s="22">
        <f t="shared" si="18"/>
        <v>0</v>
      </c>
      <c r="P36" s="22">
        <v>1656.84</v>
      </c>
      <c r="Q36" s="22">
        <v>3069771.85</v>
      </c>
      <c r="R36" s="31">
        <f t="shared" si="19"/>
        <v>1852.7871429951</v>
      </c>
      <c r="S36" s="29"/>
      <c r="T36" s="29"/>
      <c r="U36" s="16" t="s">
        <v>3315</v>
      </c>
      <c r="Y36" s="23" t="s">
        <v>3292</v>
      </c>
      <c r="Z36" s="28">
        <v>35.71</v>
      </c>
      <c r="AA36" s="16"/>
      <c r="AB36" s="16"/>
      <c r="AC36" s="16"/>
    </row>
    <row r="37" s="12" customFormat="1" ht="15" customHeight="1" spans="1:29">
      <c r="A37" s="24"/>
      <c r="B37" s="25" t="s">
        <v>3316</v>
      </c>
      <c r="C37" s="17"/>
      <c r="D37" s="17"/>
      <c r="E37" s="17"/>
      <c r="F37" s="17"/>
      <c r="G37" s="17"/>
      <c r="H37" s="17"/>
      <c r="I37" s="17"/>
      <c r="J37" s="17"/>
      <c r="K37" s="27"/>
      <c r="L37" s="27"/>
      <c r="M37" s="27"/>
      <c r="N37" s="28">
        <f t="shared" si="17"/>
        <v>0</v>
      </c>
      <c r="O37" s="22">
        <f t="shared" si="18"/>
        <v>0</v>
      </c>
      <c r="P37" s="22">
        <v>7027.16</v>
      </c>
      <c r="Q37" s="22">
        <v>26703208</v>
      </c>
      <c r="R37" s="31">
        <f t="shared" si="19"/>
        <v>3800</v>
      </c>
      <c r="S37" s="29"/>
      <c r="T37" s="29"/>
      <c r="U37" s="16" t="s">
        <v>3317</v>
      </c>
      <c r="Y37" s="23" t="s">
        <v>3318</v>
      </c>
      <c r="Z37" s="28">
        <f>SUM(Z24:Z36)</f>
        <v>1901.66</v>
      </c>
      <c r="AA37" s="33">
        <f>Z37/$Z$47</f>
        <v>0.318696696324277</v>
      </c>
      <c r="AB37" s="16"/>
      <c r="AC37" s="16"/>
    </row>
    <row r="38" s="12" customFormat="1" spans="1:29">
      <c r="A38" s="18" t="s">
        <v>3319</v>
      </c>
      <c r="B38" s="19"/>
      <c r="C38" s="22">
        <f t="shared" ref="C38:F38" si="20">SUM(C35:C36)</f>
        <v>0</v>
      </c>
      <c r="D38" s="22">
        <f t="shared" si="20"/>
        <v>0</v>
      </c>
      <c r="E38" s="22">
        <f t="shared" si="20"/>
        <v>0</v>
      </c>
      <c r="F38" s="22">
        <f t="shared" si="20"/>
        <v>0</v>
      </c>
      <c r="G38" s="22"/>
      <c r="H38" s="22"/>
      <c r="I38" s="22">
        <f>SUM(I35:I36)</f>
        <v>0</v>
      </c>
      <c r="J38" s="22">
        <f>SUM(J35:J36)</f>
        <v>0</v>
      </c>
      <c r="K38" s="21">
        <v>0</v>
      </c>
      <c r="L38" s="21"/>
      <c r="M38" s="21"/>
      <c r="N38" s="28"/>
      <c r="O38" s="22">
        <f>SUM(O35:O36)</f>
        <v>0</v>
      </c>
      <c r="P38" s="22">
        <f>SUM(P35:P37)</f>
        <v>10638.2</v>
      </c>
      <c r="Q38" s="22">
        <f>SUM(Q35:Q36)</f>
        <v>7434484.33</v>
      </c>
      <c r="R38" s="22">
        <f>SUM(R35:R36)</f>
        <v>4086.29061244551</v>
      </c>
      <c r="S38" s="30"/>
      <c r="T38" s="30"/>
      <c r="U38" s="16"/>
      <c r="Y38" s="16" t="s">
        <v>3320</v>
      </c>
      <c r="Z38" s="27">
        <v>160.38</v>
      </c>
      <c r="AA38" s="16"/>
      <c r="AB38" s="16"/>
      <c r="AC38" s="16"/>
    </row>
    <row r="39" s="12" customFormat="1" spans="1:29">
      <c r="A39" s="23" t="s">
        <v>3321</v>
      </c>
      <c r="B39" s="16" t="s">
        <v>3311</v>
      </c>
      <c r="C39" s="17">
        <f t="shared" ref="C39:C46" si="21">SUM(C38:C38)</f>
        <v>0</v>
      </c>
      <c r="D39" s="17">
        <v>44</v>
      </c>
      <c r="E39" s="17">
        <v>32</v>
      </c>
      <c r="F39" s="17">
        <v>6140.42</v>
      </c>
      <c r="G39" s="17"/>
      <c r="H39" s="17"/>
      <c r="I39" s="17">
        <v>542.62</v>
      </c>
      <c r="J39" s="17"/>
      <c r="K39" s="27">
        <v>6683.04</v>
      </c>
      <c r="L39" s="27"/>
      <c r="M39" s="27"/>
      <c r="N39" s="28">
        <f t="shared" ref="N39:N46" si="22">F39+I39</f>
        <v>6683.04</v>
      </c>
      <c r="O39" s="22">
        <f t="shared" ref="O39:O43" si="23">K39-L39</f>
        <v>6683.04</v>
      </c>
      <c r="P39" s="17"/>
      <c r="Q39" s="17">
        <v>542.62</v>
      </c>
      <c r="R39" s="32"/>
      <c r="S39" s="32"/>
      <c r="T39" s="32"/>
      <c r="U39" s="16"/>
      <c r="Y39" s="16" t="s">
        <v>3322</v>
      </c>
      <c r="Z39" s="27">
        <v>178.42</v>
      </c>
      <c r="AA39" s="16"/>
      <c r="AB39" s="16"/>
      <c r="AC39" s="16"/>
    </row>
    <row r="40" s="12" customFormat="1" spans="1:29">
      <c r="A40" s="23" t="s">
        <v>3320</v>
      </c>
      <c r="B40" s="16" t="s">
        <v>3311</v>
      </c>
      <c r="C40" s="17">
        <f t="shared" si="21"/>
        <v>0</v>
      </c>
      <c r="D40" s="17">
        <v>32</v>
      </c>
      <c r="E40" s="17">
        <v>32</v>
      </c>
      <c r="F40" s="17">
        <v>4032.12</v>
      </c>
      <c r="G40" s="17"/>
      <c r="H40" s="17"/>
      <c r="I40" s="17">
        <v>488.76</v>
      </c>
      <c r="J40" s="17"/>
      <c r="K40" s="27">
        <v>4520.88</v>
      </c>
      <c r="L40" s="27"/>
      <c r="M40" s="27"/>
      <c r="N40" s="28">
        <f t="shared" si="22"/>
        <v>4520.88</v>
      </c>
      <c r="O40" s="22">
        <f t="shared" si="23"/>
        <v>4520.88</v>
      </c>
      <c r="P40" s="17">
        <v>488.76</v>
      </c>
      <c r="Q40" s="17"/>
      <c r="R40" s="32"/>
      <c r="S40" s="32"/>
      <c r="T40" s="32"/>
      <c r="U40" s="16"/>
      <c r="Y40" s="16" t="s">
        <v>3323</v>
      </c>
      <c r="Z40" s="27">
        <v>178.42</v>
      </c>
      <c r="AA40" s="16"/>
      <c r="AB40" s="16"/>
      <c r="AC40" s="16"/>
    </row>
    <row r="41" s="12" customFormat="1" spans="1:29">
      <c r="A41" s="23" t="s">
        <v>3322</v>
      </c>
      <c r="B41" s="16" t="s">
        <v>3311</v>
      </c>
      <c r="C41" s="17">
        <f t="shared" si="21"/>
        <v>0</v>
      </c>
      <c r="D41" s="17">
        <v>32</v>
      </c>
      <c r="E41" s="17">
        <v>32</v>
      </c>
      <c r="F41" s="17">
        <v>4480.96</v>
      </c>
      <c r="G41" s="17"/>
      <c r="H41" s="17"/>
      <c r="I41" s="17">
        <v>545.28</v>
      </c>
      <c r="J41" s="17"/>
      <c r="K41" s="27">
        <v>5026.24</v>
      </c>
      <c r="L41" s="27"/>
      <c r="M41" s="27"/>
      <c r="N41" s="28">
        <f t="shared" si="22"/>
        <v>5026.24</v>
      </c>
      <c r="O41" s="22">
        <f t="shared" si="23"/>
        <v>5026.24</v>
      </c>
      <c r="P41" s="17">
        <v>545.28</v>
      </c>
      <c r="Q41" s="17"/>
      <c r="R41" s="32"/>
      <c r="S41" s="32"/>
      <c r="T41" s="32"/>
      <c r="U41" s="16"/>
      <c r="Y41" s="16" t="s">
        <v>3321</v>
      </c>
      <c r="Z41" s="27">
        <v>594.87</v>
      </c>
      <c r="AA41" s="16"/>
      <c r="AB41" s="16"/>
      <c r="AC41" s="16"/>
    </row>
    <row r="42" s="12" customFormat="1" spans="1:29">
      <c r="A42" s="23" t="s">
        <v>3323</v>
      </c>
      <c r="B42" s="16" t="s">
        <v>3311</v>
      </c>
      <c r="C42" s="17">
        <f t="shared" si="21"/>
        <v>0</v>
      </c>
      <c r="D42" s="17">
        <v>32</v>
      </c>
      <c r="E42" s="17">
        <v>32</v>
      </c>
      <c r="F42" s="17">
        <v>4480.96</v>
      </c>
      <c r="G42" s="17"/>
      <c r="H42" s="17"/>
      <c r="I42" s="17">
        <v>545.28</v>
      </c>
      <c r="J42" s="17"/>
      <c r="K42" s="27">
        <v>5026.24</v>
      </c>
      <c r="L42" s="27"/>
      <c r="M42" s="27"/>
      <c r="N42" s="28">
        <f t="shared" si="22"/>
        <v>5026.24</v>
      </c>
      <c r="O42" s="22">
        <f t="shared" si="23"/>
        <v>5026.24</v>
      </c>
      <c r="P42" s="17">
        <v>545.28</v>
      </c>
      <c r="Q42" s="17"/>
      <c r="R42" s="32"/>
      <c r="S42" s="32"/>
      <c r="T42" s="32"/>
      <c r="U42" s="16"/>
      <c r="Y42" s="16" t="s">
        <v>3324</v>
      </c>
      <c r="Z42" s="27">
        <v>599.52</v>
      </c>
      <c r="AA42" s="16"/>
      <c r="AB42" s="16"/>
      <c r="AC42" s="16"/>
    </row>
    <row r="43" s="12" customFormat="1" spans="1:29">
      <c r="A43" s="23" t="s">
        <v>3325</v>
      </c>
      <c r="B43" s="16" t="s">
        <v>3311</v>
      </c>
      <c r="C43" s="17">
        <f t="shared" si="21"/>
        <v>0</v>
      </c>
      <c r="D43" s="17">
        <v>44</v>
      </c>
      <c r="E43" s="17">
        <v>20</v>
      </c>
      <c r="F43" s="17">
        <v>5524.66</v>
      </c>
      <c r="G43" s="17"/>
      <c r="H43" s="17"/>
      <c r="I43" s="17">
        <v>486.22</v>
      </c>
      <c r="J43" s="17"/>
      <c r="K43" s="27">
        <v>6010.88</v>
      </c>
      <c r="L43" s="27"/>
      <c r="M43" s="27"/>
      <c r="N43" s="28">
        <f t="shared" si="22"/>
        <v>6010.88</v>
      </c>
      <c r="O43" s="22">
        <f t="shared" si="23"/>
        <v>6010.88</v>
      </c>
      <c r="P43" s="17">
        <v>486.22</v>
      </c>
      <c r="Q43" s="17">
        <v>486.22</v>
      </c>
      <c r="R43" s="33"/>
      <c r="S43" s="33"/>
      <c r="T43" s="33"/>
      <c r="U43" s="16" t="s">
        <v>3284</v>
      </c>
      <c r="Y43" s="16" t="s">
        <v>3326</v>
      </c>
      <c r="Z43" s="27">
        <v>563.93</v>
      </c>
      <c r="AA43" s="16"/>
      <c r="AB43" s="16"/>
      <c r="AC43" s="16"/>
    </row>
    <row r="44" s="12" customFormat="1" spans="1:29">
      <c r="A44" s="23" t="s">
        <v>3324</v>
      </c>
      <c r="B44" s="16" t="s">
        <v>3314</v>
      </c>
      <c r="C44" s="17">
        <f t="shared" si="21"/>
        <v>0</v>
      </c>
      <c r="D44" s="17">
        <v>72</v>
      </c>
      <c r="E44" s="17"/>
      <c r="F44" s="17">
        <v>10145.52</v>
      </c>
      <c r="G44" s="17"/>
      <c r="H44" s="17"/>
      <c r="I44" s="17"/>
      <c r="J44" s="17"/>
      <c r="K44" s="28">
        <f>10145.52+39.24</f>
        <v>10184.76</v>
      </c>
      <c r="L44" s="27">
        <v>-39.24</v>
      </c>
      <c r="M44" s="27" t="s">
        <v>3327</v>
      </c>
      <c r="N44" s="28">
        <f t="shared" si="22"/>
        <v>10145.52</v>
      </c>
      <c r="O44" s="22">
        <f>K44+L44</f>
        <v>10145.52</v>
      </c>
      <c r="P44" s="17">
        <f>39.24+140.62</f>
        <v>179.86</v>
      </c>
      <c r="Q44" s="17"/>
      <c r="R44" s="32"/>
      <c r="S44" s="32"/>
      <c r="T44" s="32"/>
      <c r="U44" s="12" t="s">
        <v>3328</v>
      </c>
      <c r="Y44" s="16" t="s">
        <v>3329</v>
      </c>
      <c r="Z44" s="27">
        <v>599.52</v>
      </c>
      <c r="AA44" s="16"/>
      <c r="AB44" s="16"/>
      <c r="AC44" s="16"/>
    </row>
    <row r="45" s="12" customFormat="1" spans="1:29">
      <c r="A45" s="23" t="s">
        <v>3326</v>
      </c>
      <c r="B45" s="16" t="s">
        <v>3314</v>
      </c>
      <c r="C45" s="17">
        <f t="shared" si="21"/>
        <v>0</v>
      </c>
      <c r="D45" s="17">
        <v>44</v>
      </c>
      <c r="E45" s="17"/>
      <c r="F45" s="17">
        <v>5840.49</v>
      </c>
      <c r="G45" s="17"/>
      <c r="H45" s="17"/>
      <c r="I45" s="17"/>
      <c r="J45" s="17"/>
      <c r="K45" s="28">
        <f>F45</f>
        <v>5840.49</v>
      </c>
      <c r="L45" s="27"/>
      <c r="M45" s="27"/>
      <c r="N45" s="28">
        <f t="shared" si="22"/>
        <v>5840.49</v>
      </c>
      <c r="O45" s="22">
        <f>K45-L45</f>
        <v>5840.49</v>
      </c>
      <c r="P45" s="17"/>
      <c r="Q45" s="17"/>
      <c r="R45" s="32"/>
      <c r="S45" s="32"/>
      <c r="T45" s="32"/>
      <c r="U45" s="16"/>
      <c r="Y45" s="16" t="s">
        <v>3325</v>
      </c>
      <c r="Z45" s="27">
        <v>534.92</v>
      </c>
      <c r="AA45" s="16"/>
      <c r="AB45" s="16"/>
      <c r="AC45" s="16"/>
    </row>
    <row r="46" s="12" customFormat="1" ht="16" customHeight="1" spans="1:29">
      <c r="A46" s="23" t="s">
        <v>3329</v>
      </c>
      <c r="B46" s="16" t="s">
        <v>3314</v>
      </c>
      <c r="C46" s="17">
        <f t="shared" si="21"/>
        <v>0</v>
      </c>
      <c r="D46" s="17">
        <v>72</v>
      </c>
      <c r="E46" s="17"/>
      <c r="F46" s="17">
        <v>10143.36</v>
      </c>
      <c r="G46" s="17"/>
      <c r="H46" s="17"/>
      <c r="I46" s="17"/>
      <c r="J46" s="17"/>
      <c r="K46" s="28">
        <f>F46</f>
        <v>10143.36</v>
      </c>
      <c r="L46" s="27"/>
      <c r="M46" s="27"/>
      <c r="N46" s="28">
        <f t="shared" si="22"/>
        <v>10143.36</v>
      </c>
      <c r="O46" s="22">
        <f>K46-L46</f>
        <v>10143.36</v>
      </c>
      <c r="P46" s="17">
        <v>140.62</v>
      </c>
      <c r="Q46" s="17"/>
      <c r="R46" s="32"/>
      <c r="S46" s="32"/>
      <c r="T46" s="32"/>
      <c r="U46" s="16"/>
      <c r="Y46" s="16" t="s">
        <v>3330</v>
      </c>
      <c r="Z46" s="27">
        <f>SUM(Z38:Z45)</f>
        <v>3409.98</v>
      </c>
      <c r="AA46" s="33">
        <f>Z46/$Z$47</f>
        <v>0.571474059785587</v>
      </c>
      <c r="AB46" s="16"/>
      <c r="AC46" s="16"/>
    </row>
    <row r="47" s="12" customFormat="1" spans="1:29">
      <c r="A47" s="18" t="s">
        <v>3330</v>
      </c>
      <c r="B47" s="19"/>
      <c r="C47" s="22">
        <f t="shared" ref="C47:F47" si="24">SUM(C39:C46)</f>
        <v>0</v>
      </c>
      <c r="D47" s="22">
        <f t="shared" si="24"/>
        <v>372</v>
      </c>
      <c r="E47" s="22">
        <f t="shared" si="24"/>
        <v>148</v>
      </c>
      <c r="F47" s="22">
        <f t="shared" si="24"/>
        <v>50788.49</v>
      </c>
      <c r="G47" s="22"/>
      <c r="H47" s="22"/>
      <c r="I47" s="22">
        <f t="shared" ref="I47:L47" si="25">SUM(I39:I46)</f>
        <v>2608.16</v>
      </c>
      <c r="J47" s="22">
        <f t="shared" si="25"/>
        <v>0</v>
      </c>
      <c r="K47" s="21">
        <f t="shared" si="25"/>
        <v>53435.89</v>
      </c>
      <c r="L47" s="21">
        <f t="shared" si="25"/>
        <v>-39.24</v>
      </c>
      <c r="M47" s="21"/>
      <c r="N47" s="22">
        <f>SUM(N39:N46)</f>
        <v>53396.65</v>
      </c>
      <c r="O47" s="22">
        <f t="shared" ref="O47:Q47" si="26">SUM(O39:O46)</f>
        <v>53396.65</v>
      </c>
      <c r="P47" s="22">
        <f t="shared" si="26"/>
        <v>2386.02</v>
      </c>
      <c r="Q47" s="22">
        <f t="shared" si="26"/>
        <v>1028.84</v>
      </c>
      <c r="R47" s="30"/>
      <c r="S47" s="30">
        <f>ROUND(O47/$O$48,4)</f>
        <v>0.3319</v>
      </c>
      <c r="T47" s="30">
        <f>ROUND(O47/($O$13+$O$34+$O$47),4)+0.0001</f>
        <v>0.3535</v>
      </c>
      <c r="U47" s="16"/>
      <c r="Y47" s="16" t="s">
        <v>3331</v>
      </c>
      <c r="Z47" s="28">
        <f>Z46+Z37+Z23</f>
        <v>5966.99</v>
      </c>
      <c r="AA47" s="41">
        <f>AA46+AA37+AA23</f>
        <v>1</v>
      </c>
      <c r="AB47" s="23"/>
      <c r="AC47" s="23"/>
    </row>
    <row r="48" s="12" customFormat="1" spans="1:29">
      <c r="A48" s="20" t="s">
        <v>152</v>
      </c>
      <c r="B48" s="20"/>
      <c r="C48" s="22">
        <f t="shared" ref="C48:F48" si="27">C13+C19+C34+C38+C47+C23</f>
        <v>89</v>
      </c>
      <c r="D48" s="22">
        <f t="shared" si="27"/>
        <v>960</v>
      </c>
      <c r="E48" s="22">
        <f t="shared" si="27"/>
        <v>632</v>
      </c>
      <c r="F48" s="22">
        <f t="shared" si="27"/>
        <v>137869.31</v>
      </c>
      <c r="G48" s="22"/>
      <c r="H48" s="22"/>
      <c r="I48" s="22">
        <f t="shared" ref="I48:L48" si="28">I13+I19+I34+I38+I47+I23</f>
        <v>13267.52</v>
      </c>
      <c r="J48" s="22">
        <f t="shared" si="28"/>
        <v>9771.95</v>
      </c>
      <c r="K48" s="21">
        <f t="shared" si="28"/>
        <v>161028.71</v>
      </c>
      <c r="L48" s="21">
        <f t="shared" si="28"/>
        <v>-158.73</v>
      </c>
      <c r="M48" s="21"/>
      <c r="N48" s="22">
        <f>N13+N19+N34+N38+N47+N23</f>
        <v>160869.98</v>
      </c>
      <c r="O48" s="22">
        <f t="shared" ref="O48:S48" si="29">O13+O19+O34+O38+O47+O23</f>
        <v>160869.98</v>
      </c>
      <c r="P48" s="22">
        <f t="shared" si="29"/>
        <v>21776.04</v>
      </c>
      <c r="Q48" s="22">
        <f t="shared" si="29"/>
        <v>7437409.05</v>
      </c>
      <c r="R48" s="22">
        <f t="shared" si="29"/>
        <v>4086.29061244551</v>
      </c>
      <c r="S48" s="30">
        <f t="shared" si="29"/>
        <v>1.0001</v>
      </c>
      <c r="T48" s="30">
        <f>T47+T34+T13</f>
        <v>1.0001</v>
      </c>
      <c r="U48" s="16"/>
      <c r="Y48" s="16" t="s">
        <v>3332</v>
      </c>
      <c r="Z48" s="27">
        <f>65.26-0.03</f>
        <v>65.23</v>
      </c>
      <c r="AA48" s="16"/>
      <c r="AB48" s="16"/>
      <c r="AC48" s="16"/>
    </row>
    <row r="49" s="12" customFormat="1" spans="5:29">
      <c r="E49" s="13"/>
      <c r="F49" s="13"/>
      <c r="G49" s="13"/>
      <c r="H49" s="13"/>
      <c r="I49" s="13"/>
      <c r="J49" s="13"/>
      <c r="K49" s="14"/>
      <c r="L49" s="14"/>
      <c r="M49" s="14"/>
      <c r="N49" s="14"/>
      <c r="O49" s="13"/>
      <c r="P49" s="13"/>
      <c r="Q49" s="13"/>
      <c r="R49" s="15"/>
      <c r="S49" s="15"/>
      <c r="T49" s="15"/>
      <c r="Y49" s="16"/>
      <c r="Z49" s="27"/>
      <c r="AA49" s="16"/>
      <c r="AB49" s="16"/>
      <c r="AC49" s="16"/>
    </row>
    <row r="50" s="12" customFormat="1" spans="5:29">
      <c r="E50" s="13"/>
      <c r="F50" s="13"/>
      <c r="G50" s="13"/>
      <c r="H50" s="13"/>
      <c r="I50" s="13"/>
      <c r="J50" s="13"/>
      <c r="K50" s="14"/>
      <c r="L50" s="14"/>
      <c r="M50" s="14"/>
      <c r="N50" s="14"/>
      <c r="O50" s="14"/>
      <c r="P50" s="13"/>
      <c r="Q50" s="13"/>
      <c r="R50" s="15"/>
      <c r="S50" s="15"/>
      <c r="T50" s="15"/>
      <c r="Y50" s="16"/>
      <c r="Z50" s="27"/>
      <c r="AA50" s="23"/>
      <c r="AB50" s="16"/>
      <c r="AC50" s="16"/>
    </row>
    <row r="51" s="12" customFormat="1" spans="5:26">
      <c r="E51" s="13"/>
      <c r="F51" s="13"/>
      <c r="G51" s="13"/>
      <c r="H51" s="13"/>
      <c r="I51" s="13"/>
      <c r="J51" s="13"/>
      <c r="K51" s="14"/>
      <c r="L51" s="14"/>
      <c r="M51" s="14"/>
      <c r="N51" s="14"/>
      <c r="O51" s="14"/>
      <c r="P51" s="13"/>
      <c r="Q51" s="13"/>
      <c r="R51" s="15"/>
      <c r="S51" s="15"/>
      <c r="T51" s="15"/>
      <c r="Z51" s="14"/>
    </row>
    <row r="52" spans="9:27">
      <c r="I52" s="13" t="s">
        <v>147</v>
      </c>
      <c r="J52" s="13" t="s">
        <v>215</v>
      </c>
      <c r="K52" s="14" t="s">
        <v>3333</v>
      </c>
      <c r="AA52" s="42"/>
    </row>
    <row r="53" spans="8:11">
      <c r="H53" s="13" t="s">
        <v>3334</v>
      </c>
      <c r="I53" s="26">
        <f>ROUND(G34/($G$34+$H$34+$I$34),4)</f>
        <v>0.3962</v>
      </c>
      <c r="J53" s="26">
        <f>ROUND(H34/($G$34+$H$34+$I$34),4)</f>
        <v>0.4886</v>
      </c>
      <c r="K53" s="26">
        <f>ROUND(I34/($G$34+$H$34+$I$34),4)</f>
        <v>0.1152</v>
      </c>
    </row>
    <row r="55" spans="12:13">
      <c r="L55" s="14">
        <v>54463.47</v>
      </c>
      <c r="M55" s="14">
        <v>54463.47</v>
      </c>
    </row>
    <row r="56" spans="4:13">
      <c r="D56" s="14"/>
      <c r="E56" s="26"/>
      <c r="L56" s="14">
        <v>53009.86</v>
      </c>
      <c r="M56" s="14">
        <v>53009.86</v>
      </c>
    </row>
    <row r="57" spans="4:13">
      <c r="D57" s="14"/>
      <c r="E57" s="26"/>
      <c r="L57" s="14">
        <v>53396.65</v>
      </c>
      <c r="M57" s="14">
        <v>53396.65</v>
      </c>
    </row>
    <row r="58" spans="4:5">
      <c r="D58" s="14"/>
      <c r="E58" s="26"/>
    </row>
    <row r="59" spans="4:5">
      <c r="D59" s="14"/>
      <c r="E59" s="26"/>
    </row>
  </sheetData>
  <mergeCells count="8">
    <mergeCell ref="Y2:AA2"/>
    <mergeCell ref="A13:B13"/>
    <mergeCell ref="Y17:AC17"/>
    <mergeCell ref="A19:B19"/>
    <mergeCell ref="A23:B23"/>
    <mergeCell ref="A34:B34"/>
    <mergeCell ref="A38:B38"/>
    <mergeCell ref="A47:B47"/>
  </mergeCells>
  <pageMargins left="0.75" right="0.75" top="1" bottom="1" header="0.5" footer="0.5"/>
  <pageSetup paperSize="9" orientation="portrait"/>
  <headerFooter/>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3"/>
  <dimension ref="A1:AE23"/>
  <sheetViews>
    <sheetView workbookViewId="0">
      <selection activeCell="AD12" sqref="AD12"/>
    </sheetView>
  </sheetViews>
  <sheetFormatPr defaultColWidth="15.6159420289855" defaultRowHeight="11.85"/>
  <cols>
    <col min="1" max="1" width="15" style="1" customWidth="1"/>
    <col min="2" max="2" width="29.3840579710145" style="1" customWidth="1"/>
    <col min="3" max="3" width="22.6159420289855" style="1" customWidth="1"/>
    <col min="4" max="4" width="15.6159420289855" style="1" customWidth="1"/>
    <col min="5" max="6" width="15.6159420289855" style="1"/>
    <col min="7" max="7" width="19.1159420289855" style="1" customWidth="1"/>
    <col min="8" max="24" width="15.6159420289855" style="1"/>
    <col min="25" max="27" width="15.6159420289855" style="2"/>
    <col min="28" max="28" width="13.7536231884058" style="1" customWidth="1"/>
    <col min="29" max="29" width="23.2536231884058" style="1" customWidth="1"/>
    <col min="30" max="16384" width="15.6159420289855" style="1"/>
  </cols>
  <sheetData>
    <row r="1" ht="24.95" customHeight="1" spans="1:31">
      <c r="A1" s="3" t="s">
        <v>272</v>
      </c>
      <c r="B1" s="3" t="s">
        <v>3335</v>
      </c>
      <c r="C1" s="3" t="s">
        <v>1681</v>
      </c>
      <c r="D1" s="3" t="s">
        <v>1707</v>
      </c>
      <c r="E1" s="3" t="s">
        <v>2488</v>
      </c>
      <c r="F1" s="3" t="s">
        <v>1739</v>
      </c>
      <c r="G1" s="3" t="s">
        <v>1700</v>
      </c>
      <c r="H1" s="3" t="s">
        <v>1697</v>
      </c>
      <c r="I1" s="3" t="s">
        <v>3336</v>
      </c>
      <c r="J1" s="3" t="s">
        <v>3337</v>
      </c>
      <c r="K1" s="3" t="s">
        <v>335</v>
      </c>
      <c r="L1" s="3" t="s">
        <v>336</v>
      </c>
      <c r="M1" s="3" t="s">
        <v>3335</v>
      </c>
      <c r="N1" s="3" t="s">
        <v>1681</v>
      </c>
      <c r="O1" s="3" t="s">
        <v>1707</v>
      </c>
      <c r="P1" s="3" t="s">
        <v>2488</v>
      </c>
      <c r="Q1" s="3" t="s">
        <v>1739</v>
      </c>
      <c r="R1" s="3" t="s">
        <v>1700</v>
      </c>
      <c r="S1" s="3" t="s">
        <v>1697</v>
      </c>
      <c r="T1" s="3" t="s">
        <v>3336</v>
      </c>
      <c r="U1" s="3" t="s">
        <v>1658</v>
      </c>
      <c r="V1" s="3" t="s">
        <v>3224</v>
      </c>
      <c r="W1" s="3" t="s">
        <v>3225</v>
      </c>
      <c r="X1" s="3" t="s">
        <v>3226</v>
      </c>
      <c r="Y1" s="3" t="s">
        <v>3227</v>
      </c>
      <c r="Z1" s="3" t="s">
        <v>3228</v>
      </c>
      <c r="AA1" s="3" t="s">
        <v>3229</v>
      </c>
      <c r="AB1" s="3" t="s">
        <v>201</v>
      </c>
      <c r="AC1" s="3" t="s">
        <v>3338</v>
      </c>
      <c r="AD1" s="9" t="s">
        <v>3339</v>
      </c>
      <c r="AE1" s="9" t="s">
        <v>2995</v>
      </c>
    </row>
    <row r="2" ht="24.95" customHeight="1" spans="1:31">
      <c r="A2" s="4" t="s">
        <v>214</v>
      </c>
      <c r="B2" s="4" t="s">
        <v>3340</v>
      </c>
      <c r="C2" s="5" t="s">
        <v>1682</v>
      </c>
      <c r="D2" s="5" t="s">
        <v>1724</v>
      </c>
      <c r="E2" s="5" t="s">
        <v>3341</v>
      </c>
      <c r="F2" s="5" t="s">
        <v>1772</v>
      </c>
      <c r="G2" s="5" t="s">
        <v>1928</v>
      </c>
      <c r="H2" s="5" t="s">
        <v>2314</v>
      </c>
      <c r="I2" s="6" t="s">
        <v>3342</v>
      </c>
      <c r="J2" s="6" t="s">
        <v>2508</v>
      </c>
      <c r="K2" s="6" t="s">
        <v>2492</v>
      </c>
      <c r="L2" s="6" t="s">
        <v>3343</v>
      </c>
      <c r="M2" s="6" t="s">
        <v>1686</v>
      </c>
      <c r="N2" s="6" t="s">
        <v>1686</v>
      </c>
      <c r="O2" s="6" t="s">
        <v>1686</v>
      </c>
      <c r="P2" s="6" t="s">
        <v>1686</v>
      </c>
      <c r="Q2" s="6" t="s">
        <v>1686</v>
      </c>
      <c r="R2" s="6" t="s">
        <v>1686</v>
      </c>
      <c r="S2" s="6" t="s">
        <v>1686</v>
      </c>
      <c r="T2" s="6" t="s">
        <v>2492</v>
      </c>
      <c r="U2" s="6" t="s">
        <v>3015</v>
      </c>
      <c r="V2" s="7" t="s">
        <v>74</v>
      </c>
      <c r="W2" s="5" t="s">
        <v>3344</v>
      </c>
      <c r="X2" s="5" t="s">
        <v>3345</v>
      </c>
      <c r="Y2" s="5" t="s">
        <v>3346</v>
      </c>
      <c r="Z2" s="5" t="s">
        <v>3347</v>
      </c>
      <c r="AA2" s="5" t="s">
        <v>3348</v>
      </c>
      <c r="AB2" s="8" t="s">
        <v>311</v>
      </c>
      <c r="AC2" s="8" t="s">
        <v>311</v>
      </c>
      <c r="AD2" s="10" t="s">
        <v>314</v>
      </c>
      <c r="AE2" s="8" t="s">
        <v>3343</v>
      </c>
    </row>
    <row r="3" ht="24.95" customHeight="1" spans="1:31">
      <c r="A3" s="4" t="s">
        <v>215</v>
      </c>
      <c r="B3" s="4" t="s">
        <v>3349</v>
      </c>
      <c r="C3" s="5" t="s">
        <v>3350</v>
      </c>
      <c r="D3" s="5" t="s">
        <v>1708</v>
      </c>
      <c r="E3" s="5" t="s">
        <v>3351</v>
      </c>
      <c r="F3" s="5" t="s">
        <v>1740</v>
      </c>
      <c r="G3" s="5" t="s">
        <v>1701</v>
      </c>
      <c r="H3" s="5" t="s">
        <v>3352</v>
      </c>
      <c r="J3" s="6" t="s">
        <v>1711</v>
      </c>
      <c r="L3" s="6" t="s">
        <v>3353</v>
      </c>
      <c r="M3" s="6" t="s">
        <v>3354</v>
      </c>
      <c r="N3" s="6" t="s">
        <v>3354</v>
      </c>
      <c r="O3" s="6" t="s">
        <v>3354</v>
      </c>
      <c r="P3" s="6" t="s">
        <v>3354</v>
      </c>
      <c r="Q3" s="6" t="s">
        <v>3354</v>
      </c>
      <c r="R3" s="6" t="s">
        <v>3354</v>
      </c>
      <c r="S3" s="6" t="s">
        <v>3354</v>
      </c>
      <c r="U3" s="6" t="s">
        <v>3019</v>
      </c>
      <c r="V3" s="7" t="s">
        <v>3355</v>
      </c>
      <c r="W3" s="5" t="s">
        <v>3356</v>
      </c>
      <c r="X3" s="5" t="s">
        <v>3357</v>
      </c>
      <c r="Y3" s="5" t="s">
        <v>3358</v>
      </c>
      <c r="Z3" s="5" t="s">
        <v>3359</v>
      </c>
      <c r="AA3" s="5" t="s">
        <v>3360</v>
      </c>
      <c r="AB3" s="8" t="s">
        <v>3361</v>
      </c>
      <c r="AC3" s="8" t="s">
        <v>3362</v>
      </c>
      <c r="AD3" s="8" t="s">
        <v>3363</v>
      </c>
      <c r="AE3" s="8" t="s">
        <v>3364</v>
      </c>
    </row>
    <row r="4" ht="24.95" customHeight="1" spans="1:31">
      <c r="A4" s="4" t="s">
        <v>148</v>
      </c>
      <c r="B4" s="4" t="s">
        <v>3365</v>
      </c>
      <c r="C4" s="5" t="s">
        <v>3366</v>
      </c>
      <c r="D4" s="5" t="s">
        <v>3367</v>
      </c>
      <c r="E4" s="5" t="s">
        <v>2489</v>
      </c>
      <c r="F4" s="5" t="s">
        <v>2663</v>
      </c>
      <c r="G4" s="5" t="s">
        <v>3368</v>
      </c>
      <c r="H4" s="5" t="s">
        <v>3369</v>
      </c>
      <c r="J4" s="6" t="s">
        <v>1704</v>
      </c>
      <c r="L4" s="6" t="s">
        <v>311</v>
      </c>
      <c r="U4" s="6" t="s">
        <v>3049</v>
      </c>
      <c r="V4" s="7" t="s">
        <v>3370</v>
      </c>
      <c r="W4" s="8" t="s">
        <v>3371</v>
      </c>
      <c r="X4" s="5" t="s">
        <v>3372</v>
      </c>
      <c r="Y4" s="5" t="s">
        <v>3373</v>
      </c>
      <c r="Z4" s="5" t="s">
        <v>3374</v>
      </c>
      <c r="AA4" s="5" t="s">
        <v>3375</v>
      </c>
      <c r="AC4" s="8" t="s">
        <v>3361</v>
      </c>
      <c r="AE4" s="8" t="s">
        <v>311</v>
      </c>
    </row>
    <row r="5" ht="24.95" customHeight="1" spans="1:31">
      <c r="A5" s="4" t="s">
        <v>149</v>
      </c>
      <c r="C5" s="5" t="s">
        <v>3376</v>
      </c>
      <c r="D5" s="5" t="s">
        <v>1892</v>
      </c>
      <c r="E5" s="5" t="s">
        <v>3377</v>
      </c>
      <c r="F5" s="5" t="s">
        <v>2760</v>
      </c>
      <c r="G5" s="5" t="s">
        <v>1918</v>
      </c>
      <c r="H5" s="5" t="s">
        <v>3378</v>
      </c>
      <c r="J5" s="6" t="s">
        <v>3379</v>
      </c>
      <c r="L5" s="6" t="s">
        <v>3380</v>
      </c>
      <c r="U5" s="6" t="s">
        <v>3124</v>
      </c>
      <c r="V5" s="7" t="s">
        <v>3381</v>
      </c>
      <c r="W5" s="5" t="s">
        <v>3382</v>
      </c>
      <c r="X5" s="8" t="s">
        <v>3383</v>
      </c>
      <c r="Y5" s="5" t="s">
        <v>3384</v>
      </c>
      <c r="Z5" s="1"/>
      <c r="AA5" s="5" t="s">
        <v>3385</v>
      </c>
      <c r="AE5" s="8" t="s">
        <v>3127</v>
      </c>
    </row>
    <row r="6" ht="24.95" customHeight="1" spans="1:31">
      <c r="A6" s="4" t="s">
        <v>150</v>
      </c>
      <c r="C6" s="5" t="s">
        <v>3386</v>
      </c>
      <c r="D6" s="5" t="s">
        <v>3387</v>
      </c>
      <c r="E6" s="5" t="s">
        <v>3388</v>
      </c>
      <c r="F6" s="5" t="s">
        <v>1819</v>
      </c>
      <c r="G6" s="5" t="s">
        <v>1813</v>
      </c>
      <c r="H6" s="5" t="s">
        <v>3389</v>
      </c>
      <c r="J6" s="6" t="s">
        <v>1698</v>
      </c>
      <c r="L6" s="6" t="s">
        <v>3390</v>
      </c>
      <c r="U6" s="6" t="s">
        <v>3024</v>
      </c>
      <c r="V6" s="7" t="s">
        <v>3391</v>
      </c>
      <c r="W6" s="5" t="s">
        <v>3392</v>
      </c>
      <c r="Y6" s="8" t="s">
        <v>3393</v>
      </c>
      <c r="Z6" s="1"/>
      <c r="AA6" s="11"/>
      <c r="AE6" s="8" t="s">
        <v>3077</v>
      </c>
    </row>
    <row r="7" ht="24.95" customHeight="1" spans="1:27">
      <c r="A7" s="4" t="s">
        <v>513</v>
      </c>
      <c r="C7" s="5" t="s">
        <v>1695</v>
      </c>
      <c r="D7" s="5" t="s">
        <v>1864</v>
      </c>
      <c r="E7" s="5" t="s">
        <v>3394</v>
      </c>
      <c r="F7" s="5" t="s">
        <v>3395</v>
      </c>
      <c r="G7" s="5" t="s">
        <v>3396</v>
      </c>
      <c r="H7" s="5" t="s">
        <v>3397</v>
      </c>
      <c r="J7" s="6" t="s">
        <v>1685</v>
      </c>
      <c r="L7" s="6" t="s">
        <v>3361</v>
      </c>
      <c r="U7" s="6" t="s">
        <v>3398</v>
      </c>
      <c r="V7" s="7" t="s">
        <v>3399</v>
      </c>
      <c r="W7" s="8" t="s">
        <v>3400</v>
      </c>
      <c r="Y7" s="1"/>
      <c r="Z7" s="1"/>
      <c r="AA7" s="11"/>
    </row>
    <row r="8" ht="24.95" customHeight="1" spans="1:27">
      <c r="A8" s="4" t="s">
        <v>3401</v>
      </c>
      <c r="D8" s="5" t="s">
        <v>2498</v>
      </c>
      <c r="F8" s="5" t="s">
        <v>2639</v>
      </c>
      <c r="G8" s="5" t="s">
        <v>3402</v>
      </c>
      <c r="H8" s="5" t="s">
        <v>3403</v>
      </c>
      <c r="J8" s="6" t="s">
        <v>3404</v>
      </c>
      <c r="U8" s="6" t="s">
        <v>3405</v>
      </c>
      <c r="V8" s="7" t="s">
        <v>3406</v>
      </c>
      <c r="W8" s="8" t="s">
        <v>151</v>
      </c>
      <c r="Y8" s="1"/>
      <c r="Z8" s="1"/>
      <c r="AA8" s="1"/>
    </row>
    <row r="9" ht="24.95" customHeight="1" spans="1:27">
      <c r="A9" s="4" t="s">
        <v>3407</v>
      </c>
      <c r="D9" s="5" t="s">
        <v>1860</v>
      </c>
      <c r="F9" s="5" t="s">
        <v>1794</v>
      </c>
      <c r="G9" s="5" t="s">
        <v>3408</v>
      </c>
      <c r="H9" s="5" t="s">
        <v>3409</v>
      </c>
      <c r="U9" s="6" t="s">
        <v>3410</v>
      </c>
      <c r="Y9" s="1"/>
      <c r="Z9" s="1"/>
      <c r="AA9" s="1"/>
    </row>
    <row r="10" ht="24.95" customHeight="1" spans="1:27">
      <c r="A10" s="4" t="s">
        <v>3411</v>
      </c>
      <c r="D10" s="5" t="s">
        <v>2451</v>
      </c>
      <c r="F10" s="5" t="s">
        <v>3412</v>
      </c>
      <c r="G10" s="5" t="s">
        <v>3413</v>
      </c>
      <c r="H10" s="5" t="s">
        <v>2478</v>
      </c>
      <c r="U10" s="6" t="s">
        <v>3414</v>
      </c>
      <c r="Y10" s="1"/>
      <c r="Z10" s="1"/>
      <c r="AA10" s="1"/>
    </row>
    <row r="11" ht="24.95" customHeight="1" spans="1:27">
      <c r="A11" s="4" t="s">
        <v>3415</v>
      </c>
      <c r="F11" s="5" t="s">
        <v>1745</v>
      </c>
      <c r="G11" s="5" t="s">
        <v>3416</v>
      </c>
      <c r="U11" s="6" t="s">
        <v>3417</v>
      </c>
      <c r="Y11" s="1"/>
      <c r="Z11" s="1"/>
      <c r="AA11" s="1"/>
    </row>
    <row r="12" ht="24.95" customHeight="1" spans="1:27">
      <c r="A12" s="4" t="s">
        <v>3418</v>
      </c>
      <c r="F12" s="5" t="s">
        <v>1788</v>
      </c>
      <c r="G12" s="5" t="s">
        <v>3419</v>
      </c>
      <c r="U12" s="6" t="s">
        <v>3420</v>
      </c>
      <c r="Y12" s="1"/>
      <c r="Z12" s="1"/>
      <c r="AA12" s="1"/>
    </row>
    <row r="13" ht="24.95" customHeight="1" spans="1:27">
      <c r="A13" s="4" t="s">
        <v>3421</v>
      </c>
      <c r="G13" s="5" t="s">
        <v>1875</v>
      </c>
      <c r="U13" s="6" t="s">
        <v>3422</v>
      </c>
      <c r="Y13" s="1"/>
      <c r="Z13" s="1"/>
      <c r="AA13" s="1"/>
    </row>
    <row r="14" ht="24.95" customHeight="1" spans="1:27">
      <c r="A14" s="4" t="s">
        <v>3423</v>
      </c>
      <c r="G14" s="5" t="s">
        <v>3424</v>
      </c>
      <c r="U14" s="6" t="s">
        <v>3134</v>
      </c>
      <c r="Y14" s="1"/>
      <c r="Z14" s="1"/>
      <c r="AA14" s="1"/>
    </row>
    <row r="15" ht="24.95" customHeight="1" spans="1:27">
      <c r="A15" s="4" t="s">
        <v>3425</v>
      </c>
      <c r="G15" s="5" t="s">
        <v>3426</v>
      </c>
      <c r="Y15" s="1"/>
      <c r="Z15" s="1"/>
      <c r="AA15" s="1"/>
    </row>
    <row r="16" ht="24.95" customHeight="1" spans="1:27">
      <c r="A16" s="4" t="s">
        <v>3427</v>
      </c>
      <c r="G16" s="5" t="s">
        <v>3428</v>
      </c>
      <c r="Y16" s="1"/>
      <c r="Z16" s="1"/>
      <c r="AA16" s="1"/>
    </row>
    <row r="17" ht="24.95" customHeight="1" spans="1:27">
      <c r="A17" s="4" t="s">
        <v>3429</v>
      </c>
      <c r="G17" s="5" t="s">
        <v>1880</v>
      </c>
      <c r="Y17" s="1"/>
      <c r="Z17" s="1"/>
      <c r="AA17" s="1"/>
    </row>
    <row r="18" ht="24.95" customHeight="1" spans="1:27">
      <c r="A18" s="4" t="s">
        <v>3430</v>
      </c>
      <c r="Y18" s="1"/>
      <c r="Z18" s="1"/>
      <c r="AA18" s="1"/>
    </row>
    <row r="19" ht="24.95" customHeight="1" spans="1:27">
      <c r="A19" s="4" t="s">
        <v>3431</v>
      </c>
      <c r="Y19" s="1"/>
      <c r="Z19" s="1"/>
      <c r="AA19" s="1"/>
    </row>
    <row r="20" ht="24.95" customHeight="1" spans="1:27">
      <c r="A20" s="4" t="s">
        <v>3432</v>
      </c>
      <c r="Y20" s="1"/>
      <c r="Z20" s="1"/>
      <c r="AA20" s="1"/>
    </row>
    <row r="21" ht="24.95" customHeight="1" spans="1:27">
      <c r="A21" s="4" t="s">
        <v>3433</v>
      </c>
      <c r="Y21" s="1"/>
      <c r="Z21" s="1"/>
      <c r="AA21" s="1"/>
    </row>
    <row r="22" ht="24.95" customHeight="1" spans="1:27">
      <c r="A22" s="4" t="s">
        <v>3434</v>
      </c>
      <c r="Y22" s="1"/>
      <c r="Z22" s="1"/>
      <c r="AA22" s="1"/>
    </row>
    <row r="23" ht="24.95" customHeight="1" spans="1:27">
      <c r="A23" s="4" t="s">
        <v>3435</v>
      </c>
      <c r="Y23" s="1"/>
      <c r="Z23" s="1"/>
      <c r="AA23" s="1"/>
    </row>
  </sheetData>
  <dataValidations count="1">
    <dataValidation type="list" allowBlank="1" showInputMessage="1" showErrorMessage="1" sqref="I2">
      <formula1>"利息支出"</formula1>
    </dataValidation>
  </dataValidations>
  <pageMargins left="0.75" right="0.75" top="1" bottom="1" header="0.511805555555556" footer="0.511805555555556"/>
  <pageSetup paperSize="9" orientation="portrait"/>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allowEditUser xmlns="https://web.wps.cn/et/2018/main" xmlns:s="http://schemas.openxmlformats.org/spreadsheetml/2006/main" hasInvisiblePropRange="0">
  <rangeList sheetStid="29" master="" otherUserPermission="visible">
    <arrUserId title="A6:AI17" rangeCreator="" othersAccessPermission="edit"/>
    <arrUserId title="A6:AI17_1" rangeCreator="" othersAccessPermission="edit"/>
  </rangeList>
  <rangeList sheetStid="5" master="" otherUserPermission="visible"/>
  <rangeList sheetStid="32" master="" otherUserPermission="visible"/>
  <rangeList sheetStid="8" master="" otherUserPermission="visible"/>
  <rangeList sheetStid="6" master="" otherUserPermission="visible"/>
  <rangeList sheetStid="38" master="" otherUserPermission="visible"/>
  <rangeList sheetStid="30" master="" otherUserPermission="visible"/>
  <rangeList sheetStid="9" master="" otherUserPermission="visible"/>
  <rangeList sheetStid="31" master="" otherUserPermission="visible"/>
  <rangeList sheetStid="37" master="" otherUserPermission="visible"/>
  <rangeList sheetStid="42" master="" otherUserPermission="visible"/>
  <rangeList sheetStid="43" master="" otherUserPermission="visible"/>
  <rangeList sheetStid="39" master="" otherUserPermission="visible"/>
</allowEditUser>
</file>

<file path=customXml/itemProps1.xml><?xml version="1.0" encoding="utf-8"?>
<ds:datastoreItem xmlns:ds="http://schemas.openxmlformats.org/officeDocument/2006/customXml" ds:itemID="{5A5607D9-04D2-4DE1-AC0E-A7772F01BC71}">
  <ds:schemaRefs>
    <ds:schemaRef ds:uri="https://web.wps.cn/et/2018/main"/>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13</vt:i4>
      </vt:variant>
    </vt:vector>
  </HeadingPairs>
  <TitlesOfParts>
    <vt:vector size="13" baseType="lpstr">
      <vt:lpstr>清算项目基本情况表</vt:lpstr>
      <vt:lpstr>土地增值税税源明细表</vt:lpstr>
      <vt:lpstr>附表1-面积统计表</vt:lpstr>
      <vt:lpstr>附表2-收入统计表</vt:lpstr>
      <vt:lpstr>附表3-扣除项目分摊表</vt:lpstr>
      <vt:lpstr>附表4-项目间分摊信息采集表</vt:lpstr>
      <vt:lpstr>附表5-扣除项目统计表</vt:lpstr>
      <vt:lpstr>附表6-收入明细采集底稿</vt:lpstr>
      <vt:lpstr>附表7-扣除项目明细采集底稿</vt:lpstr>
      <vt:lpstr>附表8-合同明细采集底稿</vt:lpstr>
      <vt:lpstr>工程造价采集表</vt:lpstr>
      <vt:lpstr>成本分摊比例</vt:lpstr>
      <vt:lpstr>数据对照表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Acer</dc:creator>
  <cp:lastModifiedBy>aa</cp:lastModifiedBy>
  <dcterms:created xsi:type="dcterms:W3CDTF">2016-12-14T00:54:00Z</dcterms:created>
  <cp:lastPrinted>2021-07-06T13:57:00Z</cp:lastPrinted>
  <dcterms:modified xsi:type="dcterms:W3CDTF">2025-06-18T10:58:31Z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2052-12.1.0.21541</vt:lpwstr>
  </property>
  <property fmtid="{D5CDD505-2E9C-101B-9397-08002B2CF9AE}" pid="3" name="ICV">
    <vt:lpwstr>4C0F7701A72044308BFD525508DA528B_13</vt:lpwstr>
  </property>
  <property fmtid="{D5CDD505-2E9C-101B-9397-08002B2CF9AE}" pid="4" name="KSOReadingLayout">
    <vt:bool>true</vt:bool>
  </property>
</Properties>
</file>