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<sst xmlns="http://schemas.openxmlformats.org/spreadsheetml/2006/main" count="211" uniqueCount="99">
  <si>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</si>
  <si>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</si>
  <si>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</si>
  <si>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</si>
  <si>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</si>
  <si>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</si>
  <si>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</si>
  <si>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</si>
  <si>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</si>
  <si>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</si>
  <si>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</si>
  <si>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</si>
  <si>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</si>
  <si>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</si>
  <si>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</si>
  <si>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</si>
  <si>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</si>
  <si>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</si>
  <si>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</si>
  <si>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</si>
  <si>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</si>
  <si>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</si>
  <si>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</si>
  <si>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</si>
  <si>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</si>
  <si>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</si>
  <si>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</si>
  <si>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元盛美华营销部</t>
  </si>
  <si>
    <t>元盛美华营销部2025年3月工资表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</si>
  <si>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</si>
  <si>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</si>
  <si>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</si>
  <si>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</si>
  <si>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</si>
  <si>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</si>
  <si>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</si>
  <si>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</si>
  <si>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</si>
  <si>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</si>
  <si>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</si>
  <si>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</si>
  <si>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</si>
  <si>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</si>
  <si>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</si>
  <si>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</si>
  <si>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王乔华</t>
  </si>
  <si>
    <t>置业顾问</t>
  </si>
  <si>
    <t>PA</t>
  </si>
  <si>
    <t>张宇</t>
  </si>
  <si>
    <t>销售内勤</t>
  </si>
  <si>
    <t>PB</t>
  </si>
  <si>
    <t>张旭东</t>
  </si>
  <si>
    <t>合计</t>
  </si>
  <si>
    <t>注：王乔华本月执行，其暂未执行绩效考核共计-7707元（含2025年3月绩效-1739元，2025年1-2月绩效-1199元，12月绩效-1935元，11月绩效考核-1122元，10月绩效考核-1712元）</t>
  </si>
  <si>
    <t>单位领导：</t>
  </si>
  <si>
    <t>审核：</t>
  </si>
  <si>
    <t>制表：</t>
  </si>
  <si>
    <t>月职工考勤表</t>
  </si>
  <si>
    <t>单位:</t>
  </si>
  <si>
    <t>元盛营销部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</si>
  <si>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</si>
  <si>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</si>
  <si>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</si>
  <si>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</si>
  <si>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</si>
  <si>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</si>
  <si>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</si>
  <si>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</si>
  <si>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</si>
  <si>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</si>
  <si>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</si>
  <si>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</si>
  <si>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</si>
  <si>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</si>
  <si>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</si>
  <si>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</si>
  <si>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</si>
  <si>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</si>
  <si>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</si>
  <si>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</si>
  <si>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</si>
  <si>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职员级</t>
  </si>
  <si>
    <t>√</t>
  </si>
  <si>
    <t>注：</t>
  </si>
  <si>
    <t>月度应发</t>
  </si>
  <si>
    <t>差额</t>
  </si>
  <si>
    <t>职务序列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</si>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</sst>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name val="Arial"/>
      <charset val="134"/>
    </font>
    <font>
      <sz val="8"/>
      <name val="宋体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48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7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7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 wrapText="1"/>
    </xf>
    <xf numFmtId="0" fontId="12" fillId="2" borderId="1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zoomScale="55" zoomScaleNormal="55" workbookViewId="0">
      <selection activeCell="V4" sqref="V4:W4"/>
    </sheetView>
  </sheetViews>
  <sheetFormatPr defaultColWidth="9" defaultRowHeight="14.5"/>
  <cols>
    <col min="1" max="1" width="49.6238532110092" style="1" customWidth="1"/>
    <col min="2" max="2" width="9" style="1"/>
    <col min="3" max="4" width="11.5045871559633" style="1" customWidth="1"/>
    <col min="5" max="7" width="9.37614678899082" style="1" customWidth="1"/>
    <col min="8" max="9" width="9" style="1"/>
    <col min="10" max="10" width="12.6238532110092" style="1" customWidth="1"/>
    <col min="11" max="12" width="9" style="1"/>
    <col min="13" max="15" width="13.7522935779817" style="1" customWidth="1"/>
    <col min="16" max="16" width="9.37614678899082" style="1" customWidth="1"/>
    <col min="17" max="19" width="9" style="1"/>
    <col min="20" max="20" width="13.7522935779817" style="1" customWidth="1"/>
    <col min="21" max="22" width="9" style="1"/>
    <col min="23" max="23" width="13" style="1" customWidth="1"/>
    <col min="24" max="16384" width="9" style="1"/>
  </cols>
  <sheetData>
    <row r="2" s="80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80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81" customFormat="1" ht="50" customHeight="1" spans="1:24">
      <c r="A4" s="2" t="s">
        <v>27</v>
      </c>
      <c r="B4" s="2">
        <f>工资表!A7</f>
        <v>3</v>
      </c>
      <c r="C4" s="2">
        <f>工资表!E8</f>
        <v>15500</v>
      </c>
      <c r="D4" s="2">
        <f>工资表!F8</f>
        <v>0</v>
      </c>
      <c r="E4" s="2">
        <f>工资表!G8</f>
        <v>8900</v>
      </c>
      <c r="F4" s="2">
        <f>工资表!H8</f>
        <v>6600</v>
      </c>
      <c r="G4" s="2">
        <f>工资表!I8</f>
        <v>0</v>
      </c>
      <c r="H4" s="2">
        <f>工资表!J8</f>
        <v>0</v>
      </c>
      <c r="I4" s="2">
        <f>工资表!K8</f>
        <v>-2550</v>
      </c>
      <c r="J4" s="2">
        <f>工资表!L8</f>
        <v>0</v>
      </c>
      <c r="K4" s="2">
        <f>工资表!M8</f>
        <v>0</v>
      </c>
      <c r="L4" s="2">
        <f>工资表!N8</f>
        <v>-2550</v>
      </c>
      <c r="M4" s="8">
        <f>工资表!O8</f>
        <v>388.461538461538</v>
      </c>
      <c r="N4" s="8">
        <f>工资表!P8</f>
        <v>265.384615384615</v>
      </c>
      <c r="O4" s="2">
        <f>工资表!Q8</f>
        <v>59</v>
      </c>
      <c r="P4" s="2">
        <f>工资表!R8</f>
        <v>10200</v>
      </c>
      <c r="Q4" s="2">
        <f>工资表!S8</f>
        <v>799.84</v>
      </c>
      <c r="R4" s="2">
        <f>工资表!T8</f>
        <v>50</v>
      </c>
      <c r="S4" s="2">
        <f>工资表!U8</f>
        <v>199.96</v>
      </c>
      <c r="T4" s="2">
        <f>工资表!V8</f>
        <v>50</v>
      </c>
      <c r="U4" s="2">
        <f>工资表!W8</f>
        <v>0</v>
      </c>
      <c r="V4" s="2">
        <f>工资表!X8</f>
        <v>1099.8</v>
      </c>
      <c r="W4" s="2">
        <f>工资表!Y8</f>
        <v>9100.2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XFD10"/>
  <sheetViews>
    <sheetView showZeros="0" tabSelected="1" zoomScale="25" zoomScaleNormal="25" workbookViewId="0">
      <pane xSplit="10" topLeftCell="K1" activePane="topRight" state="frozen"/>
      <selection/>
      <selection pane="topRight" activeCell="O25" sqref="O25"/>
    </sheetView>
  </sheetViews>
  <sheetFormatPr defaultColWidth="9" defaultRowHeight="20" customHeight="1"/>
  <cols>
    <col min="1" max="1" width="28.7522935779816" style="1" customWidth="1"/>
    <col min="2" max="2" width="50.7339449541284" style="1" customWidth="1"/>
    <col min="3" max="3" width="90.7064220183486" style="1" customWidth="1"/>
    <col min="4" max="4" width="22.7614678899083" style="1" customWidth="1"/>
    <col min="5" max="5" width="32.7522935779817" style="1" customWidth="1"/>
    <col min="6" max="6" width="22.7614678899083" style="1" customWidth="1"/>
    <col min="7" max="9" width="32.7522935779817" style="1" customWidth="1"/>
    <col min="10" max="10" width="32.7522935779817" style="1" hidden="1" customWidth="1"/>
    <col min="11" max="12" width="40.743119266055" style="1" customWidth="1"/>
    <col min="13" max="14" width="45.743119266055" style="1" customWidth="1"/>
    <col min="15" max="16" width="40.743119266055" style="1" customWidth="1"/>
    <col min="17" max="17" width="22.7614678899083" style="1" customWidth="1"/>
    <col min="18" max="18" width="55.7339449541284" style="63" customWidth="1"/>
    <col min="19" max="23" width="32.7522935779817" style="1" customWidth="1"/>
    <col min="24" max="24" width="40.743119266055" style="1" customWidth="1"/>
    <col min="25" max="25" width="55.7339449541284" style="64" customWidth="1"/>
    <col min="26" max="26" width="80.7155963302752" style="1" customWidth="1"/>
    <col min="27" max="16384" width="9" style="1"/>
  </cols>
  <sheetData>
    <row r="1" s="56" customFormat="1" ht="100" customHeight="1" spans="1:26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75"/>
      <c r="S1" s="65"/>
      <c r="T1" s="65"/>
      <c r="U1" s="65"/>
      <c r="V1" s="65"/>
      <c r="W1" s="65"/>
      <c r="X1" s="65"/>
      <c r="Y1" s="65"/>
      <c r="Z1" s="65"/>
    </row>
    <row r="2" s="56" customFormat="1" ht="60" customHeight="1" spans="1:26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5"/>
      <c r="S2" s="65"/>
      <c r="T2" s="65"/>
      <c r="U2" s="65"/>
      <c r="V2" s="65"/>
      <c r="W2" s="65"/>
      <c r="X2" s="65"/>
      <c r="Y2" s="65"/>
      <c r="Z2" s="65"/>
    </row>
    <row r="3" s="57" customFormat="1" ht="130" customHeight="1" spans="1:26">
      <c r="A3" s="66" t="s">
        <v>29</v>
      </c>
      <c r="B3" s="66" t="s">
        <v>0</v>
      </c>
      <c r="C3" s="66"/>
      <c r="D3" s="66"/>
      <c r="E3" s="66"/>
      <c r="F3" s="66"/>
      <c r="G3" s="66"/>
      <c r="H3" s="66"/>
      <c r="I3" s="66"/>
      <c r="J3" s="66" t="s">
        <v>1</v>
      </c>
      <c r="K3" s="66"/>
      <c r="L3" s="66"/>
      <c r="M3" s="66"/>
      <c r="N3" s="66"/>
      <c r="O3" s="66" t="s">
        <v>2</v>
      </c>
      <c r="P3" s="66"/>
      <c r="Q3" s="66"/>
      <c r="R3" s="74"/>
      <c r="S3" s="66" t="s">
        <v>3</v>
      </c>
      <c r="T3" s="66"/>
      <c r="U3" s="66"/>
      <c r="V3" s="66"/>
      <c r="W3" s="66"/>
      <c r="X3" s="66"/>
      <c r="Y3" s="66" t="s">
        <v>4</v>
      </c>
      <c r="Z3" s="66" t="s">
        <v>5</v>
      </c>
    </row>
    <row r="4" s="57" customFormat="1" ht="130" customHeight="1" spans="1:26">
      <c r="A4" s="66"/>
      <c r="B4" s="66" t="s">
        <v>30</v>
      </c>
      <c r="C4" s="66" t="s">
        <v>31</v>
      </c>
      <c r="D4" s="67" t="s">
        <v>32</v>
      </c>
      <c r="E4" s="67" t="s">
        <v>33</v>
      </c>
      <c r="F4" s="67" t="s">
        <v>34</v>
      </c>
      <c r="G4" s="67" t="s">
        <v>35</v>
      </c>
      <c r="H4" s="67" t="s">
        <v>36</v>
      </c>
      <c r="I4" s="67" t="s">
        <v>37</v>
      </c>
      <c r="J4" s="67" t="s">
        <v>38</v>
      </c>
      <c r="K4" s="67" t="s">
        <v>39</v>
      </c>
      <c r="L4" s="67" t="s">
        <v>40</v>
      </c>
      <c r="M4" s="66" t="s">
        <v>16</v>
      </c>
      <c r="N4" s="66" t="s">
        <v>17</v>
      </c>
      <c r="O4" s="67" t="s">
        <v>41</v>
      </c>
      <c r="P4" s="67" t="s">
        <v>42</v>
      </c>
      <c r="Q4" s="67" t="s">
        <v>43</v>
      </c>
      <c r="R4" s="74" t="s">
        <v>21</v>
      </c>
      <c r="S4" s="66" t="s">
        <v>22</v>
      </c>
      <c r="T4" s="66" t="s">
        <v>23</v>
      </c>
      <c r="U4" s="66" t="s">
        <v>24</v>
      </c>
      <c r="V4" s="67" t="s">
        <v>44</v>
      </c>
      <c r="W4" s="66" t="s">
        <v>26</v>
      </c>
      <c r="X4" s="66" t="s">
        <v>17</v>
      </c>
      <c r="Y4" s="66"/>
      <c r="Z4" s="66"/>
    </row>
    <row r="5" s="58" customFormat="1" ht="130" customHeight="1" spans="1:26">
      <c r="A5" s="68">
        <v>1</v>
      </c>
      <c r="B5" s="68" t="s">
        <v>45</v>
      </c>
      <c r="C5" s="68" t="s">
        <v>46</v>
      </c>
      <c r="D5" s="68" t="s">
        <v>47</v>
      </c>
      <c r="E5" s="68">
        <v>5000</v>
      </c>
      <c r="F5" s="68">
        <v>26</v>
      </c>
      <c r="G5" s="68">
        <f>1900+550</f>
        <v>2450</v>
      </c>
      <c r="H5" s="68">
        <f>E5-G5</f>
        <v>2550</v>
      </c>
      <c r="I5" s="68">
        <f>E5*VLOOKUP(D5,职务序列取数!B:E,4,0)</f>
        <v>0</v>
      </c>
      <c r="J5" s="68"/>
      <c r="K5" s="68">
        <v>-2550</v>
      </c>
      <c r="L5" s="68"/>
      <c r="M5" s="68"/>
      <c r="N5" s="72">
        <f>SUM(J5:M5)</f>
        <v>-2550</v>
      </c>
      <c r="O5" s="73">
        <f>G5/F5</f>
        <v>94.2307692307692</v>
      </c>
      <c r="P5" s="73">
        <f>H5/F5</f>
        <v>98.0769230769231</v>
      </c>
      <c r="Q5" s="76">
        <f>VLOOKUP(B5,考勤!B:AI,34,0)</f>
        <v>26</v>
      </c>
      <c r="R5" s="74">
        <f>(O5*Q5)+(P5*Q5)+N5</f>
        <v>2450</v>
      </c>
      <c r="S5" s="68">
        <v>399.92</v>
      </c>
      <c r="T5" s="68">
        <v>25</v>
      </c>
      <c r="U5" s="68">
        <v>99.98</v>
      </c>
      <c r="V5" s="68">
        <v>25</v>
      </c>
      <c r="W5" s="77"/>
      <c r="X5" s="76">
        <f>SUM(S5:W5)</f>
        <v>549.9</v>
      </c>
      <c r="Y5" s="74">
        <f>R5-X5</f>
        <v>1900.1</v>
      </c>
      <c r="Z5" s="68"/>
    </row>
    <row r="6" s="58" customFormat="1" ht="130" customHeight="1" spans="1:26">
      <c r="A6" s="68">
        <v>2</v>
      </c>
      <c r="B6" s="68" t="s">
        <v>48</v>
      </c>
      <c r="C6" s="68" t="s">
        <v>49</v>
      </c>
      <c r="D6" s="68" t="s">
        <v>50</v>
      </c>
      <c r="E6" s="68">
        <v>5000</v>
      </c>
      <c r="F6" s="68">
        <v>20</v>
      </c>
      <c r="G6" s="68">
        <f>E6*VLOOKUP(D6,职务序列取数!B:E,2,0)</f>
        <v>4000</v>
      </c>
      <c r="H6" s="68">
        <f>E6*VLOOKUP(D6,职务序列取数!B:E,3,0)</f>
        <v>1000</v>
      </c>
      <c r="I6" s="68">
        <f>E6*VLOOKUP(D6,职务序列取数!B:E,4,0)</f>
        <v>0</v>
      </c>
      <c r="J6" s="68"/>
      <c r="K6" s="68"/>
      <c r="L6" s="68"/>
      <c r="M6" s="68"/>
      <c r="N6" s="72">
        <f>SUM(J6:M6)</f>
        <v>0</v>
      </c>
      <c r="O6" s="73">
        <f>G6/F6</f>
        <v>200</v>
      </c>
      <c r="P6" s="73">
        <f>H6/F6</f>
        <v>50</v>
      </c>
      <c r="Q6" s="76">
        <f>VLOOKUP(B6,考勤!B:AI,34,0)</f>
        <v>20</v>
      </c>
      <c r="R6" s="74">
        <f>(O6*Q6)+(P6*Q6)+N6</f>
        <v>5000</v>
      </c>
      <c r="S6" s="68">
        <v>399.92</v>
      </c>
      <c r="T6" s="68">
        <v>25</v>
      </c>
      <c r="U6" s="68">
        <v>99.98</v>
      </c>
      <c r="V6" s="68">
        <v>25</v>
      </c>
      <c r="W6" s="77"/>
      <c r="X6" s="76">
        <f>SUM(S6:W6)</f>
        <v>549.9</v>
      </c>
      <c r="Y6" s="74">
        <f>R6-X6</f>
        <v>4450.1</v>
      </c>
      <c r="Z6" s="68"/>
    </row>
    <row r="7" s="59" customFormat="1" ht="130" customHeight="1" spans="1:26">
      <c r="A7" s="68">
        <v>3</v>
      </c>
      <c r="B7" s="69" t="s">
        <v>51</v>
      </c>
      <c r="C7" s="68" t="s">
        <v>46</v>
      </c>
      <c r="D7" s="68" t="s">
        <v>47</v>
      </c>
      <c r="E7" s="68">
        <v>5500</v>
      </c>
      <c r="F7" s="68">
        <v>26</v>
      </c>
      <c r="G7" s="68">
        <f>1900+550</f>
        <v>2450</v>
      </c>
      <c r="H7" s="68">
        <f>E7-G7</f>
        <v>3050</v>
      </c>
      <c r="I7" s="68"/>
      <c r="J7" s="68"/>
      <c r="K7" s="68"/>
      <c r="L7" s="68"/>
      <c r="M7" s="68"/>
      <c r="N7" s="72"/>
      <c r="O7" s="73">
        <f>G7/F7</f>
        <v>94.2307692307692</v>
      </c>
      <c r="P7" s="73">
        <f>H7/F7</f>
        <v>117.307692307692</v>
      </c>
      <c r="Q7" s="76">
        <f>VLOOKUP(B7,考勤!B:AI,34,0)</f>
        <v>13</v>
      </c>
      <c r="R7" s="74">
        <f>(O7*Q7)+(P7*Q7)+N7</f>
        <v>2750</v>
      </c>
      <c r="S7" s="68"/>
      <c r="T7" s="68"/>
      <c r="U7" s="68"/>
      <c r="V7" s="68"/>
      <c r="W7" s="77"/>
      <c r="X7" s="76">
        <f>SUM(S7:W7)</f>
        <v>0</v>
      </c>
      <c r="Y7" s="74">
        <f>R7-X7</f>
        <v>2750</v>
      </c>
      <c r="Z7" s="68"/>
    </row>
    <row r="8" s="60" customFormat="1" ht="130" customHeight="1" spans="1:26">
      <c r="A8" s="66"/>
      <c r="B8" s="70" t="s">
        <v>52</v>
      </c>
      <c r="C8" s="71"/>
      <c r="D8" s="66"/>
      <c r="E8" s="66">
        <f>SUM(E5:E7)</f>
        <v>15500</v>
      </c>
      <c r="F8" s="66"/>
      <c r="G8" s="66">
        <f t="shared" ref="F8:Y8" si="0">SUM(G5:G7)</f>
        <v>8900</v>
      </c>
      <c r="H8" s="66">
        <f t="shared" si="0"/>
        <v>6600</v>
      </c>
      <c r="I8" s="66">
        <f t="shared" si="0"/>
        <v>0</v>
      </c>
      <c r="J8" s="66">
        <f t="shared" si="0"/>
        <v>0</v>
      </c>
      <c r="K8" s="66">
        <f t="shared" si="0"/>
        <v>-2550</v>
      </c>
      <c r="L8" s="66">
        <f t="shared" si="0"/>
        <v>0</v>
      </c>
      <c r="M8" s="66">
        <f t="shared" si="0"/>
        <v>0</v>
      </c>
      <c r="N8" s="66">
        <f t="shared" si="0"/>
        <v>-2550</v>
      </c>
      <c r="O8" s="74">
        <f t="shared" si="0"/>
        <v>388.461538461538</v>
      </c>
      <c r="P8" s="74">
        <f t="shared" si="0"/>
        <v>265.384615384615</v>
      </c>
      <c r="Q8" s="66">
        <f t="shared" si="0"/>
        <v>59</v>
      </c>
      <c r="R8" s="66">
        <f t="shared" si="0"/>
        <v>10200</v>
      </c>
      <c r="S8" s="66">
        <f t="shared" si="0"/>
        <v>799.84</v>
      </c>
      <c r="T8" s="66">
        <f t="shared" si="0"/>
        <v>50</v>
      </c>
      <c r="U8" s="66">
        <f t="shared" si="0"/>
        <v>199.96</v>
      </c>
      <c r="V8" s="66">
        <f t="shared" si="0"/>
        <v>50</v>
      </c>
      <c r="W8" s="66">
        <f t="shared" si="0"/>
        <v>0</v>
      </c>
      <c r="X8" s="66">
        <f t="shared" si="0"/>
        <v>1099.8</v>
      </c>
      <c r="Y8" s="66">
        <f t="shared" si="0"/>
        <v>9100.2</v>
      </c>
      <c r="Z8" s="66"/>
    </row>
    <row r="9" s="61" customFormat="1" ht="130" customHeight="1" spans="1:1">
      <c r="A9" s="61" t="s">
        <v>53</v>
      </c>
    </row>
    <row r="10" s="62" customFormat="1" ht="150" customHeight="1" spans="2:25">
      <c r="B10" s="62" t="s">
        <v>54</v>
      </c>
      <c r="N10" s="62" t="s">
        <v>55</v>
      </c>
      <c r="R10" s="78"/>
      <c r="V10" s="62" t="s">
        <v>56</v>
      </c>
      <c r="Y10" s="79"/>
    </row>
  </sheetData>
  <mergeCells count="10">
    <mergeCell ref="A1:Z1"/>
    <mergeCell ref="B3:I3"/>
    <mergeCell ref="J3:N3"/>
    <mergeCell ref="O3:R3"/>
    <mergeCell ref="S3:X3"/>
    <mergeCell ref="B8:C8"/>
    <mergeCell ref="A9:XFD9"/>
    <mergeCell ref="A3:A4"/>
    <mergeCell ref="Y3:Y4"/>
    <mergeCell ref="Z3:Z4"/>
  </mergeCells>
  <pageMargins left="0.7" right="0.7" top="0.75" bottom="0.75" header="0.3" footer="0.3"/>
  <pageSetup paperSize="9" scale="13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1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O11" sqref="AO11"/>
    </sheetView>
  </sheetViews>
  <sheetFormatPr defaultColWidth="2.88073394495413" defaultRowHeight="15" customHeight="1"/>
  <cols>
    <col min="1" max="1" width="4.8348623853211" style="10" customWidth="1"/>
    <col min="2" max="2" width="7" style="10" customWidth="1"/>
    <col min="3" max="3" width="15.6697247706422" style="10" customWidth="1"/>
    <col min="4" max="5" width="4.11009174311927" style="12" customWidth="1"/>
    <col min="6" max="10" width="4.11009174311927" style="10" customWidth="1"/>
    <col min="11" max="14" width="4.11009174311927" style="12" customWidth="1"/>
    <col min="15" max="17" width="4.11009174311927" style="10" customWidth="1"/>
    <col min="18" max="19" width="4.11009174311927" style="12" customWidth="1"/>
    <col min="20" max="24" width="4.11009174311927" style="10" customWidth="1"/>
    <col min="25" max="26" width="4.11009174311927" style="12" customWidth="1"/>
    <col min="27" max="31" width="4.11009174311927" style="10" customWidth="1"/>
    <col min="32" max="33" width="4.11009174311927" style="12" customWidth="1"/>
    <col min="34" max="34" width="4.11009174311927" style="10" customWidth="1"/>
    <col min="35" max="35" width="4.24770642201835" style="10" customWidth="1"/>
    <col min="36" max="36" width="2.88073394495413" style="10" customWidth="1"/>
    <col min="37" max="39" width="3.22018348623853" style="10"/>
    <col min="40" max="44" width="3" style="10" customWidth="1"/>
    <col min="45" max="47" width="3.12844036697248" style="10" customWidth="1"/>
    <col min="48" max="48" width="3.22018348623853" style="10" customWidth="1"/>
    <col min="49" max="51" width="3.12844036697248" style="10" customWidth="1"/>
    <col min="52" max="52" width="8.63302752293578" style="10" customWidth="1"/>
    <col min="53" max="255" width="2.88073394495413" style="10"/>
    <col min="256" max="16384" width="2.8807339449541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v>3</v>
      </c>
      <c r="W1" s="15"/>
      <c r="X1" s="36" t="s">
        <v>57</v>
      </c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customHeight="1" spans="1:51">
      <c r="A2" s="16"/>
      <c r="B2" s="17" t="s">
        <v>58</v>
      </c>
      <c r="C2" s="16" t="s">
        <v>59</v>
      </c>
      <c r="D2" s="16"/>
      <c r="E2" s="16"/>
      <c r="F2" s="16"/>
      <c r="G2" s="16"/>
      <c r="H2" s="16"/>
      <c r="I2" s="16"/>
      <c r="J2" s="34"/>
      <c r="K2" s="35"/>
      <c r="L2" s="35"/>
      <c r="M2" s="35"/>
      <c r="N2" s="35"/>
      <c r="O2" s="34"/>
      <c r="P2" s="34"/>
      <c r="Q2" s="34"/>
      <c r="R2" s="35"/>
      <c r="S2" s="35"/>
      <c r="T2" s="34"/>
      <c r="U2" s="34"/>
      <c r="V2" s="34"/>
      <c r="W2" s="34"/>
      <c r="X2" s="34"/>
      <c r="Y2" s="35"/>
      <c r="Z2" s="35"/>
      <c r="AA2" s="34"/>
      <c r="AB2" s="34"/>
      <c r="AC2" s="34"/>
      <c r="AD2" s="34"/>
      <c r="AE2" s="34"/>
      <c r="AF2" s="35"/>
      <c r="AG2" s="35"/>
      <c r="AH2" s="34"/>
      <c r="AI2" s="34"/>
      <c r="AJ2" s="39"/>
      <c r="AK2" s="40">
        <v>45750</v>
      </c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s="9" customFormat="1" ht="30" customHeight="1" spans="1:255">
      <c r="A3" s="18" t="s">
        <v>29</v>
      </c>
      <c r="B3" s="18" t="s">
        <v>30</v>
      </c>
      <c r="C3" s="18" t="s">
        <v>60</v>
      </c>
      <c r="D3" s="19" t="s">
        <v>61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1"/>
      <c r="AI3" s="18" t="s">
        <v>20</v>
      </c>
      <c r="AJ3" s="18" t="s">
        <v>62</v>
      </c>
      <c r="AK3" s="42" t="s">
        <v>63</v>
      </c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18" t="s">
        <v>64</v>
      </c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</row>
    <row r="4" s="9" customFormat="1" ht="20.1" customHeight="1" spans="1:255">
      <c r="A4" s="21"/>
      <c r="B4" s="21"/>
      <c r="C4" s="21"/>
      <c r="D4" s="22">
        <f>V1</f>
        <v>3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7" t="s">
        <v>65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44"/>
      <c r="AI4" s="21"/>
      <c r="AJ4" s="21"/>
      <c r="AK4" s="45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1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2" t="s">
        <v>66</v>
      </c>
      <c r="AL5" s="47" t="s">
        <v>67</v>
      </c>
      <c r="AM5" s="47" t="s">
        <v>68</v>
      </c>
      <c r="AN5" s="47" t="s">
        <v>69</v>
      </c>
      <c r="AO5" s="47" t="s">
        <v>70</v>
      </c>
      <c r="AP5" s="47" t="s">
        <v>71</v>
      </c>
      <c r="AQ5" s="47" t="s">
        <v>72</v>
      </c>
      <c r="AR5" s="47" t="s">
        <v>73</v>
      </c>
      <c r="AS5" s="52" t="s">
        <v>74</v>
      </c>
      <c r="AT5" s="52" t="s">
        <v>75</v>
      </c>
      <c r="AU5" s="52" t="s">
        <v>76</v>
      </c>
      <c r="AV5" s="52" t="s">
        <v>77</v>
      </c>
      <c r="AW5" s="52" t="s">
        <v>78</v>
      </c>
      <c r="AX5" s="52" t="s">
        <v>79</v>
      </c>
      <c r="AY5" s="52" t="s">
        <v>80</v>
      </c>
      <c r="AZ5" s="24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</row>
    <row r="6" s="10" customFormat="1" ht="32" customHeight="1" spans="1:52">
      <c r="A6" s="26">
        <v>1</v>
      </c>
      <c r="B6" s="27" t="s">
        <v>45</v>
      </c>
      <c r="C6" s="28" t="s">
        <v>81</v>
      </c>
      <c r="D6" s="29" t="s">
        <v>82</v>
      </c>
      <c r="E6" s="30" t="s">
        <v>68</v>
      </c>
      <c r="F6" s="29" t="s">
        <v>82</v>
      </c>
      <c r="G6" s="29" t="s">
        <v>82</v>
      </c>
      <c r="H6" s="29" t="s">
        <v>82</v>
      </c>
      <c r="I6" s="29" t="s">
        <v>82</v>
      </c>
      <c r="J6" s="29" t="s">
        <v>82</v>
      </c>
      <c r="K6" s="29" t="s">
        <v>82</v>
      </c>
      <c r="L6" s="30" t="s">
        <v>68</v>
      </c>
      <c r="M6" s="29" t="s">
        <v>82</v>
      </c>
      <c r="N6" s="29" t="s">
        <v>82</v>
      </c>
      <c r="O6" s="29" t="s">
        <v>82</v>
      </c>
      <c r="P6" s="29" t="s">
        <v>82</v>
      </c>
      <c r="Q6" s="29" t="s">
        <v>82</v>
      </c>
      <c r="R6" s="29" t="s">
        <v>82</v>
      </c>
      <c r="S6" s="30" t="s">
        <v>68</v>
      </c>
      <c r="T6" s="29" t="s">
        <v>82</v>
      </c>
      <c r="U6" s="29" t="s">
        <v>82</v>
      </c>
      <c r="V6" s="29" t="s">
        <v>82</v>
      </c>
      <c r="W6" s="29" t="s">
        <v>82</v>
      </c>
      <c r="X6" s="29" t="s">
        <v>82</v>
      </c>
      <c r="Y6" s="29" t="s">
        <v>82</v>
      </c>
      <c r="Z6" s="30" t="s">
        <v>68</v>
      </c>
      <c r="AA6" s="29" t="s">
        <v>82</v>
      </c>
      <c r="AB6" s="29" t="s">
        <v>82</v>
      </c>
      <c r="AC6" s="29" t="s">
        <v>82</v>
      </c>
      <c r="AD6" s="29" t="s">
        <v>82</v>
      </c>
      <c r="AE6" s="29" t="s">
        <v>82</v>
      </c>
      <c r="AF6" s="29" t="s">
        <v>82</v>
      </c>
      <c r="AG6" s="30" t="s">
        <v>68</v>
      </c>
      <c r="AH6" s="29" t="s">
        <v>82</v>
      </c>
      <c r="AI6" s="48">
        <f>AK6+AL6+AT6</f>
        <v>26</v>
      </c>
      <c r="AJ6" s="48">
        <f>AM6</f>
        <v>5</v>
      </c>
      <c r="AK6" s="49">
        <f>COUNTIF($D6:$AH6,"√")</f>
        <v>26</v>
      </c>
      <c r="AL6" s="49">
        <f>COUNTIF($D6:$AH6,"出差")</f>
        <v>0</v>
      </c>
      <c r="AM6" s="49">
        <f>COUNTIF($D6:$AH6,"公休")</f>
        <v>5</v>
      </c>
      <c r="AN6" s="49">
        <f>COUNTIF($D6:$AH6,"病假")</f>
        <v>0</v>
      </c>
      <c r="AO6" s="49">
        <f>COUNTIF($D6:$AH6,"事假")</f>
        <v>0</v>
      </c>
      <c r="AP6" s="49">
        <f>COUNTIF($D6:$AH6,"旷工")</f>
        <v>0</v>
      </c>
      <c r="AQ6" s="49">
        <f>COUNTIF($D6:$AH6,"工伤")</f>
        <v>0</v>
      </c>
      <c r="AR6" s="49">
        <f>COUNTIF($D6:$AH6,"培训")</f>
        <v>0</v>
      </c>
      <c r="AS6" s="49">
        <f>COUNTIF($D6:$AH6,"冬休")</f>
        <v>0</v>
      </c>
      <c r="AT6" s="49">
        <f>COUNTIF($D6:$AH6,"年假")</f>
        <v>0</v>
      </c>
      <c r="AU6" s="49">
        <f>COUNTIF($D6:$AH6,"探亲")</f>
        <v>0</v>
      </c>
      <c r="AV6" s="49">
        <f>COUNTIF($D6:$AH6,"产假")</f>
        <v>0</v>
      </c>
      <c r="AW6" s="49">
        <f>COUNTIF($D6:$AH6,"陪护假")</f>
        <v>0</v>
      </c>
      <c r="AX6" s="49">
        <f>COUNTIF($D6:$AH6,"婚丧假")</f>
        <v>0</v>
      </c>
      <c r="AY6" s="49">
        <f>COUNTIF($D6:$AH6,"待岗")</f>
        <v>0</v>
      </c>
      <c r="AZ6" s="54"/>
    </row>
    <row r="7" s="10" customFormat="1" ht="32" customHeight="1" spans="1:52">
      <c r="A7" s="26">
        <v>2</v>
      </c>
      <c r="B7" s="27" t="s">
        <v>48</v>
      </c>
      <c r="C7" s="28" t="s">
        <v>81</v>
      </c>
      <c r="D7" s="30" t="s">
        <v>68</v>
      </c>
      <c r="E7" s="30" t="s">
        <v>68</v>
      </c>
      <c r="F7" s="29" t="s">
        <v>82</v>
      </c>
      <c r="G7" s="29" t="s">
        <v>82</v>
      </c>
      <c r="H7" s="29" t="s">
        <v>82</v>
      </c>
      <c r="I7" s="29" t="s">
        <v>82</v>
      </c>
      <c r="J7" s="29" t="s">
        <v>82</v>
      </c>
      <c r="K7" s="30" t="s">
        <v>68</v>
      </c>
      <c r="L7" s="30" t="s">
        <v>68</v>
      </c>
      <c r="M7" s="29" t="s">
        <v>82</v>
      </c>
      <c r="N7" s="29" t="s">
        <v>82</v>
      </c>
      <c r="O7" s="29" t="s">
        <v>82</v>
      </c>
      <c r="P7" s="29" t="s">
        <v>82</v>
      </c>
      <c r="Q7" s="29" t="s">
        <v>82</v>
      </c>
      <c r="R7" s="30" t="s">
        <v>68</v>
      </c>
      <c r="S7" s="30" t="s">
        <v>68</v>
      </c>
      <c r="T7" s="29" t="s">
        <v>82</v>
      </c>
      <c r="U7" s="29" t="s">
        <v>82</v>
      </c>
      <c r="V7" s="29" t="s">
        <v>82</v>
      </c>
      <c r="W7" s="29" t="s">
        <v>82</v>
      </c>
      <c r="X7" s="29" t="s">
        <v>82</v>
      </c>
      <c r="Y7" s="30" t="s">
        <v>68</v>
      </c>
      <c r="Z7" s="30" t="s">
        <v>68</v>
      </c>
      <c r="AA7" s="29" t="s">
        <v>82</v>
      </c>
      <c r="AB7" s="29" t="s">
        <v>82</v>
      </c>
      <c r="AC7" s="29" t="s">
        <v>82</v>
      </c>
      <c r="AD7" s="29" t="s">
        <v>82</v>
      </c>
      <c r="AE7" s="29" t="s">
        <v>82</v>
      </c>
      <c r="AF7" s="30" t="s">
        <v>68</v>
      </c>
      <c r="AG7" s="30" t="s">
        <v>68</v>
      </c>
      <c r="AH7" s="30" t="s">
        <v>68</v>
      </c>
      <c r="AI7" s="48">
        <f>AK7+AL7+AT7</f>
        <v>20</v>
      </c>
      <c r="AJ7" s="48">
        <f>AM7</f>
        <v>11</v>
      </c>
      <c r="AK7" s="49">
        <f>COUNTIF($D7:$AH7,"√")</f>
        <v>20</v>
      </c>
      <c r="AL7" s="49">
        <f>COUNTIF($D7:$AH7,"出差")</f>
        <v>0</v>
      </c>
      <c r="AM7" s="49">
        <f>COUNTIF($D7:$AH7,"公休")</f>
        <v>11</v>
      </c>
      <c r="AN7" s="49">
        <f>COUNTIF($D7:$AH7,"病假")</f>
        <v>0</v>
      </c>
      <c r="AO7" s="49">
        <f>COUNTIF($D7:$AH7,"事假")</f>
        <v>0</v>
      </c>
      <c r="AP7" s="49">
        <f>COUNTIF($D7:$AH7,"旷工")</f>
        <v>0</v>
      </c>
      <c r="AQ7" s="49">
        <f>COUNTIF($D7:$AH7,"工伤")</f>
        <v>0</v>
      </c>
      <c r="AR7" s="49">
        <f>COUNTIF($D7:$AH7,"培训")</f>
        <v>0</v>
      </c>
      <c r="AS7" s="49">
        <f>COUNTIF($D7:$AH7,"冬休")</f>
        <v>0</v>
      </c>
      <c r="AT7" s="49">
        <f>COUNTIF($D7:$AH7,"年假")</f>
        <v>0</v>
      </c>
      <c r="AU7" s="49">
        <f>COUNTIF($D7:$AH7,"探亲")</f>
        <v>0</v>
      </c>
      <c r="AV7" s="49">
        <f>COUNTIF($D7:$AH7,"产假")</f>
        <v>0</v>
      </c>
      <c r="AW7" s="49">
        <f>COUNTIF($D7:$AH7,"陪护假")</f>
        <v>0</v>
      </c>
      <c r="AX7" s="49">
        <f>COUNTIF($D7:$AH7,"婚丧假")</f>
        <v>0</v>
      </c>
      <c r="AY7" s="49">
        <f>COUNTIF($D7:$AH7,"待岗")</f>
        <v>0</v>
      </c>
      <c r="AZ7" s="54"/>
    </row>
    <row r="8" s="11" customFormat="1" ht="32" customHeight="1" spans="1:251">
      <c r="A8" s="26">
        <v>3</v>
      </c>
      <c r="B8" s="27" t="s">
        <v>51</v>
      </c>
      <c r="C8" s="28" t="s">
        <v>81</v>
      </c>
      <c r="D8" s="30"/>
      <c r="E8" s="30"/>
      <c r="F8" s="29"/>
      <c r="G8" s="29"/>
      <c r="H8" s="29"/>
      <c r="I8" s="29"/>
      <c r="J8" s="29"/>
      <c r="K8" s="30"/>
      <c r="L8" s="30"/>
      <c r="M8" s="29"/>
      <c r="N8" s="29"/>
      <c r="O8" s="29"/>
      <c r="P8" s="29"/>
      <c r="Q8" s="29"/>
      <c r="R8" s="30"/>
      <c r="S8" s="30"/>
      <c r="T8" s="29"/>
      <c r="U8" s="29"/>
      <c r="V8" s="29" t="s">
        <v>82</v>
      </c>
      <c r="W8" s="29" t="s">
        <v>82</v>
      </c>
      <c r="X8" s="29" t="s">
        <v>82</v>
      </c>
      <c r="Y8" s="29" t="s">
        <v>82</v>
      </c>
      <c r="Z8" s="29" t="s">
        <v>82</v>
      </c>
      <c r="AA8" s="29" t="s">
        <v>82</v>
      </c>
      <c r="AB8" s="29" t="s">
        <v>82</v>
      </c>
      <c r="AC8" s="29" t="s">
        <v>82</v>
      </c>
      <c r="AD8" s="29" t="s">
        <v>82</v>
      </c>
      <c r="AE8" s="29" t="s">
        <v>82</v>
      </c>
      <c r="AF8" s="29" t="s">
        <v>82</v>
      </c>
      <c r="AG8" s="29" t="s">
        <v>82</v>
      </c>
      <c r="AH8" s="29" t="s">
        <v>82</v>
      </c>
      <c r="AI8" s="48">
        <f>AK8+AL8+AT8</f>
        <v>13</v>
      </c>
      <c r="AJ8" s="48">
        <f>AM8</f>
        <v>0</v>
      </c>
      <c r="AK8" s="49">
        <f>COUNTIF($D8:$AH8,"√")</f>
        <v>13</v>
      </c>
      <c r="AL8" s="49">
        <f>COUNTIF($D8:$AH8,"出差")</f>
        <v>0</v>
      </c>
      <c r="AM8" s="49">
        <f>COUNTIF($D8:$AH8,"公休")</f>
        <v>0</v>
      </c>
      <c r="AN8" s="49">
        <f>COUNTIF($D8:$AH8,"病假")</f>
        <v>0</v>
      </c>
      <c r="AO8" s="49">
        <f>COUNTIF($D8:$AH8,"事假")</f>
        <v>0</v>
      </c>
      <c r="AP8" s="49">
        <f>COUNTIF($D8:$AH8,"旷工")</f>
        <v>0</v>
      </c>
      <c r="AQ8" s="49">
        <f>COUNTIF($D8:$AH8,"工伤")</f>
        <v>0</v>
      </c>
      <c r="AR8" s="49">
        <f>COUNTIF($D8:$AH8,"培训")</f>
        <v>0</v>
      </c>
      <c r="AS8" s="49">
        <f>COUNTIF($D8:$AH8,"冬休")</f>
        <v>0</v>
      </c>
      <c r="AT8" s="49">
        <f>COUNTIF($D8:$AH8,"年假")</f>
        <v>0</v>
      </c>
      <c r="AU8" s="49">
        <f>COUNTIF($D8:$AH8,"探亲")</f>
        <v>0</v>
      </c>
      <c r="AV8" s="49">
        <f>COUNTIF($D8:$AH8,"产假")</f>
        <v>0</v>
      </c>
      <c r="AW8" s="49">
        <f>COUNTIF($D8:$AH8,"陪护假")</f>
        <v>0</v>
      </c>
      <c r="AX8" s="49">
        <f>COUNTIF($D8:$AH8,"婚丧假")</f>
        <v>0</v>
      </c>
      <c r="AY8" s="49">
        <f>COUNTIF($D8:$AH8,"待岗")</f>
        <v>0</v>
      </c>
      <c r="AZ8" s="54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="11" customFormat="1" ht="20" customHeight="1" spans="1:251">
      <c r="A9" s="10"/>
      <c r="B9" s="31" t="s">
        <v>83</v>
      </c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50"/>
      <c r="AJ9" s="51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5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ht="24" customHeight="1" spans="4:35">
      <c r="D10" s="10"/>
      <c r="E10" s="10" t="s">
        <v>54</v>
      </c>
      <c r="K10" s="10"/>
      <c r="L10" s="10"/>
      <c r="M10" s="10"/>
      <c r="N10" s="10"/>
      <c r="R10" s="10"/>
      <c r="S10" s="10"/>
      <c r="U10" s="38"/>
      <c r="V10" s="38" t="s">
        <v>55</v>
      </c>
      <c r="Y10" s="10"/>
      <c r="Z10" s="10"/>
      <c r="AF10" s="10"/>
      <c r="AG10" s="10"/>
      <c r="AI10" s="10" t="s">
        <v>56</v>
      </c>
    </row>
    <row r="11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showZeros="0" workbookViewId="0">
      <selection activeCell="C5" sqref="C5"/>
    </sheetView>
  </sheetViews>
  <sheetFormatPr defaultColWidth="9" defaultRowHeight="30" customHeight="1" outlineLevelRow="4" outlineLevelCol="6"/>
  <cols>
    <col min="1" max="2" width="9" style="1"/>
    <col min="3" max="3" width="12.8715596330275" style="1" customWidth="1"/>
    <col min="4" max="4" width="17.6238532110092" style="5" customWidth="1"/>
    <col min="5" max="5" width="18.5045871559633" style="5" customWidth="1"/>
    <col min="6" max="6" width="12.6238532110092" style="5"/>
    <col min="7" max="7" width="18.7522935779816" style="1" customWidth="1"/>
    <col min="8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84</v>
      </c>
      <c r="F2" s="7" t="s">
        <v>85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26</v>
      </c>
      <c r="D3" s="8">
        <f>(VLOOKUP(B3,工资表!B5:G5,6,0)+VLOOKUP(B3,工资表!B5:H5,7,0))/工资表!F5*VLOOKUP(B3,考勤!B6:AI6,34,0)</f>
        <v>5000</v>
      </c>
      <c r="E3" s="8">
        <f>VLOOKUP(B3,工资表!B5:R5,17,0)</f>
        <v>2450</v>
      </c>
      <c r="F3" s="8">
        <f>D3-E3</f>
        <v>2550</v>
      </c>
      <c r="G3" s="2"/>
    </row>
    <row r="4" ht="15" customHeight="1" spans="1:7">
      <c r="A4" s="2">
        <v>2</v>
      </c>
      <c r="B4" s="2" t="s">
        <v>48</v>
      </c>
      <c r="C4" s="2">
        <v>20</v>
      </c>
      <c r="D4" s="8">
        <f>(VLOOKUP(B4,工资表!B6:G6,6,0)+VLOOKUP(B4,工资表!B6:H6,7,0))/工资表!F6*VLOOKUP(B4,考勤!B7:AI7,34,0)</f>
        <v>5000</v>
      </c>
      <c r="E4" s="8">
        <f>VLOOKUP(B4,工资表!B6:R6,17,0)</f>
        <v>5000</v>
      </c>
      <c r="F4" s="8">
        <f>D4-E4</f>
        <v>0</v>
      </c>
      <c r="G4" s="2"/>
    </row>
    <row r="5" ht="15" customHeight="1" spans="1:7">
      <c r="A5" s="2">
        <v>3</v>
      </c>
      <c r="B5" s="2" t="s">
        <v>51</v>
      </c>
      <c r="C5" s="2">
        <v>13</v>
      </c>
      <c r="D5" s="8">
        <f>(VLOOKUP(B5,工资表!B7:G7,6,0)+VLOOKUP(B5,工资表!B7:H7,7,0))/工资表!F7*VLOOKUP(B5,考勤!B8:AI8,34,0)</f>
        <v>2750</v>
      </c>
      <c r="E5" s="8">
        <f>VLOOKUP(B5,工资表!B7:R7,17,0)</f>
        <v>2750</v>
      </c>
      <c r="F5" s="8"/>
      <c r="G5" s="2">
        <f>5500/26*13</f>
        <v>2750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13" sqref="C13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86</v>
      </c>
      <c r="C2" s="2" t="s">
        <v>87</v>
      </c>
      <c r="D2" s="2" t="s">
        <v>88</v>
      </c>
      <c r="E2" s="2" t="s">
        <v>89</v>
      </c>
    </row>
    <row r="3" customHeight="1" spans="2:5">
      <c r="B3" s="2" t="s">
        <v>90</v>
      </c>
      <c r="C3" s="3">
        <v>1</v>
      </c>
      <c r="D3" s="2">
        <v>0</v>
      </c>
      <c r="E3" s="2">
        <v>0</v>
      </c>
    </row>
    <row r="4" customHeight="1" spans="2:5">
      <c r="B4" s="2" t="s">
        <v>91</v>
      </c>
      <c r="C4" s="4">
        <v>0.375</v>
      </c>
      <c r="D4" s="4">
        <v>0.375</v>
      </c>
      <c r="E4" s="3">
        <v>0.25</v>
      </c>
    </row>
    <row r="5" customHeight="1" spans="2:5">
      <c r="B5" s="2" t="s">
        <v>92</v>
      </c>
      <c r="C5" s="4">
        <v>0.375</v>
      </c>
      <c r="D5" s="4">
        <v>0.375</v>
      </c>
      <c r="E5" s="3">
        <v>0.25</v>
      </c>
    </row>
    <row r="6" customHeight="1" spans="2:5">
      <c r="B6" s="2" t="s">
        <v>93</v>
      </c>
      <c r="C6" s="4">
        <v>0.375</v>
      </c>
      <c r="D6" s="4">
        <v>0.375</v>
      </c>
      <c r="E6" s="3">
        <v>0.25</v>
      </c>
    </row>
    <row r="7" customHeight="1" spans="2:5">
      <c r="B7" s="2" t="s">
        <v>94</v>
      </c>
      <c r="C7" s="4">
        <v>0.375</v>
      </c>
      <c r="D7" s="4">
        <v>0.375</v>
      </c>
      <c r="E7" s="3">
        <v>0.25</v>
      </c>
    </row>
    <row r="8" customHeight="1" spans="2:5">
      <c r="B8" s="2" t="s">
        <v>95</v>
      </c>
      <c r="C8" s="3">
        <v>0.51</v>
      </c>
      <c r="D8" s="3">
        <v>0.34</v>
      </c>
      <c r="E8" s="3">
        <v>0.15</v>
      </c>
    </row>
    <row r="9" customHeight="1" spans="2:5">
      <c r="B9" s="2" t="s">
        <v>96</v>
      </c>
      <c r="C9" s="3">
        <v>0.51</v>
      </c>
      <c r="D9" s="3">
        <v>0.34</v>
      </c>
      <c r="E9" s="3">
        <v>0.15</v>
      </c>
    </row>
    <row r="10" customHeight="1" spans="2:5">
      <c r="B10" s="2" t="s">
        <v>97</v>
      </c>
      <c r="C10" s="3">
        <v>0.51</v>
      </c>
      <c r="D10" s="3">
        <v>0.34</v>
      </c>
      <c r="E10" s="3">
        <v>0.15</v>
      </c>
    </row>
    <row r="11" customHeight="1" spans="2:5">
      <c r="B11" s="2" t="s">
        <v>98</v>
      </c>
      <c r="C11" s="3">
        <v>0.7</v>
      </c>
      <c r="D11" s="3">
        <v>0.3</v>
      </c>
      <c r="E11" s="3">
        <v>0</v>
      </c>
    </row>
    <row r="12" customHeight="1" spans="2:5">
      <c r="B12" s="2" t="s">
        <v>50</v>
      </c>
      <c r="C12" s="3">
        <v>0.8</v>
      </c>
      <c r="D12" s="3">
        <v>0.2</v>
      </c>
      <c r="E12" s="3">
        <v>0</v>
      </c>
    </row>
    <row r="13" customHeight="1" spans="2:5">
      <c r="B13" s="2" t="s">
        <v>47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2025-04-09T05:40:00Z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18010D0616FB4198AF6A5CED21EF6393_12</vt:lpwstr>
  </property>
</Properties>
</file>