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7"/>
  </bookViews>
  <sheets>
    <sheet name="2023年12月税金" sheetId="4" r:id="rId1"/>
    <sheet name="2023年尾盘销售台账" sheetId="5" r:id="rId2"/>
    <sheet name="2024年1月" sheetId="6" r:id="rId3"/>
    <sheet name="2024年3月" sheetId="7" r:id="rId4"/>
    <sheet name="2024年4月" sheetId="8" r:id="rId5"/>
    <sheet name="2024年9月" sheetId="9" r:id="rId6"/>
    <sheet name="2024年10月" sheetId="10" r:id="rId7"/>
    <sheet name="2024年12月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下贷</t>
        </r>
      </text>
    </comment>
    <comment ref="B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分期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F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报表中预交可抵扣金额26428.49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F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报表中预交可抵扣金额26428.49</t>
        </r>
      </text>
    </comment>
  </commentList>
</comments>
</file>

<file path=xl/sharedStrings.xml><?xml version="1.0" encoding="utf-8"?>
<sst xmlns="http://schemas.openxmlformats.org/spreadsheetml/2006/main" count="363" uniqueCount="113">
  <si>
    <t>拜城分公司税金计算表</t>
  </si>
  <si>
    <t>项目名称：</t>
  </si>
  <si>
    <t>期间</t>
  </si>
  <si>
    <t>日期</t>
  </si>
  <si>
    <t>2024.1.10</t>
  </si>
  <si>
    <t>预收款合计金额</t>
  </si>
  <si>
    <t>普通住宅</t>
  </si>
  <si>
    <t>非普通住宅</t>
  </si>
  <si>
    <t>商业/写字间</t>
  </si>
  <si>
    <t>租赁收入（含税）</t>
  </si>
  <si>
    <t>合计</t>
  </si>
  <si>
    <t>已交增值税收入</t>
  </si>
  <si>
    <t>本期销售合同总价</t>
  </si>
  <si>
    <t>新售预收房款金额</t>
  </si>
  <si>
    <t>税目</t>
  </si>
  <si>
    <t>税率</t>
  </si>
  <si>
    <t>预缴增值税</t>
  </si>
  <si>
    <t>增值税</t>
  </si>
  <si>
    <t>城建税</t>
  </si>
  <si>
    <t>地方教育费附加</t>
  </si>
  <si>
    <t>教育费附加</t>
  </si>
  <si>
    <t>土地增值税</t>
  </si>
  <si>
    <t>印花税-财产转移书据</t>
  </si>
  <si>
    <t>印花税-租赁</t>
  </si>
  <si>
    <t>说明：1、本期房产销售收入为以前年度缴纳过营业税的项目，开票确认收入均为零税率的免税收入；本年度新售房源预收账款317290元；本期其他类型为租赁商铺收入；2023年度企业所得税缴纳457857.4元，应缴纳税金共计470489.63元。</t>
  </si>
  <si>
    <t>项目</t>
  </si>
  <si>
    <t>金额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</si>
  <si>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</si>
  <si>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</si>
  <si>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</si>
  <si>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</si>
  <si>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</si>
  <si>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</si>
  <si>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</si>
  <si>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</si>
  <si>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</si>
  <si>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</si>
  <si>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拜城世纪佳园销售台账</t>
  </si>
  <si>
    <t>序号</t>
  </si>
  <si>
    <t>房号</t>
  </si>
  <si>
    <t>姓名</t>
  </si>
  <si>
    <t>面积</t>
  </si>
  <si>
    <t>单价</t>
  </si>
  <si>
    <t>总价</t>
  </si>
  <si>
    <t>历次收
款合计</t>
  </si>
  <si>
    <t>欠款</t>
  </si>
  <si>
    <t>第1次</t>
  </si>
  <si>
    <t>第2次</t>
  </si>
  <si>
    <t>第3次</t>
  </si>
  <si>
    <t>第4次</t>
  </si>
  <si>
    <t>第5次</t>
  </si>
  <si>
    <t>备注</t>
  </si>
  <si>
    <t>交款</t>
  </si>
  <si>
    <t>7-2-1101</t>
  </si>
  <si>
    <t>艾克拜尔·依力亚司</t>
  </si>
  <si>
    <t>2023.6.26</t>
  </si>
  <si>
    <t>2023.12.6</t>
  </si>
  <si>
    <t>7-1-1602</t>
  </si>
  <si>
    <t>麦麦提·艾麦提</t>
  </si>
  <si>
    <t>2023.7.17</t>
  </si>
  <si>
    <t>2023.7.23</t>
  </si>
  <si>
    <t>2023.7.24</t>
  </si>
  <si>
    <t>7-2-1601</t>
  </si>
  <si>
    <t>艾克代·居来提</t>
  </si>
  <si>
    <t>2023.8.28</t>
  </si>
  <si>
    <t>2023.11.30</t>
  </si>
  <si>
    <t>18096975829/18096982760</t>
  </si>
  <si>
    <t>2024.3.10</t>
  </si>
  <si>
    <t>已交营业税收入</t>
  </si>
  <si>
    <t>本期确认收入</t>
  </si>
  <si>
    <t>本期开票（不含税）</t>
  </si>
  <si>
    <t>开票销项</t>
  </si>
  <si>
    <t>前期已确认，本期调整销项</t>
  </si>
  <si>
    <t>前期已确认</t>
  </si>
  <si>
    <t>未开票收入</t>
  </si>
  <si>
    <t>本期销项金额</t>
  </si>
  <si>
    <t>7-107</t>
  </si>
  <si>
    <t>已交营业税</t>
  </si>
  <si>
    <t>预交增值税可抵扣（报表）</t>
  </si>
  <si>
    <t>增值税（销项-进项-预交）</t>
  </si>
  <si>
    <t>阿克苏交纳土地使用税明细</t>
  </si>
  <si>
    <t>地块</t>
  </si>
  <si>
    <t>土地证面积</t>
  </si>
  <si>
    <t>建设用地批准书面积</t>
  </si>
  <si>
    <t>剩余未售建筑面积</t>
  </si>
  <si>
    <t>容积率</t>
  </si>
  <si>
    <t>土地占用面积</t>
  </si>
  <si>
    <t>土地等级</t>
  </si>
  <si>
    <t>单价(元)</t>
  </si>
  <si>
    <t>金额(元)</t>
  </si>
  <si>
    <t>4月份应交</t>
  </si>
  <si>
    <t>多浪小镇</t>
  </si>
  <si>
    <t>三级</t>
  </si>
  <si>
    <t>1-6月</t>
  </si>
  <si>
    <t>房产税</t>
  </si>
  <si>
    <t>类型</t>
  </si>
  <si>
    <t>占用面积</t>
  </si>
  <si>
    <t>计税依据</t>
  </si>
  <si>
    <t>应交税金</t>
  </si>
  <si>
    <t>从租</t>
  </si>
  <si>
    <t>1-12月</t>
  </si>
  <si>
    <t>2024.4.10</t>
  </si>
  <si>
    <t>应交</t>
  </si>
  <si>
    <t>拜城世纪佳园</t>
  </si>
  <si>
    <t>7-12月</t>
  </si>
  <si>
    <t>房产原值</t>
  </si>
  <si>
    <t>税金</t>
  </si>
  <si>
    <t>从价</t>
  </si>
  <si>
    <t>本期应交缴纳税金合计：</t>
  </si>
  <si>
    <t>元</t>
  </si>
  <si>
    <t>7-1-1002</t>
  </si>
  <si>
    <t>可抵扣预缴增值税</t>
  </si>
  <si>
    <t>2025.1.7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</si>
</sst>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0.0_ "/>
    <numFmt numFmtId="179" formatCode="0_ "/>
    <numFmt numFmtId="180" formatCode="0&quot;月份&quot;"/>
    <numFmt numFmtId="181" formatCode="yyyy/m/d;@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1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8" applyNumberFormat="0" applyAlignment="0" applyProtection="0">
      <alignment vertical="center"/>
    </xf>
    <xf numFmtId="0" fontId="22" fillId="8" borderId="19" applyNumberFormat="0" applyAlignment="0" applyProtection="0">
      <alignment vertical="center"/>
    </xf>
    <xf numFmtId="0" fontId="23" fillId="8" borderId="18" applyNumberFormat="0" applyAlignment="0" applyProtection="0">
      <alignment vertical="center"/>
    </xf>
    <xf numFmtId="0" fontId="24" fillId="9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9" fontId="3" fillId="0" borderId="3" xfId="3" applyFont="1" applyFill="1" applyBorder="1" applyAlignment="1">
      <alignment horizontal="center" vertical="center"/>
    </xf>
    <xf numFmtId="10" fontId="3" fillId="0" borderId="3" xfId="3" applyNumberFormat="1" applyFont="1" applyFill="1" applyBorder="1" applyAlignment="1">
      <alignment horizontal="center" vertical="center"/>
    </xf>
    <xf numFmtId="177" fontId="3" fillId="0" borderId="3" xfId="3" applyNumberFormat="1" applyFont="1" applyFill="1" applyBorder="1" applyAlignment="1">
      <alignment horizontal="center" vertical="center"/>
    </xf>
    <xf numFmtId="176" fontId="3" fillId="0" borderId="3" xfId="3" applyNumberFormat="1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/>
    </xf>
    <xf numFmtId="176" fontId="5" fillId="0" borderId="3" xfId="0" applyNumberFormat="1" applyFont="1" applyFill="1" applyBorder="1" applyAlignment="1">
      <alignment horizontal="right" vertical="center"/>
    </xf>
    <xf numFmtId="9" fontId="5" fillId="0" borderId="3" xfId="3" applyFont="1" applyFill="1" applyBorder="1" applyAlignment="1">
      <alignment horizontal="right" vertical="center"/>
    </xf>
    <xf numFmtId="176" fontId="1" fillId="0" borderId="0" xfId="0" applyNumberFormat="1" applyFont="1" applyFill="1" applyBorder="1" applyAlignment="1">
      <alignment vertical="center"/>
    </xf>
    <xf numFmtId="8" fontId="1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43" fontId="5" fillId="0" borderId="3" xfId="3" applyNumberFormat="1" applyFont="1" applyFill="1" applyBorder="1" applyAlignment="1">
      <alignment vertical="center"/>
    </xf>
    <xf numFmtId="10" fontId="1" fillId="0" borderId="3" xfId="0" applyNumberFormat="1" applyFont="1" applyFill="1" applyBorder="1" applyAlignment="1">
      <alignment horizontal="center" vertical="center"/>
    </xf>
    <xf numFmtId="9" fontId="5" fillId="0" borderId="0" xfId="3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9" fontId="5" fillId="0" borderId="3" xfId="3" applyFont="1" applyFill="1" applyBorder="1" applyAlignment="1">
      <alignment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10" fillId="0" borderId="13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9" fillId="2" borderId="13" xfId="0" applyNumberFormat="1" applyFont="1" applyFill="1" applyBorder="1" applyAlignment="1" applyProtection="1">
      <alignment horizontal="center" vertical="center" shrinkToFit="1"/>
    </xf>
    <xf numFmtId="0" fontId="9" fillId="2" borderId="3" xfId="0" applyNumberFormat="1" applyFont="1" applyFill="1" applyBorder="1" applyAlignment="1" applyProtection="1">
      <alignment horizontal="center" vertical="center" shrinkToFi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9" fillId="2" borderId="3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Border="1" applyAlignment="1" applyProtection="1">
      <alignment horizontal="center" vertical="center"/>
    </xf>
    <xf numFmtId="0" fontId="11" fillId="3" borderId="1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178" fontId="11" fillId="0" borderId="3" xfId="0" applyNumberFormat="1" applyFont="1" applyFill="1" applyBorder="1" applyAlignment="1">
      <alignment horizontal="center" vertical="center"/>
    </xf>
    <xf numFmtId="179" fontId="1" fillId="0" borderId="3" xfId="0" applyNumberFormat="1" applyFont="1" applyFill="1" applyBorder="1" applyAlignment="1">
      <alignment horizontal="center" vertical="center"/>
    </xf>
    <xf numFmtId="179" fontId="11" fillId="0" borderId="3" xfId="0" applyNumberFormat="1" applyFont="1" applyFill="1" applyBorder="1" applyAlignment="1">
      <alignment horizontal="center" vertical="center"/>
    </xf>
    <xf numFmtId="179" fontId="11" fillId="4" borderId="3" xfId="0" applyNumberFormat="1" applyFont="1" applyFill="1" applyBorder="1" applyAlignment="1">
      <alignment horizontal="center" vertical="center"/>
    </xf>
    <xf numFmtId="180" fontId="9" fillId="0" borderId="3" xfId="1" applyNumberFormat="1" applyFont="1" applyBorder="1" applyAlignment="1" applyProtection="1">
      <alignment horizontal="center" vertical="center"/>
    </xf>
    <xf numFmtId="181" fontId="9" fillId="0" borderId="3" xfId="1" applyNumberFormat="1" applyFont="1" applyBorder="1" applyAlignment="1" applyProtection="1">
      <alignment horizontal="center" vertical="center"/>
    </xf>
    <xf numFmtId="0" fontId="9" fillId="0" borderId="3" xfId="1" applyNumberFormat="1" applyFont="1" applyBorder="1" applyAlignment="1" applyProtection="1">
      <alignment horizontal="center" vertical="center" shrinkToFit="1"/>
    </xf>
    <xf numFmtId="0" fontId="12" fillId="0" borderId="3" xfId="1" applyNumberFormat="1" applyFont="1" applyBorder="1" applyAlignment="1" applyProtection="1">
      <alignment horizontal="center" vertical="center" wrapText="1"/>
    </xf>
    <xf numFmtId="181" fontId="9" fillId="0" borderId="3" xfId="1" applyNumberFormat="1" applyFont="1" applyBorder="1" applyAlignment="1" applyProtection="1">
      <alignment horizontal="center" vertical="center" shrinkToFit="1"/>
    </xf>
    <xf numFmtId="0" fontId="9" fillId="5" borderId="3" xfId="1" applyNumberFormat="1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32"/>
  <sheetViews>
    <sheetView workbookViewId="0">
      <selection activeCell="E33" sqref="E33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4.883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2.6333333333333" style="1"/>
    <col min="12" max="16384" width="9" style="1"/>
  </cols>
  <sheetData>
    <row r="2" s="1" customFormat="1" ht="44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s="1" customFormat="1" ht="23" customHeight="1" spans="2:10">
      <c r="B3" s="3" t="s">
        <v>1</v>
      </c>
      <c r="D3" s="3" t="s">
        <v>2</v>
      </c>
      <c r="E3" s="4">
        <v>202312</v>
      </c>
      <c r="F3" s="4"/>
      <c r="G3" s="4"/>
      <c r="I3" s="3" t="s">
        <v>3</v>
      </c>
      <c r="J3" s="1" t="s">
        <v>4</v>
      </c>
    </row>
    <row r="4" s="1" customFormat="1" ht="25" customHeight="1" spans="2:10">
      <c r="B4" s="5" t="s">
        <v>5</v>
      </c>
      <c r="C4" s="6"/>
      <c r="D4" s="7" t="s">
        <v>6</v>
      </c>
      <c r="E4" s="7" t="s">
        <v>7</v>
      </c>
      <c r="F4" s="7" t="s">
        <v>6</v>
      </c>
      <c r="G4" s="7"/>
      <c r="H4" s="8" t="s">
        <v>8</v>
      </c>
      <c r="I4" s="8" t="s">
        <v>9</v>
      </c>
      <c r="J4" s="8" t="s">
        <v>10</v>
      </c>
    </row>
    <row r="5" s="1" customFormat="1" ht="25" customHeight="1" spans="2:10">
      <c r="B5" s="9"/>
      <c r="C5" s="10"/>
      <c r="D5" s="7" t="s">
        <v>11</v>
      </c>
      <c r="E5" s="7"/>
      <c r="F5" s="7" t="s">
        <v>12</v>
      </c>
      <c r="G5" s="7" t="s">
        <v>13</v>
      </c>
      <c r="H5" s="11"/>
      <c r="I5" s="11"/>
      <c r="J5" s="11"/>
    </row>
    <row r="6" s="1" customFormat="1" ht="25" customHeight="1" spans="2:11">
      <c r="B6" s="12"/>
      <c r="C6" s="13"/>
      <c r="D6" s="14">
        <v>7468403.56</v>
      </c>
      <c r="E6" s="14">
        <v>0</v>
      </c>
      <c r="F6" s="14">
        <f>'2023年尾盘销售台账'!F7</f>
        <v>972592.5</v>
      </c>
      <c r="G6" s="14">
        <f>'2023年尾盘销售台账'!G7</f>
        <v>317290</v>
      </c>
      <c r="H6" s="14">
        <v>0</v>
      </c>
      <c r="I6" s="14">
        <v>227533</v>
      </c>
      <c r="J6" s="14">
        <f>D6+E6+H6+I6</f>
        <v>7695936.56</v>
      </c>
      <c r="K6" s="34"/>
    </row>
    <row r="7" s="1" customFormat="1" ht="25" customHeight="1" spans="2:10">
      <c r="B7" s="7" t="s">
        <v>14</v>
      </c>
      <c r="C7" s="7" t="s">
        <v>15</v>
      </c>
      <c r="D7" s="14"/>
      <c r="E7" s="14"/>
      <c r="F7" s="14"/>
      <c r="G7" s="14"/>
      <c r="H7" s="14"/>
      <c r="I7" s="14"/>
      <c r="J7" s="14">
        <f>D7+E7+H7+I7+F7+G7</f>
        <v>0</v>
      </c>
    </row>
    <row r="8" s="1" customFormat="1" ht="25" customHeight="1" spans="2:10">
      <c r="B8" s="15" t="s">
        <v>16</v>
      </c>
      <c r="C8" s="16">
        <v>0</v>
      </c>
      <c r="D8" s="14">
        <f>D6*C8</f>
        <v>0</v>
      </c>
      <c r="E8" s="14">
        <v>0</v>
      </c>
      <c r="F8" s="14"/>
      <c r="G8" s="14"/>
      <c r="H8" s="14"/>
      <c r="I8" s="14"/>
      <c r="J8" s="14">
        <f t="shared" ref="J8:J17" si="0">D8+E8+H8+I8+F8+G8</f>
        <v>0</v>
      </c>
    </row>
    <row r="9" s="1" customFormat="1" ht="25" customHeight="1" spans="2:10">
      <c r="B9" s="15" t="s">
        <v>17</v>
      </c>
      <c r="C9" s="16">
        <v>0.05</v>
      </c>
      <c r="D9" s="14">
        <f>D6/1.09*$C$9*0</f>
        <v>0</v>
      </c>
      <c r="E9" s="14">
        <f>E6/1.09*$C$9</f>
        <v>0</v>
      </c>
      <c r="F9" s="14"/>
      <c r="G9" s="14"/>
      <c r="H9" s="14">
        <f>H6/1.09*$C$9</f>
        <v>0</v>
      </c>
      <c r="I9" s="14">
        <f>I6/1.05*C9</f>
        <v>10834.9047619048</v>
      </c>
      <c r="J9" s="14">
        <f t="shared" si="0"/>
        <v>10834.9047619048</v>
      </c>
    </row>
    <row r="10" s="1" customFormat="1" ht="25" customHeight="1" spans="2:10">
      <c r="B10" s="15" t="s">
        <v>18</v>
      </c>
      <c r="C10" s="16">
        <v>0.05</v>
      </c>
      <c r="D10" s="14">
        <f>D9*$C$10</f>
        <v>0</v>
      </c>
      <c r="E10" s="14">
        <f>E9*$C$10</f>
        <v>0</v>
      </c>
      <c r="F10" s="14"/>
      <c r="G10" s="14"/>
      <c r="H10" s="14">
        <f>H9*$C$10</f>
        <v>0</v>
      </c>
      <c r="I10" s="14">
        <f>I9*$C$10</f>
        <v>541.74523809524</v>
      </c>
      <c r="J10" s="14">
        <f t="shared" si="0"/>
        <v>541.74523809524</v>
      </c>
    </row>
    <row r="11" s="1" customFormat="1" ht="25" customHeight="1" spans="2:10">
      <c r="B11" s="15" t="s">
        <v>19</v>
      </c>
      <c r="C11" s="16">
        <v>0.02</v>
      </c>
      <c r="D11" s="14">
        <f>D9*$C$11</f>
        <v>0</v>
      </c>
      <c r="E11" s="14">
        <f>E9*$C$11</f>
        <v>0</v>
      </c>
      <c r="F11" s="14"/>
      <c r="G11" s="14"/>
      <c r="H11" s="14">
        <f>H9*$C$11</f>
        <v>0</v>
      </c>
      <c r="I11" s="14">
        <f>I9*$C$11</f>
        <v>216.698095238095</v>
      </c>
      <c r="J11" s="14">
        <f t="shared" si="0"/>
        <v>216.698095238095</v>
      </c>
    </row>
    <row r="12" s="1" customFormat="1" ht="25" customHeight="1" spans="2:10">
      <c r="B12" s="15" t="s">
        <v>20</v>
      </c>
      <c r="C12" s="16">
        <v>0.03</v>
      </c>
      <c r="D12" s="14">
        <f>D9*$C$12</f>
        <v>0</v>
      </c>
      <c r="E12" s="14">
        <f>E9*$C$12</f>
        <v>0</v>
      </c>
      <c r="F12" s="14"/>
      <c r="G12" s="14"/>
      <c r="H12" s="14">
        <f>H9*$C$12</f>
        <v>0</v>
      </c>
      <c r="I12" s="14">
        <f>I9*$C$12</f>
        <v>325.047142857143</v>
      </c>
      <c r="J12" s="14">
        <f t="shared" si="0"/>
        <v>325.047142857143</v>
      </c>
    </row>
    <row r="13" s="1" customFormat="1" ht="25" customHeight="1" spans="2:10">
      <c r="B13" s="17" t="s">
        <v>21</v>
      </c>
      <c r="C13" s="18">
        <v>0.01</v>
      </c>
      <c r="D13" s="14">
        <f>D10*$C$12</f>
        <v>0</v>
      </c>
      <c r="E13" s="19">
        <f>E6/1.09*$C$13</f>
        <v>0</v>
      </c>
      <c r="F13" s="19"/>
      <c r="G13" s="19"/>
      <c r="H13" s="19">
        <f>H6/1.09*$C$13</f>
        <v>0</v>
      </c>
      <c r="I13" s="19">
        <v>0</v>
      </c>
      <c r="J13" s="14">
        <f t="shared" si="0"/>
        <v>0</v>
      </c>
    </row>
    <row r="14" s="1" customFormat="1" ht="25" customHeight="1" spans="2:10">
      <c r="B14" s="17" t="s">
        <v>21</v>
      </c>
      <c r="C14" s="20">
        <v>0.03</v>
      </c>
      <c r="D14" s="19">
        <v>0</v>
      </c>
      <c r="E14" s="19">
        <f>E6/1.09*$C$14</f>
        <v>0</v>
      </c>
      <c r="F14" s="19"/>
      <c r="G14" s="19"/>
      <c r="H14" s="19">
        <v>0</v>
      </c>
      <c r="I14" s="19">
        <v>0</v>
      </c>
      <c r="J14" s="14">
        <f t="shared" si="0"/>
        <v>0</v>
      </c>
    </row>
    <row r="15" s="1" customFormat="1" ht="25" customHeight="1" spans="2:10">
      <c r="B15" s="17" t="s">
        <v>21</v>
      </c>
      <c r="C15" s="20">
        <v>0.04</v>
      </c>
      <c r="D15" s="19">
        <v>0</v>
      </c>
      <c r="E15" s="19">
        <f>E7/1.09*$C$14</f>
        <v>0</v>
      </c>
      <c r="F15" s="14"/>
      <c r="G15" s="14"/>
      <c r="H15" s="14">
        <f>H6/1.09*$C$15</f>
        <v>0</v>
      </c>
      <c r="I15" s="14">
        <v>0</v>
      </c>
      <c r="J15" s="14">
        <f t="shared" si="0"/>
        <v>0</v>
      </c>
    </row>
    <row r="16" s="1" customFormat="1" ht="25" customHeight="1" spans="2:10">
      <c r="B16" s="17" t="s">
        <v>22</v>
      </c>
      <c r="C16" s="21">
        <v>0.0005</v>
      </c>
      <c r="D16" s="19">
        <v>0</v>
      </c>
      <c r="E16" s="19">
        <f>E8/1.09*$C$14</f>
        <v>0</v>
      </c>
      <c r="F16" s="14">
        <f>F6*C16</f>
        <v>486.29625</v>
      </c>
      <c r="G16" s="14"/>
      <c r="H16" s="14"/>
      <c r="I16" s="14"/>
      <c r="J16" s="14">
        <f t="shared" si="0"/>
        <v>486.29625</v>
      </c>
    </row>
    <row r="17" s="1" customFormat="1" ht="25" customHeight="1" spans="2:10">
      <c r="B17" s="17" t="s">
        <v>23</v>
      </c>
      <c r="C17" s="22">
        <v>0.001</v>
      </c>
      <c r="D17" s="19">
        <v>0</v>
      </c>
      <c r="E17" s="19">
        <f>E9/1.09*$C$14</f>
        <v>0</v>
      </c>
      <c r="F17" s="14"/>
      <c r="G17" s="14"/>
      <c r="H17" s="14"/>
      <c r="I17" s="14">
        <f>I6*C17</f>
        <v>227.533</v>
      </c>
      <c r="J17" s="14">
        <f t="shared" si="0"/>
        <v>227.533</v>
      </c>
    </row>
    <row r="18" s="1" customFormat="1" ht="25" customHeight="1" spans="2:10">
      <c r="B18" s="17" t="s">
        <v>10</v>
      </c>
      <c r="C18" s="20"/>
      <c r="D18" s="23">
        <f t="shared" ref="D18:J18" si="1">SUM(D8:D17)</f>
        <v>0</v>
      </c>
      <c r="E18" s="23">
        <f t="shared" si="1"/>
        <v>0</v>
      </c>
      <c r="F18" s="23">
        <f t="shared" si="1"/>
        <v>486.29625</v>
      </c>
      <c r="G18" s="23">
        <f t="shared" si="1"/>
        <v>0</v>
      </c>
      <c r="H18" s="23">
        <f t="shared" si="1"/>
        <v>0</v>
      </c>
      <c r="I18" s="23">
        <f t="shared" si="1"/>
        <v>12145.9282380953</v>
      </c>
      <c r="J18" s="23">
        <f t="shared" si="1"/>
        <v>12632.2244880953</v>
      </c>
    </row>
    <row r="19" s="1" customFormat="1" ht="25" customHeight="1" spans="2:10">
      <c r="B19" s="24" t="s">
        <v>24</v>
      </c>
      <c r="C19" s="25"/>
      <c r="D19" s="25"/>
      <c r="E19" s="25"/>
      <c r="F19" s="25"/>
      <c r="G19" s="25"/>
      <c r="H19" s="25"/>
      <c r="I19" s="25"/>
      <c r="J19" s="37"/>
    </row>
    <row r="20" s="1" customFormat="1" spans="2:10">
      <c r="B20" s="26"/>
      <c r="C20" s="27"/>
      <c r="D20" s="27"/>
      <c r="E20" s="27"/>
      <c r="F20" s="27"/>
      <c r="G20" s="27"/>
      <c r="H20" s="27"/>
      <c r="I20" s="27"/>
      <c r="J20" s="38"/>
    </row>
    <row r="21" s="1" customFormat="1" ht="15" spans="2:4">
      <c r="B21" s="28"/>
      <c r="C21" s="28"/>
      <c r="D21" s="29"/>
    </row>
    <row r="22" s="1" customFormat="1" spans="2:4">
      <c r="B22" s="30" t="s">
        <v>25</v>
      </c>
      <c r="C22" s="30" t="s">
        <v>26</v>
      </c>
      <c r="D22" s="29"/>
    </row>
    <row r="23" s="1" customFormat="1" spans="2:4">
      <c r="B23" s="31" t="s">
        <v>27</v>
      </c>
      <c r="C23" s="32">
        <v>7468403.56</v>
      </c>
      <c r="D23" s="29"/>
    </row>
    <row r="24" s="1" customFormat="1" spans="2:4">
      <c r="B24" s="30" t="s">
        <v>28</v>
      </c>
      <c r="C24" s="32">
        <v>216698.09</v>
      </c>
      <c r="D24" s="29"/>
    </row>
    <row r="25" s="1" customFormat="1" spans="2:4">
      <c r="B25" s="30" t="s">
        <v>29</v>
      </c>
      <c r="C25" s="32">
        <v>5462872.8</v>
      </c>
      <c r="D25" s="29"/>
    </row>
    <row r="26" s="1" customFormat="1" spans="2:4">
      <c r="B26" s="30" t="s">
        <v>30</v>
      </c>
      <c r="C26" s="32">
        <v>364917.06</v>
      </c>
      <c r="D26" s="29"/>
    </row>
    <row r="27" s="1" customFormat="1" spans="2:4">
      <c r="B27" s="30" t="s">
        <v>31</v>
      </c>
      <c r="C27" s="32">
        <v>28745.08</v>
      </c>
      <c r="D27" s="29"/>
    </row>
    <row r="28" s="1" customFormat="1" ht="15" spans="2:4">
      <c r="B28" s="30" t="s">
        <v>32</v>
      </c>
      <c r="C28" s="32">
        <v>-2862.9</v>
      </c>
      <c r="D28" s="99"/>
    </row>
    <row r="29" s="1" customFormat="1" ht="15" spans="2:4">
      <c r="B29" s="30" t="s">
        <v>33</v>
      </c>
      <c r="C29" s="32">
        <f>C23+C24-C25-C26-C27-C28</f>
        <v>1831429.61</v>
      </c>
      <c r="D29" s="99"/>
    </row>
    <row r="30" spans="2:3">
      <c r="B30" s="15" t="s">
        <v>34</v>
      </c>
      <c r="C30" s="33">
        <v>0.25</v>
      </c>
    </row>
    <row r="31" spans="2:3">
      <c r="B31" s="15" t="s">
        <v>35</v>
      </c>
      <c r="C31" s="32">
        <v>0</v>
      </c>
    </row>
    <row r="32" spans="2:3">
      <c r="B32" s="15" t="s">
        <v>36</v>
      </c>
      <c r="C32" s="32">
        <f>C29*C30-C31</f>
        <v>457857.4025</v>
      </c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zoomScale="145" zoomScaleNormal="145" workbookViewId="0">
      <selection activeCell="C16" sqref="C16"/>
    </sheetView>
  </sheetViews>
  <sheetFormatPr defaultColWidth="9" defaultRowHeight="13.5" outlineLevelRow="6"/>
  <cols>
    <col min="1" max="1" width="5.13333333333333" customWidth="1"/>
    <col min="2" max="2" width="9.38333333333333" customWidth="1"/>
    <col min="3" max="3" width="20.3833333333333" customWidth="1"/>
    <col min="4" max="4" width="7.38333333333333" customWidth="1"/>
    <col min="5" max="5" width="5.38333333333333" customWidth="1"/>
    <col min="6" max="6" width="11.8916666666667" customWidth="1"/>
    <col min="7" max="8" width="8.38333333333333" customWidth="1"/>
    <col min="9" max="9" width="10.3833333333333" customWidth="1"/>
    <col min="10" max="10" width="6.38333333333333" customWidth="1"/>
    <col min="11" max="11" width="10.3833333333333" customWidth="1"/>
    <col min="12" max="12" width="6.38333333333333" customWidth="1"/>
    <col min="13" max="13" width="10.3833333333333" customWidth="1"/>
    <col min="14" max="14" width="6.38333333333333" customWidth="1"/>
  </cols>
  <sheetData>
    <row r="1" s="77" customFormat="1" ht="32" customHeight="1" spans="1:19">
      <c r="A1" s="78"/>
      <c r="B1" s="79" t="s">
        <v>37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78"/>
      <c r="P1" s="78"/>
      <c r="Q1" s="78"/>
      <c r="R1" s="78"/>
      <c r="S1" s="78"/>
    </row>
    <row r="2" s="77" customFormat="1" ht="32" customHeight="1" spans="1:19">
      <c r="A2" s="78" t="s">
        <v>38</v>
      </c>
      <c r="B2" s="81" t="s">
        <v>39</v>
      </c>
      <c r="C2" s="82" t="s">
        <v>40</v>
      </c>
      <c r="D2" s="83" t="s">
        <v>41</v>
      </c>
      <c r="E2" s="84" t="s">
        <v>42</v>
      </c>
      <c r="F2" s="84" t="s">
        <v>43</v>
      </c>
      <c r="G2" s="85" t="s">
        <v>44</v>
      </c>
      <c r="H2" s="86" t="s">
        <v>45</v>
      </c>
      <c r="I2" s="93" t="s">
        <v>46</v>
      </c>
      <c r="J2" s="93"/>
      <c r="K2" s="94" t="s">
        <v>47</v>
      </c>
      <c r="L2" s="93"/>
      <c r="M2" s="93" t="s">
        <v>48</v>
      </c>
      <c r="N2" s="93"/>
      <c r="O2" s="93" t="s">
        <v>49</v>
      </c>
      <c r="P2" s="93"/>
      <c r="Q2" s="93" t="s">
        <v>50</v>
      </c>
      <c r="R2" s="93"/>
      <c r="S2" s="98" t="s">
        <v>51</v>
      </c>
    </row>
    <row r="3" s="77" customFormat="1" ht="32" customHeight="1" spans="1:19">
      <c r="A3" s="78"/>
      <c r="B3" s="81"/>
      <c r="C3" s="82"/>
      <c r="D3" s="83"/>
      <c r="E3" s="84"/>
      <c r="F3" s="84"/>
      <c r="G3" s="85"/>
      <c r="H3" s="86"/>
      <c r="I3" s="95" t="s">
        <v>3</v>
      </c>
      <c r="J3" s="96" t="s">
        <v>52</v>
      </c>
      <c r="K3" s="97" t="s">
        <v>3</v>
      </c>
      <c r="L3" s="96" t="s">
        <v>52</v>
      </c>
      <c r="M3" s="95" t="s">
        <v>3</v>
      </c>
      <c r="N3" s="96" t="s">
        <v>52</v>
      </c>
      <c r="O3" s="95" t="s">
        <v>3</v>
      </c>
      <c r="P3" s="96" t="s">
        <v>52</v>
      </c>
      <c r="Q3" s="95" t="s">
        <v>3</v>
      </c>
      <c r="R3" s="96" t="s">
        <v>52</v>
      </c>
      <c r="S3" s="98"/>
    </row>
    <row r="4" s="41" customFormat="1" ht="32" customHeight="1" spans="1:19">
      <c r="A4" s="7">
        <v>1</v>
      </c>
      <c r="B4" s="87" t="s">
        <v>53</v>
      </c>
      <c r="C4" s="88" t="s">
        <v>54</v>
      </c>
      <c r="D4" s="88">
        <v>117.89</v>
      </c>
      <c r="E4" s="88">
        <v>2850</v>
      </c>
      <c r="F4" s="89">
        <f t="shared" ref="F4:F6" si="0">D4*E4</f>
        <v>335986.5</v>
      </c>
      <c r="G4" s="7">
        <f>J4+L4+N4+P4</f>
        <v>75987</v>
      </c>
      <c r="H4" s="90">
        <f t="shared" ref="H4:H7" si="1">F4-G4</f>
        <v>259999.5</v>
      </c>
      <c r="I4" s="7" t="s">
        <v>55</v>
      </c>
      <c r="J4" s="7">
        <v>52987</v>
      </c>
      <c r="K4" s="7" t="s">
        <v>56</v>
      </c>
      <c r="L4" s="7">
        <v>23000</v>
      </c>
      <c r="M4" s="7"/>
      <c r="N4" s="7"/>
      <c r="O4" s="7"/>
      <c r="P4" s="7"/>
      <c r="Q4" s="7"/>
      <c r="R4" s="7"/>
      <c r="S4" s="7"/>
    </row>
    <row r="5" s="41" customFormat="1" ht="32" customHeight="1" spans="1:19">
      <c r="A5" s="7">
        <v>2</v>
      </c>
      <c r="B5" s="75" t="s">
        <v>57</v>
      </c>
      <c r="C5" s="7" t="s">
        <v>58</v>
      </c>
      <c r="D5" s="88">
        <v>117.89</v>
      </c>
      <c r="E5" s="7">
        <v>2700</v>
      </c>
      <c r="F5" s="89">
        <f t="shared" si="0"/>
        <v>318303</v>
      </c>
      <c r="G5" s="7">
        <f>J5+L5+N5+P5</f>
        <v>68303</v>
      </c>
      <c r="H5" s="90">
        <f t="shared" si="1"/>
        <v>250000</v>
      </c>
      <c r="I5" s="7" t="s">
        <v>59</v>
      </c>
      <c r="J5" s="7">
        <v>5000</v>
      </c>
      <c r="K5" s="7" t="s">
        <v>60</v>
      </c>
      <c r="L5" s="7">
        <v>50000</v>
      </c>
      <c r="M5" s="7" t="s">
        <v>61</v>
      </c>
      <c r="N5" s="7">
        <v>13303</v>
      </c>
      <c r="O5" s="7"/>
      <c r="P5" s="7"/>
      <c r="Q5" s="7"/>
      <c r="R5" s="7"/>
      <c r="S5" s="7">
        <v>14799217157</v>
      </c>
    </row>
    <row r="6" s="41" customFormat="1" ht="32" customHeight="1" spans="1:19">
      <c r="A6" s="7">
        <v>3</v>
      </c>
      <c r="B6" s="75" t="s">
        <v>62</v>
      </c>
      <c r="C6" s="7" t="s">
        <v>63</v>
      </c>
      <c r="D6" s="88">
        <v>117.89</v>
      </c>
      <c r="E6" s="7">
        <v>2700</v>
      </c>
      <c r="F6" s="89">
        <f t="shared" si="0"/>
        <v>318303</v>
      </c>
      <c r="G6" s="7">
        <f>J6+L6+N6+P6+R6</f>
        <v>173000</v>
      </c>
      <c r="H6" s="90">
        <f t="shared" si="1"/>
        <v>145303</v>
      </c>
      <c r="I6" s="7" t="s">
        <v>59</v>
      </c>
      <c r="J6" s="7">
        <v>5000</v>
      </c>
      <c r="K6" s="7" t="s">
        <v>60</v>
      </c>
      <c r="L6" s="7">
        <v>40000</v>
      </c>
      <c r="M6" s="7" t="s">
        <v>64</v>
      </c>
      <c r="N6" s="7">
        <v>80000</v>
      </c>
      <c r="O6" s="7" t="s">
        <v>65</v>
      </c>
      <c r="P6" s="7">
        <v>48000</v>
      </c>
      <c r="Q6" s="7"/>
      <c r="R6" s="7"/>
      <c r="S6" s="7" t="s">
        <v>66</v>
      </c>
    </row>
    <row r="7" s="41" customFormat="1" ht="32" customHeight="1" spans="1:19">
      <c r="A7" s="7"/>
      <c r="B7" s="75"/>
      <c r="C7" s="7"/>
      <c r="D7" s="41">
        <f>SUM(D4:D6)</f>
        <v>353.67</v>
      </c>
      <c r="E7" s="7"/>
      <c r="F7" s="91">
        <f>SUM(F4:F6)</f>
        <v>972592.5</v>
      </c>
      <c r="G7" s="92">
        <f>SUM(G4:G6)</f>
        <v>317290</v>
      </c>
      <c r="H7" s="90">
        <f t="shared" si="1"/>
        <v>655302.5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</row>
  </sheetData>
  <protectedRanges>
    <protectedRange sqref="D2:D3" name="区域1_1"/>
  </protectedRanges>
  <mergeCells count="15">
    <mergeCell ref="B1:N1"/>
    <mergeCell ref="I2:J2"/>
    <mergeCell ref="K2:L2"/>
    <mergeCell ref="M2:N2"/>
    <mergeCell ref="O2:P2"/>
    <mergeCell ref="Q2:R2"/>
    <mergeCell ref="A2:A3"/>
    <mergeCell ref="B2:B3"/>
    <mergeCell ref="C2:C3"/>
    <mergeCell ref="D2:D3"/>
    <mergeCell ref="E2:E3"/>
    <mergeCell ref="F2:F3"/>
    <mergeCell ref="G2:G3"/>
    <mergeCell ref="H2:H3"/>
    <mergeCell ref="S2:S3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21"/>
  <sheetViews>
    <sheetView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8.108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3.75" style="1"/>
    <col min="12" max="16384" width="9" style="1"/>
  </cols>
  <sheetData>
    <row r="2" s="1" customFormat="1" ht="44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s="1" customFormat="1" ht="23" customHeight="1" spans="2:10">
      <c r="B3" s="3" t="s">
        <v>1</v>
      </c>
      <c r="D3" s="3" t="s">
        <v>2</v>
      </c>
      <c r="E3" s="4">
        <v>202401</v>
      </c>
      <c r="F3" s="4"/>
      <c r="G3" s="4"/>
      <c r="I3" s="3" t="s">
        <v>3</v>
      </c>
      <c r="J3" s="1" t="s">
        <v>4</v>
      </c>
    </row>
    <row r="4" s="1" customFormat="1" ht="25" customHeight="1" spans="2:10">
      <c r="B4" s="5" t="s">
        <v>5</v>
      </c>
      <c r="C4" s="6"/>
      <c r="D4" s="7" t="s">
        <v>6</v>
      </c>
      <c r="E4" s="7" t="s">
        <v>7</v>
      </c>
      <c r="F4" s="7" t="s">
        <v>6</v>
      </c>
      <c r="G4" s="7"/>
      <c r="H4" s="8" t="s">
        <v>8</v>
      </c>
      <c r="I4" s="8" t="s">
        <v>9</v>
      </c>
      <c r="J4" s="8" t="s">
        <v>10</v>
      </c>
    </row>
    <row r="5" s="1" customFormat="1" ht="25" customHeight="1" spans="2:10">
      <c r="B5" s="9"/>
      <c r="C5" s="10"/>
      <c r="D5" s="7" t="s">
        <v>11</v>
      </c>
      <c r="E5" s="7"/>
      <c r="F5" s="7" t="s">
        <v>12</v>
      </c>
      <c r="G5" s="7" t="s">
        <v>13</v>
      </c>
      <c r="H5" s="11"/>
      <c r="I5" s="11"/>
      <c r="J5" s="11"/>
    </row>
    <row r="6" s="1" customFormat="1" ht="25" customHeight="1" spans="2:11">
      <c r="B6" s="12"/>
      <c r="C6" s="13"/>
      <c r="D6" s="14">
        <v>-264746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f>D6+E6+H6+I6</f>
        <v>-264746</v>
      </c>
      <c r="K6" s="34"/>
    </row>
    <row r="7" s="1" customFormat="1" ht="25" customHeight="1" spans="2:10">
      <c r="B7" s="7" t="s">
        <v>14</v>
      </c>
      <c r="C7" s="7" t="s">
        <v>15</v>
      </c>
      <c r="D7" s="14"/>
      <c r="E7" s="14"/>
      <c r="F7" s="14"/>
      <c r="G7" s="14"/>
      <c r="H7" s="14"/>
      <c r="I7" s="14"/>
      <c r="J7" s="14">
        <f t="shared" ref="J7:J17" si="0">D7+E7+H7+I7+F7+G7</f>
        <v>0</v>
      </c>
    </row>
    <row r="8" s="1" customFormat="1" ht="25" customHeight="1" spans="2:10">
      <c r="B8" s="15" t="s">
        <v>16</v>
      </c>
      <c r="C8" s="16">
        <v>0</v>
      </c>
      <c r="D8" s="14">
        <f>D6*C8</f>
        <v>0</v>
      </c>
      <c r="E8" s="14">
        <v>0</v>
      </c>
      <c r="F8" s="14"/>
      <c r="G8" s="14"/>
      <c r="H8" s="14"/>
      <c r="I8" s="14"/>
      <c r="J8" s="14">
        <f t="shared" si="0"/>
        <v>0</v>
      </c>
    </row>
    <row r="9" s="1" customFormat="1" ht="25" customHeight="1" spans="2:10">
      <c r="B9" s="15" t="s">
        <v>17</v>
      </c>
      <c r="C9" s="16">
        <v>0.05</v>
      </c>
      <c r="D9" s="14">
        <f>D6/1.09*$C$9*0</f>
        <v>0</v>
      </c>
      <c r="E9" s="14">
        <f>E6/1.09*$C$9</f>
        <v>0</v>
      </c>
      <c r="F9" s="14"/>
      <c r="G9" s="14"/>
      <c r="H9" s="14">
        <f>H6/1.09*$C$9</f>
        <v>0</v>
      </c>
      <c r="I9" s="14">
        <f>I6/1.05*C9</f>
        <v>0</v>
      </c>
      <c r="J9" s="14">
        <f t="shared" si="0"/>
        <v>0</v>
      </c>
    </row>
    <row r="10" s="1" customFormat="1" ht="25" customHeight="1" spans="2:10">
      <c r="B10" s="15" t="s">
        <v>18</v>
      </c>
      <c r="C10" s="16">
        <v>0.05</v>
      </c>
      <c r="D10" s="14">
        <f>D9*$C$10</f>
        <v>0</v>
      </c>
      <c r="E10" s="14">
        <f>E9*$C$10</f>
        <v>0</v>
      </c>
      <c r="F10" s="14"/>
      <c r="G10" s="14"/>
      <c r="H10" s="14">
        <f>H9*$C$10</f>
        <v>0</v>
      </c>
      <c r="I10" s="14">
        <f>I9*$C$10</f>
        <v>0</v>
      </c>
      <c r="J10" s="14">
        <f t="shared" si="0"/>
        <v>0</v>
      </c>
    </row>
    <row r="11" s="1" customFormat="1" ht="25" customHeight="1" spans="2:10">
      <c r="B11" s="15" t="s">
        <v>19</v>
      </c>
      <c r="C11" s="16">
        <v>0.02</v>
      </c>
      <c r="D11" s="14">
        <f>D9*$C$11</f>
        <v>0</v>
      </c>
      <c r="E11" s="14">
        <f>E9*$C$11</f>
        <v>0</v>
      </c>
      <c r="F11" s="14"/>
      <c r="G11" s="14"/>
      <c r="H11" s="14">
        <f>H9*$C$11</f>
        <v>0</v>
      </c>
      <c r="I11" s="14">
        <f>I9*$C$11</f>
        <v>0</v>
      </c>
      <c r="J11" s="14">
        <f t="shared" si="0"/>
        <v>0</v>
      </c>
    </row>
    <row r="12" s="1" customFormat="1" ht="25" customHeight="1" spans="2:10">
      <c r="B12" s="15" t="s">
        <v>20</v>
      </c>
      <c r="C12" s="16">
        <v>0.03</v>
      </c>
      <c r="D12" s="14">
        <f>D9*$C$12</f>
        <v>0</v>
      </c>
      <c r="E12" s="14">
        <f>E9*$C$12</f>
        <v>0</v>
      </c>
      <c r="F12" s="14"/>
      <c r="G12" s="14"/>
      <c r="H12" s="14">
        <f>H9*$C$12</f>
        <v>0</v>
      </c>
      <c r="I12" s="14">
        <f>I9*$C$12</f>
        <v>0</v>
      </c>
      <c r="J12" s="14">
        <f t="shared" si="0"/>
        <v>0</v>
      </c>
    </row>
    <row r="13" s="1" customFormat="1" ht="25" customHeight="1" spans="2:10">
      <c r="B13" s="17" t="s">
        <v>21</v>
      </c>
      <c r="C13" s="18">
        <v>0.01</v>
      </c>
      <c r="D13" s="14">
        <f>D10*$C$12</f>
        <v>0</v>
      </c>
      <c r="E13" s="19">
        <f>E6/1.09*$C$13</f>
        <v>0</v>
      </c>
      <c r="F13" s="19"/>
      <c r="G13" s="19"/>
      <c r="H13" s="19">
        <f>H6/1.09*$C$13</f>
        <v>0</v>
      </c>
      <c r="I13" s="19">
        <v>0</v>
      </c>
      <c r="J13" s="14">
        <f t="shared" si="0"/>
        <v>0</v>
      </c>
    </row>
    <row r="14" s="1" customFormat="1" ht="25" customHeight="1" spans="2:10">
      <c r="B14" s="17" t="s">
        <v>21</v>
      </c>
      <c r="C14" s="20">
        <v>0.03</v>
      </c>
      <c r="D14" s="19">
        <v>0</v>
      </c>
      <c r="E14" s="19">
        <f t="shared" ref="E14:E17" si="1">E6/1.09*$C$14</f>
        <v>0</v>
      </c>
      <c r="F14" s="19"/>
      <c r="G14" s="19"/>
      <c r="H14" s="19">
        <v>0</v>
      </c>
      <c r="I14" s="19">
        <v>0</v>
      </c>
      <c r="J14" s="14">
        <f t="shared" si="0"/>
        <v>0</v>
      </c>
    </row>
    <row r="15" s="1" customFormat="1" ht="25" customHeight="1" spans="2:10">
      <c r="B15" s="17" t="s">
        <v>21</v>
      </c>
      <c r="C15" s="20">
        <v>0.04</v>
      </c>
      <c r="D15" s="19">
        <v>0</v>
      </c>
      <c r="E15" s="19">
        <f t="shared" si="1"/>
        <v>0</v>
      </c>
      <c r="F15" s="14"/>
      <c r="G15" s="14"/>
      <c r="H15" s="14">
        <f>H6/1.09*$C$15</f>
        <v>0</v>
      </c>
      <c r="I15" s="14">
        <v>0</v>
      </c>
      <c r="J15" s="14">
        <f t="shared" si="0"/>
        <v>0</v>
      </c>
    </row>
    <row r="16" s="1" customFormat="1" ht="25" customHeight="1" spans="2:10">
      <c r="B16" s="17" t="s">
        <v>22</v>
      </c>
      <c r="C16" s="21">
        <v>0.0005</v>
      </c>
      <c r="D16" s="19">
        <v>0</v>
      </c>
      <c r="E16" s="19">
        <f t="shared" si="1"/>
        <v>0</v>
      </c>
      <c r="F16" s="14">
        <f>F6*C16</f>
        <v>0</v>
      </c>
      <c r="G16" s="14"/>
      <c r="H16" s="14"/>
      <c r="I16" s="14"/>
      <c r="J16" s="14">
        <f t="shared" si="0"/>
        <v>0</v>
      </c>
    </row>
    <row r="17" s="1" customFormat="1" ht="25" customHeight="1" spans="2:10">
      <c r="B17" s="17" t="s">
        <v>23</v>
      </c>
      <c r="C17" s="22">
        <v>0.001</v>
      </c>
      <c r="D17" s="19">
        <v>0</v>
      </c>
      <c r="E17" s="19">
        <f t="shared" si="1"/>
        <v>0</v>
      </c>
      <c r="F17" s="14"/>
      <c r="G17" s="14"/>
      <c r="H17" s="14"/>
      <c r="I17" s="14">
        <f>I6*C17</f>
        <v>0</v>
      </c>
      <c r="J17" s="14">
        <f t="shared" si="0"/>
        <v>0</v>
      </c>
    </row>
    <row r="18" s="1" customFormat="1" ht="25" customHeight="1" spans="2:10">
      <c r="B18" s="17" t="s">
        <v>10</v>
      </c>
      <c r="C18" s="20"/>
      <c r="D18" s="23">
        <f t="shared" ref="D18:J18" si="2">SUM(D8:D17)</f>
        <v>0</v>
      </c>
      <c r="E18" s="23">
        <f t="shared" si="2"/>
        <v>0</v>
      </c>
      <c r="F18" s="23">
        <f t="shared" si="2"/>
        <v>0</v>
      </c>
      <c r="G18" s="23">
        <f t="shared" si="2"/>
        <v>0</v>
      </c>
      <c r="H18" s="23">
        <f t="shared" si="2"/>
        <v>0</v>
      </c>
      <c r="I18" s="23">
        <f t="shared" si="2"/>
        <v>0</v>
      </c>
      <c r="J18" s="23">
        <f t="shared" si="2"/>
        <v>0</v>
      </c>
    </row>
    <row r="19" s="1" customFormat="1" ht="15" customHeight="1" spans="2:10">
      <c r="B19" s="24"/>
      <c r="C19" s="25"/>
      <c r="D19" s="25"/>
      <c r="E19" s="25"/>
      <c r="F19" s="25"/>
      <c r="G19" s="25"/>
      <c r="H19" s="25"/>
      <c r="I19" s="25"/>
      <c r="J19" s="37"/>
    </row>
    <row r="20" s="1" customFormat="1" spans="2:10">
      <c r="B20" s="26"/>
      <c r="C20" s="27"/>
      <c r="D20" s="27"/>
      <c r="E20" s="27"/>
      <c r="F20" s="27"/>
      <c r="G20" s="27"/>
      <c r="H20" s="27"/>
      <c r="I20" s="27"/>
      <c r="J20" s="38"/>
    </row>
    <row r="21" s="1" customFormat="1" ht="15" spans="2:4">
      <c r="B21" s="28"/>
      <c r="C21" s="28"/>
      <c r="D21" s="29"/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B41"/>
  <sheetViews>
    <sheetView topLeftCell="A9" workbookViewId="0">
      <selection activeCell="E31" sqref="E31"/>
    </sheetView>
  </sheetViews>
  <sheetFormatPr defaultColWidth="9" defaultRowHeight="14.25"/>
  <cols>
    <col min="1" max="1" width="4.25" style="1" customWidth="1"/>
    <col min="2" max="2" width="30.6666666666667" style="1" customWidth="1"/>
    <col min="3" max="4" width="12.625" style="1" customWidth="1"/>
    <col min="5" max="5" width="14.875" style="1" customWidth="1"/>
    <col min="6" max="6" width="12.625" style="1" customWidth="1"/>
    <col min="7" max="7" width="11.5" style="1" customWidth="1"/>
    <col min="8" max="9" width="18.25" style="1" customWidth="1"/>
    <col min="10" max="10" width="12.625" style="1" customWidth="1"/>
    <col min="11" max="11" width="18.25" style="1" customWidth="1"/>
    <col min="12" max="12" width="12.625" style="1" customWidth="1"/>
    <col min="13" max="13" width="9.375" style="1" customWidth="1"/>
    <col min="14" max="14" width="17.65" style="1" customWidth="1"/>
    <col min="15" max="15" width="14.4416666666667" style="1" customWidth="1"/>
    <col min="16" max="16" width="12.9333333333333" style="1" customWidth="1"/>
    <col min="17" max="16384" width="9" style="1"/>
  </cols>
  <sheetData>
    <row r="1" s="1" customFormat="1" ht="16" customHeight="1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spans="2:12">
      <c r="B2" s="3" t="s">
        <v>1</v>
      </c>
      <c r="D2" s="3" t="s">
        <v>2</v>
      </c>
      <c r="E2" s="4">
        <v>202403</v>
      </c>
      <c r="F2" s="4"/>
      <c r="G2" s="4"/>
      <c r="H2" s="4"/>
      <c r="I2" s="4"/>
      <c r="K2" s="3" t="s">
        <v>3</v>
      </c>
      <c r="L2" s="1" t="s">
        <v>67</v>
      </c>
    </row>
    <row r="3" s="1" customFormat="1" spans="2:12">
      <c r="B3" s="5" t="s">
        <v>5</v>
      </c>
      <c r="C3" s="6"/>
      <c r="D3" s="7" t="s">
        <v>6</v>
      </c>
      <c r="E3" s="7" t="s">
        <v>7</v>
      </c>
      <c r="F3" s="7" t="s">
        <v>6</v>
      </c>
      <c r="G3" s="7" t="s">
        <v>7</v>
      </c>
      <c r="H3" s="7" t="s">
        <v>6</v>
      </c>
      <c r="I3" s="7"/>
      <c r="J3" s="8" t="s">
        <v>8</v>
      </c>
      <c r="K3" s="8" t="s">
        <v>9</v>
      </c>
      <c r="L3" s="8" t="s">
        <v>10</v>
      </c>
    </row>
    <row r="4" s="1" customFormat="1" ht="28.5" spans="2:16">
      <c r="B4" s="9"/>
      <c r="C4" s="10"/>
      <c r="D4" s="74" t="s">
        <v>68</v>
      </c>
      <c r="E4" s="75"/>
      <c r="F4" s="74" t="s">
        <v>69</v>
      </c>
      <c r="G4" s="75"/>
      <c r="H4" s="7" t="s">
        <v>12</v>
      </c>
      <c r="I4" s="7" t="s">
        <v>13</v>
      </c>
      <c r="J4" s="11"/>
      <c r="K4" s="11"/>
      <c r="L4" s="11"/>
      <c r="N4" s="68" t="s">
        <v>70</v>
      </c>
      <c r="O4" s="1" t="s">
        <v>71</v>
      </c>
      <c r="P4" s="1" t="s">
        <v>51</v>
      </c>
    </row>
    <row r="5" s="1" customFormat="1" spans="2:16">
      <c r="B5" s="12"/>
      <c r="C5" s="13"/>
      <c r="D5" s="14">
        <v>505421</v>
      </c>
      <c r="E5" s="14">
        <v>0</v>
      </c>
      <c r="F5" s="14"/>
      <c r="G5" s="14"/>
      <c r="H5" s="14">
        <f>N5+N6+N8+O5</f>
        <v>1142027</v>
      </c>
      <c r="I5" s="14"/>
      <c r="J5" s="14">
        <v>0</v>
      </c>
      <c r="K5" s="14">
        <v>3000</v>
      </c>
      <c r="L5" s="14">
        <f>D5+E5+J5+K5</f>
        <v>508421</v>
      </c>
      <c r="M5" s="34" t="s">
        <v>57</v>
      </c>
      <c r="N5" s="34">
        <v>303145.71</v>
      </c>
      <c r="O5" s="34">
        <v>15157.29</v>
      </c>
      <c r="P5" s="1" t="s">
        <v>72</v>
      </c>
    </row>
    <row r="6" s="1" customFormat="1" spans="2:16">
      <c r="B6" s="7" t="s">
        <v>14</v>
      </c>
      <c r="C6" s="7" t="s">
        <v>15</v>
      </c>
      <c r="D6" s="14"/>
      <c r="E6" s="14"/>
      <c r="F6" s="14"/>
      <c r="G6" s="14"/>
      <c r="H6" s="14"/>
      <c r="I6" s="14"/>
      <c r="J6" s="14"/>
      <c r="K6" s="14"/>
      <c r="L6" s="14">
        <f>D6+E6+J6+K6+H6+I6</f>
        <v>0</v>
      </c>
      <c r="M6" s="1" t="s">
        <v>62</v>
      </c>
      <c r="N6" s="34">
        <v>318303</v>
      </c>
      <c r="O6" s="34">
        <v>0</v>
      </c>
      <c r="P6" s="1" t="s">
        <v>73</v>
      </c>
    </row>
    <row r="7" s="1" customFormat="1" spans="2:14">
      <c r="B7" s="15" t="s">
        <v>16</v>
      </c>
      <c r="C7" s="16">
        <v>0</v>
      </c>
      <c r="D7" s="14">
        <f>D5*C7</f>
        <v>0</v>
      </c>
      <c r="E7" s="14">
        <v>0</v>
      </c>
      <c r="F7" s="14"/>
      <c r="G7" s="14"/>
      <c r="H7" s="14"/>
      <c r="I7" s="14"/>
      <c r="J7" s="14"/>
      <c r="K7" s="14"/>
      <c r="L7" s="14">
        <f>D7+E7+J7+K7+H7+I7</f>
        <v>0</v>
      </c>
      <c r="N7" s="34" t="s">
        <v>74</v>
      </c>
    </row>
    <row r="8" s="1" customFormat="1" spans="2:16">
      <c r="B8" s="15" t="s">
        <v>75</v>
      </c>
      <c r="C8" s="16">
        <v>0.05</v>
      </c>
      <c r="D8" s="14"/>
      <c r="E8" s="14"/>
      <c r="F8" s="14">
        <f>O5</f>
        <v>15157.29</v>
      </c>
      <c r="G8" s="14"/>
      <c r="H8" s="14"/>
      <c r="I8" s="14"/>
      <c r="J8" s="14"/>
      <c r="K8" s="14">
        <f>K5/1.05*C8</f>
        <v>142.857142857143</v>
      </c>
      <c r="L8" s="14"/>
      <c r="M8" s="1" t="s">
        <v>76</v>
      </c>
      <c r="N8" s="34">
        <v>505421</v>
      </c>
      <c r="P8" s="1" t="s">
        <v>77</v>
      </c>
    </row>
    <row r="9" s="1" customFormat="1" spans="2:12">
      <c r="B9" s="15" t="s">
        <v>78</v>
      </c>
      <c r="C9" s="16"/>
      <c r="D9" s="14"/>
      <c r="E9" s="14"/>
      <c r="F9" s="14">
        <v>26428.49</v>
      </c>
      <c r="G9" s="14"/>
      <c r="H9" s="14"/>
      <c r="I9" s="14"/>
      <c r="J9" s="14"/>
      <c r="K9" s="14"/>
      <c r="L9" s="14"/>
    </row>
    <row r="10" s="1" customFormat="1" spans="2:12">
      <c r="B10" s="15" t="s">
        <v>79</v>
      </c>
      <c r="C10" s="16">
        <v>0.05</v>
      </c>
      <c r="D10" s="14">
        <v>0</v>
      </c>
      <c r="E10" s="14">
        <f>E5/1.09*$C$10</f>
        <v>0</v>
      </c>
      <c r="F10" s="14">
        <v>0</v>
      </c>
      <c r="G10" s="14"/>
      <c r="H10" s="14"/>
      <c r="I10" s="14"/>
      <c r="J10" s="14">
        <f>J5/1.09*$C$10</f>
        <v>0</v>
      </c>
      <c r="K10" s="14">
        <f>K5/1.05*C10-K9</f>
        <v>142.857142857143</v>
      </c>
      <c r="L10" s="14">
        <f>D10+E10+J10+K10+H10+I10+F10+G10</f>
        <v>142.857142857143</v>
      </c>
    </row>
    <row r="11" s="1" customFormat="1" spans="2:12">
      <c r="B11" s="15" t="s">
        <v>18</v>
      </c>
      <c r="C11" s="16">
        <v>0.05</v>
      </c>
      <c r="D11" s="14">
        <f>D10*$C$11</f>
        <v>0</v>
      </c>
      <c r="E11" s="14">
        <f>E10*$C$11</f>
        <v>0</v>
      </c>
      <c r="F11" s="14">
        <v>0</v>
      </c>
      <c r="G11" s="14"/>
      <c r="H11" s="14"/>
      <c r="I11" s="14"/>
      <c r="J11" s="14">
        <f>J10*$C$11</f>
        <v>0</v>
      </c>
      <c r="K11" s="14">
        <f>K10*$C$11</f>
        <v>7.14285714285714</v>
      </c>
      <c r="L11" s="14">
        <f t="shared" ref="L11:L18" si="0">D11+E11+J11+K11+H11+I11</f>
        <v>7.14285714285714</v>
      </c>
    </row>
    <row r="12" s="1" customFormat="1" spans="2:12">
      <c r="B12" s="15" t="s">
        <v>19</v>
      </c>
      <c r="C12" s="16">
        <v>0.02</v>
      </c>
      <c r="D12" s="14">
        <f>D10*$C$12</f>
        <v>0</v>
      </c>
      <c r="E12" s="14">
        <f>E10*$C$12</f>
        <v>0</v>
      </c>
      <c r="F12" s="14">
        <v>0</v>
      </c>
      <c r="G12" s="14"/>
      <c r="H12" s="14"/>
      <c r="I12" s="14"/>
      <c r="J12" s="14">
        <f>J10*$C$12</f>
        <v>0</v>
      </c>
      <c r="K12" s="14">
        <f>K10*$C$12</f>
        <v>2.85714285714286</v>
      </c>
      <c r="L12" s="14">
        <f t="shared" si="0"/>
        <v>2.85714285714286</v>
      </c>
    </row>
    <row r="13" s="1" customFormat="1" spans="2:12">
      <c r="B13" s="15" t="s">
        <v>20</v>
      </c>
      <c r="C13" s="16">
        <v>0.03</v>
      </c>
      <c r="D13" s="14">
        <f>D10*$C$13</f>
        <v>0</v>
      </c>
      <c r="E13" s="14">
        <f>E10*$C$13</f>
        <v>0</v>
      </c>
      <c r="F13" s="14">
        <v>0</v>
      </c>
      <c r="G13" s="14"/>
      <c r="H13" s="14"/>
      <c r="I13" s="14"/>
      <c r="J13" s="14">
        <f>J10*$C$13</f>
        <v>0</v>
      </c>
      <c r="K13" s="14">
        <f>K10*$C$13</f>
        <v>4.28571428571429</v>
      </c>
      <c r="L13" s="14">
        <f t="shared" si="0"/>
        <v>4.28571428571429</v>
      </c>
    </row>
    <row r="14" s="1" customFormat="1" spans="2:12">
      <c r="B14" s="17" t="s">
        <v>21</v>
      </c>
      <c r="C14" s="18">
        <v>0.01</v>
      </c>
      <c r="D14" s="14">
        <v>0</v>
      </c>
      <c r="E14" s="19">
        <f>E5/1.09*$C$14</f>
        <v>0</v>
      </c>
      <c r="F14" s="19"/>
      <c r="G14" s="19"/>
      <c r="H14" s="19"/>
      <c r="I14" s="19"/>
      <c r="J14" s="19">
        <f>J5/1.09*$C$14</f>
        <v>0</v>
      </c>
      <c r="K14" s="19">
        <v>0</v>
      </c>
      <c r="L14" s="14">
        <f t="shared" si="0"/>
        <v>0</v>
      </c>
    </row>
    <row r="15" s="1" customFormat="1" spans="2:12">
      <c r="B15" s="17" t="s">
        <v>21</v>
      </c>
      <c r="C15" s="20">
        <v>0.03</v>
      </c>
      <c r="D15" s="19">
        <v>0</v>
      </c>
      <c r="E15" s="19">
        <f>E5/1.09*$C$15</f>
        <v>0</v>
      </c>
      <c r="F15" s="19"/>
      <c r="G15" s="19"/>
      <c r="H15" s="19"/>
      <c r="I15" s="19">
        <f>I5/1.05*C15</f>
        <v>0</v>
      </c>
      <c r="J15" s="19">
        <v>0</v>
      </c>
      <c r="K15" s="19">
        <v>0</v>
      </c>
      <c r="L15" s="14">
        <f t="shared" si="0"/>
        <v>0</v>
      </c>
    </row>
    <row r="16" s="1" customFormat="1" spans="2:12">
      <c r="B16" s="17" t="s">
        <v>21</v>
      </c>
      <c r="C16" s="20">
        <v>0.04</v>
      </c>
      <c r="D16" s="19">
        <v>0</v>
      </c>
      <c r="E16" s="19">
        <f>E6/1.09*$C$15</f>
        <v>0</v>
      </c>
      <c r="F16" s="19"/>
      <c r="G16" s="19"/>
      <c r="H16" s="14"/>
      <c r="I16" s="14"/>
      <c r="J16" s="14">
        <f>J5/1.09*$C$16</f>
        <v>0</v>
      </c>
      <c r="K16" s="14">
        <v>0</v>
      </c>
      <c r="L16" s="14">
        <f t="shared" si="0"/>
        <v>0</v>
      </c>
    </row>
    <row r="17" s="1" customFormat="1" spans="2:12">
      <c r="B17" s="17" t="s">
        <v>22</v>
      </c>
      <c r="C17" s="21">
        <v>0.0005</v>
      </c>
      <c r="D17" s="19">
        <v>0</v>
      </c>
      <c r="E17" s="19">
        <f>E7/1.09*$C$15</f>
        <v>0</v>
      </c>
      <c r="F17" s="19"/>
      <c r="G17" s="19"/>
      <c r="H17" s="14">
        <f>H5*C17</f>
        <v>571.0135</v>
      </c>
      <c r="I17" s="14"/>
      <c r="J17" s="14"/>
      <c r="K17" s="14"/>
      <c r="L17" s="14">
        <f t="shared" si="0"/>
        <v>571.0135</v>
      </c>
    </row>
    <row r="18" s="1" customFormat="1" spans="2:12">
      <c r="B18" s="17" t="s">
        <v>23</v>
      </c>
      <c r="C18" s="22">
        <v>0.001</v>
      </c>
      <c r="D18" s="19">
        <v>0</v>
      </c>
      <c r="E18" s="19">
        <f>E10/1.09*$C$15</f>
        <v>0</v>
      </c>
      <c r="F18" s="19"/>
      <c r="G18" s="19"/>
      <c r="H18" s="14"/>
      <c r="I18" s="14"/>
      <c r="J18" s="14"/>
      <c r="K18" s="14">
        <f>K5*C18</f>
        <v>3</v>
      </c>
      <c r="L18" s="14">
        <f t="shared" si="0"/>
        <v>3</v>
      </c>
    </row>
    <row r="19" s="1" customFormat="1" spans="2:12">
      <c r="B19" s="17" t="s">
        <v>10</v>
      </c>
      <c r="C19" s="20"/>
      <c r="D19" s="23">
        <f>SUM(D7:D18)</f>
        <v>0</v>
      </c>
      <c r="E19" s="23">
        <f>SUM(E7:E18)</f>
        <v>0</v>
      </c>
      <c r="F19" s="23"/>
      <c r="G19" s="23"/>
      <c r="H19" s="23">
        <f>SUM(H7:H18)</f>
        <v>571.0135</v>
      </c>
      <c r="I19" s="23">
        <f>SUM(I7:I18)</f>
        <v>0</v>
      </c>
      <c r="J19" s="23">
        <f>SUM(J7:J18)</f>
        <v>0</v>
      </c>
      <c r="K19" s="23">
        <f>SUM(K7:K18)</f>
        <v>303</v>
      </c>
      <c r="L19" s="23">
        <f>SUM(L10:L18)</f>
        <v>731.156357142857</v>
      </c>
    </row>
    <row r="20" s="1" customFormat="1" spans="2:12"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37"/>
    </row>
    <row r="21" s="1" customFormat="1" spans="2:12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38"/>
    </row>
    <row r="22" s="1" customFormat="1" ht="15" spans="2:4">
      <c r="B22" s="28"/>
      <c r="C22" s="28"/>
      <c r="D22" s="29"/>
    </row>
    <row r="23" s="40" customFormat="1" ht="13.5" spans="2:14">
      <c r="B23" s="49" t="s">
        <v>80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="40" customFormat="1" ht="27" spans="2:13">
      <c r="B24" s="50" t="s">
        <v>38</v>
      </c>
      <c r="C24" s="50" t="s">
        <v>81</v>
      </c>
      <c r="D24" s="51" t="s">
        <v>82</v>
      </c>
      <c r="E24" s="52" t="s">
        <v>83</v>
      </c>
      <c r="F24" s="52" t="s">
        <v>84</v>
      </c>
      <c r="G24" s="52" t="s">
        <v>85</v>
      </c>
      <c r="H24" s="50" t="s">
        <v>86</v>
      </c>
      <c r="I24" s="50" t="s">
        <v>87</v>
      </c>
      <c r="J24" s="50" t="s">
        <v>88</v>
      </c>
      <c r="K24" s="50" t="s">
        <v>89</v>
      </c>
      <c r="L24" s="50" t="s">
        <v>90</v>
      </c>
      <c r="M24" s="50" t="s">
        <v>51</v>
      </c>
    </row>
    <row r="25" s="40" customFormat="1" ht="27" customHeight="1" spans="2:13">
      <c r="B25" s="50">
        <v>1</v>
      </c>
      <c r="C25" s="50" t="s">
        <v>91</v>
      </c>
      <c r="D25" s="50">
        <v>33446.1</v>
      </c>
      <c r="E25" s="50">
        <v>33430.6</v>
      </c>
      <c r="F25" s="50">
        <v>1446.38</v>
      </c>
      <c r="G25" s="53">
        <v>4.8</v>
      </c>
      <c r="H25" s="54">
        <f>F25/G25</f>
        <v>301.329166666667</v>
      </c>
      <c r="I25" s="50" t="s">
        <v>92</v>
      </c>
      <c r="J25" s="50">
        <v>3</v>
      </c>
      <c r="K25" s="50">
        <f>ROUND(H25*J25,2)</f>
        <v>903.99</v>
      </c>
      <c r="L25" s="69">
        <f>K25/2</f>
        <v>451.995</v>
      </c>
      <c r="M25" s="50" t="s">
        <v>93</v>
      </c>
    </row>
    <row r="26" s="40" customFormat="1" ht="22" customHeight="1" spans="2:13">
      <c r="B26" s="50" t="s">
        <v>10</v>
      </c>
      <c r="C26" s="50"/>
      <c r="D26" s="50"/>
      <c r="E26" s="50"/>
      <c r="F26" s="50">
        <f>SUM(F25:F25)</f>
        <v>1446.38</v>
      </c>
      <c r="G26" s="53"/>
      <c r="H26" s="53"/>
      <c r="I26" s="53"/>
      <c r="J26" s="53"/>
      <c r="K26" s="50">
        <f>SUM(K25:K25)</f>
        <v>903.99</v>
      </c>
      <c r="L26" s="69">
        <f>SUM(L25:L25)</f>
        <v>451.995</v>
      </c>
      <c r="M26" s="53"/>
    </row>
    <row r="27" s="1" customFormat="1" ht="23" customHeight="1" spans="2:16382">
      <c r="B27" s="55" t="s">
        <v>94</v>
      </c>
      <c r="C27" s="56"/>
      <c r="D27" s="56"/>
      <c r="E27" s="56"/>
      <c r="F27" s="56"/>
      <c r="G27" s="56"/>
      <c r="H27" s="56"/>
      <c r="I27" s="56"/>
      <c r="J27" s="56"/>
      <c r="K27" s="70"/>
      <c r="XFA27" s="72"/>
      <c r="XFB27" s="72"/>
    </row>
    <row r="28" s="41" customFormat="1" ht="23" customHeight="1" spans="2:16382">
      <c r="B28" s="57" t="s">
        <v>95</v>
      </c>
      <c r="C28" s="58"/>
      <c r="D28" s="57" t="s">
        <v>96</v>
      </c>
      <c r="E28" s="57" t="s">
        <v>97</v>
      </c>
      <c r="F28" s="59" t="s">
        <v>15</v>
      </c>
      <c r="G28" s="60" t="s">
        <v>98</v>
      </c>
      <c r="H28" s="7"/>
      <c r="I28" s="7"/>
      <c r="J28" s="7"/>
      <c r="K28" s="7"/>
      <c r="XFA28" s="73"/>
      <c r="XFB28" s="73"/>
    </row>
    <row r="29" s="1" customFormat="1" ht="23" customHeight="1" spans="2:16382">
      <c r="B29" s="61" t="s">
        <v>99</v>
      </c>
      <c r="C29" s="50" t="s">
        <v>91</v>
      </c>
      <c r="D29" s="14">
        <v>37.33</v>
      </c>
      <c r="E29" s="14">
        <v>2857.14</v>
      </c>
      <c r="F29" s="76">
        <v>0.12</v>
      </c>
      <c r="G29" s="14">
        <f>E29*F29</f>
        <v>342.8568</v>
      </c>
      <c r="H29" s="7" t="s">
        <v>100</v>
      </c>
      <c r="I29" s="15"/>
      <c r="J29" s="15"/>
      <c r="K29" s="15"/>
      <c r="XFA29" s="72"/>
      <c r="XFB29" s="72"/>
    </row>
    <row r="30" spans="5:5">
      <c r="E30" s="34"/>
    </row>
    <row r="31" spans="2:6">
      <c r="B31" s="30" t="s">
        <v>25</v>
      </c>
      <c r="C31" s="30" t="s">
        <v>26</v>
      </c>
      <c r="E31" s="34">
        <v>76965.52</v>
      </c>
      <c r="F31" s="1">
        <f>E31/D29</f>
        <v>2061.76051433164</v>
      </c>
    </row>
    <row r="32" spans="2:5">
      <c r="B32" s="31" t="s">
        <v>27</v>
      </c>
      <c r="C32" s="32">
        <v>490263.71</v>
      </c>
      <c r="E32" s="34"/>
    </row>
    <row r="33" spans="2:3">
      <c r="B33" s="30" t="s">
        <v>28</v>
      </c>
      <c r="C33" s="32">
        <v>2857.14</v>
      </c>
    </row>
    <row r="34" spans="2:3">
      <c r="B34" s="30" t="s">
        <v>29</v>
      </c>
      <c r="C34" s="32">
        <v>0</v>
      </c>
    </row>
    <row r="35" spans="2:3">
      <c r="B35" s="30" t="s">
        <v>30</v>
      </c>
      <c r="C35" s="32">
        <v>1383.16</v>
      </c>
    </row>
    <row r="36" spans="2:3">
      <c r="B36" s="30" t="s">
        <v>31</v>
      </c>
      <c r="C36" s="32">
        <v>1496.12</v>
      </c>
    </row>
    <row r="37" spans="2:3">
      <c r="B37" s="30" t="s">
        <v>32</v>
      </c>
      <c r="C37" s="32">
        <v>-389.98</v>
      </c>
    </row>
    <row r="38" spans="2:3">
      <c r="B38" s="30" t="s">
        <v>33</v>
      </c>
      <c r="C38" s="32">
        <f>C32+C33-C34-C35-C36-C37</f>
        <v>490631.55</v>
      </c>
    </row>
    <row r="39" spans="2:3">
      <c r="B39" s="15" t="s">
        <v>34</v>
      </c>
      <c r="C39" s="33">
        <v>0.25</v>
      </c>
    </row>
    <row r="40" spans="2:3">
      <c r="B40" s="15" t="s">
        <v>35</v>
      </c>
      <c r="C40" s="32">
        <v>0</v>
      </c>
    </row>
    <row r="41" spans="2:3">
      <c r="B41" s="15" t="s">
        <v>36</v>
      </c>
      <c r="C41" s="32">
        <f>C38*C39-C40</f>
        <v>122657.8875</v>
      </c>
    </row>
  </sheetData>
  <mergeCells count="11">
    <mergeCell ref="B1:L1"/>
    <mergeCell ref="H3:I3"/>
    <mergeCell ref="D4:E4"/>
    <mergeCell ref="F4:G4"/>
    <mergeCell ref="B26:C26"/>
    <mergeCell ref="B27:K27"/>
    <mergeCell ref="J3:J4"/>
    <mergeCell ref="K3:K4"/>
    <mergeCell ref="L3:L4"/>
    <mergeCell ref="B3:C5"/>
    <mergeCell ref="B20:L21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1"/>
  <sheetViews>
    <sheetView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8.108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3.75" style="1"/>
    <col min="12" max="12" width="9" style="1"/>
    <col min="13" max="13" width="11.5" style="1" customWidth="1"/>
    <col min="14" max="16384" width="9" style="1"/>
  </cols>
  <sheetData>
    <row r="2" s="1" customFormat="1" ht="44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s="1" customFormat="1" ht="23" customHeight="1" spans="2:10">
      <c r="B3" s="3" t="s">
        <v>1</v>
      </c>
      <c r="D3" s="3" t="s">
        <v>2</v>
      </c>
      <c r="E3" s="4">
        <v>202404</v>
      </c>
      <c r="F3" s="4"/>
      <c r="G3" s="4"/>
      <c r="I3" s="3" t="s">
        <v>3</v>
      </c>
      <c r="J3" s="1" t="s">
        <v>101</v>
      </c>
    </row>
    <row r="4" s="1" customFormat="1" ht="25" customHeight="1" spans="2:10">
      <c r="B4" s="5" t="s">
        <v>5</v>
      </c>
      <c r="C4" s="6"/>
      <c r="D4" s="7" t="s">
        <v>6</v>
      </c>
      <c r="E4" s="7" t="s">
        <v>7</v>
      </c>
      <c r="F4" s="7" t="s">
        <v>6</v>
      </c>
      <c r="G4" s="7"/>
      <c r="H4" s="8" t="s">
        <v>8</v>
      </c>
      <c r="I4" s="8" t="s">
        <v>9</v>
      </c>
      <c r="J4" s="8" t="s">
        <v>10</v>
      </c>
    </row>
    <row r="5" s="1" customFormat="1" ht="25" customHeight="1" spans="2:10">
      <c r="B5" s="9"/>
      <c r="C5" s="10"/>
      <c r="D5" s="7" t="s">
        <v>11</v>
      </c>
      <c r="E5" s="7"/>
      <c r="F5" s="7" t="s">
        <v>12</v>
      </c>
      <c r="G5" s="7" t="s">
        <v>13</v>
      </c>
      <c r="H5" s="11"/>
      <c r="I5" s="11"/>
      <c r="J5" s="11"/>
    </row>
    <row r="6" s="1" customFormat="1" ht="25" customHeight="1" spans="2:11">
      <c r="B6" s="12"/>
      <c r="C6" s="13"/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f>D6+E6+H6+I6</f>
        <v>0</v>
      </c>
      <c r="K6" s="34"/>
    </row>
    <row r="7" s="1" customFormat="1" ht="25" customHeight="1" spans="2:10">
      <c r="B7" s="7" t="s">
        <v>14</v>
      </c>
      <c r="C7" s="7" t="s">
        <v>15</v>
      </c>
      <c r="D7" s="14"/>
      <c r="E7" s="14"/>
      <c r="F7" s="14"/>
      <c r="G7" s="14"/>
      <c r="H7" s="14"/>
      <c r="I7" s="14"/>
      <c r="J7" s="14">
        <f t="shared" ref="J7:J17" si="0">D7+E7+H7+I7+F7+G7</f>
        <v>0</v>
      </c>
    </row>
    <row r="8" s="1" customFormat="1" ht="25" customHeight="1" spans="2:10">
      <c r="B8" s="15" t="s">
        <v>16</v>
      </c>
      <c r="C8" s="16">
        <v>0</v>
      </c>
      <c r="D8" s="14">
        <f>D6*C8</f>
        <v>0</v>
      </c>
      <c r="E8" s="14">
        <v>0</v>
      </c>
      <c r="F8" s="14"/>
      <c r="G8" s="14"/>
      <c r="H8" s="14"/>
      <c r="I8" s="14"/>
      <c r="J8" s="14">
        <f t="shared" si="0"/>
        <v>0</v>
      </c>
    </row>
    <row r="9" s="1" customFormat="1" ht="25" customHeight="1" spans="2:10">
      <c r="B9" s="15" t="s">
        <v>17</v>
      </c>
      <c r="C9" s="16">
        <v>0.05</v>
      </c>
      <c r="D9" s="14">
        <f>D6/1.09*$C$9*0</f>
        <v>0</v>
      </c>
      <c r="E9" s="14">
        <f>E6/1.09*$C$9</f>
        <v>0</v>
      </c>
      <c r="F9" s="14"/>
      <c r="G9" s="14"/>
      <c r="H9" s="14">
        <f>H6/1.09*$C$9</f>
        <v>0</v>
      </c>
      <c r="I9" s="14">
        <f>I6/1.05*C9</f>
        <v>0</v>
      </c>
      <c r="J9" s="14">
        <f t="shared" si="0"/>
        <v>0</v>
      </c>
    </row>
    <row r="10" s="1" customFormat="1" ht="25" customHeight="1" spans="2:10">
      <c r="B10" s="15" t="s">
        <v>18</v>
      </c>
      <c r="C10" s="16">
        <v>0.05</v>
      </c>
      <c r="D10" s="14">
        <f>D9*$C$10</f>
        <v>0</v>
      </c>
      <c r="E10" s="14">
        <f>E9*$C$10</f>
        <v>0</v>
      </c>
      <c r="F10" s="14"/>
      <c r="G10" s="14"/>
      <c r="H10" s="14">
        <f>H9*$C$10</f>
        <v>0</v>
      </c>
      <c r="I10" s="14">
        <f>I9*$C$10</f>
        <v>0</v>
      </c>
      <c r="J10" s="14">
        <f t="shared" si="0"/>
        <v>0</v>
      </c>
    </row>
    <row r="11" s="1" customFormat="1" ht="25" customHeight="1" spans="2:10">
      <c r="B11" s="15" t="s">
        <v>19</v>
      </c>
      <c r="C11" s="16">
        <v>0.02</v>
      </c>
      <c r="D11" s="14">
        <f>D9*$C$11</f>
        <v>0</v>
      </c>
      <c r="E11" s="14">
        <f>E9*$C$11</f>
        <v>0</v>
      </c>
      <c r="F11" s="14"/>
      <c r="G11" s="14"/>
      <c r="H11" s="14">
        <f>H9*$C$11</f>
        <v>0</v>
      </c>
      <c r="I11" s="14">
        <f>I9*$C$11</f>
        <v>0</v>
      </c>
      <c r="J11" s="14">
        <f t="shared" si="0"/>
        <v>0</v>
      </c>
    </row>
    <row r="12" s="1" customFormat="1" ht="25" customHeight="1" spans="2:13">
      <c r="B12" s="15" t="s">
        <v>20</v>
      </c>
      <c r="C12" s="16">
        <v>0.03</v>
      </c>
      <c r="D12" s="14">
        <f>D9*$C$12</f>
        <v>0</v>
      </c>
      <c r="E12" s="14">
        <f>E9*$C$12</f>
        <v>0</v>
      </c>
      <c r="F12" s="14"/>
      <c r="G12" s="14"/>
      <c r="H12" s="14">
        <f>H9*$C$12</f>
        <v>0</v>
      </c>
      <c r="I12" s="14">
        <f>I9*$C$12</f>
        <v>0</v>
      </c>
      <c r="J12" s="14">
        <f t="shared" si="0"/>
        <v>0</v>
      </c>
      <c r="M12" s="36"/>
    </row>
    <row r="13" s="1" customFormat="1" ht="25" customHeight="1" spans="2:13">
      <c r="B13" s="17" t="s">
        <v>21</v>
      </c>
      <c r="C13" s="18">
        <v>0.01</v>
      </c>
      <c r="D13" s="14">
        <f>D10*$C$12</f>
        <v>0</v>
      </c>
      <c r="E13" s="19">
        <f>E6/1.09*$C$13</f>
        <v>0</v>
      </c>
      <c r="F13" s="19"/>
      <c r="G13" s="19"/>
      <c r="H13" s="19">
        <f>H6/1.09*$C$13</f>
        <v>0</v>
      </c>
      <c r="I13" s="19">
        <v>0</v>
      </c>
      <c r="J13" s="14">
        <f t="shared" si="0"/>
        <v>0</v>
      </c>
      <c r="M13" s="36"/>
    </row>
    <row r="14" s="1" customFormat="1" ht="25" customHeight="1" spans="2:10">
      <c r="B14" s="17" t="s">
        <v>21</v>
      </c>
      <c r="C14" s="20">
        <v>0.03</v>
      </c>
      <c r="D14" s="19">
        <v>0</v>
      </c>
      <c r="E14" s="19">
        <f t="shared" ref="E14:E17" si="1">E6/1.09*$C$14</f>
        <v>0</v>
      </c>
      <c r="F14" s="19"/>
      <c r="G14" s="19"/>
      <c r="H14" s="19">
        <v>0</v>
      </c>
      <c r="I14" s="19">
        <v>0</v>
      </c>
      <c r="J14" s="14">
        <f t="shared" si="0"/>
        <v>0</v>
      </c>
    </row>
    <row r="15" s="1" customFormat="1" ht="25" customHeight="1" spans="2:10">
      <c r="B15" s="17" t="s">
        <v>21</v>
      </c>
      <c r="C15" s="20">
        <v>0.04</v>
      </c>
      <c r="D15" s="19">
        <v>0</v>
      </c>
      <c r="E15" s="19">
        <f t="shared" si="1"/>
        <v>0</v>
      </c>
      <c r="F15" s="14"/>
      <c r="G15" s="14"/>
      <c r="H15" s="14">
        <f>H6/1.09*$C$15</f>
        <v>0</v>
      </c>
      <c r="I15" s="14">
        <v>0</v>
      </c>
      <c r="J15" s="14">
        <f t="shared" si="0"/>
        <v>0</v>
      </c>
    </row>
    <row r="16" s="1" customFormat="1" ht="25" customHeight="1" spans="2:10">
      <c r="B16" s="17" t="s">
        <v>22</v>
      </c>
      <c r="C16" s="21">
        <v>0.0005</v>
      </c>
      <c r="D16" s="19">
        <v>0</v>
      </c>
      <c r="E16" s="19">
        <f t="shared" si="1"/>
        <v>0</v>
      </c>
      <c r="F16" s="14">
        <f>F6*C16</f>
        <v>0</v>
      </c>
      <c r="G16" s="14"/>
      <c r="H16" s="14"/>
      <c r="I16" s="14"/>
      <c r="J16" s="14">
        <f t="shared" si="0"/>
        <v>0</v>
      </c>
    </row>
    <row r="17" s="1" customFormat="1" ht="25" customHeight="1" spans="2:10">
      <c r="B17" s="17" t="s">
        <v>23</v>
      </c>
      <c r="C17" s="22">
        <v>0.001</v>
      </c>
      <c r="D17" s="19">
        <v>0</v>
      </c>
      <c r="E17" s="19">
        <f t="shared" si="1"/>
        <v>0</v>
      </c>
      <c r="F17" s="14"/>
      <c r="G17" s="14"/>
      <c r="H17" s="14"/>
      <c r="I17" s="14">
        <f>I6*C17</f>
        <v>0</v>
      </c>
      <c r="J17" s="14">
        <f t="shared" si="0"/>
        <v>0</v>
      </c>
    </row>
    <row r="18" s="1" customFormat="1" ht="25" customHeight="1" spans="2:10">
      <c r="B18" s="17" t="s">
        <v>10</v>
      </c>
      <c r="C18" s="20"/>
      <c r="D18" s="23">
        <f t="shared" ref="D18:J18" si="2">SUM(D8:D17)</f>
        <v>0</v>
      </c>
      <c r="E18" s="23">
        <f t="shared" si="2"/>
        <v>0</v>
      </c>
      <c r="F18" s="23">
        <f t="shared" si="2"/>
        <v>0</v>
      </c>
      <c r="G18" s="23">
        <f t="shared" si="2"/>
        <v>0</v>
      </c>
      <c r="H18" s="23">
        <f t="shared" si="2"/>
        <v>0</v>
      </c>
      <c r="I18" s="23">
        <f t="shared" si="2"/>
        <v>0</v>
      </c>
      <c r="J18" s="23">
        <f t="shared" si="2"/>
        <v>0</v>
      </c>
    </row>
    <row r="19" s="1" customFormat="1" ht="15" customHeight="1" spans="2:10">
      <c r="B19" s="24"/>
      <c r="C19" s="25"/>
      <c r="D19" s="25"/>
      <c r="E19" s="25"/>
      <c r="F19" s="25"/>
      <c r="G19" s="25"/>
      <c r="H19" s="25"/>
      <c r="I19" s="25"/>
      <c r="J19" s="37"/>
    </row>
    <row r="20" s="1" customFormat="1" spans="2:10">
      <c r="B20" s="26"/>
      <c r="C20" s="27"/>
      <c r="D20" s="27"/>
      <c r="E20" s="27"/>
      <c r="F20" s="27"/>
      <c r="G20" s="27"/>
      <c r="H20" s="27"/>
      <c r="I20" s="27"/>
      <c r="J20" s="38"/>
    </row>
    <row r="21" s="1" customFormat="1" ht="15" spans="2:4">
      <c r="B21" s="28"/>
      <c r="C21" s="28"/>
      <c r="D21" s="29"/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42"/>
  <sheetViews>
    <sheetView view="pageBreakPreview" zoomScaleNormal="100" topLeftCell="A12" workbookViewId="0">
      <selection activeCell="B32" sqref="B32:C42"/>
    </sheetView>
  </sheetViews>
  <sheetFormatPr defaultColWidth="9" defaultRowHeight="14.25"/>
  <cols>
    <col min="1" max="1" width="4.25" style="1" customWidth="1"/>
    <col min="2" max="2" width="23.875" style="1" customWidth="1"/>
    <col min="3" max="3" width="12.625" style="1" customWidth="1"/>
    <col min="4" max="4" width="12.25" style="1" customWidth="1"/>
    <col min="5" max="5" width="11.875" style="1" customWidth="1"/>
    <col min="6" max="6" width="16" style="1" customWidth="1"/>
    <col min="7" max="7" width="14.875" style="1" customWidth="1"/>
    <col min="8" max="8" width="12.875" style="1" customWidth="1"/>
    <col min="9" max="9" width="14.125" style="1" customWidth="1"/>
    <col min="10" max="10" width="11.75" style="1" customWidth="1"/>
    <col min="11" max="11" width="8.75" style="1" customWidth="1"/>
    <col min="12" max="12" width="12.625" style="1" customWidth="1"/>
    <col min="13" max="13" width="9.375" style="1" customWidth="1"/>
    <col min="14" max="14" width="17.65" style="1" customWidth="1"/>
    <col min="15" max="15" width="14.4416666666667" style="1" customWidth="1"/>
    <col min="16" max="16" width="12.9333333333333" style="1" customWidth="1"/>
    <col min="17" max="16384" width="9" style="1"/>
  </cols>
  <sheetData>
    <row r="1" s="1" customFormat="1" ht="16" customHeight="1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spans="2:12">
      <c r="B2" s="3" t="s">
        <v>1</v>
      </c>
      <c r="D2" s="3" t="s">
        <v>2</v>
      </c>
      <c r="E2" s="4">
        <v>202403</v>
      </c>
      <c r="F2" s="4"/>
      <c r="G2" s="4"/>
      <c r="H2" s="4"/>
      <c r="I2" s="4"/>
      <c r="K2" s="3" t="s">
        <v>3</v>
      </c>
      <c r="L2" s="1" t="s">
        <v>67</v>
      </c>
    </row>
    <row r="3" s="39" customFormat="1" spans="2:12">
      <c r="B3" s="42" t="s">
        <v>5</v>
      </c>
      <c r="C3" s="43"/>
      <c r="D3" s="44" t="s">
        <v>6</v>
      </c>
      <c r="E3" s="44" t="s">
        <v>7</v>
      </c>
      <c r="F3" s="44" t="s">
        <v>6</v>
      </c>
      <c r="G3" s="44" t="s">
        <v>7</v>
      </c>
      <c r="H3" s="44" t="s">
        <v>6</v>
      </c>
      <c r="I3" s="44"/>
      <c r="J3" s="66" t="s">
        <v>8</v>
      </c>
      <c r="K3" s="66" t="s">
        <v>9</v>
      </c>
      <c r="L3" s="66" t="s">
        <v>10</v>
      </c>
    </row>
    <row r="4" s="39" customFormat="1" ht="28.5" spans="2:14">
      <c r="B4" s="45"/>
      <c r="C4" s="46"/>
      <c r="D4" s="47" t="s">
        <v>68</v>
      </c>
      <c r="E4" s="48"/>
      <c r="F4" s="47" t="s">
        <v>69</v>
      </c>
      <c r="G4" s="48"/>
      <c r="H4" s="44" t="s">
        <v>12</v>
      </c>
      <c r="I4" s="44" t="s">
        <v>13</v>
      </c>
      <c r="J4" s="67"/>
      <c r="K4" s="67"/>
      <c r="L4" s="67"/>
      <c r="N4" s="68"/>
    </row>
    <row r="5" s="1" customFormat="1" spans="2:15">
      <c r="B5" s="12"/>
      <c r="C5" s="13"/>
      <c r="D5" s="14"/>
      <c r="E5" s="14">
        <v>0</v>
      </c>
      <c r="F5" s="14"/>
      <c r="G5" s="14"/>
      <c r="H5" s="14"/>
      <c r="I5" s="14"/>
      <c r="J5" s="14">
        <v>0</v>
      </c>
      <c r="K5" s="14"/>
      <c r="L5" s="14">
        <f>D5+E5+J5+K5</f>
        <v>0</v>
      </c>
      <c r="M5" s="34"/>
      <c r="N5" s="34"/>
      <c r="O5" s="34"/>
    </row>
    <row r="6" s="1" customFormat="1" spans="2:15">
      <c r="B6" s="7" t="s">
        <v>14</v>
      </c>
      <c r="C6" s="7" t="s">
        <v>15</v>
      </c>
      <c r="D6" s="14"/>
      <c r="E6" s="14"/>
      <c r="F6" s="14"/>
      <c r="G6" s="14"/>
      <c r="H6" s="14"/>
      <c r="I6" s="14"/>
      <c r="J6" s="14"/>
      <c r="K6" s="14"/>
      <c r="L6" s="14">
        <f t="shared" ref="L6:L18" si="0">D6+E6+J6+K6+H6+I6</f>
        <v>0</v>
      </c>
      <c r="N6" s="34"/>
      <c r="O6" s="34"/>
    </row>
    <row r="7" s="1" customFormat="1" spans="2:14">
      <c r="B7" s="15" t="s">
        <v>16</v>
      </c>
      <c r="C7" s="16">
        <v>0</v>
      </c>
      <c r="D7" s="14">
        <f>D5*C7</f>
        <v>0</v>
      </c>
      <c r="E7" s="14">
        <v>0</v>
      </c>
      <c r="F7" s="14"/>
      <c r="G7" s="14"/>
      <c r="H7" s="14"/>
      <c r="I7" s="14"/>
      <c r="J7" s="14"/>
      <c r="K7" s="14"/>
      <c r="L7" s="14">
        <f t="shared" si="0"/>
        <v>0</v>
      </c>
      <c r="N7" s="34"/>
    </row>
    <row r="8" s="1" customFormat="1" spans="2:14">
      <c r="B8" s="15" t="s">
        <v>75</v>
      </c>
      <c r="C8" s="16">
        <v>0.05</v>
      </c>
      <c r="D8" s="14"/>
      <c r="E8" s="14"/>
      <c r="F8" s="14"/>
      <c r="G8" s="14"/>
      <c r="H8" s="14"/>
      <c r="I8" s="14"/>
      <c r="J8" s="14"/>
      <c r="K8" s="14">
        <f>K5/1.05*C8</f>
        <v>0</v>
      </c>
      <c r="L8" s="14"/>
      <c r="M8" s="1"/>
      <c r="N8" s="34"/>
    </row>
    <row r="9" s="1" customFormat="1" spans="2:12">
      <c r="B9" s="15" t="s">
        <v>78</v>
      </c>
      <c r="C9" s="16"/>
      <c r="D9" s="14"/>
      <c r="E9" s="14"/>
      <c r="F9" s="14">
        <v>26428.49</v>
      </c>
      <c r="G9" s="14"/>
      <c r="H9" s="14"/>
      <c r="I9" s="14"/>
      <c r="J9" s="14"/>
      <c r="K9" s="14"/>
      <c r="L9" s="14"/>
    </row>
    <row r="10" s="1" customFormat="1" spans="2:12">
      <c r="B10" s="15" t="s">
        <v>79</v>
      </c>
      <c r="C10" s="16">
        <v>0.05</v>
      </c>
      <c r="D10" s="14">
        <v>0</v>
      </c>
      <c r="E10" s="14">
        <f>E5/1.09*$C$10</f>
        <v>0</v>
      </c>
      <c r="F10" s="14">
        <v>0</v>
      </c>
      <c r="G10" s="14"/>
      <c r="H10" s="14"/>
      <c r="I10" s="14"/>
      <c r="J10" s="14">
        <f>J5/1.09*$C$10</f>
        <v>0</v>
      </c>
      <c r="K10" s="14">
        <f>K5/1.05*C10-K9</f>
        <v>0</v>
      </c>
      <c r="L10" s="14">
        <f>D10+E10+J10+K10+H10+I10+F10+G10</f>
        <v>0</v>
      </c>
    </row>
    <row r="11" s="1" customFormat="1" spans="2:12">
      <c r="B11" s="15" t="s">
        <v>18</v>
      </c>
      <c r="C11" s="16">
        <v>0.05</v>
      </c>
      <c r="D11" s="14">
        <f>D10*$C$11</f>
        <v>0</v>
      </c>
      <c r="E11" s="14">
        <f>E10*$C$11</f>
        <v>0</v>
      </c>
      <c r="F11" s="14">
        <v>0</v>
      </c>
      <c r="G11" s="14"/>
      <c r="H11" s="14"/>
      <c r="I11" s="14"/>
      <c r="J11" s="14">
        <f>J10*$C$11</f>
        <v>0</v>
      </c>
      <c r="K11" s="14">
        <f>K10*$C$11</f>
        <v>0</v>
      </c>
      <c r="L11" s="14">
        <f t="shared" si="0"/>
        <v>0</v>
      </c>
    </row>
    <row r="12" s="1" customFormat="1" spans="2:12">
      <c r="B12" s="15" t="s">
        <v>19</v>
      </c>
      <c r="C12" s="16">
        <v>0.02</v>
      </c>
      <c r="D12" s="14">
        <f>D10*$C$12</f>
        <v>0</v>
      </c>
      <c r="E12" s="14">
        <f>E10*$C$12</f>
        <v>0</v>
      </c>
      <c r="F12" s="14">
        <v>0</v>
      </c>
      <c r="G12" s="14"/>
      <c r="H12" s="14"/>
      <c r="I12" s="14"/>
      <c r="J12" s="14">
        <f>J10*$C$12</f>
        <v>0</v>
      </c>
      <c r="K12" s="14">
        <f>K10*$C$12</f>
        <v>0</v>
      </c>
      <c r="L12" s="14">
        <f t="shared" si="0"/>
        <v>0</v>
      </c>
    </row>
    <row r="13" s="1" customFormat="1" spans="2:12">
      <c r="B13" s="15" t="s">
        <v>20</v>
      </c>
      <c r="C13" s="16">
        <v>0.03</v>
      </c>
      <c r="D13" s="14">
        <f>D10*$C$13</f>
        <v>0</v>
      </c>
      <c r="E13" s="14">
        <f>E10*$C$13</f>
        <v>0</v>
      </c>
      <c r="F13" s="14">
        <v>0</v>
      </c>
      <c r="G13" s="14"/>
      <c r="H13" s="14"/>
      <c r="I13" s="14"/>
      <c r="J13" s="14">
        <f>J10*$C$13</f>
        <v>0</v>
      </c>
      <c r="K13" s="14">
        <f>K10*$C$13</f>
        <v>0</v>
      </c>
      <c r="L13" s="14">
        <f t="shared" si="0"/>
        <v>0</v>
      </c>
    </row>
    <row r="14" s="1" customFormat="1" spans="2:12">
      <c r="B14" s="17" t="s">
        <v>21</v>
      </c>
      <c r="C14" s="18">
        <v>0.01</v>
      </c>
      <c r="D14" s="14">
        <v>0</v>
      </c>
      <c r="E14" s="19">
        <f>E5/1.09*$C$14</f>
        <v>0</v>
      </c>
      <c r="F14" s="19"/>
      <c r="G14" s="19"/>
      <c r="H14" s="19"/>
      <c r="I14" s="19"/>
      <c r="J14" s="19">
        <f>J5/1.09*$C$14</f>
        <v>0</v>
      </c>
      <c r="K14" s="19">
        <v>0</v>
      </c>
      <c r="L14" s="14">
        <f t="shared" si="0"/>
        <v>0</v>
      </c>
    </row>
    <row r="15" s="1" customFormat="1" spans="2:12">
      <c r="B15" s="17" t="s">
        <v>21</v>
      </c>
      <c r="C15" s="20">
        <v>0.03</v>
      </c>
      <c r="D15" s="19">
        <v>0</v>
      </c>
      <c r="E15" s="19">
        <f t="shared" ref="E15:E17" si="1">E5/1.09*$C$15</f>
        <v>0</v>
      </c>
      <c r="F15" s="19"/>
      <c r="G15" s="19"/>
      <c r="H15" s="19"/>
      <c r="I15" s="19">
        <f>I5/1.05*C15</f>
        <v>0</v>
      </c>
      <c r="J15" s="19">
        <v>0</v>
      </c>
      <c r="K15" s="19">
        <v>0</v>
      </c>
      <c r="L15" s="14">
        <f t="shared" si="0"/>
        <v>0</v>
      </c>
    </row>
    <row r="16" s="1" customFormat="1" spans="2:12">
      <c r="B16" s="17" t="s">
        <v>21</v>
      </c>
      <c r="C16" s="20">
        <v>0.04</v>
      </c>
      <c r="D16" s="19">
        <v>0</v>
      </c>
      <c r="E16" s="19">
        <f t="shared" si="1"/>
        <v>0</v>
      </c>
      <c r="F16" s="19"/>
      <c r="G16" s="19"/>
      <c r="H16" s="14"/>
      <c r="I16" s="14"/>
      <c r="J16" s="14">
        <f>J5/1.09*$C$16</f>
        <v>0</v>
      </c>
      <c r="K16" s="14">
        <v>0</v>
      </c>
      <c r="L16" s="14">
        <f t="shared" si="0"/>
        <v>0</v>
      </c>
    </row>
    <row r="17" s="1" customFormat="1" spans="2:12">
      <c r="B17" s="17" t="s">
        <v>22</v>
      </c>
      <c r="C17" s="21">
        <v>0.0005</v>
      </c>
      <c r="D17" s="19">
        <v>0</v>
      </c>
      <c r="E17" s="19">
        <f t="shared" si="1"/>
        <v>0</v>
      </c>
      <c r="F17" s="19"/>
      <c r="G17" s="19"/>
      <c r="H17" s="14">
        <f>H5*C17</f>
        <v>0</v>
      </c>
      <c r="I17" s="14"/>
      <c r="J17" s="14"/>
      <c r="K17" s="14"/>
      <c r="L17" s="14">
        <f t="shared" si="0"/>
        <v>0</v>
      </c>
    </row>
    <row r="18" s="1" customFormat="1" spans="2:12">
      <c r="B18" s="17" t="s">
        <v>23</v>
      </c>
      <c r="C18" s="22">
        <v>0.001</v>
      </c>
      <c r="D18" s="19">
        <v>0</v>
      </c>
      <c r="E18" s="19">
        <f>E10/1.09*$C$15</f>
        <v>0</v>
      </c>
      <c r="F18" s="19"/>
      <c r="G18" s="19"/>
      <c r="H18" s="14"/>
      <c r="I18" s="14"/>
      <c r="J18" s="14"/>
      <c r="K18" s="14">
        <f>K5*C18</f>
        <v>0</v>
      </c>
      <c r="L18" s="14">
        <f t="shared" si="0"/>
        <v>0</v>
      </c>
    </row>
    <row r="19" s="1" customFormat="1" spans="2:12">
      <c r="B19" s="17" t="s">
        <v>10</v>
      </c>
      <c r="C19" s="20"/>
      <c r="D19" s="23">
        <f t="shared" ref="D19:K19" si="2">SUM(D7:D18)</f>
        <v>0</v>
      </c>
      <c r="E19" s="23">
        <f t="shared" si="2"/>
        <v>0</v>
      </c>
      <c r="F19" s="23"/>
      <c r="G19" s="23"/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3">
        <f>SUM(L10:L18)</f>
        <v>0</v>
      </c>
    </row>
    <row r="20" s="1" customFormat="1" spans="2:12"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37"/>
    </row>
    <row r="21" s="1" customFormat="1" spans="2:12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38"/>
    </row>
    <row r="22" s="1" customFormat="1" ht="15" spans="2:4">
      <c r="B22" s="28"/>
      <c r="C22" s="28"/>
      <c r="D22" s="29"/>
    </row>
    <row r="23" s="40" customFormat="1" ht="13.5" spans="2:14">
      <c r="B23" s="49" t="s">
        <v>80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="40" customFormat="1" ht="27" spans="2:13">
      <c r="B24" s="50" t="s">
        <v>38</v>
      </c>
      <c r="C24" s="50" t="s">
        <v>81</v>
      </c>
      <c r="D24" s="51" t="s">
        <v>82</v>
      </c>
      <c r="E24" s="52" t="s">
        <v>83</v>
      </c>
      <c r="F24" s="52" t="s">
        <v>84</v>
      </c>
      <c r="G24" s="52" t="s">
        <v>85</v>
      </c>
      <c r="H24" s="50" t="s">
        <v>86</v>
      </c>
      <c r="I24" s="50" t="s">
        <v>87</v>
      </c>
      <c r="J24" s="50" t="s">
        <v>88</v>
      </c>
      <c r="K24" s="50" t="s">
        <v>89</v>
      </c>
      <c r="L24" s="50" t="s">
        <v>102</v>
      </c>
      <c r="M24" s="50" t="s">
        <v>51</v>
      </c>
    </row>
    <row r="25" s="40" customFormat="1" ht="27" customHeight="1" spans="2:13">
      <c r="B25" s="50">
        <v>1</v>
      </c>
      <c r="C25" s="50" t="s">
        <v>103</v>
      </c>
      <c r="D25" s="50">
        <v>33446.1</v>
      </c>
      <c r="E25" s="50">
        <v>33430.6</v>
      </c>
      <c r="F25" s="50">
        <v>1446.38</v>
      </c>
      <c r="G25" s="53">
        <v>4.8</v>
      </c>
      <c r="H25" s="54">
        <f>F25/G25</f>
        <v>301.329166666667</v>
      </c>
      <c r="I25" s="50" t="s">
        <v>92</v>
      </c>
      <c r="J25" s="50">
        <v>3</v>
      </c>
      <c r="K25" s="50">
        <f>ROUND(H25*J25,2)</f>
        <v>903.99</v>
      </c>
      <c r="L25" s="69">
        <f>K25/2</f>
        <v>451.995</v>
      </c>
      <c r="M25" s="50" t="s">
        <v>104</v>
      </c>
    </row>
    <row r="26" s="40" customFormat="1" ht="22" customHeight="1" spans="2:13">
      <c r="B26" s="50" t="s">
        <v>10</v>
      </c>
      <c r="C26" s="50"/>
      <c r="D26" s="50"/>
      <c r="E26" s="50"/>
      <c r="F26" s="50">
        <f>SUM(F25:F25)</f>
        <v>1446.38</v>
      </c>
      <c r="G26" s="53"/>
      <c r="H26" s="53"/>
      <c r="I26" s="53"/>
      <c r="J26" s="53"/>
      <c r="K26" s="50">
        <f>SUM(K25:K25)</f>
        <v>903.99</v>
      </c>
      <c r="L26" s="69">
        <f>SUM(L25:L25)</f>
        <v>451.995</v>
      </c>
      <c r="M26" s="53"/>
    </row>
    <row r="27" s="1" customFormat="1" spans="5:5">
      <c r="E27" s="34"/>
    </row>
    <row r="28" s="1" customFormat="1" ht="23" customHeight="1" spans="2:16382">
      <c r="B28" s="55" t="s">
        <v>94</v>
      </c>
      <c r="C28" s="56"/>
      <c r="D28" s="56"/>
      <c r="E28" s="56"/>
      <c r="F28" s="56"/>
      <c r="G28" s="56"/>
      <c r="H28" s="56"/>
      <c r="I28" s="56"/>
      <c r="J28" s="56"/>
      <c r="K28" s="70"/>
      <c r="XFA28" s="72"/>
      <c r="XFB28" s="72"/>
    </row>
    <row r="29" s="41" customFormat="1" ht="27" spans="2:16382">
      <c r="B29" s="57" t="s">
        <v>95</v>
      </c>
      <c r="C29" s="58"/>
      <c r="D29" s="52" t="s">
        <v>84</v>
      </c>
      <c r="E29" s="57" t="s">
        <v>42</v>
      </c>
      <c r="F29" s="59" t="s">
        <v>105</v>
      </c>
      <c r="G29" s="60" t="s">
        <v>97</v>
      </c>
      <c r="H29" s="7" t="s">
        <v>15</v>
      </c>
      <c r="I29" s="7" t="s">
        <v>106</v>
      </c>
      <c r="J29" s="50" t="s">
        <v>102</v>
      </c>
      <c r="K29" s="50" t="s">
        <v>51</v>
      </c>
      <c r="XFA29" s="73"/>
      <c r="XFB29" s="73"/>
    </row>
    <row r="30" s="1" customFormat="1" ht="23" customHeight="1" spans="2:16382">
      <c r="B30" s="61" t="s">
        <v>107</v>
      </c>
      <c r="C30" s="50" t="s">
        <v>103</v>
      </c>
      <c r="D30" s="14">
        <f>F25-'2024年3月'!D29</f>
        <v>1409.05</v>
      </c>
      <c r="E30" s="14">
        <v>2061.7604564128</v>
      </c>
      <c r="F30" s="62">
        <f>D30*E30</f>
        <v>2905123.57110846</v>
      </c>
      <c r="G30" s="14">
        <f>F30*0.7</f>
        <v>2033586.49977592</v>
      </c>
      <c r="H30" s="63">
        <v>0.012</v>
      </c>
      <c r="I30" s="71">
        <f>G30*H30</f>
        <v>24403.037997311</v>
      </c>
      <c r="J30" s="69">
        <f>I30/2</f>
        <v>12201.5189986555</v>
      </c>
      <c r="K30" s="50" t="s">
        <v>104</v>
      </c>
      <c r="XFA30" s="72"/>
      <c r="XFB30" s="72"/>
    </row>
    <row r="31" s="1" customFormat="1" ht="23" customHeight="1" spans="1:16382">
      <c r="A31" s="34"/>
      <c r="B31" s="34"/>
      <c r="C31" s="34"/>
      <c r="D31" s="34"/>
      <c r="E31" s="34"/>
      <c r="F31" s="64"/>
      <c r="G31" s="34"/>
      <c r="H31" s="41"/>
      <c r="I31" s="1"/>
      <c r="J31" s="1"/>
      <c r="K31" s="1"/>
      <c r="XFA31" s="72"/>
      <c r="XFB31" s="72"/>
    </row>
    <row r="32" s="1" customFormat="1" spans="2:8">
      <c r="B32" s="30" t="s">
        <v>25</v>
      </c>
      <c r="C32" s="30" t="s">
        <v>26</v>
      </c>
      <c r="E32" s="34" t="s">
        <v>108</v>
      </c>
      <c r="G32" s="65">
        <f>L19+L26+J30</f>
        <v>12653.5139986555</v>
      </c>
      <c r="H32" s="1" t="s">
        <v>109</v>
      </c>
    </row>
    <row r="33" s="1" customFormat="1" spans="2:5">
      <c r="B33" s="31" t="s">
        <v>27</v>
      </c>
      <c r="C33" s="32">
        <v>0</v>
      </c>
      <c r="E33" s="34"/>
    </row>
    <row r="34" s="1" customFormat="1" spans="2:3">
      <c r="B34" s="30" t="s">
        <v>28</v>
      </c>
      <c r="C34" s="32">
        <v>0</v>
      </c>
    </row>
    <row r="35" s="1" customFormat="1" spans="2:3">
      <c r="B35" s="30" t="s">
        <v>29</v>
      </c>
      <c r="C35" s="32">
        <v>0</v>
      </c>
    </row>
    <row r="36" s="1" customFormat="1" spans="2:3">
      <c r="B36" s="30" t="s">
        <v>30</v>
      </c>
      <c r="C36" s="32">
        <v>12653.52</v>
      </c>
    </row>
    <row r="37" s="1" customFormat="1" spans="2:3">
      <c r="B37" s="30" t="s">
        <v>31</v>
      </c>
      <c r="C37" s="32"/>
    </row>
    <row r="38" s="1" customFormat="1" spans="2:3">
      <c r="B38" s="30" t="s">
        <v>32</v>
      </c>
      <c r="C38" s="32">
        <v>568.46</v>
      </c>
    </row>
    <row r="39" s="1" customFormat="1" spans="2:3">
      <c r="B39" s="30" t="s">
        <v>33</v>
      </c>
      <c r="C39" s="32">
        <f>C33+C34-C35-C36-C37-C38</f>
        <v>-13221.98</v>
      </c>
    </row>
    <row r="40" s="1" customFormat="1" spans="2:3">
      <c r="B40" s="15" t="s">
        <v>34</v>
      </c>
      <c r="C40" s="33">
        <v>0.25</v>
      </c>
    </row>
    <row r="41" s="1" customFormat="1" spans="2:3">
      <c r="B41" s="15" t="s">
        <v>35</v>
      </c>
      <c r="C41" s="32">
        <v>0</v>
      </c>
    </row>
    <row r="42" s="1" customFormat="1" spans="2:3">
      <c r="B42" s="15" t="s">
        <v>36</v>
      </c>
      <c r="C42" s="32">
        <f>C39*C40-C41</f>
        <v>-3305.495</v>
      </c>
    </row>
  </sheetData>
  <mergeCells count="11">
    <mergeCell ref="B1:L1"/>
    <mergeCell ref="H3:I3"/>
    <mergeCell ref="D4:E4"/>
    <mergeCell ref="F4:G4"/>
    <mergeCell ref="B26:C26"/>
    <mergeCell ref="B28:K28"/>
    <mergeCell ref="J3:J4"/>
    <mergeCell ref="K3:K4"/>
    <mergeCell ref="L3:L4"/>
    <mergeCell ref="B3:C5"/>
    <mergeCell ref="B20:L21"/>
  </mergeCells>
  <pageMargins left="0.393055555555556" right="0.275" top="2.40138888888889" bottom="1" header="0.5" footer="0.5"/>
  <pageSetup paperSize="9" scale="59" fitToHeight="0" orientation="portrait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1"/>
  <sheetViews>
    <sheetView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8.108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3.75" style="1"/>
    <col min="12" max="12" width="13.75" style="1" customWidth="1"/>
    <col min="13" max="13" width="11.5" style="1" customWidth="1"/>
    <col min="14" max="16384" width="9" style="1"/>
  </cols>
  <sheetData>
    <row r="2" s="1" customFormat="1" ht="44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s="1" customFormat="1" ht="23" customHeight="1" spans="2:10">
      <c r="B3" s="3" t="s">
        <v>1</v>
      </c>
      <c r="D3" s="3" t="s">
        <v>2</v>
      </c>
      <c r="E3" s="4">
        <v>2024010</v>
      </c>
      <c r="F3" s="4"/>
      <c r="G3" s="4"/>
      <c r="I3" s="3" t="s">
        <v>3</v>
      </c>
      <c r="J3" s="1" t="s">
        <v>101</v>
      </c>
    </row>
    <row r="4" s="1" customFormat="1" ht="25" customHeight="1" spans="2:10">
      <c r="B4" s="5" t="s">
        <v>5</v>
      </c>
      <c r="C4" s="6"/>
      <c r="D4" s="7" t="s">
        <v>6</v>
      </c>
      <c r="E4" s="7" t="s">
        <v>7</v>
      </c>
      <c r="F4" s="7" t="s">
        <v>6</v>
      </c>
      <c r="G4" s="7"/>
      <c r="H4" s="8" t="s">
        <v>8</v>
      </c>
      <c r="I4" s="8" t="s">
        <v>9</v>
      </c>
      <c r="J4" s="8" t="s">
        <v>10</v>
      </c>
    </row>
    <row r="5" s="1" customFormat="1" ht="25" customHeight="1" spans="2:10">
      <c r="B5" s="9"/>
      <c r="C5" s="10"/>
      <c r="D5" s="7"/>
      <c r="E5" s="7"/>
      <c r="F5" s="7" t="s">
        <v>12</v>
      </c>
      <c r="G5" s="7" t="s">
        <v>13</v>
      </c>
      <c r="H5" s="11"/>
      <c r="I5" s="11"/>
      <c r="J5" s="11"/>
    </row>
    <row r="6" s="1" customFormat="1" ht="25" customHeight="1" spans="2:12">
      <c r="B6" s="12"/>
      <c r="C6" s="13"/>
      <c r="D6" s="14">
        <f>L6</f>
        <v>294725</v>
      </c>
      <c r="E6" s="14">
        <v>0</v>
      </c>
      <c r="F6" s="14">
        <f>L6</f>
        <v>294725</v>
      </c>
      <c r="G6" s="14">
        <v>0</v>
      </c>
      <c r="H6" s="14">
        <v>0</v>
      </c>
      <c r="I6" s="14">
        <v>0</v>
      </c>
      <c r="J6" s="14">
        <f>D6+E6+H6+I6</f>
        <v>294725</v>
      </c>
      <c r="K6" s="34" t="s">
        <v>110</v>
      </c>
      <c r="L6" s="35">
        <v>294725</v>
      </c>
    </row>
    <row r="7" s="1" customFormat="1" ht="25" customHeight="1" spans="2:10">
      <c r="B7" s="7" t="s">
        <v>14</v>
      </c>
      <c r="C7" s="7" t="s">
        <v>15</v>
      </c>
      <c r="D7" s="14"/>
      <c r="E7" s="14"/>
      <c r="F7" s="14"/>
      <c r="G7" s="14"/>
      <c r="H7" s="14"/>
      <c r="I7" s="14"/>
      <c r="J7" s="14">
        <f t="shared" ref="J7:J17" si="0">D7+E7+H7+I7+F7+G7</f>
        <v>0</v>
      </c>
    </row>
    <row r="8" s="1" customFormat="1" ht="25" customHeight="1" spans="2:10">
      <c r="B8" s="15" t="s">
        <v>111</v>
      </c>
      <c r="C8" s="16">
        <v>0</v>
      </c>
      <c r="D8" s="14">
        <v>11271.2</v>
      </c>
      <c r="E8" s="14">
        <v>0</v>
      </c>
      <c r="F8" s="14"/>
      <c r="G8" s="14"/>
      <c r="H8" s="14"/>
      <c r="I8" s="14"/>
      <c r="J8" s="14">
        <f t="shared" si="0"/>
        <v>11271.2</v>
      </c>
    </row>
    <row r="9" s="1" customFormat="1" ht="25" customHeight="1" spans="2:10">
      <c r="B9" s="15" t="s">
        <v>17</v>
      </c>
      <c r="C9" s="16">
        <v>0.05</v>
      </c>
      <c r="D9" s="14">
        <f>ROUND(D6/1.05*$C$9,2)+0.01-D8</f>
        <v>2763.33</v>
      </c>
      <c r="E9" s="14">
        <f>E6/1.09*$C$9</f>
        <v>0</v>
      </c>
      <c r="F9" s="14"/>
      <c r="G9" s="14"/>
      <c r="H9" s="14">
        <f>H6/1.09*$C$9</f>
        <v>0</v>
      </c>
      <c r="I9" s="14">
        <f>I6/1.05*C9</f>
        <v>0</v>
      </c>
      <c r="J9" s="14">
        <f t="shared" si="0"/>
        <v>2763.33</v>
      </c>
    </row>
    <row r="10" s="1" customFormat="1" ht="25" customHeight="1" spans="2:10">
      <c r="B10" s="15" t="s">
        <v>18</v>
      </c>
      <c r="C10" s="16">
        <v>0.05</v>
      </c>
      <c r="D10" s="14">
        <f>D9*$C$10</f>
        <v>138.1665</v>
      </c>
      <c r="E10" s="14">
        <f>E9*$C$10</f>
        <v>0</v>
      </c>
      <c r="F10" s="14"/>
      <c r="G10" s="14"/>
      <c r="H10" s="14">
        <f>H9*$C$10</f>
        <v>0</v>
      </c>
      <c r="I10" s="14">
        <f>I9*$C$10</f>
        <v>0</v>
      </c>
      <c r="J10" s="14">
        <f t="shared" si="0"/>
        <v>138.1665</v>
      </c>
    </row>
    <row r="11" s="1" customFormat="1" ht="25" customHeight="1" spans="2:10">
      <c r="B11" s="15" t="s">
        <v>19</v>
      </c>
      <c r="C11" s="16">
        <v>0.02</v>
      </c>
      <c r="D11" s="14">
        <f>D9*$C$11</f>
        <v>55.2666</v>
      </c>
      <c r="E11" s="14">
        <f>E9*$C$11</f>
        <v>0</v>
      </c>
      <c r="F11" s="14"/>
      <c r="G11" s="14"/>
      <c r="H11" s="14">
        <f>H9*$C$11</f>
        <v>0</v>
      </c>
      <c r="I11" s="14">
        <f>I9*$C$11</f>
        <v>0</v>
      </c>
      <c r="J11" s="14">
        <f t="shared" si="0"/>
        <v>55.2666</v>
      </c>
    </row>
    <row r="12" s="1" customFormat="1" ht="25" customHeight="1" spans="2:13">
      <c r="B12" s="15" t="s">
        <v>20</v>
      </c>
      <c r="C12" s="16">
        <v>0.03</v>
      </c>
      <c r="D12" s="14">
        <f>D9*$C$12</f>
        <v>82.8999</v>
      </c>
      <c r="E12" s="14">
        <f>E9*$C$12</f>
        <v>0</v>
      </c>
      <c r="F12" s="14"/>
      <c r="G12" s="14"/>
      <c r="H12" s="14">
        <f>H9*$C$12</f>
        <v>0</v>
      </c>
      <c r="I12" s="14">
        <f>I9*$C$12</f>
        <v>0</v>
      </c>
      <c r="J12" s="14">
        <f t="shared" si="0"/>
        <v>82.8999</v>
      </c>
      <c r="M12" s="36"/>
    </row>
    <row r="13" s="1" customFormat="1" ht="25" customHeight="1" spans="2:13">
      <c r="B13" s="17" t="s">
        <v>21</v>
      </c>
      <c r="C13" s="18">
        <v>0.01</v>
      </c>
      <c r="D13" s="14">
        <v>0</v>
      </c>
      <c r="E13" s="19">
        <f>E6/1.09*$C$13</f>
        <v>0</v>
      </c>
      <c r="F13" s="19"/>
      <c r="G13" s="19"/>
      <c r="H13" s="19">
        <f>H6/1.09*$C$13</f>
        <v>0</v>
      </c>
      <c r="I13" s="19">
        <v>0</v>
      </c>
      <c r="J13" s="14">
        <f t="shared" si="0"/>
        <v>0</v>
      </c>
      <c r="M13" s="36"/>
    </row>
    <row r="14" s="1" customFormat="1" ht="25" customHeight="1" spans="2:10">
      <c r="B14" s="17" t="s">
        <v>21</v>
      </c>
      <c r="C14" s="20">
        <v>0.03</v>
      </c>
      <c r="D14" s="19">
        <v>0</v>
      </c>
      <c r="E14" s="19">
        <f t="shared" ref="E14:E17" si="1">E6/1.09*$C$14</f>
        <v>0</v>
      </c>
      <c r="F14" s="19"/>
      <c r="G14" s="19"/>
      <c r="H14" s="19">
        <v>0</v>
      </c>
      <c r="I14" s="19">
        <v>0</v>
      </c>
      <c r="J14" s="14">
        <f t="shared" si="0"/>
        <v>0</v>
      </c>
    </row>
    <row r="15" s="1" customFormat="1" ht="25" customHeight="1" spans="2:10">
      <c r="B15" s="17" t="s">
        <v>21</v>
      </c>
      <c r="C15" s="20">
        <v>0.04</v>
      </c>
      <c r="D15" s="19">
        <v>0</v>
      </c>
      <c r="E15" s="19">
        <f t="shared" si="1"/>
        <v>0</v>
      </c>
      <c r="F15" s="14"/>
      <c r="G15" s="14"/>
      <c r="H15" s="14">
        <f>H6/1.09*$C$15</f>
        <v>0</v>
      </c>
      <c r="I15" s="14">
        <v>0</v>
      </c>
      <c r="J15" s="14">
        <f t="shared" si="0"/>
        <v>0</v>
      </c>
    </row>
    <row r="16" s="1" customFormat="1" ht="25" customHeight="1" spans="2:10">
      <c r="B16" s="17" t="s">
        <v>22</v>
      </c>
      <c r="C16" s="21">
        <v>0.0005</v>
      </c>
      <c r="D16" s="19">
        <v>0</v>
      </c>
      <c r="E16" s="19">
        <f t="shared" si="1"/>
        <v>0</v>
      </c>
      <c r="F16" s="14">
        <f>F6*C16</f>
        <v>147.3625</v>
      </c>
      <c r="G16" s="14"/>
      <c r="H16" s="14"/>
      <c r="I16" s="14"/>
      <c r="J16" s="14">
        <f t="shared" si="0"/>
        <v>147.3625</v>
      </c>
    </row>
    <row r="17" s="1" customFormat="1" ht="25" customHeight="1" spans="2:10">
      <c r="B17" s="17" t="s">
        <v>23</v>
      </c>
      <c r="C17" s="22">
        <v>0.001</v>
      </c>
      <c r="D17" s="19">
        <v>0</v>
      </c>
      <c r="E17" s="19">
        <f t="shared" si="1"/>
        <v>0</v>
      </c>
      <c r="F17" s="14"/>
      <c r="G17" s="14"/>
      <c r="H17" s="14"/>
      <c r="I17" s="14">
        <f>I6*C17</f>
        <v>0</v>
      </c>
      <c r="J17" s="14">
        <f t="shared" si="0"/>
        <v>0</v>
      </c>
    </row>
    <row r="18" s="1" customFormat="1" ht="25" customHeight="1" spans="2:10">
      <c r="B18" s="17" t="s">
        <v>10</v>
      </c>
      <c r="C18" s="20"/>
      <c r="D18" s="23">
        <f>SUM(D9:D17)</f>
        <v>3039.663</v>
      </c>
      <c r="E18" s="23">
        <f t="shared" ref="D18:J18" si="2">SUM(E8:E17)</f>
        <v>0</v>
      </c>
      <c r="F18" s="23">
        <f t="shared" si="2"/>
        <v>147.3625</v>
      </c>
      <c r="G18" s="23">
        <f t="shared" si="2"/>
        <v>0</v>
      </c>
      <c r="H18" s="23">
        <f t="shared" si="2"/>
        <v>0</v>
      </c>
      <c r="I18" s="23">
        <f t="shared" si="2"/>
        <v>0</v>
      </c>
      <c r="J18" s="23">
        <f>SUM(J9:J17)</f>
        <v>3187.0255</v>
      </c>
    </row>
    <row r="19" s="1" customFormat="1" ht="15" customHeight="1" spans="2:10">
      <c r="B19" s="24"/>
      <c r="C19" s="25"/>
      <c r="D19" s="25"/>
      <c r="E19" s="25"/>
      <c r="F19" s="25"/>
      <c r="G19" s="25"/>
      <c r="H19" s="25"/>
      <c r="I19" s="25"/>
      <c r="J19" s="37"/>
    </row>
    <row r="20" s="1" customFormat="1" spans="2:10">
      <c r="B20" s="26"/>
      <c r="C20" s="27"/>
      <c r="D20" s="27"/>
      <c r="E20" s="27"/>
      <c r="F20" s="27"/>
      <c r="G20" s="27"/>
      <c r="H20" s="27"/>
      <c r="I20" s="27"/>
      <c r="J20" s="38"/>
    </row>
    <row r="21" s="1" customFormat="1" ht="15" spans="2:4">
      <c r="B21" s="28"/>
      <c r="C21" s="28"/>
      <c r="D21" s="29"/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32"/>
  <sheetViews>
    <sheetView tabSelected="1" topLeftCell="A5" workbookViewId="0">
      <selection activeCell="C32" sqref="C32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5" width="11.5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3.75" style="1"/>
    <col min="12" max="12" width="13.75" style="1" customWidth="1"/>
    <col min="13" max="13" width="11.5" style="1" customWidth="1"/>
    <col min="14" max="16384" width="9" style="1"/>
  </cols>
  <sheetData>
    <row r="2" s="1" customFormat="1" ht="25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s="1" customFormat="1" ht="23" customHeight="1" spans="2:10">
      <c r="B3" s="3" t="s">
        <v>1</v>
      </c>
      <c r="D3" s="3" t="s">
        <v>2</v>
      </c>
      <c r="E3" s="4">
        <v>2024012</v>
      </c>
      <c r="F3" s="4"/>
      <c r="G3" s="4"/>
      <c r="I3" s="3" t="s">
        <v>3</v>
      </c>
      <c r="J3" s="1" t="s">
        <v>112</v>
      </c>
    </row>
    <row r="4" s="1" customFormat="1" ht="21" customHeight="1" spans="2:10">
      <c r="B4" s="5" t="s">
        <v>5</v>
      </c>
      <c r="C4" s="6"/>
      <c r="D4" s="7" t="s">
        <v>6</v>
      </c>
      <c r="E4" s="7" t="s">
        <v>7</v>
      </c>
      <c r="F4" s="7" t="s">
        <v>6</v>
      </c>
      <c r="G4" s="7"/>
      <c r="H4" s="8" t="s">
        <v>8</v>
      </c>
      <c r="I4" s="8" t="s">
        <v>9</v>
      </c>
      <c r="J4" s="8" t="s">
        <v>10</v>
      </c>
    </row>
    <row r="5" s="1" customFormat="1" ht="21" customHeight="1" spans="2:10">
      <c r="B5" s="9"/>
      <c r="C5" s="10"/>
      <c r="D5" s="7"/>
      <c r="E5" s="7"/>
      <c r="F5" s="7" t="s">
        <v>12</v>
      </c>
      <c r="G5" s="7" t="s">
        <v>13</v>
      </c>
      <c r="H5" s="11"/>
      <c r="I5" s="11"/>
      <c r="J5" s="11"/>
    </row>
    <row r="6" s="1" customFormat="1" ht="21" customHeight="1" spans="2:12">
      <c r="B6" s="12"/>
      <c r="C6" s="13"/>
      <c r="D6" s="14">
        <v>6145.33</v>
      </c>
      <c r="E6" s="14">
        <v>0</v>
      </c>
      <c r="F6" s="14"/>
      <c r="G6" s="14">
        <v>0</v>
      </c>
      <c r="H6" s="14">
        <v>0</v>
      </c>
      <c r="I6" s="14">
        <v>0</v>
      </c>
      <c r="J6" s="14">
        <f>D6+E6+H6+I6</f>
        <v>6145.33</v>
      </c>
      <c r="K6" s="34"/>
      <c r="L6" s="35"/>
    </row>
    <row r="7" s="1" customFormat="1" ht="21" customHeight="1" spans="2:10">
      <c r="B7" s="7" t="s">
        <v>14</v>
      </c>
      <c r="C7" s="7" t="s">
        <v>15</v>
      </c>
      <c r="D7" s="14"/>
      <c r="E7" s="14"/>
      <c r="F7" s="14"/>
      <c r="G7" s="14"/>
      <c r="H7" s="14"/>
      <c r="I7" s="14"/>
      <c r="J7" s="14">
        <f t="shared" ref="J7:J17" si="0">D7+E7+H7+I7+F7+G7</f>
        <v>0</v>
      </c>
    </row>
    <row r="8" s="1" customFormat="1" ht="21" customHeight="1" spans="2:10">
      <c r="B8" s="15" t="s">
        <v>111</v>
      </c>
      <c r="C8" s="16">
        <v>0</v>
      </c>
      <c r="D8" s="14">
        <v>11271.2</v>
      </c>
      <c r="E8" s="14">
        <v>0</v>
      </c>
      <c r="F8" s="14"/>
      <c r="G8" s="14"/>
      <c r="H8" s="14"/>
      <c r="I8" s="14"/>
      <c r="J8" s="14">
        <f t="shared" si="0"/>
        <v>11271.2</v>
      </c>
    </row>
    <row r="9" s="1" customFormat="1" ht="21" customHeight="1" spans="2:10">
      <c r="B9" s="15" t="s">
        <v>17</v>
      </c>
      <c r="C9" s="16">
        <v>0.05</v>
      </c>
      <c r="D9" s="14">
        <v>0</v>
      </c>
      <c r="E9" s="14">
        <f>E6/1.09*$C$9</f>
        <v>0</v>
      </c>
      <c r="F9" s="14"/>
      <c r="G9" s="14"/>
      <c r="H9" s="14">
        <f>H6/1.09*$C$9</f>
        <v>0</v>
      </c>
      <c r="I9" s="14">
        <f>I6/1.05*C9</f>
        <v>0</v>
      </c>
      <c r="J9" s="14">
        <f t="shared" si="0"/>
        <v>0</v>
      </c>
    </row>
    <row r="10" s="1" customFormat="1" ht="21" customHeight="1" spans="2:10">
      <c r="B10" s="15" t="s">
        <v>18</v>
      </c>
      <c r="C10" s="16">
        <v>0.05</v>
      </c>
      <c r="D10" s="14">
        <f>D9*$C$10</f>
        <v>0</v>
      </c>
      <c r="E10" s="14">
        <f>E9*$C$10</f>
        <v>0</v>
      </c>
      <c r="F10" s="14"/>
      <c r="G10" s="14"/>
      <c r="H10" s="14">
        <f>H9*$C$10</f>
        <v>0</v>
      </c>
      <c r="I10" s="14">
        <f>I9*$C$10</f>
        <v>0</v>
      </c>
      <c r="J10" s="14">
        <f t="shared" si="0"/>
        <v>0</v>
      </c>
    </row>
    <row r="11" s="1" customFormat="1" ht="21" customHeight="1" spans="2:10">
      <c r="B11" s="15" t="s">
        <v>19</v>
      </c>
      <c r="C11" s="16">
        <v>0.02</v>
      </c>
      <c r="D11" s="14">
        <f>D9*$C$11</f>
        <v>0</v>
      </c>
      <c r="E11" s="14">
        <f>E9*$C$11</f>
        <v>0</v>
      </c>
      <c r="F11" s="14"/>
      <c r="G11" s="14"/>
      <c r="H11" s="14">
        <f>H9*$C$11</f>
        <v>0</v>
      </c>
      <c r="I11" s="14">
        <f>I9*$C$11</f>
        <v>0</v>
      </c>
      <c r="J11" s="14">
        <f t="shared" si="0"/>
        <v>0</v>
      </c>
    </row>
    <row r="12" s="1" customFormat="1" ht="21" customHeight="1" spans="2:13">
      <c r="B12" s="15" t="s">
        <v>20</v>
      </c>
      <c r="C12" s="16">
        <v>0.03</v>
      </c>
      <c r="D12" s="14">
        <f>D9*$C$12</f>
        <v>0</v>
      </c>
      <c r="E12" s="14">
        <f>E9*$C$12</f>
        <v>0</v>
      </c>
      <c r="F12" s="14"/>
      <c r="G12" s="14"/>
      <c r="H12" s="14">
        <f>H9*$C$12</f>
        <v>0</v>
      </c>
      <c r="I12" s="14">
        <f>I9*$C$12</f>
        <v>0</v>
      </c>
      <c r="J12" s="14">
        <f t="shared" si="0"/>
        <v>0</v>
      </c>
      <c r="M12" s="36"/>
    </row>
    <row r="13" s="1" customFormat="1" ht="21" customHeight="1" spans="2:13">
      <c r="B13" s="17" t="s">
        <v>21</v>
      </c>
      <c r="C13" s="18">
        <v>0.01</v>
      </c>
      <c r="D13" s="14">
        <v>0</v>
      </c>
      <c r="E13" s="19">
        <f>E6/1.09*$C$13</f>
        <v>0</v>
      </c>
      <c r="F13" s="19"/>
      <c r="G13" s="19"/>
      <c r="H13" s="19">
        <f>H6/1.09*$C$13</f>
        <v>0</v>
      </c>
      <c r="I13" s="19">
        <v>0</v>
      </c>
      <c r="J13" s="14">
        <f t="shared" si="0"/>
        <v>0</v>
      </c>
      <c r="M13" s="36"/>
    </row>
    <row r="14" s="1" customFormat="1" ht="21" customHeight="1" spans="2:10">
      <c r="B14" s="17" t="s">
        <v>21</v>
      </c>
      <c r="C14" s="20">
        <v>0.03</v>
      </c>
      <c r="D14" s="19">
        <v>0</v>
      </c>
      <c r="E14" s="19">
        <f t="shared" ref="E14:E17" si="1">E6/1.09*$C$14</f>
        <v>0</v>
      </c>
      <c r="F14" s="19"/>
      <c r="G14" s="19"/>
      <c r="H14" s="19">
        <v>0</v>
      </c>
      <c r="I14" s="19">
        <v>0</v>
      </c>
      <c r="J14" s="14">
        <f t="shared" si="0"/>
        <v>0</v>
      </c>
    </row>
    <row r="15" s="1" customFormat="1" ht="21" customHeight="1" spans="2:10">
      <c r="B15" s="17" t="s">
        <v>21</v>
      </c>
      <c r="C15" s="20">
        <v>0.04</v>
      </c>
      <c r="D15" s="19">
        <v>0</v>
      </c>
      <c r="E15" s="19">
        <f t="shared" si="1"/>
        <v>0</v>
      </c>
      <c r="F15" s="14"/>
      <c r="G15" s="14"/>
      <c r="H15" s="14">
        <f>H6/1.09*$C$15</f>
        <v>0</v>
      </c>
      <c r="I15" s="14">
        <v>0</v>
      </c>
      <c r="J15" s="14">
        <f t="shared" si="0"/>
        <v>0</v>
      </c>
    </row>
    <row r="16" s="1" customFormat="1" ht="21" customHeight="1" spans="2:10">
      <c r="B16" s="17" t="s">
        <v>22</v>
      </c>
      <c r="C16" s="21">
        <v>0.0005</v>
      </c>
      <c r="D16" s="19">
        <v>0</v>
      </c>
      <c r="E16" s="19">
        <f t="shared" si="1"/>
        <v>0</v>
      </c>
      <c r="F16" s="14">
        <f>F6*C16</f>
        <v>0</v>
      </c>
      <c r="G16" s="14"/>
      <c r="H16" s="14"/>
      <c r="I16" s="14"/>
      <c r="J16" s="14">
        <f t="shared" si="0"/>
        <v>0</v>
      </c>
    </row>
    <row r="17" s="1" customFormat="1" ht="21" customHeight="1" spans="2:10">
      <c r="B17" s="17" t="s">
        <v>23</v>
      </c>
      <c r="C17" s="22">
        <v>0.001</v>
      </c>
      <c r="D17" s="19">
        <v>0</v>
      </c>
      <c r="E17" s="19">
        <f t="shared" si="1"/>
        <v>0</v>
      </c>
      <c r="F17" s="14"/>
      <c r="G17" s="14"/>
      <c r="H17" s="14"/>
      <c r="I17" s="14">
        <f>I6*C17</f>
        <v>0</v>
      </c>
      <c r="J17" s="14">
        <f t="shared" si="0"/>
        <v>0</v>
      </c>
    </row>
    <row r="18" s="1" customFormat="1" ht="21" customHeight="1" spans="2:10">
      <c r="B18" s="17" t="s">
        <v>10</v>
      </c>
      <c r="C18" s="20"/>
      <c r="D18" s="23">
        <f>SUM(D9:D17)</f>
        <v>0</v>
      </c>
      <c r="E18" s="23">
        <f t="shared" ref="E18:I18" si="2">SUM(E8:E17)</f>
        <v>0</v>
      </c>
      <c r="F18" s="23">
        <f t="shared" si="2"/>
        <v>0</v>
      </c>
      <c r="G18" s="23">
        <f t="shared" si="2"/>
        <v>0</v>
      </c>
      <c r="H18" s="23">
        <f t="shared" si="2"/>
        <v>0</v>
      </c>
      <c r="I18" s="23">
        <f t="shared" si="2"/>
        <v>0</v>
      </c>
      <c r="J18" s="23">
        <f>SUM(J9:J17)</f>
        <v>0</v>
      </c>
    </row>
    <row r="19" s="1" customFormat="1" ht="15" customHeight="1" spans="2:10">
      <c r="B19" s="24"/>
      <c r="C19" s="25"/>
      <c r="D19" s="25"/>
      <c r="E19" s="25"/>
      <c r="F19" s="25"/>
      <c r="G19" s="25"/>
      <c r="H19" s="25"/>
      <c r="I19" s="25"/>
      <c r="J19" s="37"/>
    </row>
    <row r="20" s="1" customFormat="1" spans="2:10">
      <c r="B20" s="26"/>
      <c r="C20" s="27"/>
      <c r="D20" s="27"/>
      <c r="E20" s="27"/>
      <c r="F20" s="27"/>
      <c r="G20" s="27"/>
      <c r="H20" s="27"/>
      <c r="I20" s="27"/>
      <c r="J20" s="38"/>
    </row>
    <row r="21" s="1" customFormat="1" ht="15" spans="2:4">
      <c r="B21" s="28"/>
      <c r="C21" s="28"/>
      <c r="D21" s="29"/>
    </row>
    <row r="22" spans="2:3">
      <c r="B22" s="30" t="s">
        <v>25</v>
      </c>
      <c r="C22" s="30" t="s">
        <v>26</v>
      </c>
    </row>
    <row r="23" spans="2:3">
      <c r="B23" s="31" t="s">
        <v>27</v>
      </c>
      <c r="C23" s="32">
        <v>708897.01</v>
      </c>
    </row>
    <row r="24" spans="2:3">
      <c r="B24" s="30" t="s">
        <v>28</v>
      </c>
      <c r="C24" s="32">
        <v>-120.33</v>
      </c>
    </row>
    <row r="25" spans="2:3">
      <c r="B25" s="30" t="s">
        <v>29</v>
      </c>
      <c r="C25" s="32">
        <v>0</v>
      </c>
    </row>
    <row r="26" spans="2:3">
      <c r="B26" s="30" t="s">
        <v>30</v>
      </c>
      <c r="C26" s="32">
        <v>14453.23</v>
      </c>
    </row>
    <row r="27" spans="2:3">
      <c r="B27" s="30" t="s">
        <v>31</v>
      </c>
      <c r="C27" s="32">
        <v>3936.12</v>
      </c>
    </row>
    <row r="28" spans="2:3">
      <c r="B28" s="30" t="s">
        <v>32</v>
      </c>
      <c r="C28" s="32">
        <v>-145.16</v>
      </c>
    </row>
    <row r="29" spans="2:3">
      <c r="B29" s="30" t="s">
        <v>33</v>
      </c>
      <c r="C29" s="32">
        <f>C23+C24-C25-C26-C27-C28</f>
        <v>690532.49</v>
      </c>
    </row>
    <row r="30" spans="2:3">
      <c r="B30" s="15" t="s">
        <v>34</v>
      </c>
      <c r="C30" s="33">
        <v>0.25</v>
      </c>
    </row>
    <row r="31" spans="2:3">
      <c r="B31" s="15" t="s">
        <v>35</v>
      </c>
      <c r="C31" s="32">
        <v>122657.89</v>
      </c>
    </row>
    <row r="32" spans="2:3">
      <c r="B32" s="15" t="s">
        <v>36</v>
      </c>
      <c r="C32" s="32">
        <f>C29*C30-C31</f>
        <v>49975.2325</v>
      </c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5" master="" otherUserPermission="visible">
    <arrUserId title="区域1_1" rangeCreator="" othersAccessPermission="edit"/>
  </rangeList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2023年12月税金</vt:lpstr>
      <vt:lpstr>2023年尾盘销售台账</vt:lpstr>
      <vt:lpstr>2024年1月</vt:lpstr>
      <vt:lpstr>2024年3月</vt:lpstr>
      <vt:lpstr>2024年4月</vt:lpstr>
      <vt:lpstr>2024年9月</vt:lpstr>
      <vt:lpstr>2024年10月</vt:lpstr>
      <vt:lpstr>2024年12月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2023-04-20T02:50:00Z</dcterms:created>
  <dcterms:modified xsi:type="dcterms:W3CDTF">2025-01-09T08:26:11Z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9EFAC74087DC4447AE51D45D89E6CFEB_13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