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15" windowHeight="9829" tabRatio="823" firstSheet="2" activeTab="7"/>
  </bookViews>
  <sheets>
    <sheet name="清算项目基本情况表" sheetId="29" r:id="rId1"/>
    <sheet name="土地增值税税源明细表" sheetId="5" r:id="rId2"/>
    <sheet name="附表1-面积统计表" sheetId="32" r:id="rId3"/>
    <sheet name="附表2-收入统计表" sheetId="8" r:id="rId4"/>
    <sheet name="附表3-扣除项目分摊表" sheetId="6" r:id="rId5"/>
    <sheet name="附表4-项目间分摊信息采集表" sheetId="38" r:id="rId6"/>
    <sheet name="附表5-扣除项目统计表" sheetId="30" r:id="rId7"/>
    <sheet name="附表6-收入明细采集底稿" sheetId="9" r:id="rId8"/>
    <sheet name="附表7-扣除项目明细采集底稿" sheetId="31" r:id="rId9"/>
    <sheet name="附表8-合同明细采集底稿" sheetId="37" r:id="rId10"/>
    <sheet name="工程造价采集表" sheetId="42" r:id="rId11"/>
    <sheet name="数据对照表" sheetId="39" r:id="rId12"/>
  </sheets>
  <definedNames>
    <definedName name="_xlnm._FilterDatabase" localSheetId="7" hidden="1">'附表6-收入明细采集底稿'!$A$6:$Z$201</definedName>
    <definedName name="_xlnm._FilterDatabase" localSheetId="8" hidden="1">'附表7-扣除项目明细采集底稿'!$A$6:$AB$158</definedName>
    <definedName name="_xlnm.Print_Area" localSheetId="2">'附表1-面积统计表'!$A$1:$K$35</definedName>
    <definedName name="_xlnm.Print_Area" localSheetId="3">'附表2-收入统计表'!$A$1:$F$13</definedName>
    <definedName name="_xlnm.Print_Area" localSheetId="4">'附表3-扣除项目分摊表'!$A$1:$N$27</definedName>
    <definedName name="_xlnm.Print_Area" localSheetId="6">'附表5-扣除项目统计表'!$1:$87</definedName>
    <definedName name="_xlnm.Print_Area" localSheetId="7">'附表6-收入明细采集底稿'!$A$1:$Z$41</definedName>
    <definedName name="_xlnm.Print_Area" localSheetId="8">'附表7-扣除项目明细采集底稿'!$A:$AB</definedName>
    <definedName name="_xlnm.Print_Area" localSheetId="0">清算项目基本情况表!$A$1:$AI$36</definedName>
    <definedName name="_xlnm.Print_Area" localSheetId="1">土地增值税税源明细表!$A$1:$L$48</definedName>
    <definedName name="_xlnm.Print_Titles" localSheetId="4">'附表3-扣除项目分摊表'!$3:$5</definedName>
    <definedName name="_xlnm.Print_Titles" localSheetId="6">'附表5-扣除项目统计表'!$3:$5</definedName>
    <definedName name="_xlnm.Print_Titles" localSheetId="7">'附表6-收入明细采集底稿'!$3:$4</definedName>
    <definedName name="_xlnm.Print_Titles" localSheetId="8">'附表7-扣除项目明细采集底稿'!$3:$4</definedName>
    <definedName name="_xlnm.Print_Titles" localSheetId="1">土地增值税税源明细表!$10:$10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aa</author>
  </authors>
  <commentList>
    <comment ref="Q11" authorId="0">
      <text>
        <r>
          <rPr>
            <b/>
            <sz val="9"/>
            <rFont val="宋体"/>
            <charset val="134"/>
          </rPr>
          <t>aa:</t>
        </r>
        <r>
          <rPr>
            <sz val="9"/>
            <rFont val="宋体"/>
            <charset val="134"/>
          </rPr>
          <t xml:space="preserve">
清算期间缴纳配套设施费契税</t>
        </r>
      </text>
    </comment>
    <comment ref="Q82" authorId="0">
      <text>
        <r>
          <rPr>
            <b/>
            <sz val="9"/>
            <rFont val="宋体"/>
            <charset val="134"/>
          </rPr>
          <t>aa:</t>
        </r>
        <r>
          <rPr>
            <sz val="9"/>
            <rFont val="宋体"/>
            <charset val="134"/>
          </rPr>
          <t xml:space="preserve">
配套设施费转入</t>
        </r>
      </text>
    </comment>
    <comment ref="Q119" authorId="0">
      <text>
        <r>
          <rPr>
            <b/>
            <sz val="9"/>
            <rFont val="宋体"/>
            <charset val="134"/>
          </rPr>
          <t>aa:</t>
        </r>
        <r>
          <rPr>
            <sz val="9"/>
            <rFont val="宋体"/>
            <charset val="134"/>
          </rPr>
          <t xml:space="preserve">
巴州坚美生态餐厅钢结构改造清算期间转入</t>
        </r>
      </text>
    </comment>
    <comment ref="Q136" authorId="0">
      <text>
        <r>
          <rPr>
            <b/>
            <sz val="9"/>
            <rFont val="宋体"/>
            <charset val="134"/>
          </rPr>
          <t>aa:</t>
        </r>
        <r>
          <rPr>
            <sz val="9"/>
            <rFont val="宋体"/>
            <charset val="134"/>
          </rPr>
          <t xml:space="preserve">
通力建设清算期间提供无负压供水设备款1228668.78</t>
        </r>
      </text>
    </comment>
  </commentList>
</comments>
</file>

<file path=xl/sharedStrings.xml><?xml version="1.0" encoding="utf-8"?>
<sst xmlns="http://schemas.openxmlformats.org/spreadsheetml/2006/main" count="5515" uniqueCount="1774">
  <si>
    <r>
      <rPr>
        <sz val="26"/>
        <color theme="1"/>
        <rFont val="方正小标宋简体"/>
        <charset val="134"/>
      </rPr>
      <t>T10000</t>
    </r>
    <r>
      <rPr>
        <sz val="26"/>
        <color theme="1"/>
        <rFont val="微软雅黑"/>
        <charset val="134"/>
      </rPr>
      <t>清算项目基本情况表</t>
    </r>
  </si>
  <si>
    <t>（从事房地产开发的纳税人适用）</t>
  </si>
  <si>
    <t>纳税人识别号：</t>
  </si>
  <si>
    <t>91652801576209018D</t>
  </si>
  <si>
    <t>纳税人名称：</t>
  </si>
  <si>
    <t>新疆通力房地产开发有限公司库尔勒分公司</t>
  </si>
  <si>
    <t>*填表日期：</t>
  </si>
  <si>
    <t>2023-07-10</t>
  </si>
  <si>
    <t>金额单位:人民币元(列至角分)</t>
  </si>
  <si>
    <t>面积单位:平方米</t>
  </si>
  <si>
    <t>项目基本情况</t>
  </si>
  <si>
    <t>*项目名称</t>
  </si>
  <si>
    <t>通力华庭</t>
  </si>
  <si>
    <t>*项目编码</t>
  </si>
  <si>
    <t>Z65280120160100</t>
  </si>
  <si>
    <t>*是否属于分期开发项目</t>
  </si>
  <si>
    <t>否</t>
  </si>
  <si>
    <t>*项目地址</t>
  </si>
  <si>
    <t>萨依巴格辖区人民东路北四巷通力华庭</t>
  </si>
  <si>
    <t>*总预算成本</t>
  </si>
  <si>
    <t>*项目所在地主管税务机关</t>
  </si>
  <si>
    <t>国家税务总局库尔勒市税务局</t>
  </si>
  <si>
    <t>*项目所在地主管税务所（科/分局）</t>
  </si>
  <si>
    <t>库尔勒市税务局税源管理一股</t>
  </si>
  <si>
    <t>*土地使用权出（转）让合同签订日期</t>
  </si>
  <si>
    <t>*开发土地总面积</t>
  </si>
  <si>
    <t>*开发建筑总面积</t>
  </si>
  <si>
    <t>*项目总地价款</t>
  </si>
  <si>
    <t>*容积率</t>
  </si>
  <si>
    <t>*绿地率</t>
  </si>
  <si>
    <t>项目开工日期</t>
  </si>
  <si>
    <t>2015-10-25</t>
  </si>
  <si>
    <t>整体竣工日期</t>
  </si>
  <si>
    <t>2017-07-31</t>
  </si>
  <si>
    <t>最后一个销（预）售证取得时间</t>
  </si>
  <si>
    <t>2014-06-05</t>
  </si>
  <si>
    <t>发改部门立项信息</t>
  </si>
  <si>
    <t>序号</t>
  </si>
  <si>
    <t>投资项目代码</t>
  </si>
  <si>
    <t>项目名称</t>
  </si>
  <si>
    <t>项目总投资</t>
  </si>
  <si>
    <t>建筑面积</t>
  </si>
  <si>
    <t>1</t>
  </si>
  <si>
    <t>巴发改建登【2013】5号</t>
  </si>
  <si>
    <t>通力华庭B座项目</t>
  </si>
  <si>
    <t>土地使用权信息</t>
  </si>
  <si>
    <t>不动产权证号</t>
  </si>
  <si>
    <t>不动产单元号</t>
  </si>
  <si>
    <t>权利类型</t>
  </si>
  <si>
    <t>权利性质</t>
  </si>
  <si>
    <t>用途</t>
  </si>
  <si>
    <t>面积</t>
  </si>
  <si>
    <t>使用期限</t>
  </si>
  <si>
    <t>土地使用权证发证日期</t>
  </si>
  <si>
    <t>库国用（2014）00000255号</t>
  </si>
  <si>
    <t>6528010020030024001</t>
  </si>
  <si>
    <t>国有建设用地使用权</t>
  </si>
  <si>
    <t>出让</t>
  </si>
  <si>
    <t>房地产开发企业的开发用地</t>
  </si>
  <si>
    <t>2014-09-10</t>
  </si>
  <si>
    <t>建设用地规划许可信息</t>
  </si>
  <si>
    <t>建设用地规划许可证编号</t>
  </si>
  <si>
    <t>用地项目名称</t>
  </si>
  <si>
    <t>用地位置</t>
  </si>
  <si>
    <t>用地面积</t>
  </si>
  <si>
    <t>建设规模</t>
  </si>
  <si>
    <t>发证日期</t>
  </si>
  <si>
    <t>地字第652800201300048</t>
  </si>
  <si>
    <t>商住楼</t>
  </si>
  <si>
    <t>3号小区、广场路东北侧</t>
  </si>
  <si>
    <t>2013-06-13</t>
  </si>
  <si>
    <t>建设工程规划许可信息</t>
  </si>
  <si>
    <t>建设工程规划许可证编号</t>
  </si>
  <si>
    <t>建设项目名称</t>
  </si>
  <si>
    <t>建设位置</t>
  </si>
  <si>
    <t>*发证日期</t>
  </si>
  <si>
    <t>建字第652800201300277</t>
  </si>
  <si>
    <t>底商住宅楼（剪力墙）</t>
  </si>
  <si>
    <t>3号小区广场路东北侧</t>
  </si>
  <si>
    <t>2013-07-05</t>
  </si>
  <si>
    <t>建筑工程施工许可信息</t>
  </si>
  <si>
    <t>建筑工程施工许可证编号</t>
  </si>
  <si>
    <t>工程名称</t>
  </si>
  <si>
    <t>建设地址</t>
  </si>
  <si>
    <t>合同价格</t>
  </si>
  <si>
    <t>施工单位名称</t>
  </si>
  <si>
    <t>合同开工日期</t>
  </si>
  <si>
    <t>合同竣工日期</t>
  </si>
  <si>
    <t>652801201404110010</t>
  </si>
  <si>
    <t>通力华庭B座底商住宅楼</t>
  </si>
  <si>
    <t>库尔勒市楼兰宾馆东侧</t>
  </si>
  <si>
    <t>新疆通力建设集团股份有限公司</t>
  </si>
  <si>
    <t>2013-10-25</t>
  </si>
  <si>
    <t>2015-11-15</t>
  </si>
  <si>
    <t>2014-04-14</t>
  </si>
  <si>
    <t>预售许可信息</t>
  </si>
  <si>
    <t>预售许可证编号</t>
  </si>
  <si>
    <r>
      <rPr>
        <sz val="14"/>
        <color theme="1"/>
        <rFont val="宋体"/>
        <charset val="134"/>
      </rPr>
      <t>预售款专用帐户网点、帐号</t>
    </r>
    <r>
      <rPr>
        <sz val="14"/>
        <color theme="1"/>
        <rFont val="Times New Roman"/>
        <charset val="134"/>
      </rPr>
      <t> </t>
    </r>
  </si>
  <si>
    <t>预售房屋建筑面积</t>
  </si>
  <si>
    <t>预售套数</t>
  </si>
  <si>
    <t>住宅</t>
  </si>
  <si>
    <t>商业用房</t>
  </si>
  <si>
    <t>办公用房</t>
  </si>
  <si>
    <t>车位车库</t>
  </si>
  <si>
    <t>其他</t>
  </si>
  <si>
    <t>合计</t>
  </si>
  <si>
    <r>
      <rPr>
        <sz val="14"/>
        <color theme="1"/>
        <rFont val="宋体"/>
        <charset val="134"/>
      </rPr>
      <t>车位车库</t>
    </r>
    <r>
      <rPr>
        <sz val="14"/>
        <color theme="1"/>
        <rFont val="Times New Roman"/>
        <charset val="134"/>
      </rPr>
      <t> </t>
    </r>
  </si>
  <si>
    <t>新建房许字（20）14）058号</t>
  </si>
  <si>
    <t>通力华庭1栋</t>
  </si>
  <si>
    <t/>
  </si>
  <si>
    <t xml:space="preserve">现售备案信息 </t>
  </si>
  <si>
    <t>现售备案证书编号</t>
  </si>
  <si>
    <t>现售房屋建筑面积</t>
  </si>
  <si>
    <t>000000</t>
  </si>
  <si>
    <t>2017-08-15</t>
  </si>
  <si>
    <t>建设工程竣工验收信息</t>
  </si>
  <si>
    <t>竣工的建筑工程施工许可证编号</t>
  </si>
  <si>
    <t>验收日期</t>
  </si>
  <si>
    <t>*备案日期</t>
  </si>
  <si>
    <t>竣工工程造价</t>
  </si>
  <si>
    <t>竣工面积</t>
  </si>
  <si>
    <r>
      <rPr>
        <sz val="20"/>
        <rFont val="方正小标宋简体"/>
        <charset val="134"/>
      </rPr>
      <t>T20000</t>
    </r>
    <r>
      <rPr>
        <sz val="20"/>
        <rFont val="微软雅黑"/>
        <charset val="134"/>
      </rPr>
      <t>土地增值税税源明细表</t>
    </r>
  </si>
  <si>
    <t>税款所属期间：</t>
  </si>
  <si>
    <t xml:space="preserve">     2015 年   10 月  25  日 至    2023   年  7  月  31  日</t>
  </si>
  <si>
    <t>纳税人识别号(统一社会信用代码):</t>
  </si>
  <si>
    <t xml:space="preserve">纳税人名称: </t>
  </si>
  <si>
    <t>项目编码</t>
  </si>
  <si>
    <t>项目地址</t>
  </si>
  <si>
    <t>分配方法</t>
  </si>
  <si>
    <t>三分法</t>
  </si>
  <si>
    <t>项目总可售面积</t>
  </si>
  <si>
    <t>自用和出租面积</t>
  </si>
  <si>
    <t>已售面积</t>
  </si>
  <si>
    <t>其中:普通住宅已售面积</t>
  </si>
  <si>
    <t>其中:非普通住宅已售面积</t>
  </si>
  <si>
    <t>其中:其他类型房地产已售面积</t>
  </si>
  <si>
    <t>清算后剩余可售面积</t>
  </si>
  <si>
    <t>其中:普通住宅剩余可售面积</t>
  </si>
  <si>
    <t>其中:非普通住宅剩余可售面积</t>
  </si>
  <si>
    <t>其中:其他类型房地产剩余可售面积</t>
  </si>
  <si>
    <t>项目</t>
  </si>
  <si>
    <t>行次</t>
  </si>
  <si>
    <t>普通住宅</t>
  </si>
  <si>
    <t>非普通住宅</t>
  </si>
  <si>
    <t>其他类型房产</t>
  </si>
  <si>
    <t>总额</t>
  </si>
  <si>
    <t>一、转让房地产收入总额</t>
  </si>
  <si>
    <t>1=2+3+4</t>
  </si>
  <si>
    <t>1.货币收入</t>
  </si>
  <si>
    <t>2.实物收入及其他收入</t>
  </si>
  <si>
    <t>3.视同销售收入</t>
  </si>
  <si>
    <t>二、扣除项目金额合计</t>
  </si>
  <si>
    <t>5=6+7+14+17+21+22</t>
  </si>
  <si>
    <t>1.取得土地使用权所支付的金额</t>
  </si>
  <si>
    <t>其中：不可加计扣除金额</t>
  </si>
  <si>
    <t>6-1</t>
  </si>
  <si>
    <t>2.房地产开发成本</t>
  </si>
  <si>
    <t>7=8+9+10+11+12+13</t>
  </si>
  <si>
    <t>其中：土地征用及拆迁补偿费</t>
  </si>
  <si>
    <t xml:space="preserve">      前期工程费</t>
  </si>
  <si>
    <t xml:space="preserve">      建筑安装工程费</t>
  </si>
  <si>
    <t xml:space="preserve">      基础设施费</t>
  </si>
  <si>
    <t xml:space="preserve">      公共配套设施费</t>
  </si>
  <si>
    <t xml:space="preserve">      开发间接费用</t>
  </si>
  <si>
    <t>7-1</t>
  </si>
  <si>
    <t>3.房地产开发费用</t>
  </si>
  <si>
    <t>14=15+16</t>
  </si>
  <si>
    <t>其中：利息支出</t>
  </si>
  <si>
    <t xml:space="preserve">      其他房地产开发费用</t>
  </si>
  <si>
    <t>4.与转让房地产有关的税金等</t>
  </si>
  <si>
    <t>17=18+19+20</t>
  </si>
  <si>
    <t>其中：营业税</t>
  </si>
  <si>
    <t xml:space="preserve">      城市维护建设税</t>
  </si>
  <si>
    <t xml:space="preserve">      教育费附加</t>
  </si>
  <si>
    <t>5.财政部规定的其他扣除项目</t>
  </si>
  <si>
    <t>6.代收费用</t>
  </si>
  <si>
    <t>三、增值额</t>
  </si>
  <si>
    <t>23=1-5</t>
  </si>
  <si>
    <t>四、增值额与扣除项目金额之比（%）</t>
  </si>
  <si>
    <t>24=23÷5</t>
  </si>
  <si>
    <t>五、适用税率（%）</t>
  </si>
  <si>
    <t>六、速算扣除系数（%）</t>
  </si>
  <si>
    <t>七、应缴土地增值税税额</t>
  </si>
  <si>
    <t>27=23*25-5*26</t>
  </si>
  <si>
    <t>八、减免税额</t>
  </si>
  <si>
    <t>28=30+32+34</t>
  </si>
  <si>
    <t>其中：减免税（1）</t>
  </si>
  <si>
    <t>减免性质代码和项目名称(1)</t>
  </si>
  <si>
    <t>减免税额(1)</t>
  </si>
  <si>
    <t xml:space="preserve">      减免税（2）</t>
  </si>
  <si>
    <t>减免性质代码和项目名称(2)</t>
  </si>
  <si>
    <t>减免税额(2)</t>
  </si>
  <si>
    <t xml:space="preserve">      减免税（3）</t>
  </si>
  <si>
    <t>减免性质代码和项目名称(3)</t>
  </si>
  <si>
    <t>减免税额(3)</t>
  </si>
  <si>
    <t>九、已缴土地增值税税额</t>
  </si>
  <si>
    <t>十、应补（退）土地增值税税额</t>
  </si>
  <si>
    <t>36=27-28-35</t>
  </si>
  <si>
    <r>
      <rPr>
        <sz val="16"/>
        <rFont val="方正小标宋简体"/>
        <charset val="134"/>
      </rPr>
      <t>T21000</t>
    </r>
    <r>
      <rPr>
        <sz val="16"/>
        <rFont val="微软雅黑"/>
        <charset val="134"/>
      </rPr>
      <t>附表</t>
    </r>
    <r>
      <rPr>
        <sz val="16"/>
        <rFont val="方正小标宋简体"/>
        <charset val="134"/>
      </rPr>
      <t>1-</t>
    </r>
    <r>
      <rPr>
        <sz val="16"/>
        <rFont val="微软雅黑"/>
        <charset val="134"/>
      </rPr>
      <t>面积统计表</t>
    </r>
  </si>
  <si>
    <t xml:space="preserve">面积基本信息  </t>
  </si>
  <si>
    <t>房屋类型</t>
  </si>
  <si>
    <t>测绘总建筑面积</t>
  </si>
  <si>
    <t>不可销售建筑面积</t>
  </si>
  <si>
    <t>总可售建筑面积</t>
  </si>
  <si>
    <t>已售建筑面积</t>
  </si>
  <si>
    <t>剩余可售建筑面积</t>
  </si>
  <si>
    <t>自用建筑面积</t>
  </si>
  <si>
    <t>出租建筑面积</t>
  </si>
  <si>
    <t>说明</t>
  </si>
  <si>
    <t>1=2+3</t>
  </si>
  <si>
    <t>2</t>
  </si>
  <si>
    <t>3</t>
  </si>
  <si>
    <t>4</t>
  </si>
  <si>
    <t>5=3-4
5≥6+7</t>
  </si>
  <si>
    <t>6</t>
  </si>
  <si>
    <t>7</t>
  </si>
  <si>
    <t>8</t>
  </si>
  <si>
    <t>面积比例信息</t>
  </si>
  <si>
    <t>可售面积</t>
  </si>
  <si>
    <t>销售比例</t>
  </si>
  <si>
    <t>自用比例</t>
  </si>
  <si>
    <t>出租比例</t>
  </si>
  <si>
    <t>销售、出租、自用比例</t>
  </si>
  <si>
    <t>9</t>
  </si>
  <si>
    <t>10</t>
  </si>
  <si>
    <t>11=10÷9</t>
  </si>
  <si>
    <t>12</t>
  </si>
  <si>
    <t>13</t>
  </si>
  <si>
    <t>14</t>
  </si>
  <si>
    <t>15</t>
  </si>
  <si>
    <r>
      <rPr>
        <sz val="16"/>
        <color indexed="8"/>
        <rFont val="方正小标宋简体"/>
        <charset val="134"/>
      </rPr>
      <t>T22000</t>
    </r>
    <r>
      <rPr>
        <sz val="16"/>
        <color rgb="FF000000"/>
        <rFont val="微软雅黑"/>
        <charset val="134"/>
      </rPr>
      <t>附表</t>
    </r>
    <r>
      <rPr>
        <sz val="16"/>
        <color indexed="8"/>
        <rFont val="方正小标宋简体"/>
        <charset val="134"/>
      </rPr>
      <t>2-</t>
    </r>
    <r>
      <rPr>
        <sz val="16"/>
        <color rgb="FF000000"/>
        <rFont val="微软雅黑"/>
        <charset val="134"/>
      </rPr>
      <t>收入统计表</t>
    </r>
  </si>
  <si>
    <t>清算类别</t>
  </si>
  <si>
    <t>货币收入</t>
  </si>
  <si>
    <t>实物收入及其他收入</t>
  </si>
  <si>
    <t>视同销售收入</t>
  </si>
  <si>
    <t>小计</t>
  </si>
  <si>
    <t>4=1+2+3</t>
  </si>
  <si>
    <r>
      <rPr>
        <sz val="16"/>
        <color rgb="FF000000"/>
        <rFont val="方正小标宋简体"/>
        <charset val="134"/>
      </rPr>
      <t>T23000</t>
    </r>
    <r>
      <rPr>
        <sz val="16"/>
        <color rgb="FF000000"/>
        <rFont val="微软雅黑"/>
        <charset val="134"/>
      </rPr>
      <t>附表</t>
    </r>
    <r>
      <rPr>
        <sz val="16"/>
        <color rgb="FF000000"/>
        <rFont val="方正小标宋简体"/>
        <charset val="134"/>
      </rPr>
      <t>3-</t>
    </r>
    <r>
      <rPr>
        <sz val="16"/>
        <color rgb="FF000000"/>
        <rFont val="微软雅黑"/>
        <charset val="134"/>
      </rPr>
      <t>扣除项目分摊表</t>
    </r>
  </si>
  <si>
    <t>科目名称</t>
  </si>
  <si>
    <t>总扣除金额</t>
  </si>
  <si>
    <t>本次扣除比例</t>
  </si>
  <si>
    <t>本次扣除金额</t>
  </si>
  <si>
    <t>分摊方法</t>
  </si>
  <si>
    <t>5</t>
  </si>
  <si>
    <t>9=1*6</t>
  </si>
  <si>
    <t>10=2*7</t>
  </si>
  <si>
    <t>11=3*8</t>
  </si>
  <si>
    <t>12=9+10+11</t>
  </si>
  <si>
    <t>扣除项目金额合计</t>
  </si>
  <si>
    <t>1=2+4+12+15+21+22</t>
  </si>
  <si>
    <t>其他合理方法</t>
  </si>
  <si>
    <t>可售建筑面积法</t>
  </si>
  <si>
    <t>4=5+6+7+8+9+10</t>
  </si>
  <si>
    <t>11</t>
  </si>
  <si>
    <t>12=13+14</t>
  </si>
  <si>
    <t>与加计扣除一致</t>
  </si>
  <si>
    <t>15=16+17+18+19+20</t>
  </si>
  <si>
    <t>16</t>
  </si>
  <si>
    <t>17</t>
  </si>
  <si>
    <t>18</t>
  </si>
  <si>
    <t xml:space="preserve">      地方教育附加</t>
  </si>
  <si>
    <t>19</t>
  </si>
  <si>
    <t xml:space="preserve">      其他税（费）</t>
  </si>
  <si>
    <t>20</t>
  </si>
  <si>
    <t>21=[(2-3)+(4-11)]*20%</t>
  </si>
  <si>
    <t>22</t>
  </si>
  <si>
    <t>附表4-项目间分摊信息采集表</t>
  </si>
  <si>
    <t>*是否已办理项目报告</t>
  </si>
  <si>
    <t>开发土地总面积</t>
  </si>
  <si>
    <t>其他分摊方法数额</t>
  </si>
  <si>
    <t>备注</t>
  </si>
  <si>
    <t>是</t>
  </si>
  <si>
    <t>本次清算项目</t>
  </si>
  <si>
    <r>
      <rPr>
        <sz val="14"/>
        <rFont val="方正小标宋简体"/>
        <charset val="134"/>
      </rPr>
      <t>T23200</t>
    </r>
    <r>
      <rPr>
        <sz val="14"/>
        <rFont val="微软雅黑"/>
        <charset val="134"/>
      </rPr>
      <t>附表</t>
    </r>
    <r>
      <rPr>
        <sz val="14"/>
        <rFont val="方正小标宋简体"/>
        <charset val="134"/>
      </rPr>
      <t>5-</t>
    </r>
    <r>
      <rPr>
        <sz val="14"/>
        <rFont val="微软雅黑"/>
        <charset val="134"/>
      </rPr>
      <t>扣除项目统计表</t>
    </r>
  </si>
  <si>
    <t>直接归集成本费用</t>
  </si>
  <si>
    <t>共同成本费用</t>
  </si>
  <si>
    <t>8=5+6+7</t>
  </si>
  <si>
    <t>9=4+8</t>
  </si>
  <si>
    <t>其中</t>
  </si>
  <si>
    <t>房地产开发成本</t>
  </si>
  <si>
    <t>计算扣除</t>
  </si>
  <si>
    <t>其它房地产开发费用</t>
  </si>
  <si>
    <t>与转让房地产有关的税金</t>
  </si>
  <si>
    <t>营业税</t>
  </si>
  <si>
    <t>城市维护建设税</t>
  </si>
  <si>
    <t>教育费附加</t>
  </si>
  <si>
    <t>地方教育费附加</t>
  </si>
  <si>
    <t>其他税（费）</t>
  </si>
  <si>
    <t>财政部规定的其他扣除项目</t>
  </si>
  <si>
    <t>代收费用</t>
  </si>
  <si>
    <r>
      <rPr>
        <sz val="16"/>
        <color rgb="FF000000"/>
        <rFont val="方正小标宋简体"/>
        <charset val="134"/>
      </rPr>
      <t>T22100</t>
    </r>
    <r>
      <rPr>
        <sz val="16"/>
        <color rgb="FF000000"/>
        <rFont val="微软雅黑"/>
        <charset val="134"/>
      </rPr>
      <t>附表</t>
    </r>
    <r>
      <rPr>
        <sz val="16"/>
        <color rgb="FF000000"/>
        <rFont val="方正小标宋简体"/>
        <charset val="134"/>
      </rPr>
      <t>6-</t>
    </r>
    <r>
      <rPr>
        <sz val="16"/>
        <color rgb="FF000000"/>
        <rFont val="微软雅黑"/>
        <charset val="134"/>
      </rPr>
      <t>收入明细采集底稿</t>
    </r>
  </si>
  <si>
    <t>幢号</t>
  </si>
  <si>
    <t>单元号</t>
  </si>
  <si>
    <t>*楼层</t>
  </si>
  <si>
    <t>*房号</t>
  </si>
  <si>
    <t>*房屋类型</t>
  </si>
  <si>
    <t>*房屋状态</t>
  </si>
  <si>
    <t>*收入类型</t>
  </si>
  <si>
    <t>（网签）合同编号</t>
  </si>
  <si>
    <t>*合同签订时间</t>
  </si>
  <si>
    <t>合同金额</t>
  </si>
  <si>
    <t>购房人姓名</t>
  </si>
  <si>
    <t>合同建筑面积（㎡）</t>
  </si>
  <si>
    <t>合同套内面积（㎡）</t>
  </si>
  <si>
    <t>*实测建筑面积（㎡）</t>
  </si>
  <si>
    <t>实测套内面积（㎡）</t>
  </si>
  <si>
    <t>朝向</t>
  </si>
  <si>
    <t>发票代码</t>
  </si>
  <si>
    <t>发票号码</t>
  </si>
  <si>
    <t>发票金额</t>
  </si>
  <si>
    <t>发票税额</t>
  </si>
  <si>
    <t>发票价税合计</t>
  </si>
  <si>
    <t>*土地增值税应税收入</t>
  </si>
  <si>
    <t>土地增值税应税单价</t>
  </si>
  <si>
    <t>情况说明</t>
  </si>
  <si>
    <t>总计</t>
  </si>
  <si>
    <t>*</t>
  </si>
  <si>
    <t>筛选小计</t>
  </si>
  <si>
    <t>列次</t>
  </si>
  <si>
    <t>13≥14</t>
  </si>
  <si>
    <t>15≥16</t>
  </si>
  <si>
    <t>21</t>
  </si>
  <si>
    <t>22=20+21</t>
  </si>
  <si>
    <t>23</t>
  </si>
  <si>
    <t>24=23÷15</t>
  </si>
  <si>
    <t>25</t>
  </si>
  <si>
    <t>-2</t>
  </si>
  <si>
    <t>-201</t>
  </si>
  <si>
    <t>其他非营业性房产</t>
  </si>
  <si>
    <t>未售</t>
  </si>
  <si>
    <t>-202</t>
  </si>
  <si>
    <t>-203</t>
  </si>
  <si>
    <t>-1</t>
  </si>
  <si>
    <t>-101</t>
  </si>
  <si>
    <t>-102</t>
  </si>
  <si>
    <t>不可售</t>
  </si>
  <si>
    <t>101</t>
  </si>
  <si>
    <t>102</t>
  </si>
  <si>
    <t>103</t>
  </si>
  <si>
    <t>104</t>
  </si>
  <si>
    <t>105</t>
  </si>
  <si>
    <t>已售</t>
  </si>
  <si>
    <t>KELXS00019639</t>
  </si>
  <si>
    <t>廖庆奎</t>
  </si>
  <si>
    <t>03490996</t>
  </si>
  <si>
    <t>106</t>
  </si>
  <si>
    <t>20190004956</t>
  </si>
  <si>
    <t>斯琴</t>
  </si>
  <si>
    <t>03497013</t>
  </si>
  <si>
    <t>107</t>
  </si>
  <si>
    <t>出租</t>
  </si>
  <si>
    <t>108</t>
  </si>
  <si>
    <t>201</t>
  </si>
  <si>
    <t>301</t>
  </si>
  <si>
    <t>KELYS00066762</t>
  </si>
  <si>
    <t>刘文明</t>
  </si>
  <si>
    <t>03778284</t>
  </si>
  <si>
    <t>302</t>
  </si>
  <si>
    <t>KLELYS00065457</t>
  </si>
  <si>
    <t>刘坤</t>
  </si>
  <si>
    <t>03497004</t>
  </si>
  <si>
    <t>303</t>
  </si>
  <si>
    <t>KLELYS00064487</t>
  </si>
  <si>
    <t>马建伟</t>
  </si>
  <si>
    <t>03778266</t>
  </si>
  <si>
    <t>304</t>
  </si>
  <si>
    <t>KLELYS00065103</t>
  </si>
  <si>
    <t>刘金华</t>
  </si>
  <si>
    <t>03778256</t>
  </si>
  <si>
    <t>305</t>
  </si>
  <si>
    <t>KELYS00070453</t>
  </si>
  <si>
    <t>董秀英</t>
  </si>
  <si>
    <t>03469875</t>
  </si>
  <si>
    <t>306</t>
  </si>
  <si>
    <t>KLELYS00063169</t>
  </si>
  <si>
    <t>巴依尔</t>
  </si>
  <si>
    <t>03778290</t>
  </si>
  <si>
    <t>307</t>
  </si>
  <si>
    <t>20190002320</t>
  </si>
  <si>
    <t>王仲梅</t>
  </si>
  <si>
    <t>03497010</t>
  </si>
  <si>
    <t>308</t>
  </si>
  <si>
    <t>KELYS00067272</t>
  </si>
  <si>
    <t>李朋利</t>
  </si>
  <si>
    <t>03490969</t>
  </si>
  <si>
    <t>24</t>
  </si>
  <si>
    <t>309</t>
  </si>
  <si>
    <t>KLELYS00066072</t>
  </si>
  <si>
    <t>严青霞</t>
  </si>
  <si>
    <t>03778270</t>
  </si>
  <si>
    <t>401</t>
  </si>
  <si>
    <t>KLELYS00063646</t>
  </si>
  <si>
    <t>丁道理</t>
  </si>
  <si>
    <t>03490972</t>
  </si>
  <si>
    <t>26</t>
  </si>
  <si>
    <t>402</t>
  </si>
  <si>
    <t>KELYS00068113</t>
  </si>
  <si>
    <t>郭彩霞</t>
  </si>
  <si>
    <t>03778287</t>
  </si>
  <si>
    <t>27</t>
  </si>
  <si>
    <t>403</t>
  </si>
  <si>
    <t>KLELYS00063714</t>
  </si>
  <si>
    <t>徐梅</t>
  </si>
  <si>
    <t>03490971</t>
  </si>
  <si>
    <t>28</t>
  </si>
  <si>
    <t>404</t>
  </si>
  <si>
    <t>KLELYS00065529</t>
  </si>
  <si>
    <t>马丽</t>
  </si>
  <si>
    <t>03469871</t>
  </si>
  <si>
    <t>29</t>
  </si>
  <si>
    <t>405</t>
  </si>
  <si>
    <t>KLELYS00065652</t>
  </si>
  <si>
    <t>王丽军</t>
  </si>
  <si>
    <t>03490970</t>
  </si>
  <si>
    <t>30</t>
  </si>
  <si>
    <t>406</t>
  </si>
  <si>
    <t>20200003775</t>
  </si>
  <si>
    <t>吴景芬</t>
  </si>
  <si>
    <t>03720011</t>
  </si>
  <si>
    <t>31</t>
  </si>
  <si>
    <t>407</t>
  </si>
  <si>
    <t>KELYS00067476</t>
  </si>
  <si>
    <t>王波、郭悦</t>
  </si>
  <si>
    <t>03490980</t>
  </si>
  <si>
    <t>32</t>
  </si>
  <si>
    <t>408</t>
  </si>
  <si>
    <t>热依木江•尼牙孜</t>
  </si>
  <si>
    <t>01928566</t>
  </si>
  <si>
    <t>33</t>
  </si>
  <si>
    <t>409</t>
  </si>
  <si>
    <t>KLELYS00062474</t>
  </si>
  <si>
    <t>邹玉明</t>
  </si>
  <si>
    <t>03778260</t>
  </si>
  <si>
    <t>34</t>
  </si>
  <si>
    <t>501</t>
  </si>
  <si>
    <t>KLELYS00062093</t>
  </si>
  <si>
    <t>李国鹏</t>
  </si>
  <si>
    <t>03497016</t>
  </si>
  <si>
    <t>35</t>
  </si>
  <si>
    <t>502</t>
  </si>
  <si>
    <t>KLELYS00057178</t>
  </si>
  <si>
    <t>张静雯</t>
  </si>
  <si>
    <t>03490989</t>
  </si>
  <si>
    <t>36</t>
  </si>
  <si>
    <t>503</t>
  </si>
  <si>
    <t>KLELYS00051681</t>
  </si>
  <si>
    <t>霍忠和</t>
  </si>
  <si>
    <t>03520528</t>
  </si>
  <si>
    <t>37</t>
  </si>
  <si>
    <t>504</t>
  </si>
  <si>
    <t>KLELYS00050726</t>
  </si>
  <si>
    <t>沙依旦·道里昆</t>
  </si>
  <si>
    <t>03585077</t>
  </si>
  <si>
    <t>38</t>
  </si>
  <si>
    <t>505</t>
  </si>
  <si>
    <t>KLELYS00051713</t>
  </si>
  <si>
    <t>王军</t>
  </si>
  <si>
    <t>03520530</t>
  </si>
  <si>
    <t>39</t>
  </si>
  <si>
    <t>506</t>
  </si>
  <si>
    <t>KLELYS00063505</t>
  </si>
  <si>
    <t>梅莉娟</t>
  </si>
  <si>
    <t>03585093</t>
  </si>
  <si>
    <t>40</t>
  </si>
  <si>
    <t>507</t>
  </si>
  <si>
    <t>KELYS00057215</t>
  </si>
  <si>
    <t>徐丽丽</t>
  </si>
  <si>
    <t>03497006</t>
  </si>
  <si>
    <t>41</t>
  </si>
  <si>
    <t>508</t>
  </si>
  <si>
    <t>KELYS00070287</t>
  </si>
  <si>
    <t>赵丽</t>
  </si>
  <si>
    <t>03490968</t>
  </si>
  <si>
    <t>42</t>
  </si>
  <si>
    <t>509</t>
  </si>
  <si>
    <t>KELYS00062015</t>
  </si>
  <si>
    <t>支宏生</t>
  </si>
  <si>
    <t>03585087</t>
  </si>
  <si>
    <t>43</t>
  </si>
  <si>
    <t>601</t>
  </si>
  <si>
    <t>0160802</t>
  </si>
  <si>
    <t>刘恒涛</t>
  </si>
  <si>
    <t>03490998</t>
  </si>
  <si>
    <t>44</t>
  </si>
  <si>
    <t>602</t>
  </si>
  <si>
    <t>KELYS00015695</t>
  </si>
  <si>
    <t>闫虹、寇文誉</t>
  </si>
  <si>
    <t>03585013</t>
  </si>
  <si>
    <t>45</t>
  </si>
  <si>
    <t>603</t>
  </si>
  <si>
    <t>KLELYS00047301</t>
  </si>
  <si>
    <t>高辉</t>
  </si>
  <si>
    <t>03497014</t>
  </si>
  <si>
    <t>46</t>
  </si>
  <si>
    <t>604</t>
  </si>
  <si>
    <t>KLELYS00044628</t>
  </si>
  <si>
    <t>汪玉明</t>
  </si>
  <si>
    <t>09178445</t>
  </si>
  <si>
    <t>47</t>
  </si>
  <si>
    <t>605</t>
  </si>
  <si>
    <t>KELYS00049657</t>
  </si>
  <si>
    <t>董睿杰</t>
  </si>
  <si>
    <t>03497009</t>
  </si>
  <si>
    <t>48</t>
  </si>
  <si>
    <t>606</t>
  </si>
  <si>
    <t>KELYS00006452</t>
  </si>
  <si>
    <t>周宏伟</t>
  </si>
  <si>
    <t>03490987</t>
  </si>
  <si>
    <t>49</t>
  </si>
  <si>
    <t>607</t>
  </si>
  <si>
    <t>KELYS00035358</t>
  </si>
  <si>
    <t>蒲燕</t>
  </si>
  <si>
    <t>03553350</t>
  </si>
  <si>
    <t>50</t>
  </si>
  <si>
    <t>608</t>
  </si>
  <si>
    <t>KELYS00069482</t>
  </si>
  <si>
    <t>朱韦铭</t>
  </si>
  <si>
    <t>03469819</t>
  </si>
  <si>
    <t>51</t>
  </si>
  <si>
    <t>609</t>
  </si>
  <si>
    <t>KELYS00033727</t>
  </si>
  <si>
    <t>刘文诗</t>
  </si>
  <si>
    <t>03546256</t>
  </si>
  <si>
    <t>52</t>
  </si>
  <si>
    <t>701</t>
  </si>
  <si>
    <t>160801</t>
  </si>
  <si>
    <t>沈霞</t>
  </si>
  <si>
    <t>03497001</t>
  </si>
  <si>
    <t>53</t>
  </si>
  <si>
    <t>702</t>
  </si>
  <si>
    <t>160692</t>
  </si>
  <si>
    <t>余文玺</t>
  </si>
  <si>
    <t>03490977</t>
  </si>
  <si>
    <t>54</t>
  </si>
  <si>
    <t>703</t>
  </si>
  <si>
    <t>KELYS00033209</t>
  </si>
  <si>
    <t>刘彩霞</t>
  </si>
  <si>
    <t>03553356</t>
  </si>
  <si>
    <t>55</t>
  </si>
  <si>
    <t>704</t>
  </si>
  <si>
    <t>谢荣波</t>
  </si>
  <si>
    <t>01537176</t>
  </si>
  <si>
    <t>56</t>
  </si>
  <si>
    <t>705</t>
  </si>
  <si>
    <t>KELYS00008709</t>
  </si>
  <si>
    <t>帕合尔丁·木沙</t>
  </si>
  <si>
    <t>03469833</t>
  </si>
  <si>
    <t>57</t>
  </si>
  <si>
    <t>706</t>
  </si>
  <si>
    <t>KELYS00010676</t>
  </si>
  <si>
    <t>代国超</t>
  </si>
  <si>
    <t>03520519</t>
  </si>
  <si>
    <t>58</t>
  </si>
  <si>
    <t>707</t>
  </si>
  <si>
    <t>KELYS00038627</t>
  </si>
  <si>
    <t>付乾子</t>
  </si>
  <si>
    <t>01083075</t>
  </si>
  <si>
    <t>59</t>
  </si>
  <si>
    <t>708</t>
  </si>
  <si>
    <t xml:space="preserve"> KELXS00019635</t>
  </si>
  <si>
    <t>艾买尔江·木沙</t>
  </si>
  <si>
    <t>03497007</t>
  </si>
  <si>
    <t>60</t>
  </si>
  <si>
    <t>709</t>
  </si>
  <si>
    <t>KELYS00027659</t>
  </si>
  <si>
    <t>张和平</t>
  </si>
  <si>
    <t>03546254</t>
  </si>
  <si>
    <t>61</t>
  </si>
  <si>
    <t>801</t>
  </si>
  <si>
    <t>KELYS00047308</t>
  </si>
  <si>
    <t>孙建冰</t>
  </si>
  <si>
    <t>03469834</t>
  </si>
  <si>
    <t>62</t>
  </si>
  <si>
    <t>802</t>
  </si>
  <si>
    <t>KELYS00031527</t>
  </si>
  <si>
    <t>马小霞</t>
  </si>
  <si>
    <t>03546255</t>
  </si>
  <si>
    <t>63</t>
  </si>
  <si>
    <t>803</t>
  </si>
  <si>
    <t>KELYS00016627</t>
  </si>
  <si>
    <t>洪宁翊</t>
  </si>
  <si>
    <t>04520573</t>
  </si>
  <si>
    <t>64</t>
  </si>
  <si>
    <t>804</t>
  </si>
  <si>
    <t>KELYS00029086</t>
  </si>
  <si>
    <t>吴明月</t>
  </si>
  <si>
    <t>03546248</t>
  </si>
  <si>
    <t>65</t>
  </si>
  <si>
    <t>805</t>
  </si>
  <si>
    <t>KELYS00065804</t>
  </si>
  <si>
    <t>刘露曦</t>
  </si>
  <si>
    <t>03778265</t>
  </si>
  <si>
    <t>66</t>
  </si>
  <si>
    <t>806</t>
  </si>
  <si>
    <t>KELYS00033414</t>
  </si>
  <si>
    <t>侯文能</t>
  </si>
  <si>
    <t>03553357</t>
  </si>
  <si>
    <t>67</t>
  </si>
  <si>
    <t>807</t>
  </si>
  <si>
    <t>KELYS00065872</t>
  </si>
  <si>
    <t>周德伟</t>
  </si>
  <si>
    <t>03720006</t>
  </si>
  <si>
    <t>68</t>
  </si>
  <si>
    <t>808</t>
  </si>
  <si>
    <t>KELYS00063549</t>
  </si>
  <si>
    <t>刘孟江</t>
  </si>
  <si>
    <t>03585095</t>
  </si>
  <si>
    <t>69</t>
  </si>
  <si>
    <t>809</t>
  </si>
  <si>
    <t>156985</t>
  </si>
  <si>
    <t>姜艳</t>
  </si>
  <si>
    <t>09189098</t>
  </si>
  <si>
    <t>70</t>
  </si>
  <si>
    <t>901</t>
  </si>
  <si>
    <t>KELYS00013044</t>
  </si>
  <si>
    <t>黄德英</t>
  </si>
  <si>
    <t>03469835</t>
  </si>
  <si>
    <t>71</t>
  </si>
  <si>
    <t>902</t>
  </si>
  <si>
    <t>0156998</t>
  </si>
  <si>
    <t>王兆刚</t>
  </si>
  <si>
    <t>03469836</t>
  </si>
  <si>
    <t>72</t>
  </si>
  <si>
    <t>903</t>
  </si>
  <si>
    <t>0160817</t>
  </si>
  <si>
    <t>方正</t>
  </si>
  <si>
    <t>03469837</t>
  </si>
  <si>
    <t>73</t>
  </si>
  <si>
    <t>904</t>
  </si>
  <si>
    <t>KELYS00027058</t>
  </si>
  <si>
    <t>马银雪</t>
  </si>
  <si>
    <t>01089254</t>
  </si>
  <si>
    <t>74</t>
  </si>
  <si>
    <t>905</t>
  </si>
  <si>
    <t>KELYS00006360</t>
  </si>
  <si>
    <t>陈黎波</t>
  </si>
  <si>
    <t>03469838</t>
  </si>
  <si>
    <t>75</t>
  </si>
  <si>
    <t>906</t>
  </si>
  <si>
    <t>0156996</t>
  </si>
  <si>
    <t>郑雪霞</t>
  </si>
  <si>
    <t>03469839</t>
  </si>
  <si>
    <t>76</t>
  </si>
  <si>
    <t>907</t>
  </si>
  <si>
    <t>KELYS00025251</t>
  </si>
  <si>
    <t>胡盛兵</t>
  </si>
  <si>
    <t>01089260</t>
  </si>
  <si>
    <t>77</t>
  </si>
  <si>
    <t>908</t>
  </si>
  <si>
    <t>KELYS00009557</t>
  </si>
  <si>
    <t>杜红军</t>
  </si>
  <si>
    <t>03469840</t>
  </si>
  <si>
    <t>78</t>
  </si>
  <si>
    <t>909</t>
  </si>
  <si>
    <t xml:space="preserve"> KELXS00019637</t>
  </si>
  <si>
    <t>王伟杰</t>
  </si>
  <si>
    <t>03490993</t>
  </si>
  <si>
    <t>79</t>
  </si>
  <si>
    <t>1001</t>
  </si>
  <si>
    <t>KELYS00017937</t>
  </si>
  <si>
    <t>张峻豪</t>
  </si>
  <si>
    <t>03469841</t>
  </si>
  <si>
    <t>80</t>
  </si>
  <si>
    <t>1002</t>
  </si>
  <si>
    <t>KELYS00023873</t>
  </si>
  <si>
    <t>曾新民</t>
  </si>
  <si>
    <t>03469842</t>
  </si>
  <si>
    <t>81</t>
  </si>
  <si>
    <t>1003</t>
  </si>
  <si>
    <t>KELYS00033522</t>
  </si>
  <si>
    <t>孙林军</t>
  </si>
  <si>
    <t>03469843</t>
  </si>
  <si>
    <t>82</t>
  </si>
  <si>
    <t>1004</t>
  </si>
  <si>
    <t>KELYS00027361</t>
  </si>
  <si>
    <t>王燕</t>
  </si>
  <si>
    <t>01083128</t>
  </si>
  <si>
    <t>83</t>
  </si>
  <si>
    <t>1005</t>
  </si>
  <si>
    <t>KELYS00019152</t>
  </si>
  <si>
    <t>叶汉浩</t>
  </si>
  <si>
    <t>03469844</t>
  </si>
  <si>
    <t>84</t>
  </si>
  <si>
    <t>1006</t>
  </si>
  <si>
    <t>KELYS00013487</t>
  </si>
  <si>
    <t>玛依拉·艾山</t>
  </si>
  <si>
    <t>03469845</t>
  </si>
  <si>
    <t>85</t>
  </si>
  <si>
    <t>1007</t>
  </si>
  <si>
    <t>KELYS00052487</t>
  </si>
  <si>
    <t>朱艳红</t>
  </si>
  <si>
    <t>03520529</t>
  </si>
  <si>
    <t>86</t>
  </si>
  <si>
    <t>1008</t>
  </si>
  <si>
    <t>KELYS00011502</t>
  </si>
  <si>
    <t>周海龙</t>
  </si>
  <si>
    <t>03469846</t>
  </si>
  <si>
    <t>87</t>
  </si>
  <si>
    <t>1009</t>
  </si>
  <si>
    <t>20190001497</t>
  </si>
  <si>
    <t>李峰、叶薇薇</t>
  </si>
  <si>
    <t>01537174</t>
  </si>
  <si>
    <t>88</t>
  </si>
  <si>
    <t>1101</t>
  </si>
  <si>
    <t>KELYS00065504</t>
  </si>
  <si>
    <t>聂玺轩</t>
  </si>
  <si>
    <t>03778262</t>
  </si>
  <si>
    <t>89</t>
  </si>
  <si>
    <t>1102</t>
  </si>
  <si>
    <t>KELYS00022593</t>
  </si>
  <si>
    <t>陶柏霖</t>
  </si>
  <si>
    <t>03553345</t>
  </si>
  <si>
    <t>90</t>
  </si>
  <si>
    <t>1103</t>
  </si>
  <si>
    <t>KELYS00039718</t>
  </si>
  <si>
    <t>田美霞</t>
  </si>
  <si>
    <t>00004539</t>
  </si>
  <si>
    <t>91</t>
  </si>
  <si>
    <t>1104</t>
  </si>
  <si>
    <t>KELYS00067321</t>
  </si>
  <si>
    <t>朱元元</t>
  </si>
  <si>
    <t>03778283</t>
  </si>
  <si>
    <t>92</t>
  </si>
  <si>
    <t>1105</t>
  </si>
  <si>
    <t>KELYS00007829</t>
  </si>
  <si>
    <t>陈玮康</t>
  </si>
  <si>
    <t>03469847</t>
  </si>
  <si>
    <t>93</t>
  </si>
  <si>
    <t>1106</t>
  </si>
  <si>
    <t>KELYS00029540</t>
  </si>
  <si>
    <t>崔新颂</t>
  </si>
  <si>
    <t>01083071</t>
  </si>
  <si>
    <t>94</t>
  </si>
  <si>
    <t>1107</t>
  </si>
  <si>
    <t>KELYS00009993</t>
  </si>
  <si>
    <t>吴权庭</t>
  </si>
  <si>
    <t>03469848</t>
  </si>
  <si>
    <t>95</t>
  </si>
  <si>
    <t>1108</t>
  </si>
  <si>
    <t>KELYS00012650</t>
  </si>
  <si>
    <t>黄云霞</t>
  </si>
  <si>
    <t>03469849</t>
  </si>
  <si>
    <t>96</t>
  </si>
  <si>
    <t>1109</t>
  </si>
  <si>
    <t>KELYS00071570</t>
  </si>
  <si>
    <t>牟秀玲</t>
  </si>
  <si>
    <t>03490976</t>
  </si>
  <si>
    <t>97</t>
  </si>
  <si>
    <t>1201</t>
  </si>
  <si>
    <t>KELYS00009162</t>
  </si>
  <si>
    <t>张丽萍</t>
  </si>
  <si>
    <t>03469850</t>
  </si>
  <si>
    <t>98</t>
  </si>
  <si>
    <t>1202</t>
  </si>
  <si>
    <t>KELYS00061057</t>
  </si>
  <si>
    <t>高涛涛</t>
  </si>
  <si>
    <t>03469851</t>
  </si>
  <si>
    <t>99</t>
  </si>
  <si>
    <t>1203</t>
  </si>
  <si>
    <t>156960</t>
  </si>
  <si>
    <t>庞林</t>
  </si>
  <si>
    <t>03750098</t>
  </si>
  <si>
    <t>100</t>
  </si>
  <si>
    <t>1204</t>
  </si>
  <si>
    <t>KELYS00068114</t>
  </si>
  <si>
    <t>李青春</t>
  </si>
  <si>
    <t>03490982</t>
  </si>
  <si>
    <t>1205</t>
  </si>
  <si>
    <t>KELYS00008065</t>
  </si>
  <si>
    <t>曹雪芳</t>
  </si>
  <si>
    <t>03469853</t>
  </si>
  <si>
    <t>1206</t>
  </si>
  <si>
    <t>KEYLS00008341</t>
  </si>
  <si>
    <t>布鲁根其梅</t>
  </si>
  <si>
    <t>03469854</t>
  </si>
  <si>
    <t>1207</t>
  </si>
  <si>
    <t>156980</t>
  </si>
  <si>
    <t>杨俊涛</t>
  </si>
  <si>
    <t>03720010</t>
  </si>
  <si>
    <t>1208</t>
  </si>
  <si>
    <t>KELYS00031083</t>
  </si>
  <si>
    <t>袁汉友</t>
  </si>
  <si>
    <t>03553352</t>
  </si>
  <si>
    <t>1209</t>
  </si>
  <si>
    <t>KELYS00036793</t>
  </si>
  <si>
    <t>裴龙江</t>
  </si>
  <si>
    <t>00004004</t>
  </si>
  <si>
    <t>1301</t>
  </si>
  <si>
    <t>0160709</t>
  </si>
  <si>
    <t>李鹰</t>
  </si>
  <si>
    <t>03469855</t>
  </si>
  <si>
    <t>1302</t>
  </si>
  <si>
    <t>KELYS00018400</t>
  </si>
  <si>
    <t>李力</t>
  </si>
  <si>
    <t>00072575</t>
  </si>
  <si>
    <t>1303</t>
  </si>
  <si>
    <t>KELYS00010496</t>
  </si>
  <si>
    <t>魏晓锦</t>
  </si>
  <si>
    <t>03520518</t>
  </si>
  <si>
    <t>109</t>
  </si>
  <si>
    <t>1304</t>
  </si>
  <si>
    <t>KELYS00069028</t>
  </si>
  <si>
    <t>勾秀霞</t>
  </si>
  <si>
    <t>03497008</t>
  </si>
  <si>
    <t>110</t>
  </si>
  <si>
    <t>1305</t>
  </si>
  <si>
    <t>KELYS000654076</t>
  </si>
  <si>
    <t>曾峻峰</t>
  </si>
  <si>
    <t>03778289</t>
  </si>
  <si>
    <t>111</t>
  </si>
  <si>
    <t>1306</t>
  </si>
  <si>
    <t>156954</t>
  </si>
  <si>
    <t>马俊</t>
  </si>
  <si>
    <t>03490986</t>
  </si>
  <si>
    <t>112</t>
  </si>
  <si>
    <t>1307</t>
  </si>
  <si>
    <t>KELYS00029173</t>
  </si>
  <si>
    <t>曹海炜</t>
  </si>
  <si>
    <t>03553342</t>
  </si>
  <si>
    <t>113</t>
  </si>
  <si>
    <t>1308</t>
  </si>
  <si>
    <t>KELYS00055571</t>
  </si>
  <si>
    <t>高瑞阳</t>
  </si>
  <si>
    <t>03469856</t>
  </si>
  <si>
    <t>114</t>
  </si>
  <si>
    <t>1309</t>
  </si>
  <si>
    <t>KELYS00014590</t>
  </si>
  <si>
    <t>崔向阳</t>
  </si>
  <si>
    <t>03778286</t>
  </si>
  <si>
    <t>115</t>
  </si>
  <si>
    <t>1401</t>
  </si>
  <si>
    <t>KELYS00062682</t>
  </si>
  <si>
    <t>刘德芳</t>
  </si>
  <si>
    <t>03585092</t>
  </si>
  <si>
    <t>116</t>
  </si>
  <si>
    <t>1402</t>
  </si>
  <si>
    <t>KELYS00030064</t>
  </si>
  <si>
    <t>喻木民</t>
  </si>
  <si>
    <t>03553343</t>
  </si>
  <si>
    <t>117</t>
  </si>
  <si>
    <t>1403</t>
  </si>
  <si>
    <t>0160836</t>
  </si>
  <si>
    <t>邓睿喆</t>
  </si>
  <si>
    <t>03490975</t>
  </si>
  <si>
    <t>118</t>
  </si>
  <si>
    <t>1404</t>
  </si>
  <si>
    <t>KELYS00051750</t>
  </si>
  <si>
    <t>巴依斯楞</t>
  </si>
  <si>
    <t>03469857</t>
  </si>
  <si>
    <t>119</t>
  </si>
  <si>
    <t>1405</t>
  </si>
  <si>
    <t>KELYS00026955</t>
  </si>
  <si>
    <t>马建英</t>
  </si>
  <si>
    <t>03546253</t>
  </si>
  <si>
    <t>120</t>
  </si>
  <si>
    <t>1406</t>
  </si>
  <si>
    <t>KELYS00011635</t>
  </si>
  <si>
    <t>齐杰</t>
  </si>
  <si>
    <t>03520523</t>
  </si>
  <si>
    <t>121</t>
  </si>
  <si>
    <t>1407</t>
  </si>
  <si>
    <t>KELYS00021145</t>
  </si>
  <si>
    <t>何志秀</t>
  </si>
  <si>
    <t>01089262</t>
  </si>
  <si>
    <t>122</t>
  </si>
  <si>
    <t>1408</t>
  </si>
  <si>
    <t>KELYS00021165</t>
  </si>
  <si>
    <t>吕晓燕</t>
  </si>
  <si>
    <t>03520524</t>
  </si>
  <si>
    <t>123</t>
  </si>
  <si>
    <t>1409</t>
  </si>
  <si>
    <t>KELYS00019139</t>
  </si>
  <si>
    <t>周婷婷</t>
  </si>
  <si>
    <t>03469858</t>
  </si>
  <si>
    <t>124</t>
  </si>
  <si>
    <t>1501</t>
  </si>
  <si>
    <t>KELYS00053353</t>
  </si>
  <si>
    <t>马贻莉</t>
  </si>
  <si>
    <t>03585008</t>
  </si>
  <si>
    <t>125</t>
  </si>
  <si>
    <t>1502</t>
  </si>
  <si>
    <t>KELYS00013215</t>
  </si>
  <si>
    <t>李佳梁</t>
  </si>
  <si>
    <t>03469820</t>
  </si>
  <si>
    <t>126</t>
  </si>
  <si>
    <t>1503</t>
  </si>
  <si>
    <t>0160808</t>
  </si>
  <si>
    <t>席晓理</t>
  </si>
  <si>
    <t>03520515</t>
  </si>
  <si>
    <t>127</t>
  </si>
  <si>
    <t>1504</t>
  </si>
  <si>
    <t>KELYS00029556</t>
  </si>
  <si>
    <t>金霞</t>
  </si>
  <si>
    <t>03469821</t>
  </si>
  <si>
    <t>128</t>
  </si>
  <si>
    <t>1505</t>
  </si>
  <si>
    <t>KELYS00045050</t>
  </si>
  <si>
    <t>晁琬晴</t>
  </si>
  <si>
    <t>03469822</t>
  </si>
  <si>
    <t>129</t>
  </si>
  <si>
    <t>1506</t>
  </si>
  <si>
    <t>KELYS00013893</t>
  </si>
  <si>
    <t>付晓青</t>
  </si>
  <si>
    <t>03469823</t>
  </si>
  <si>
    <t>130</t>
  </si>
  <si>
    <t>1507</t>
  </si>
  <si>
    <t>KELYS00032596</t>
  </si>
  <si>
    <t>马兴超</t>
  </si>
  <si>
    <t>03469824</t>
  </si>
  <si>
    <t>131</t>
  </si>
  <si>
    <t>1508</t>
  </si>
  <si>
    <t>KELYS00072884</t>
  </si>
  <si>
    <t>邹荣芳</t>
  </si>
  <si>
    <t>03490979</t>
  </si>
  <si>
    <t>132</t>
  </si>
  <si>
    <t>1509</t>
  </si>
  <si>
    <t>KELYS00018770</t>
  </si>
  <si>
    <t>宝音</t>
  </si>
  <si>
    <t>03553359</t>
  </si>
  <si>
    <t>133</t>
  </si>
  <si>
    <t>1601</t>
  </si>
  <si>
    <t>KELYS00025380</t>
  </si>
  <si>
    <t>李秀敏</t>
  </si>
  <si>
    <t>01083073</t>
  </si>
  <si>
    <t>134</t>
  </si>
  <si>
    <t>1602</t>
  </si>
  <si>
    <t>KELYS00025768</t>
  </si>
  <si>
    <t>李辉</t>
  </si>
  <si>
    <t>03553351</t>
  </si>
  <si>
    <t>135</t>
  </si>
  <si>
    <t>1603</t>
  </si>
  <si>
    <t>KELYS00010928</t>
  </si>
  <si>
    <t>胡燕萍</t>
  </si>
  <si>
    <t>03469825</t>
  </si>
  <si>
    <t>136</t>
  </si>
  <si>
    <t>1604</t>
  </si>
  <si>
    <t>KELYS00043463</t>
  </si>
  <si>
    <t>朱城业</t>
  </si>
  <si>
    <t>03469826</t>
  </si>
  <si>
    <t>137</t>
  </si>
  <si>
    <t>1605</t>
  </si>
  <si>
    <t>KELYS00040660</t>
  </si>
  <si>
    <t>魏晶晶</t>
  </si>
  <si>
    <t>00004567</t>
  </si>
  <si>
    <t>138</t>
  </si>
  <si>
    <t>1606</t>
  </si>
  <si>
    <t>KELYS00009096</t>
  </si>
  <si>
    <t>林淑华</t>
  </si>
  <si>
    <t>00010172</t>
  </si>
  <si>
    <t>139</t>
  </si>
  <si>
    <t>1607</t>
  </si>
  <si>
    <t>KEYS00038380</t>
  </si>
  <si>
    <t>程增红</t>
  </si>
  <si>
    <t>01083072</t>
  </si>
  <si>
    <t>140</t>
  </si>
  <si>
    <t>1608</t>
  </si>
  <si>
    <t>KELYS00043541</t>
  </si>
  <si>
    <t>刘娜</t>
  </si>
  <si>
    <t>03778282</t>
  </si>
  <si>
    <t>141</t>
  </si>
  <si>
    <t>1609</t>
  </si>
  <si>
    <t>KELYS00013903</t>
  </si>
  <si>
    <t>田敏</t>
  </si>
  <si>
    <t>03588029</t>
  </si>
  <si>
    <t>142</t>
  </si>
  <si>
    <t>1701</t>
  </si>
  <si>
    <t>KELYS00025787</t>
  </si>
  <si>
    <t>刘文军</t>
  </si>
  <si>
    <t>03546252</t>
  </si>
  <si>
    <t>143</t>
  </si>
  <si>
    <t>1702</t>
  </si>
  <si>
    <t>1136721</t>
  </si>
  <si>
    <t>陈平利</t>
  </si>
  <si>
    <t>09178446</t>
  </si>
  <si>
    <t>144</t>
  </si>
  <si>
    <t>1703</t>
  </si>
  <si>
    <t>KELYS00006037</t>
  </si>
  <si>
    <t>张守文</t>
  </si>
  <si>
    <t>03497005</t>
  </si>
  <si>
    <t>145</t>
  </si>
  <si>
    <t>1704</t>
  </si>
  <si>
    <t>KELYS00031310</t>
  </si>
  <si>
    <t>那仁花</t>
  </si>
  <si>
    <t>03553344</t>
  </si>
  <si>
    <t>146</t>
  </si>
  <si>
    <t>1705</t>
  </si>
  <si>
    <t>KELYS00055395</t>
  </si>
  <si>
    <t>鲍玉叶</t>
  </si>
  <si>
    <t>03469827</t>
  </si>
  <si>
    <t>147</t>
  </si>
  <si>
    <t>1706</t>
  </si>
  <si>
    <t>KELYS00013383</t>
  </si>
  <si>
    <t>周远</t>
  </si>
  <si>
    <t>03490994</t>
  </si>
  <si>
    <t>148</t>
  </si>
  <si>
    <t>1707</t>
  </si>
  <si>
    <t>KELYS00010082</t>
  </si>
  <si>
    <t>杨凌</t>
  </si>
  <si>
    <t>03469828</t>
  </si>
  <si>
    <t>149</t>
  </si>
  <si>
    <t>1708</t>
  </si>
  <si>
    <t>KELYS00048051</t>
  </si>
  <si>
    <t>李文河</t>
  </si>
  <si>
    <t>03469829</t>
  </si>
  <si>
    <t>150</t>
  </si>
  <si>
    <t>1709</t>
  </si>
  <si>
    <t>KELYS00047199</t>
  </si>
  <si>
    <t>张占军</t>
  </si>
  <si>
    <t>03469830</t>
  </si>
  <si>
    <t>151</t>
  </si>
  <si>
    <t>1801</t>
  </si>
  <si>
    <t>KELYS00071237</t>
  </si>
  <si>
    <t>哈红伟</t>
  </si>
  <si>
    <t>03490981</t>
  </si>
  <si>
    <t>152</t>
  </si>
  <si>
    <t>1802</t>
  </si>
  <si>
    <t>KELYS00067648</t>
  </si>
  <si>
    <t>韩正伟</t>
  </si>
  <si>
    <t>03490991</t>
  </si>
  <si>
    <t>153</t>
  </si>
  <si>
    <t>1803</t>
  </si>
  <si>
    <t>KELYS00037990</t>
  </si>
  <si>
    <t>艾合买提·卡德</t>
  </si>
  <si>
    <t>00004002</t>
  </si>
  <si>
    <t>154</t>
  </si>
  <si>
    <t>1804</t>
  </si>
  <si>
    <t>KELYS00045230</t>
  </si>
  <si>
    <t>甄玲</t>
  </si>
  <si>
    <t>03469831</t>
  </si>
  <si>
    <t>155</t>
  </si>
  <si>
    <t>1805</t>
  </si>
  <si>
    <t>0156995</t>
  </si>
  <si>
    <t>党福宝</t>
  </si>
  <si>
    <t>01537175</t>
  </si>
  <si>
    <t>156</t>
  </si>
  <si>
    <t>1806</t>
  </si>
  <si>
    <t>0156951</t>
  </si>
  <si>
    <t>韦剑</t>
  </si>
  <si>
    <t>03469832</t>
  </si>
  <si>
    <t>157</t>
  </si>
  <si>
    <t>1807</t>
  </si>
  <si>
    <t>KELYS00018698</t>
  </si>
  <si>
    <t>李剑</t>
  </si>
  <si>
    <t>01500506</t>
  </si>
  <si>
    <t>158</t>
  </si>
  <si>
    <t>1808</t>
  </si>
  <si>
    <t>KELYS00066746</t>
  </si>
  <si>
    <t>莎尼亚·卡得尔</t>
  </si>
  <si>
    <t>03490973</t>
  </si>
  <si>
    <t>159</t>
  </si>
  <si>
    <t>1809</t>
  </si>
  <si>
    <t>KELYS00070399</t>
  </si>
  <si>
    <t>姚爱芬</t>
  </si>
  <si>
    <t>03490978</t>
  </si>
  <si>
    <t>160</t>
  </si>
  <si>
    <t>1901</t>
  </si>
  <si>
    <t>0156957</t>
  </si>
  <si>
    <t>韩永忠</t>
  </si>
  <si>
    <t>03469870</t>
  </si>
  <si>
    <t>161</t>
  </si>
  <si>
    <t>1902</t>
  </si>
  <si>
    <t>KELYS00006129</t>
  </si>
  <si>
    <t>邱波</t>
  </si>
  <si>
    <t>03469859</t>
  </si>
  <si>
    <t>162</t>
  </si>
  <si>
    <t>1903</t>
  </si>
  <si>
    <t>KELYS00026974</t>
  </si>
  <si>
    <t>张健</t>
  </si>
  <si>
    <t>03553341</t>
  </si>
  <si>
    <t>163</t>
  </si>
  <si>
    <t>1904</t>
  </si>
  <si>
    <t>KELYS00039939</t>
  </si>
  <si>
    <t>傲尔丽玛</t>
  </si>
  <si>
    <t>00004540</t>
  </si>
  <si>
    <t>164</t>
  </si>
  <si>
    <t>1905</t>
  </si>
  <si>
    <t>KELYS00006119</t>
  </si>
  <si>
    <t>晁尧林</t>
  </si>
  <si>
    <t>03469860</t>
  </si>
  <si>
    <t>165</t>
  </si>
  <si>
    <t>1906</t>
  </si>
  <si>
    <t>KELYS00007134</t>
  </si>
  <si>
    <t>宋晗</t>
  </si>
  <si>
    <t>03469861</t>
  </si>
  <si>
    <t>166</t>
  </si>
  <si>
    <t>1907</t>
  </si>
  <si>
    <t>KELYS00007807</t>
  </si>
  <si>
    <t>李纪坤</t>
  </si>
  <si>
    <t>03469862</t>
  </si>
  <si>
    <t>167</t>
  </si>
  <si>
    <t>1908</t>
  </si>
  <si>
    <t>KELYS00063687</t>
  </si>
  <si>
    <t>周学工</t>
  </si>
  <si>
    <t>03778252</t>
  </si>
  <si>
    <t>168</t>
  </si>
  <si>
    <t>1909</t>
  </si>
  <si>
    <t>160680</t>
  </si>
  <si>
    <t>张晓燕</t>
  </si>
  <si>
    <t>03720008</t>
  </si>
  <si>
    <t>169</t>
  </si>
  <si>
    <t>2001</t>
  </si>
  <si>
    <t>KELYS00058284</t>
  </si>
  <si>
    <t>张亚杰</t>
  </si>
  <si>
    <t>03720012</t>
  </si>
  <si>
    <t>170</t>
  </si>
  <si>
    <t>2002</t>
  </si>
  <si>
    <t>KELYS00007849</t>
  </si>
  <si>
    <t>丁晨晖</t>
  </si>
  <si>
    <t>03469863</t>
  </si>
  <si>
    <t>171</t>
  </si>
  <si>
    <t>2003</t>
  </si>
  <si>
    <t>KELYS00008998</t>
  </si>
  <si>
    <t>李世江</t>
  </si>
  <si>
    <t>03469864</t>
  </si>
  <si>
    <t>172</t>
  </si>
  <si>
    <t>2004</t>
  </si>
  <si>
    <t>KELYS00044333</t>
  </si>
  <si>
    <t>李洁</t>
  </si>
  <si>
    <t>03778281</t>
  </si>
  <si>
    <t>173</t>
  </si>
  <si>
    <t>2005</t>
  </si>
  <si>
    <t>KELYS00038407</t>
  </si>
  <si>
    <t>彭会</t>
  </si>
  <si>
    <t>01083081</t>
  </si>
  <si>
    <t>174</t>
  </si>
  <si>
    <t>2006</t>
  </si>
  <si>
    <t>KELYS00044460</t>
  </si>
  <si>
    <t>吴昊远</t>
  </si>
  <si>
    <t>03469865</t>
  </si>
  <si>
    <t>175</t>
  </si>
  <si>
    <t>2007</t>
  </si>
  <si>
    <t>KLYS00029905</t>
  </si>
  <si>
    <t>李文华</t>
  </si>
  <si>
    <t>03490985</t>
  </si>
  <si>
    <t>176</t>
  </si>
  <si>
    <t>2008</t>
  </si>
  <si>
    <t>KELYS00070497</t>
  </si>
  <si>
    <t>姚春燕</t>
  </si>
  <si>
    <t>03490967</t>
  </si>
  <si>
    <t>177</t>
  </si>
  <si>
    <t>2009</t>
  </si>
  <si>
    <t>KELYS00039156</t>
  </si>
  <si>
    <t>张娜</t>
  </si>
  <si>
    <t>01089265</t>
  </si>
  <si>
    <t>178</t>
  </si>
  <si>
    <t>2101</t>
  </si>
  <si>
    <t>KELYS00036222</t>
  </si>
  <si>
    <t>白援棋</t>
  </si>
  <si>
    <t>00004001</t>
  </si>
  <si>
    <t>179</t>
  </si>
  <si>
    <t>2102</t>
  </si>
  <si>
    <t>KELYS00037571</t>
  </si>
  <si>
    <t>安传菊</t>
  </si>
  <si>
    <t>03553360</t>
  </si>
  <si>
    <t>180</t>
  </si>
  <si>
    <t>2103</t>
  </si>
  <si>
    <t>KELYS00007711</t>
  </si>
  <si>
    <t>宋婷婷</t>
  </si>
  <si>
    <t>03469866</t>
  </si>
  <si>
    <t>181</t>
  </si>
  <si>
    <t>2104</t>
  </si>
  <si>
    <t>KELYS00044486</t>
  </si>
  <si>
    <t>宿晶</t>
  </si>
  <si>
    <t>03469867</t>
  </si>
  <si>
    <t>182</t>
  </si>
  <si>
    <t>2105</t>
  </si>
  <si>
    <t>KELYS00067503</t>
  </si>
  <si>
    <t>何静</t>
  </si>
  <si>
    <t>09178447</t>
  </si>
  <si>
    <t>183</t>
  </si>
  <si>
    <t>2106</t>
  </si>
  <si>
    <t>KELYS00039068</t>
  </si>
  <si>
    <t>张煜晗</t>
  </si>
  <si>
    <t>01089256</t>
  </si>
  <si>
    <t>184</t>
  </si>
  <si>
    <t>2107</t>
  </si>
  <si>
    <t>KELYS00032143</t>
  </si>
  <si>
    <t>黄建华</t>
  </si>
  <si>
    <t>03469868</t>
  </si>
  <si>
    <t>185</t>
  </si>
  <si>
    <t>2108</t>
  </si>
  <si>
    <t>0157000</t>
  </si>
  <si>
    <t>张福年</t>
  </si>
  <si>
    <t>09189129</t>
  </si>
  <si>
    <t>186</t>
  </si>
  <si>
    <t>2109</t>
  </si>
  <si>
    <t>KELYS00069286</t>
  </si>
  <si>
    <t>孙新龙</t>
  </si>
  <si>
    <t>03490997</t>
  </si>
  <si>
    <t>187</t>
  </si>
  <si>
    <t>2201</t>
  </si>
  <si>
    <t>20200008797</t>
  </si>
  <si>
    <t>安淑英</t>
  </si>
  <si>
    <t>03720016</t>
  </si>
  <si>
    <t>188</t>
  </si>
  <si>
    <t>2202</t>
  </si>
  <si>
    <t>KELYS00007811</t>
  </si>
  <si>
    <t>黄成、付光燕</t>
  </si>
  <si>
    <t>03469869</t>
  </si>
  <si>
    <t>189</t>
  </si>
  <si>
    <t>2203</t>
  </si>
  <si>
    <t>190</t>
  </si>
  <si>
    <t>2204</t>
  </si>
  <si>
    <t>191</t>
  </si>
  <si>
    <t>2205</t>
  </si>
  <si>
    <t>192</t>
  </si>
  <si>
    <t>2206</t>
  </si>
  <si>
    <t>KELYS00063000</t>
  </si>
  <si>
    <t>敖日木加甫</t>
  </si>
  <si>
    <t>03778257</t>
  </si>
  <si>
    <t>193</t>
  </si>
  <si>
    <t>2207</t>
  </si>
  <si>
    <t>KELYS00037770</t>
  </si>
  <si>
    <t>李秀红</t>
  </si>
  <si>
    <t>00004003</t>
  </si>
  <si>
    <t>194</t>
  </si>
  <si>
    <t>2208</t>
  </si>
  <si>
    <t>张红岩</t>
  </si>
  <si>
    <t>01537160</t>
  </si>
  <si>
    <t>195</t>
  </si>
  <si>
    <t>2209</t>
  </si>
  <si>
    <t>KELYS00020812</t>
  </si>
  <si>
    <t>游文国</t>
  </si>
  <si>
    <t>09178448</t>
  </si>
  <si>
    <r>
      <rPr>
        <sz val="16"/>
        <rFont val="方正小标宋简体"/>
        <charset val="134"/>
      </rPr>
      <t>T23210</t>
    </r>
    <r>
      <rPr>
        <sz val="16"/>
        <rFont val="微软雅黑"/>
        <charset val="134"/>
      </rPr>
      <t>附表</t>
    </r>
    <r>
      <rPr>
        <sz val="16"/>
        <rFont val="方正小标宋简体"/>
        <charset val="134"/>
      </rPr>
      <t>7-</t>
    </r>
    <r>
      <rPr>
        <sz val="16"/>
        <rFont val="微软雅黑"/>
        <charset val="134"/>
      </rPr>
      <t>扣除项目明细采集底稿</t>
    </r>
  </si>
  <si>
    <t>*记账日期</t>
  </si>
  <si>
    <t>*记账凭证号码</t>
  </si>
  <si>
    <t>*科目名称</t>
  </si>
  <si>
    <t>*二级科目名称</t>
  </si>
  <si>
    <t>内容摘要</t>
  </si>
  <si>
    <t>合同编号</t>
  </si>
  <si>
    <t>合同名称</t>
  </si>
  <si>
    <t>合同类别</t>
  </si>
  <si>
    <t>收款单位</t>
  </si>
  <si>
    <t>*凭据类型</t>
  </si>
  <si>
    <t>发票(凭据)代码</t>
  </si>
  <si>
    <t>发票(凭据)号码</t>
  </si>
  <si>
    <t>*发票(凭据)金额</t>
  </si>
  <si>
    <t>*付款金额</t>
  </si>
  <si>
    <t>*记账金额</t>
  </si>
  <si>
    <t>申报调整金额</t>
  </si>
  <si>
    <t>*申报扣除的记账金额</t>
  </si>
  <si>
    <t>分摊至本项目比例</t>
  </si>
  <si>
    <t>*本项目扣除金额</t>
  </si>
  <si>
    <t>*成本对象类型</t>
  </si>
  <si>
    <t>*普通住宅分摊金额</t>
  </si>
  <si>
    <t>*非普通住宅分摊金额</t>
  </si>
  <si>
    <t>*其他类型房产分摊金额</t>
  </si>
  <si>
    <t>*分摊方法</t>
  </si>
  <si>
    <t>分摊方法说明</t>
  </si>
  <si>
    <t>*是否可加计扣除</t>
  </si>
  <si>
    <t>17=15+16</t>
  </si>
  <si>
    <t>19=17*18</t>
  </si>
  <si>
    <t>23=19-22-24</t>
  </si>
  <si>
    <t>2013-4-28</t>
  </si>
  <si>
    <t>取得土地使用权所支付的金额</t>
  </si>
  <si>
    <t>支付的土地出让金额</t>
  </si>
  <si>
    <t>非税收入票据</t>
  </si>
  <si>
    <t>8775277491</t>
  </si>
  <si>
    <t>可加计</t>
  </si>
  <si>
    <t>2013-5-28</t>
  </si>
  <si>
    <t>8775277467</t>
  </si>
  <si>
    <t>2013-11-20</t>
  </si>
  <si>
    <t>6975511087</t>
  </si>
  <si>
    <t>2014-05-21</t>
  </si>
  <si>
    <t>6975511431</t>
  </si>
  <si>
    <t>2013-6-28</t>
  </si>
  <si>
    <t>交纳的有关税费</t>
  </si>
  <si>
    <t>完税凭证</t>
  </si>
  <si>
    <t>0182125</t>
  </si>
  <si>
    <t>营业税发票</t>
  </si>
  <si>
    <t>265001203201</t>
  </si>
  <si>
    <t>05799539</t>
  </si>
  <si>
    <t>2014-07-17</t>
  </si>
  <si>
    <t>土地征用及拆迁补偿费</t>
  </si>
  <si>
    <t>拆迁补偿费</t>
  </si>
  <si>
    <t>其他凭据</t>
  </si>
  <si>
    <t>2014-07-26</t>
  </si>
  <si>
    <t>2014-07-27</t>
  </si>
  <si>
    <t>2014-10-31</t>
  </si>
  <si>
    <t>2015-07-22</t>
  </si>
  <si>
    <t>其他土地征用及拆迁补偿费</t>
  </si>
  <si>
    <t>新地银1011901</t>
  </si>
  <si>
    <t>2017-01-12</t>
  </si>
  <si>
    <t>新地银02214897</t>
  </si>
  <si>
    <t>2017-04-13</t>
  </si>
  <si>
    <t>新地银02220516</t>
  </si>
  <si>
    <t>2012-9-17</t>
  </si>
  <si>
    <t>前期工程费</t>
  </si>
  <si>
    <t>设计费用</t>
  </si>
  <si>
    <t>四川自力建筑勘测设计有限公司库尔勒分公司</t>
  </si>
  <si>
    <t>265001103201</t>
  </si>
  <si>
    <t>2012-11-06</t>
  </si>
  <si>
    <t>库尔勒开拓规划设计研究院</t>
  </si>
  <si>
    <t>2012-12-31</t>
  </si>
  <si>
    <t>西部建筑抗震勘察设计研究院新疆分院</t>
  </si>
  <si>
    <t>265001002901</t>
  </si>
  <si>
    <t>新疆电力设计院</t>
  </si>
  <si>
    <t>2013-01-20</t>
  </si>
  <si>
    <t>2013-01-30</t>
  </si>
  <si>
    <t>00589747</t>
  </si>
  <si>
    <t>2013-05-28</t>
  </si>
  <si>
    <t>05824488</t>
  </si>
  <si>
    <t>2013-07-30</t>
  </si>
  <si>
    <t>05798880</t>
  </si>
  <si>
    <t>2013-11-08</t>
  </si>
  <si>
    <t xml:space="preserve">165001302398    </t>
  </si>
  <si>
    <t>04697240   04697242  04697241</t>
  </si>
  <si>
    <t>2014-01-08</t>
  </si>
  <si>
    <t>165001302398</t>
  </si>
  <si>
    <t>04697243</t>
  </si>
  <si>
    <t>2015-07-07</t>
  </si>
  <si>
    <t>峻特设计工程有限公司铁门关市分公司</t>
  </si>
  <si>
    <t>165001402398</t>
  </si>
  <si>
    <t>06942343</t>
  </si>
  <si>
    <t>2015-8-28</t>
  </si>
  <si>
    <t>巴州建筑工程施工图设计文件审查中心</t>
  </si>
  <si>
    <t>增值税普通发票</t>
  </si>
  <si>
    <t>6500151320</t>
  </si>
  <si>
    <t>06025012</t>
  </si>
  <si>
    <t>2015-9-17</t>
  </si>
  <si>
    <t>6500142620</t>
  </si>
  <si>
    <t>03538133
03538134</t>
  </si>
  <si>
    <t>2015-10-19</t>
  </si>
  <si>
    <t>中国市政工程西北设计研究院有限公司新疆分院</t>
  </si>
  <si>
    <t>04397938</t>
  </si>
  <si>
    <t>2016-7-15</t>
  </si>
  <si>
    <t>库尔勒基梦工程技术咨询服务有限公司</t>
  </si>
  <si>
    <t>02720032</t>
  </si>
  <si>
    <t>2016-8-10</t>
  </si>
  <si>
    <t>新疆蓝图勘察设计图审查中心</t>
  </si>
  <si>
    <t>00640920</t>
  </si>
  <si>
    <t>2016-9-03</t>
  </si>
  <si>
    <t>11001577</t>
  </si>
  <si>
    <t>2016-11-03</t>
  </si>
  <si>
    <t>11001578</t>
  </si>
  <si>
    <t>2013-02-28</t>
  </si>
  <si>
    <t>勘探费用</t>
  </si>
  <si>
    <t>巴州新矿测绘中心</t>
  </si>
  <si>
    <t>00566984</t>
  </si>
  <si>
    <t>2013-03-28</t>
  </si>
  <si>
    <t>库尔勒天拓勘察测绘院</t>
  </si>
  <si>
    <t>05764990</t>
  </si>
  <si>
    <t>2013-06-28</t>
  </si>
  <si>
    <t>05876603</t>
  </si>
  <si>
    <t>05980715</t>
  </si>
  <si>
    <t>2013-10-12</t>
  </si>
  <si>
    <t>00737210</t>
  </si>
  <si>
    <t>2014-08-19</t>
  </si>
  <si>
    <t>01901648</t>
  </si>
  <si>
    <t>2018-11-2</t>
  </si>
  <si>
    <t>2018-12-26</t>
  </si>
  <si>
    <t>其他前期工程费</t>
  </si>
  <si>
    <t>巴州超美广告有限责任公司</t>
  </si>
  <si>
    <t>12225442</t>
  </si>
  <si>
    <t>新土不动产估价有限公司</t>
  </si>
  <si>
    <t>07425287</t>
  </si>
  <si>
    <t>库尔勒鑫龙兄弟广告制作中心</t>
  </si>
  <si>
    <t>165001302298</t>
  </si>
  <si>
    <t>02538874</t>
  </si>
  <si>
    <t>2013-12-03</t>
  </si>
  <si>
    <t>新疆申光建设工程项目管理有限公司巴州分公司</t>
  </si>
  <si>
    <t>09653883</t>
  </si>
  <si>
    <t>2014-05-07</t>
  </si>
  <si>
    <t>库尔勒房谐广告有限公司</t>
  </si>
  <si>
    <t>16923022</t>
  </si>
  <si>
    <t>2014-06-19</t>
  </si>
  <si>
    <t>库尔勒艺行广告有限公司</t>
  </si>
  <si>
    <t>04728621</t>
  </si>
  <si>
    <t>2018-12-5</t>
  </si>
  <si>
    <t>新疆泽睿恒环保科技有限公司</t>
  </si>
  <si>
    <t>650001800211</t>
  </si>
  <si>
    <t>2011-10-17</t>
  </si>
  <si>
    <t>测绘费用</t>
  </si>
  <si>
    <t>00504157</t>
  </si>
  <si>
    <t>2014-05-08</t>
  </si>
  <si>
    <t>库尔勒天平房地产价格评估事务所（有限责任公司）</t>
  </si>
  <si>
    <t>09657837</t>
  </si>
  <si>
    <t>2017-06-09</t>
  </si>
  <si>
    <t>12363988</t>
  </si>
  <si>
    <t>2017-12-18</t>
  </si>
  <si>
    <t>新疆天平房地产价格评估事务所（有限责任公司）</t>
  </si>
  <si>
    <t>17599527</t>
  </si>
  <si>
    <t>2019-1-23</t>
  </si>
  <si>
    <t>2011-9-07</t>
  </si>
  <si>
    <t>七通一平支出</t>
  </si>
  <si>
    <t>库尔勒市政工程建设有限责任公司</t>
  </si>
  <si>
    <t>265001020401</t>
  </si>
  <si>
    <t>高建收据</t>
  </si>
  <si>
    <t xml:space="preserve"> </t>
  </si>
  <si>
    <t>2013-04-28</t>
  </si>
  <si>
    <t>项目可行性研究费用</t>
  </si>
  <si>
    <t>新疆巴州工程咨询中心</t>
  </si>
  <si>
    <t>05845341</t>
  </si>
  <si>
    <t>乌鲁木齐天怡净美环保技术有限公司</t>
  </si>
  <si>
    <t>07532676</t>
  </si>
  <si>
    <t>2014-12-31</t>
  </si>
  <si>
    <t>建筑安装工程费</t>
  </si>
  <si>
    <t>桩基础工程费用</t>
  </si>
  <si>
    <t>JZ-001</t>
  </si>
  <si>
    <t>建设工程施工合同</t>
  </si>
  <si>
    <t>新疆通力建设集团股份公司</t>
  </si>
  <si>
    <t>265001320401</t>
  </si>
  <si>
    <t>00194306</t>
  </si>
  <si>
    <t>2015-05-20</t>
  </si>
  <si>
    <t>00196978</t>
  </si>
  <si>
    <t>2015-11-27</t>
  </si>
  <si>
    <t>地下室工程费用</t>
  </si>
  <si>
    <t>新疆子森林涵起重机械设备有限公司</t>
  </si>
  <si>
    <t>00788981-991（11张）
01720822-824（3张）</t>
  </si>
  <si>
    <t>2016-12-27</t>
  </si>
  <si>
    <t>11299009</t>
  </si>
  <si>
    <t>2017-11-20</t>
  </si>
  <si>
    <t>6500172320</t>
  </si>
  <si>
    <t>17516152</t>
  </si>
  <si>
    <t>2018-05-16</t>
  </si>
  <si>
    <t>新疆隆翔伟业投资股份有限公司</t>
  </si>
  <si>
    <t>13843901-902</t>
  </si>
  <si>
    <t>2018-06-02</t>
  </si>
  <si>
    <t>13843903-904</t>
  </si>
  <si>
    <t>2018-08-02</t>
  </si>
  <si>
    <t>2018-6-30</t>
  </si>
  <si>
    <t>其他建筑安装工程费</t>
  </si>
  <si>
    <t>库尔勒经济技术开发区宏祥建材店</t>
  </si>
  <si>
    <t>04519251-9253（3张）</t>
  </si>
  <si>
    <t>不可选择</t>
  </si>
  <si>
    <t>37722045-2064（20张）</t>
  </si>
  <si>
    <t>库尔勒市百中旺五金经销部</t>
  </si>
  <si>
    <t>36959716-9729(14张）</t>
  </si>
  <si>
    <t>库尔勒市通久满五金经销部</t>
  </si>
  <si>
    <t>37116104-105</t>
  </si>
  <si>
    <t>库尔勒市桂宝祥和五金经销部</t>
  </si>
  <si>
    <t>37170018-0026（9张）</t>
  </si>
  <si>
    <t>库尔勒君君平建材经销部</t>
  </si>
  <si>
    <t>37015202-5208、37991391-1397、37015209-5218</t>
  </si>
  <si>
    <t>巴州查六商贸有限公司</t>
  </si>
  <si>
    <t>37968105-8109（5张）</t>
  </si>
  <si>
    <t>库尔勒豫展商贸有限公司</t>
  </si>
  <si>
    <t>37952182-2186（5张）</t>
  </si>
  <si>
    <t>库尔勒兰国梅建材批发部</t>
  </si>
  <si>
    <t>37015303-5313（11张）、37991567-1569（3张）</t>
  </si>
  <si>
    <t>库尔勒斌浩装饰材料经销部</t>
  </si>
  <si>
    <t>14861346-1351（6张）、14841445-1456（12张）</t>
  </si>
  <si>
    <t>2019-1-18</t>
  </si>
  <si>
    <t>12535654-55、17722268-69、19794794-95</t>
  </si>
  <si>
    <t>新疆华业百顺建筑装饰设计有限公司</t>
  </si>
  <si>
    <t>21602128-2151（共计24张）</t>
  </si>
  <si>
    <t>JZ-002</t>
  </si>
  <si>
    <t>施工合同</t>
  </si>
  <si>
    <t>深圳市维泰建筑装饰有限公司</t>
  </si>
  <si>
    <t>23954629-4641（13账）</t>
  </si>
  <si>
    <t>23954643-4653(供11张）</t>
  </si>
  <si>
    <t>23962131-2179（共计49张）</t>
  </si>
  <si>
    <t>58663148-3158（共计11张）</t>
  </si>
  <si>
    <t>58663159-3170（12张）</t>
  </si>
  <si>
    <t>63526252-6301（共计50张）</t>
  </si>
  <si>
    <t>新疆岩土工程勘察设计研究院有限公司巴州分院</t>
  </si>
  <si>
    <t>05859250</t>
  </si>
  <si>
    <t>05859254</t>
  </si>
  <si>
    <t>2013-11-12</t>
  </si>
  <si>
    <t>4661518</t>
  </si>
  <si>
    <t>2016-06-15</t>
  </si>
  <si>
    <t>新疆土木建材勘察设计院</t>
  </si>
  <si>
    <t>09111279-283</t>
  </si>
  <si>
    <t>库尔勒天雄力存五金批发部</t>
  </si>
  <si>
    <t>37103802-3804（3张）</t>
  </si>
  <si>
    <t>库尔勒陈记兴宏建材经销部</t>
  </si>
  <si>
    <t>37169936-9937、37170012-0017</t>
  </si>
  <si>
    <t>库尔勒龙平五金批发部</t>
  </si>
  <si>
    <t>37141108、1110-1114</t>
  </si>
  <si>
    <t>2015-06-10</t>
  </si>
  <si>
    <t>通用电梯（中国）有限公司</t>
  </si>
  <si>
    <t>00528673</t>
  </si>
  <si>
    <t>2015-12-25</t>
  </si>
  <si>
    <t xml:space="preserve">265001420401    </t>
  </si>
  <si>
    <t>00085728</t>
  </si>
  <si>
    <t>2015-08-24</t>
  </si>
  <si>
    <t>基础设施费</t>
  </si>
  <si>
    <t>供电工程支出</t>
  </si>
  <si>
    <t>库尔勒金曼成套配电开关厂</t>
  </si>
  <si>
    <t>03530212</t>
  </si>
  <si>
    <t>2015-09-07</t>
  </si>
  <si>
    <t>新疆创为电力建设工程有限公司巴州分公司</t>
  </si>
  <si>
    <t>265001420401</t>
  </si>
  <si>
    <t>00082979</t>
  </si>
  <si>
    <t>2015-09-16</t>
  </si>
  <si>
    <t>乌鲁木齐长源泵业有限公司</t>
  </si>
  <si>
    <t>00137909
00137910</t>
  </si>
  <si>
    <t>2016-03-31</t>
  </si>
  <si>
    <t>库尔勒月秀电器销售部</t>
  </si>
  <si>
    <t>6500153320</t>
  </si>
  <si>
    <t>03056492
03056493
03056491
03056494</t>
  </si>
  <si>
    <t>2016-05-09</t>
  </si>
  <si>
    <t>巴州中恒商贸有限公司</t>
  </si>
  <si>
    <t>06174970</t>
  </si>
  <si>
    <t>2018-11-6</t>
  </si>
  <si>
    <t>巴州青橄榄电子科技有限公司</t>
  </si>
  <si>
    <t>2013-6-30</t>
  </si>
  <si>
    <t>供水工程支出</t>
  </si>
  <si>
    <t>新疆昌源水务集团库尔勒银泉供水有限公司工程分公司</t>
  </si>
  <si>
    <t>265001120401</t>
  </si>
  <si>
    <t>00405991</t>
  </si>
  <si>
    <t>2015-07-15</t>
  </si>
  <si>
    <t>库尔勒金城洁净排水有限责任公司</t>
  </si>
  <si>
    <t>00082194</t>
  </si>
  <si>
    <t>2015-08-26</t>
  </si>
  <si>
    <t>00610637</t>
  </si>
  <si>
    <t>07537215</t>
  </si>
  <si>
    <t>2016-01-28</t>
  </si>
  <si>
    <t>00089790</t>
  </si>
  <si>
    <t>2016-03-09</t>
  </si>
  <si>
    <t>新疆益诚通讯科技责任有限公司</t>
  </si>
  <si>
    <t>02897127-128</t>
  </si>
  <si>
    <t>2017-04-06</t>
  </si>
  <si>
    <t>环卫工程支出</t>
  </si>
  <si>
    <t>李际忠</t>
  </si>
  <si>
    <t>6500162320</t>
  </si>
  <si>
    <t>11535083</t>
  </si>
  <si>
    <t>其他设施工程发生的支出</t>
  </si>
  <si>
    <t>巴州安逸消防器材有限公司</t>
  </si>
  <si>
    <t>15010474</t>
  </si>
  <si>
    <t>2013-9-10</t>
  </si>
  <si>
    <t>库尔勒市气象局</t>
  </si>
  <si>
    <t>05848905</t>
  </si>
  <si>
    <t>2013-08-26</t>
  </si>
  <si>
    <t>库尔勒市财政局</t>
  </si>
  <si>
    <t>153098871</t>
  </si>
  <si>
    <t>6914364167</t>
  </si>
  <si>
    <t>2014-5-10</t>
  </si>
  <si>
    <t>巴州昱人计算机服务有限公司</t>
  </si>
  <si>
    <t>09613020</t>
  </si>
  <si>
    <t>2015-05-28</t>
  </si>
  <si>
    <t>库尔勒市世泽机械设备销售中心</t>
  </si>
  <si>
    <t>165001402298</t>
  </si>
  <si>
    <t>17708674 
17708673</t>
  </si>
  <si>
    <t>2015-11-06</t>
  </si>
  <si>
    <t>新疆库尔勒渝星工具五金总汇</t>
  </si>
  <si>
    <t>165001509298</t>
  </si>
  <si>
    <t>02831296</t>
  </si>
  <si>
    <t>6500133620</t>
  </si>
  <si>
    <t>01240697</t>
  </si>
  <si>
    <t>2015-12-14</t>
  </si>
  <si>
    <t>江门市卡迪光电科技有限公司</t>
  </si>
  <si>
    <t>4400151320</t>
  </si>
  <si>
    <t>49409415</t>
  </si>
  <si>
    <t>2016-04-06</t>
  </si>
  <si>
    <t>02897128</t>
  </si>
  <si>
    <t>2016-06-21</t>
  </si>
  <si>
    <t>巴州坚美工贸有限公司</t>
  </si>
  <si>
    <t>02909623</t>
  </si>
  <si>
    <t>2016-07-01</t>
  </si>
  <si>
    <t>库尔勒新巴商电气设备有限公司</t>
  </si>
  <si>
    <t>2016-07-04</t>
  </si>
  <si>
    <t>2016-07-19</t>
  </si>
  <si>
    <t>06174972</t>
  </si>
  <si>
    <t>2016-08-10</t>
  </si>
  <si>
    <t>张常兵</t>
  </si>
  <si>
    <t>6500154350</t>
  </si>
  <si>
    <t>00076007</t>
  </si>
  <si>
    <t>2016-11-11</t>
  </si>
  <si>
    <t>库尔勒金龙腾不锈钢店</t>
  </si>
  <si>
    <t>165001502298</t>
  </si>
  <si>
    <t>09553761</t>
  </si>
  <si>
    <t>6500161320</t>
  </si>
  <si>
    <t>06862939</t>
  </si>
  <si>
    <t>2017-03-10</t>
  </si>
  <si>
    <t>巴州树德商贸有限公司</t>
  </si>
  <si>
    <t>11444074</t>
  </si>
  <si>
    <t>2017-05-24</t>
  </si>
  <si>
    <t>库尔勒汇通保温材料有限责任公司</t>
  </si>
  <si>
    <t>2018-8-31</t>
  </si>
  <si>
    <t>陈祥富</t>
  </si>
  <si>
    <t>2018-10-16</t>
  </si>
  <si>
    <t>库尔勒明华信息技术有限公司</t>
  </si>
  <si>
    <t>2018-11-23</t>
  </si>
  <si>
    <t>库尔勒经济技术开发区金亿门店</t>
  </si>
  <si>
    <t>库尔勒幸福一家人卫浴店</t>
  </si>
  <si>
    <t>2014-06-25</t>
  </si>
  <si>
    <t>开发间接费用</t>
  </si>
  <si>
    <t>其他发生的间接费用</t>
  </si>
  <si>
    <t>巴州智诚工程项目管理服务有限公司</t>
  </si>
  <si>
    <t>17240959 17240958      13967270</t>
  </si>
  <si>
    <t>2014-09-30</t>
  </si>
  <si>
    <t>修理费</t>
  </si>
  <si>
    <t>周庆雷</t>
  </si>
  <si>
    <t>265001402901</t>
  </si>
  <si>
    <t>2015-11-20</t>
  </si>
  <si>
    <t>巴州智诚工程项目管理服务有限公司三分公司</t>
  </si>
  <si>
    <r>
      <rPr>
        <sz val="16"/>
        <color rgb="FF000000"/>
        <rFont val="方正小标宋简体"/>
        <charset val="134"/>
      </rPr>
      <t>T23220</t>
    </r>
    <r>
      <rPr>
        <sz val="16"/>
        <color rgb="FF000000"/>
        <rFont val="宋体"/>
        <charset val="134"/>
      </rPr>
      <t>附表</t>
    </r>
    <r>
      <rPr>
        <sz val="16"/>
        <color rgb="FF000000"/>
        <rFont val="Calibri"/>
        <charset val="134"/>
      </rPr>
      <t>8-</t>
    </r>
    <r>
      <rPr>
        <sz val="16"/>
        <color rgb="FF000000"/>
        <rFont val="宋体"/>
        <charset val="134"/>
      </rPr>
      <t>合同明细采集底稿</t>
    </r>
  </si>
  <si>
    <t>*合同编号</t>
  </si>
  <si>
    <t>*合同名称</t>
  </si>
  <si>
    <t>*收款单位</t>
  </si>
  <si>
    <t>合同签订日期</t>
  </si>
  <si>
    <t>结算金额</t>
  </si>
  <si>
    <t>*关联关系（是否）</t>
  </si>
  <si>
    <t>*甲方供材
（是否）</t>
  </si>
  <si>
    <t>*不同项目分摊
（是否）</t>
  </si>
  <si>
    <t>项目间共同成本费用分摊信息</t>
  </si>
  <si>
    <t>分期合同分摊方法</t>
  </si>
  <si>
    <t>分摊至本期项目扣除比例</t>
  </si>
  <si>
    <t>申报准予扣除的记账金额</t>
  </si>
  <si>
    <t>前期累计
分摊金额</t>
  </si>
  <si>
    <t>本期项目
扣除金额</t>
  </si>
  <si>
    <t>剩余
待摊金额</t>
  </si>
  <si>
    <t>共同成本费用应当分摊的项目名称（下拉选择）</t>
  </si>
  <si>
    <t>16=13-14-15</t>
  </si>
  <si>
    <t>项目1</t>
  </si>
  <si>
    <t>项目2</t>
  </si>
  <si>
    <t>项目3</t>
  </si>
  <si>
    <t>项目4</t>
  </si>
  <si>
    <t>项目5</t>
  </si>
  <si>
    <t>项目6</t>
  </si>
  <si>
    <t>项目7</t>
  </si>
  <si>
    <t>项目8</t>
  </si>
  <si>
    <t>项目9</t>
  </si>
  <si>
    <t>项目10</t>
  </si>
  <si>
    <t>建设工程合同</t>
  </si>
  <si>
    <t>请填写</t>
  </si>
  <si>
    <r>
      <rPr>
        <sz val="16"/>
        <rFont val="方正小标宋简体"/>
        <charset val="134"/>
      </rPr>
      <t>T30000</t>
    </r>
    <r>
      <rPr>
        <sz val="16"/>
        <rFont val="Microsoft YaHei UI"/>
        <charset val="134"/>
      </rPr>
      <t>工程造价采集表</t>
    </r>
  </si>
  <si>
    <t>清算项目造价信息</t>
  </si>
  <si>
    <t>数据来源</t>
  </si>
  <si>
    <t>分类</t>
  </si>
  <si>
    <t>拓展字段1</t>
  </si>
  <si>
    <t>拓展字段2</t>
  </si>
  <si>
    <t>拓展字段3</t>
  </si>
  <si>
    <t>拓展字段4</t>
  </si>
  <si>
    <t>拓展字段5</t>
  </si>
  <si>
    <t>拓展字段6</t>
  </si>
  <si>
    <t>拓展字段7</t>
  </si>
  <si>
    <t>拓展字段8</t>
  </si>
  <si>
    <t>拓展字段9</t>
  </si>
  <si>
    <t>拓展字段10</t>
  </si>
  <si>
    <t>拓展字段11</t>
  </si>
  <si>
    <t>填报数据</t>
  </si>
  <si>
    <t>单位</t>
  </si>
  <si>
    <t>㎡</t>
  </si>
  <si>
    <t>数量</t>
  </si>
  <si>
    <t>本项目扣除金额</t>
  </si>
  <si>
    <t>单位扣除金额</t>
  </si>
  <si>
    <t>主体建筑基础造价信息</t>
  </si>
  <si>
    <t>楼栋类型</t>
  </si>
  <si>
    <t>房屋结构</t>
  </si>
  <si>
    <t>地质结构</t>
  </si>
  <si>
    <t>桩基类型</t>
  </si>
  <si>
    <t>交付标准</t>
  </si>
  <si>
    <t>外立面类型</t>
  </si>
  <si>
    <t>地上层数</t>
  </si>
  <si>
    <t>地下层数</t>
  </si>
  <si>
    <t>地上建筑面积</t>
  </si>
  <si>
    <t>地下建筑面积</t>
  </si>
  <si>
    <t>其中：人防设施面积</t>
  </si>
  <si>
    <t>总建筑面积</t>
  </si>
  <si>
    <t>地上总层高（m)</t>
  </si>
  <si>
    <t>开工日期</t>
  </si>
  <si>
    <t>竣工日期</t>
  </si>
  <si>
    <t>-1层</t>
  </si>
  <si>
    <t>-2层</t>
  </si>
  <si>
    <t>-3层及以下</t>
  </si>
  <si>
    <t>公共配套设施费</t>
  </si>
  <si>
    <t>房地产开发费用</t>
  </si>
  <si>
    <t>凭据类型</t>
  </si>
  <si>
    <t>二分法</t>
  </si>
  <si>
    <t>费用计算扣除方法</t>
  </si>
  <si>
    <t>土地征用费用</t>
  </si>
  <si>
    <t>规划费用</t>
  </si>
  <si>
    <t>开发小区内道路工程支出</t>
  </si>
  <si>
    <t>居委会用房费用</t>
  </si>
  <si>
    <t>管理人员工资</t>
  </si>
  <si>
    <t>利息支出</t>
  </si>
  <si>
    <t>占地面积法</t>
  </si>
  <si>
    <t>住宅楼</t>
  </si>
  <si>
    <t>砖混</t>
  </si>
  <si>
    <t>均质地质</t>
  </si>
  <si>
    <t>天然基础</t>
  </si>
  <si>
    <t>精装交付</t>
  </si>
  <si>
    <t>标准外立面</t>
  </si>
  <si>
    <t>支付的地价款金额</t>
  </si>
  <si>
    <t>耕地占用税</t>
  </si>
  <si>
    <t>派出所用房费用</t>
  </si>
  <si>
    <t>职工福利费</t>
  </si>
  <si>
    <t>增值税专用发票</t>
  </si>
  <si>
    <t>总建筑面积法</t>
  </si>
  <si>
    <t>不可加计</t>
  </si>
  <si>
    <t>买卖合同</t>
  </si>
  <si>
    <t>商业楼</t>
  </si>
  <si>
    <t>框架</t>
  </si>
  <si>
    <t>淤泥地质</t>
  </si>
  <si>
    <t>预制管桩</t>
  </si>
  <si>
    <t>简装交付</t>
  </si>
  <si>
    <t>玻璃幕墙</t>
  </si>
  <si>
    <t>可售建筑面积法（二分法）</t>
  </si>
  <si>
    <t>人工填写</t>
  </si>
  <si>
    <t>测绘总建筑面积法</t>
  </si>
  <si>
    <t>劳动力安置费</t>
  </si>
  <si>
    <t>地上建筑工程费用</t>
  </si>
  <si>
    <t>会所费用</t>
  </si>
  <si>
    <t>折旧费</t>
  </si>
  <si>
    <t>承揽合同</t>
  </si>
  <si>
    <t>商业裙楼</t>
  </si>
  <si>
    <t>框架剪力墙</t>
  </si>
  <si>
    <t>岩溶地质</t>
  </si>
  <si>
    <t>旋挖桩</t>
  </si>
  <si>
    <t>毛坯交付</t>
  </si>
  <si>
    <t>干挂石材</t>
  </si>
  <si>
    <t>安置动迁用房支出</t>
  </si>
  <si>
    <t>水文费用</t>
  </si>
  <si>
    <t>户内装修费用</t>
  </si>
  <si>
    <t>供气工程支出</t>
  </si>
  <si>
    <t>非机动车库（场）费用</t>
  </si>
  <si>
    <t>计容建筑面积法</t>
  </si>
  <si>
    <t>产权转移书据</t>
  </si>
  <si>
    <t>独栋别墅</t>
  </si>
  <si>
    <t>钢混</t>
  </si>
  <si>
    <t>其他地质</t>
  </si>
  <si>
    <t>钻（冲）孔桩</t>
  </si>
  <si>
    <t>其他外立面</t>
  </si>
  <si>
    <t>其他分摊方法</t>
  </si>
  <si>
    <t>地质费用</t>
  </si>
  <si>
    <t>高档外立面工程费用</t>
  </si>
  <si>
    <t>排污工程支出</t>
  </si>
  <si>
    <t>地下人防设施费用</t>
  </si>
  <si>
    <t>办公费</t>
  </si>
  <si>
    <t>层高系数法</t>
  </si>
  <si>
    <t>技术合同</t>
  </si>
  <si>
    <t>联排别墅</t>
  </si>
  <si>
    <t>全钢</t>
  </si>
  <si>
    <t>其他类型桩基</t>
  </si>
  <si>
    <t>手工填写分摊比例</t>
  </si>
  <si>
    <t>其他营业性房产</t>
  </si>
  <si>
    <t>排洪工程支出</t>
  </si>
  <si>
    <t>物业管理场所费用</t>
  </si>
  <si>
    <t>水电费</t>
  </si>
  <si>
    <t>运输合同</t>
  </si>
  <si>
    <t>配套设施</t>
  </si>
  <si>
    <t>预制装配</t>
  </si>
  <si>
    <t>居委会用房</t>
  </si>
  <si>
    <t>通讯工程支出</t>
  </si>
  <si>
    <t>变电站费用</t>
  </si>
  <si>
    <t>劳动保护费</t>
  </si>
  <si>
    <t>未取得凭据</t>
  </si>
  <si>
    <t>借款合同</t>
  </si>
  <si>
    <t>其他类型楼栋</t>
  </si>
  <si>
    <t>派出所用房</t>
  </si>
  <si>
    <t>照明工程支出</t>
  </si>
  <si>
    <t>热力站费用</t>
  </si>
  <si>
    <t>周转房摊销费</t>
  </si>
  <si>
    <t>融资租赁合同</t>
  </si>
  <si>
    <t>会所</t>
  </si>
  <si>
    <t>水厂费用</t>
  </si>
  <si>
    <t>租赁合同</t>
  </si>
  <si>
    <t>非机动车库（场）</t>
  </si>
  <si>
    <t>绿化费用</t>
  </si>
  <si>
    <t>文体场馆费用</t>
  </si>
  <si>
    <t>保管合同</t>
  </si>
  <si>
    <t>地下人防设施</t>
  </si>
  <si>
    <t>学校费用</t>
  </si>
  <si>
    <t>仓储合同</t>
  </si>
  <si>
    <t>物业管理场所</t>
  </si>
  <si>
    <t>幼儿园费用</t>
  </si>
  <si>
    <t>财产保险合同</t>
  </si>
  <si>
    <t>变电站</t>
  </si>
  <si>
    <t>托儿所费用</t>
  </si>
  <si>
    <t>其他合同</t>
  </si>
  <si>
    <t>热力站</t>
  </si>
  <si>
    <t>医院费用</t>
  </si>
  <si>
    <t>水厂</t>
  </si>
  <si>
    <t>邮电通讯费用</t>
  </si>
  <si>
    <t>文体场馆</t>
  </si>
  <si>
    <t>其他非营业性房产费用</t>
  </si>
  <si>
    <t>学校</t>
  </si>
  <si>
    <t>幼儿园</t>
  </si>
  <si>
    <t>托儿所</t>
  </si>
  <si>
    <t>医院</t>
  </si>
  <si>
    <t>邮电通讯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</si>
</sst>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1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0.00_);[Red]\(0.00\)"/>
    <numFmt numFmtId="178" formatCode="_ * #,##0_ ;_ * \-#,##0_ ;_ * &quot;-&quot;??_ ;_ @_ "/>
    <numFmt numFmtId="179" formatCode="000000"/>
    <numFmt numFmtId="180" formatCode="0.00_ "/>
    <numFmt numFmtId="181" formatCode="0.0000%"/>
    <numFmt numFmtId="182" formatCode="0.000000%"/>
  </numFmts>
  <fonts count="89">
    <font>
      <sz val="12"/>
      <name val="宋体"/>
      <charset val="134"/>
    </font>
    <font>
      <sz val="10"/>
      <name val="宋体"/>
      <charset val="134"/>
      <scheme val="minor"/>
    </font>
    <font>
      <sz val="10"/>
      <color rgb="FF7030A0"/>
      <name val="宋体"/>
      <charset val="134"/>
      <scheme val="minor"/>
    </font>
    <font>
      <b/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</font>
    <font>
      <b/>
      <sz val="12"/>
      <name val="宋体"/>
      <charset val="134"/>
    </font>
    <font>
      <sz val="16"/>
      <name val="方正小标宋简体"/>
      <charset val="134"/>
    </font>
    <font>
      <b/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6"/>
      <color rgb="FF000000"/>
      <name val="方正小标宋简体"/>
      <charset val="134"/>
    </font>
    <font>
      <sz val="11"/>
      <color rgb="FF000000"/>
      <name val="Times New Roman"/>
      <charset val="134"/>
    </font>
    <font>
      <b/>
      <sz val="11"/>
      <name val="宋体"/>
      <charset val="134"/>
    </font>
    <font>
      <sz val="10"/>
      <color indexed="8"/>
      <name val="宋体"/>
      <charset val="134"/>
    </font>
    <font>
      <b/>
      <sz val="11"/>
      <color rgb="FF000000"/>
      <name val="宋体-简"/>
      <charset val="134"/>
    </font>
    <font>
      <sz val="8"/>
      <name val="宋体"/>
      <charset val="134"/>
    </font>
    <font>
      <sz val="11"/>
      <name val="宋体"/>
      <charset val="134"/>
    </font>
    <font>
      <b/>
      <sz val="10"/>
      <color theme="1"/>
      <name val="宋体"/>
      <charset val="134"/>
    </font>
    <font>
      <b/>
      <sz val="10"/>
      <color rgb="FF000000"/>
      <name val="宋体"/>
      <charset val="134"/>
    </font>
    <font>
      <sz val="8"/>
      <color indexed="8"/>
      <name val="宋体"/>
      <charset val="134"/>
    </font>
    <font>
      <sz val="8"/>
      <name val="方正小标宋简体"/>
      <charset val="134"/>
    </font>
    <font>
      <b/>
      <sz val="8"/>
      <name val="宋体"/>
      <charset val="134"/>
    </font>
    <font>
      <b/>
      <sz val="8"/>
      <color rgb="FF000000"/>
      <name val="宋体"/>
      <charset val="134"/>
    </font>
    <font>
      <sz val="8"/>
      <color rgb="FF000000"/>
      <name val="宋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9"/>
      <color rgb="FF000000"/>
      <name val="宋体"/>
      <charset val="134"/>
      <scheme val="minor"/>
    </font>
    <font>
      <sz val="9"/>
      <color rgb="FFFF0000"/>
      <name val="宋体"/>
      <charset val="134"/>
      <scheme val="minor"/>
    </font>
    <font>
      <sz val="10"/>
      <color rgb="FF000000"/>
      <name val="宋体"/>
      <charset val="134"/>
    </font>
    <font>
      <b/>
      <sz val="9"/>
      <name val="宋体"/>
      <charset val="134"/>
    </font>
    <font>
      <sz val="14"/>
      <name val="方正小标宋简体"/>
      <charset val="134"/>
    </font>
    <font>
      <sz val="12"/>
      <color theme="1"/>
      <name val="宋体"/>
      <charset val="134"/>
      <scheme val="minor"/>
    </font>
    <font>
      <sz val="10"/>
      <color theme="4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b/>
      <sz val="11"/>
      <color rgb="FF000000"/>
      <name val="Times New Roman"/>
      <charset val="134"/>
    </font>
    <font>
      <sz val="16"/>
      <color indexed="8"/>
      <name val="方正小标宋简体"/>
      <charset val="134"/>
    </font>
    <font>
      <b/>
      <sz val="10"/>
      <color indexed="8"/>
      <name val="宋体"/>
      <charset val="134"/>
    </font>
    <font>
      <b/>
      <sz val="11"/>
      <color indexed="8"/>
      <name val="宋体"/>
      <charset val="134"/>
    </font>
    <font>
      <b/>
      <sz val="12"/>
      <name val="Times New Roman"/>
      <charset val="134"/>
    </font>
    <font>
      <sz val="12"/>
      <color rgb="FFFF0000"/>
      <name val="宋体"/>
      <charset val="134"/>
    </font>
    <font>
      <sz val="20"/>
      <name val="方正小标宋简体"/>
      <charset val="134"/>
    </font>
    <font>
      <sz val="14"/>
      <name val="宋体"/>
      <charset val="134"/>
    </font>
    <font>
      <sz val="14"/>
      <color indexed="8"/>
      <name val="宋体"/>
      <charset val="134"/>
    </font>
    <font>
      <b/>
      <sz val="14"/>
      <color indexed="8"/>
      <name val="宋体"/>
      <charset val="134"/>
    </font>
    <font>
      <sz val="14"/>
      <color rgb="FF232323"/>
      <name val="宋体"/>
      <charset val="134"/>
    </font>
    <font>
      <sz val="14"/>
      <color rgb="FFFF0000"/>
      <name val="宋体"/>
      <charset val="134"/>
    </font>
    <font>
      <b/>
      <sz val="12"/>
      <color theme="1"/>
      <name val="宋体"/>
      <charset val="134"/>
    </font>
    <font>
      <sz val="26"/>
      <color theme="1"/>
      <name val="方正小标宋简体"/>
      <charset val="134"/>
    </font>
    <font>
      <sz val="20"/>
      <color theme="1"/>
      <name val="宋体"/>
      <charset val="134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6"/>
      <name val="Microsoft YaHei UI"/>
      <charset val="134"/>
    </font>
    <font>
      <sz val="16"/>
      <color rgb="FF000000"/>
      <name val="宋体"/>
      <charset val="134"/>
    </font>
    <font>
      <sz val="16"/>
      <color rgb="FF000000"/>
      <name val="Calibri"/>
      <charset val="134"/>
    </font>
    <font>
      <sz val="16"/>
      <name val="微软雅黑"/>
      <charset val="134"/>
    </font>
    <font>
      <sz val="16"/>
      <color rgb="FF000000"/>
      <name val="微软雅黑"/>
      <charset val="134"/>
    </font>
    <font>
      <sz val="14"/>
      <name val="微软雅黑"/>
      <charset val="134"/>
    </font>
    <font>
      <sz val="20"/>
      <name val="微软雅黑"/>
      <charset val="134"/>
    </font>
    <font>
      <sz val="26"/>
      <color theme="1"/>
      <name val="微软雅黑"/>
      <charset val="134"/>
    </font>
    <font>
      <sz val="14"/>
      <color theme="1"/>
      <name val="Times New Roman"/>
      <charset val="134"/>
    </font>
    <font>
      <b/>
      <sz val="9"/>
      <name val="宋体"/>
      <charset val="134"/>
    </font>
    <font>
      <sz val="9"/>
      <name val="宋体"/>
      <charset val="134"/>
    </font>
  </fonts>
  <fills count="39">
    <fill>
      <patternFill patternType="none"/>
    </fill>
    <fill>
      <patternFill patternType="gray125"/>
    </fill>
    <fill>
      <patternFill patternType="solid">
        <fgColor theme="0" tint="-0.149937437055574"/>
        <bgColor indexed="64"/>
      </patternFill>
    </fill>
    <fill>
      <patternFill patternType="solid">
        <fgColor theme="0" tint="-0.14990691854609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medium">
        <color rgb="FF000000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29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2" fontId="29" fillId="0" borderId="0" applyFon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9" fillId="8" borderId="11" applyNumberFormat="0" applyFont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12" applyNumberFormat="0" applyFill="0" applyAlignment="0" applyProtection="0">
      <alignment vertical="center"/>
    </xf>
    <xf numFmtId="0" fontId="64" fillId="0" borderId="12" applyNumberFormat="0" applyFill="0" applyAlignment="0" applyProtection="0">
      <alignment vertical="center"/>
    </xf>
    <xf numFmtId="0" fontId="65" fillId="0" borderId="13" applyNumberFormat="0" applyFill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6" fillId="9" borderId="14" applyNumberFormat="0" applyAlignment="0" applyProtection="0">
      <alignment vertical="center"/>
    </xf>
    <xf numFmtId="0" fontId="67" fillId="10" borderId="15" applyNumberFormat="0" applyAlignment="0" applyProtection="0">
      <alignment vertical="center"/>
    </xf>
    <xf numFmtId="0" fontId="68" fillId="10" borderId="14" applyNumberFormat="0" applyAlignment="0" applyProtection="0">
      <alignment vertical="center"/>
    </xf>
    <xf numFmtId="0" fontId="69" fillId="11" borderId="16" applyNumberFormat="0" applyAlignment="0" applyProtection="0">
      <alignment vertical="center"/>
    </xf>
    <xf numFmtId="0" fontId="70" fillId="0" borderId="17" applyNumberFormat="0" applyFill="0" applyAlignment="0" applyProtection="0">
      <alignment vertical="center"/>
    </xf>
    <xf numFmtId="0" fontId="71" fillId="0" borderId="18" applyNumberFormat="0" applyFill="0" applyAlignment="0" applyProtection="0">
      <alignment vertical="center"/>
    </xf>
    <xf numFmtId="0" fontId="72" fillId="12" borderId="0" applyNumberFormat="0" applyBorder="0" applyAlignment="0" applyProtection="0">
      <alignment vertical="center"/>
    </xf>
    <xf numFmtId="0" fontId="73" fillId="13" borderId="0" applyNumberFormat="0" applyBorder="0" applyAlignment="0" applyProtection="0">
      <alignment vertical="center"/>
    </xf>
    <xf numFmtId="0" fontId="74" fillId="14" borderId="0" applyNumberFormat="0" applyBorder="0" applyAlignment="0" applyProtection="0">
      <alignment vertical="center"/>
    </xf>
    <xf numFmtId="0" fontId="75" fillId="15" borderId="0" applyNumberFormat="0" applyBorder="0" applyAlignment="0" applyProtection="0">
      <alignment vertical="center"/>
    </xf>
    <xf numFmtId="0" fontId="76" fillId="16" borderId="0" applyNumberFormat="0" applyBorder="0" applyAlignment="0" applyProtection="0">
      <alignment vertical="center"/>
    </xf>
    <xf numFmtId="0" fontId="76" fillId="17" borderId="0" applyNumberFormat="0" applyBorder="0" applyAlignment="0" applyProtection="0">
      <alignment vertical="center"/>
    </xf>
    <xf numFmtId="0" fontId="75" fillId="18" borderId="0" applyNumberFormat="0" applyBorder="0" applyAlignment="0" applyProtection="0">
      <alignment vertical="center"/>
    </xf>
    <xf numFmtId="0" fontId="75" fillId="19" borderId="0" applyNumberFormat="0" applyBorder="0" applyAlignment="0" applyProtection="0">
      <alignment vertical="center"/>
    </xf>
    <xf numFmtId="0" fontId="76" fillId="20" borderId="0" applyNumberFormat="0" applyBorder="0" applyAlignment="0" applyProtection="0">
      <alignment vertical="center"/>
    </xf>
    <xf numFmtId="0" fontId="76" fillId="21" borderId="0" applyNumberFormat="0" applyBorder="0" applyAlignment="0" applyProtection="0">
      <alignment vertical="center"/>
    </xf>
    <xf numFmtId="0" fontId="75" fillId="22" borderId="0" applyNumberFormat="0" applyBorder="0" applyAlignment="0" applyProtection="0">
      <alignment vertical="center"/>
    </xf>
    <xf numFmtId="0" fontId="75" fillId="23" borderId="0" applyNumberFormat="0" applyBorder="0" applyAlignment="0" applyProtection="0">
      <alignment vertical="center"/>
    </xf>
    <xf numFmtId="0" fontId="76" fillId="24" borderId="0" applyNumberFormat="0" applyBorder="0" applyAlignment="0" applyProtection="0">
      <alignment vertical="center"/>
    </xf>
    <xf numFmtId="0" fontId="76" fillId="25" borderId="0" applyNumberFormat="0" applyBorder="0" applyAlignment="0" applyProtection="0">
      <alignment vertical="center"/>
    </xf>
    <xf numFmtId="0" fontId="75" fillId="26" borderId="0" applyNumberFormat="0" applyBorder="0" applyAlignment="0" applyProtection="0">
      <alignment vertical="center"/>
    </xf>
    <xf numFmtId="0" fontId="75" fillId="27" borderId="0" applyNumberFormat="0" applyBorder="0" applyAlignment="0" applyProtection="0">
      <alignment vertical="center"/>
    </xf>
    <xf numFmtId="0" fontId="76" fillId="28" borderId="0" applyNumberFormat="0" applyBorder="0" applyAlignment="0" applyProtection="0">
      <alignment vertical="center"/>
    </xf>
    <xf numFmtId="0" fontId="76" fillId="29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1" borderId="0" applyNumberFormat="0" applyBorder="0" applyAlignment="0" applyProtection="0">
      <alignment vertical="center"/>
    </xf>
    <xf numFmtId="0" fontId="76" fillId="32" borderId="0" applyNumberFormat="0" applyBorder="0" applyAlignment="0" applyProtection="0">
      <alignment vertical="center"/>
    </xf>
    <xf numFmtId="0" fontId="76" fillId="33" borderId="0" applyNumberFormat="0" applyBorder="0" applyAlignment="0" applyProtection="0">
      <alignment vertical="center"/>
    </xf>
    <xf numFmtId="0" fontId="75" fillId="34" borderId="0" applyNumberFormat="0" applyBorder="0" applyAlignment="0" applyProtection="0">
      <alignment vertical="center"/>
    </xf>
    <xf numFmtId="0" fontId="75" fillId="35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7" borderId="0" applyNumberFormat="0" applyBorder="0" applyAlignment="0" applyProtection="0">
      <alignment vertical="center"/>
    </xf>
    <xf numFmtId="0" fontId="75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77" fillId="0" borderId="0">
      <alignment vertical="center"/>
    </xf>
  </cellStyleXfs>
  <cellXfs count="35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5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5" fillId="0" borderId="0" xfId="49" applyFont="1" applyAlignment="1">
      <alignment vertical="center" wrapText="1"/>
    </xf>
    <xf numFmtId="0" fontId="6" fillId="0" borderId="0" xfId="49" applyFont="1" applyAlignment="1">
      <alignment vertical="center" wrapText="1"/>
    </xf>
    <xf numFmtId="0" fontId="7" fillId="0" borderId="0" xfId="49" applyFont="1">
      <alignment vertical="center"/>
    </xf>
    <xf numFmtId="0" fontId="6" fillId="0" borderId="0" xfId="49" applyFont="1" applyAlignment="1">
      <alignment horizontal="center" vertical="center" wrapText="1"/>
    </xf>
    <xf numFmtId="0" fontId="5" fillId="0" borderId="0" xfId="49" applyFont="1" applyAlignment="1">
      <alignment horizontal="center" vertical="center" wrapText="1"/>
    </xf>
    <xf numFmtId="43" fontId="5" fillId="0" borderId="0" xfId="1" applyFont="1" applyAlignment="1">
      <alignment horizontal="center" vertical="center" wrapText="1"/>
    </xf>
    <xf numFmtId="176" fontId="5" fillId="0" borderId="0" xfId="49" applyNumberFormat="1" applyFont="1" applyAlignment="1">
      <alignment vertical="center" wrapText="1"/>
    </xf>
    <xf numFmtId="176" fontId="5" fillId="0" borderId="0" xfId="49" applyNumberFormat="1" applyFont="1" applyAlignment="1">
      <alignment horizontal="center" vertical="center" wrapText="1"/>
    </xf>
    <xf numFmtId="0" fontId="0" fillId="0" borderId="0" xfId="49">
      <alignment vertical="center"/>
    </xf>
    <xf numFmtId="0" fontId="8" fillId="0" borderId="0" xfId="49" applyFont="1" applyAlignment="1">
      <alignment horizontal="center" vertical="center" wrapText="1"/>
    </xf>
    <xf numFmtId="0" fontId="5" fillId="0" borderId="4" xfId="49" applyFont="1" applyBorder="1" applyAlignment="1">
      <alignment horizontal="center" vertical="center" wrapText="1"/>
    </xf>
    <xf numFmtId="0" fontId="6" fillId="2" borderId="3" xfId="49" applyFont="1" applyFill="1" applyBorder="1" applyAlignment="1">
      <alignment horizontal="center" vertical="center" wrapText="1"/>
    </xf>
    <xf numFmtId="0" fontId="6" fillId="2" borderId="5" xfId="49" applyFont="1" applyFill="1" applyBorder="1" applyAlignment="1">
      <alignment horizontal="center" vertical="center" wrapText="1"/>
    </xf>
    <xf numFmtId="0" fontId="3" fillId="2" borderId="1" xfId="49" applyFont="1" applyFill="1" applyBorder="1" applyAlignment="1">
      <alignment horizontal="center" vertical="center"/>
    </xf>
    <xf numFmtId="0" fontId="3" fillId="2" borderId="6" xfId="49" applyFont="1" applyFill="1" applyBorder="1" applyAlignment="1">
      <alignment horizontal="center" vertical="center" wrapText="1"/>
    </xf>
    <xf numFmtId="0" fontId="3" fillId="2" borderId="1" xfId="49" applyFont="1" applyFill="1" applyBorder="1" applyAlignment="1">
      <alignment horizontal="center" vertical="center" wrapText="1"/>
    </xf>
    <xf numFmtId="0" fontId="3" fillId="2" borderId="7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center" vertical="center" wrapText="1"/>
    </xf>
    <xf numFmtId="0" fontId="6" fillId="4" borderId="1" xfId="49" applyFont="1" applyFill="1" applyBorder="1" applyAlignment="1">
      <alignment horizontal="center" vertical="center" wrapText="1"/>
    </xf>
    <xf numFmtId="0" fontId="1" fillId="4" borderId="1" xfId="49" applyFont="1" applyFill="1" applyBorder="1" applyAlignment="1">
      <alignment horizontal="center" vertical="center" wrapText="1"/>
    </xf>
    <xf numFmtId="43" fontId="1" fillId="4" borderId="1" xfId="1" applyFont="1" applyFill="1" applyBorder="1" applyAlignment="1">
      <alignment horizontal="center" vertical="center" wrapText="1"/>
    </xf>
    <xf numFmtId="0" fontId="1" fillId="4" borderId="1" xfId="1" applyNumberFormat="1" applyFont="1" applyFill="1" applyBorder="1" applyAlignment="1">
      <alignment horizontal="center" vertical="center" wrapText="1"/>
    </xf>
    <xf numFmtId="43" fontId="1" fillId="4" borderId="1" xfId="1" applyFont="1" applyFill="1" applyBorder="1" applyAlignment="1">
      <alignment vertical="center" wrapText="1"/>
    </xf>
    <xf numFmtId="0" fontId="3" fillId="5" borderId="1" xfId="49" applyFont="1" applyFill="1" applyBorder="1" applyAlignment="1">
      <alignment horizontal="center" vertical="center" wrapText="1"/>
    </xf>
    <xf numFmtId="176" fontId="9" fillId="5" borderId="1" xfId="49" applyNumberFormat="1" applyFont="1" applyFill="1" applyBorder="1" applyAlignment="1">
      <alignment horizontal="center" vertical="center" wrapText="1"/>
    </xf>
    <xf numFmtId="49" fontId="1" fillId="4" borderId="1" xfId="49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0" fontId="1" fillId="4" borderId="1" xfId="49" applyFont="1" applyFill="1" applyBorder="1" applyAlignment="1">
      <alignment vertical="center" wrapText="1"/>
    </xf>
    <xf numFmtId="176" fontId="10" fillId="4" borderId="1" xfId="49" applyNumberFormat="1" applyFont="1" applyFill="1" applyBorder="1" applyAlignment="1">
      <alignment vertical="center" wrapText="1"/>
    </xf>
    <xf numFmtId="0" fontId="5" fillId="4" borderId="1" xfId="49" applyFont="1" applyFill="1" applyBorder="1" applyAlignment="1">
      <alignment vertical="center" wrapText="1"/>
    </xf>
    <xf numFmtId="176" fontId="1" fillId="4" borderId="1" xfId="49" applyNumberFormat="1" applyFont="1" applyFill="1" applyBorder="1" applyAlignment="1">
      <alignment vertical="center" wrapText="1"/>
    </xf>
    <xf numFmtId="177" fontId="3" fillId="2" borderId="1" xfId="49" applyNumberFormat="1" applyFont="1" applyFill="1" applyBorder="1" applyAlignment="1">
      <alignment horizontal="center" vertical="center" wrapText="1"/>
    </xf>
    <xf numFmtId="49" fontId="3" fillId="5" borderId="1" xfId="49" applyNumberFormat="1" applyFont="1" applyFill="1" applyBorder="1" applyAlignment="1">
      <alignment horizontal="center" vertical="center" wrapText="1"/>
    </xf>
    <xf numFmtId="178" fontId="1" fillId="4" borderId="1" xfId="1" applyNumberFormat="1" applyFont="1" applyFill="1" applyBorder="1" applyAlignment="1">
      <alignment horizontal="center" vertical="center" wrapText="1"/>
    </xf>
    <xf numFmtId="0" fontId="3" fillId="5" borderId="6" xfId="49" applyFont="1" applyFill="1" applyBorder="1" applyAlignment="1">
      <alignment horizontal="center" vertical="center" wrapText="1"/>
    </xf>
    <xf numFmtId="176" fontId="3" fillId="5" borderId="1" xfId="49" applyNumberFormat="1" applyFont="1" applyFill="1" applyBorder="1" applyAlignment="1">
      <alignment horizontal="center" vertical="center" wrapText="1"/>
    </xf>
    <xf numFmtId="0" fontId="3" fillId="5" borderId="8" xfId="49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3" fontId="0" fillId="0" borderId="0" xfId="1" applyFont="1" applyFill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49" fontId="13" fillId="3" borderId="1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176" fontId="5" fillId="0" borderId="1" xfId="0" applyNumberFormat="1" applyFont="1" applyBorder="1">
      <alignment vertical="center"/>
    </xf>
    <xf numFmtId="43" fontId="5" fillId="0" borderId="1" xfId="1" applyFont="1" applyFill="1" applyBorder="1" applyAlignment="1">
      <alignment vertical="center"/>
    </xf>
    <xf numFmtId="49" fontId="15" fillId="5" borderId="1" xfId="0" applyNumberFormat="1" applyFont="1" applyFill="1" applyBorder="1" applyAlignment="1">
      <alignment horizontal="center" vertical="center"/>
    </xf>
    <xf numFmtId="49" fontId="13" fillId="3" borderId="1" xfId="1" applyNumberFormat="1" applyFont="1" applyFill="1" applyBorder="1" applyAlignment="1">
      <alignment horizontal="center" vertical="center" wrapText="1"/>
    </xf>
    <xf numFmtId="49" fontId="13" fillId="3" borderId="1" xfId="3" applyNumberFormat="1" applyFont="1" applyFill="1" applyBorder="1" applyAlignment="1">
      <alignment horizontal="center" vertical="center" wrapText="1"/>
    </xf>
    <xf numFmtId="49" fontId="13" fillId="2" borderId="1" xfId="1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10" fontId="5" fillId="4" borderId="1" xfId="3" applyNumberFormat="1" applyFont="1" applyFill="1" applyBorder="1" applyAlignment="1">
      <alignment horizontal="center" vertical="center" wrapText="1"/>
    </xf>
    <xf numFmtId="43" fontId="5" fillId="4" borderId="1" xfId="1" applyFont="1" applyFill="1" applyBorder="1" applyAlignment="1">
      <alignment vertical="center"/>
    </xf>
    <xf numFmtId="43" fontId="5" fillId="4" borderId="1" xfId="1" applyFont="1" applyFill="1" applyBorder="1">
      <alignment vertical="center"/>
    </xf>
    <xf numFmtId="0" fontId="13" fillId="2" borderId="1" xfId="1" applyNumberFormat="1" applyFont="1" applyFill="1" applyBorder="1" applyAlignment="1">
      <alignment horizontal="center" vertical="center" wrapText="1"/>
    </xf>
    <xf numFmtId="43" fontId="5" fillId="4" borderId="1" xfId="0" applyNumberFormat="1" applyFont="1" applyFill="1" applyBorder="1">
      <alignment vertical="center"/>
    </xf>
    <xf numFmtId="0" fontId="5" fillId="4" borderId="1" xfId="0" applyFont="1" applyFill="1" applyBorder="1">
      <alignment vertical="center"/>
    </xf>
    <xf numFmtId="0" fontId="5" fillId="0" borderId="0" xfId="49" applyFont="1">
      <alignment vertical="center"/>
    </xf>
    <xf numFmtId="0" fontId="0" fillId="0" borderId="0" xfId="49" applyAlignment="1">
      <alignment horizontal="center" vertical="center" wrapText="1"/>
    </xf>
    <xf numFmtId="0" fontId="0" fillId="0" borderId="0" xfId="49" applyAlignment="1">
      <alignment horizontal="left" vertical="center" wrapText="1"/>
    </xf>
    <xf numFmtId="0" fontId="0" fillId="0" borderId="0" xfId="49" applyAlignment="1">
      <alignment horizontal="center" vertical="center"/>
    </xf>
    <xf numFmtId="43" fontId="0" fillId="0" borderId="0" xfId="1" applyFont="1" applyFill="1" applyBorder="1" applyAlignment="1" applyProtection="1">
      <alignment vertical="center"/>
    </xf>
    <xf numFmtId="43" fontId="16" fillId="0" borderId="0" xfId="1" applyFont="1" applyFill="1" applyBorder="1" applyAlignment="1" applyProtection="1">
      <alignment vertical="center"/>
    </xf>
    <xf numFmtId="10" fontId="0" fillId="0" borderId="0" xfId="3" applyNumberFormat="1" applyFont="1" applyFill="1" applyBorder="1" applyAlignment="1" applyProtection="1">
      <alignment vertical="center"/>
    </xf>
    <xf numFmtId="43" fontId="0" fillId="0" borderId="0" xfId="1" applyFont="1" applyFill="1" applyBorder="1" applyAlignment="1" applyProtection="1">
      <alignment horizontal="right" vertical="center"/>
    </xf>
    <xf numFmtId="0" fontId="8" fillId="0" borderId="0" xfId="0" applyFont="1" applyAlignment="1">
      <alignment horizontal="center" vertical="center"/>
    </xf>
    <xf numFmtId="0" fontId="17" fillId="0" borderId="0" xfId="50" applyFont="1" applyAlignment="1">
      <alignment horizontal="center" vertical="center"/>
    </xf>
    <xf numFmtId="0" fontId="6" fillId="2" borderId="6" xfId="50" applyFont="1" applyFill="1" applyBorder="1" applyAlignment="1">
      <alignment vertical="center" wrapText="1"/>
    </xf>
    <xf numFmtId="0" fontId="6" fillId="2" borderId="1" xfId="50" applyFont="1" applyFill="1" applyBorder="1" applyAlignment="1">
      <alignment horizontal="center" vertical="center" wrapText="1"/>
    </xf>
    <xf numFmtId="0" fontId="6" fillId="2" borderId="1" xfId="50" applyFont="1" applyFill="1" applyBorder="1" applyAlignment="1">
      <alignment vertical="center" wrapText="1"/>
    </xf>
    <xf numFmtId="0" fontId="18" fillId="2" borderId="1" xfId="50" applyFont="1" applyFill="1" applyBorder="1" applyAlignment="1">
      <alignment vertical="center" wrapText="1"/>
    </xf>
    <xf numFmtId="49" fontId="6" fillId="6" borderId="1" xfId="50" applyNumberFormat="1" applyFont="1" applyFill="1" applyBorder="1" applyAlignment="1">
      <alignment horizontal="center" vertical="center" wrapText="1"/>
    </xf>
    <xf numFmtId="49" fontId="19" fillId="6" borderId="1" xfId="0" applyNumberFormat="1" applyFont="1" applyFill="1" applyBorder="1" applyAlignment="1">
      <alignment horizontal="center" vertical="center" wrapText="1"/>
    </xf>
    <xf numFmtId="49" fontId="19" fillId="6" borderId="1" xfId="0" applyNumberFormat="1" applyFont="1" applyFill="1" applyBorder="1" applyAlignment="1">
      <alignment vertical="center" wrapText="1"/>
    </xf>
    <xf numFmtId="0" fontId="6" fillId="2" borderId="8" xfId="50" applyFont="1" applyFill="1" applyBorder="1" applyAlignment="1">
      <alignment vertical="center" wrapText="1"/>
    </xf>
    <xf numFmtId="49" fontId="6" fillId="2" borderId="1" xfId="50" applyNumberFormat="1" applyFont="1" applyFill="1" applyBorder="1" applyAlignment="1">
      <alignment horizontal="center" vertical="center" wrapText="1"/>
    </xf>
    <xf numFmtId="49" fontId="6" fillId="2" borderId="1" xfId="50" applyNumberFormat="1" applyFont="1" applyFill="1" applyBorder="1" applyAlignment="1">
      <alignment vertical="center" wrapText="1"/>
    </xf>
    <xf numFmtId="0" fontId="16" fillId="0" borderId="1" xfId="50" applyFont="1" applyBorder="1" applyAlignment="1">
      <alignment horizontal="center" vertical="center" wrapText="1"/>
    </xf>
    <xf numFmtId="176" fontId="16" fillId="0" borderId="1" xfId="50" applyNumberFormat="1" applyFont="1" applyBorder="1" applyAlignment="1">
      <alignment horizontal="left" vertical="center" wrapText="1"/>
    </xf>
    <xf numFmtId="49" fontId="16" fillId="0" borderId="1" xfId="50" applyNumberFormat="1" applyFont="1" applyBorder="1" applyAlignment="1">
      <alignment horizontal="left" vertical="center" wrapText="1"/>
    </xf>
    <xf numFmtId="0" fontId="16" fillId="0" borderId="1" xfId="5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6" fillId="0" borderId="1" xfId="50" applyFont="1" applyBorder="1" applyAlignment="1">
      <alignment horizontal="left" vertical="center" wrapText="1"/>
    </xf>
    <xf numFmtId="0" fontId="16" fillId="0" borderId="1" xfId="49" applyFont="1" applyBorder="1">
      <alignment vertical="center"/>
    </xf>
    <xf numFmtId="43" fontId="6" fillId="2" borderId="1" xfId="1" applyFont="1" applyFill="1" applyBorder="1" applyAlignment="1" applyProtection="1">
      <alignment horizontal="center" vertical="center" wrapText="1"/>
    </xf>
    <xf numFmtId="43" fontId="19" fillId="6" borderId="1" xfId="1" applyFont="1" applyFill="1" applyBorder="1" applyAlignment="1" applyProtection="1">
      <alignment horizontal="center" vertical="center" wrapText="1"/>
    </xf>
    <xf numFmtId="49" fontId="6" fillId="2" borderId="1" xfId="1" applyNumberFormat="1" applyFont="1" applyFill="1" applyBorder="1" applyAlignment="1" applyProtection="1">
      <alignment horizontal="center" vertical="center" wrapText="1"/>
    </xf>
    <xf numFmtId="0" fontId="20" fillId="0" borderId="1" xfId="0" applyFont="1" applyBorder="1" applyAlignment="1">
      <alignment horizontal="left" vertical="center" wrapText="1"/>
    </xf>
    <xf numFmtId="43" fontId="16" fillId="0" borderId="1" xfId="1" applyFont="1" applyFill="1" applyBorder="1" applyAlignment="1" applyProtection="1">
      <alignment horizontal="left" vertical="center" wrapText="1"/>
    </xf>
    <xf numFmtId="43" fontId="16" fillId="0" borderId="1" xfId="1" applyFont="1" applyFill="1" applyBorder="1" applyAlignment="1" applyProtection="1">
      <alignment vertical="center"/>
    </xf>
    <xf numFmtId="179" fontId="16" fillId="0" borderId="1" xfId="49" applyNumberFormat="1" applyFont="1" applyBorder="1">
      <alignment vertical="center"/>
    </xf>
    <xf numFmtId="0" fontId="21" fillId="0" borderId="0" xfId="0" applyFont="1" applyAlignment="1">
      <alignment horizontal="center" vertical="center"/>
    </xf>
    <xf numFmtId="0" fontId="16" fillId="0" borderId="0" xfId="50" applyFont="1" applyAlignment="1">
      <alignment horizontal="center" vertical="center"/>
    </xf>
    <xf numFmtId="43" fontId="22" fillId="2" borderId="1" xfId="1" applyFont="1" applyFill="1" applyBorder="1" applyAlignment="1" applyProtection="1">
      <alignment horizontal="center" vertical="center" wrapText="1"/>
    </xf>
    <xf numFmtId="10" fontId="6" fillId="2" borderId="1" xfId="3" applyNumberFormat="1" applyFont="1" applyFill="1" applyBorder="1" applyAlignment="1" applyProtection="1">
      <alignment horizontal="center" vertical="center" wrapText="1"/>
    </xf>
    <xf numFmtId="43" fontId="23" fillId="6" borderId="1" xfId="1" applyFont="1" applyFill="1" applyBorder="1" applyAlignment="1" applyProtection="1">
      <alignment horizontal="center" vertical="center" wrapText="1"/>
    </xf>
    <xf numFmtId="0" fontId="19" fillId="6" borderId="1" xfId="0" applyFont="1" applyFill="1" applyBorder="1" applyAlignment="1">
      <alignment horizontal="center" vertical="center" wrapText="1"/>
    </xf>
    <xf numFmtId="43" fontId="5" fillId="0" borderId="1" xfId="1" applyFont="1" applyFill="1" applyBorder="1" applyAlignment="1" applyProtection="1">
      <alignment horizontal="left" vertical="center" wrapText="1"/>
    </xf>
    <xf numFmtId="10" fontId="16" fillId="0" borderId="1" xfId="3" applyNumberFormat="1" applyFont="1" applyFill="1" applyBorder="1" applyAlignment="1" applyProtection="1">
      <alignment horizontal="left" vertical="center" wrapText="1"/>
    </xf>
    <xf numFmtId="0" fontId="16" fillId="0" borderId="1" xfId="50" applyFont="1" applyBorder="1" applyAlignment="1" applyProtection="1">
      <alignment horizontal="left" vertical="center" wrapText="1"/>
      <protection locked="0"/>
    </xf>
    <xf numFmtId="43" fontId="16" fillId="0" borderId="1" xfId="1" applyFont="1" applyFill="1" applyBorder="1" applyAlignment="1" applyProtection="1">
      <alignment horizontal="right" vertical="center" wrapText="1"/>
      <protection locked="0"/>
    </xf>
    <xf numFmtId="43" fontId="0" fillId="0" borderId="1" xfId="1" applyFont="1" applyFill="1" applyBorder="1" applyAlignment="1" applyProtection="1">
      <alignment vertical="center"/>
    </xf>
    <xf numFmtId="0" fontId="24" fillId="0" borderId="1" xfId="0" applyFont="1" applyBorder="1" applyAlignment="1">
      <alignment horizontal="center" vertical="center" wrapText="1"/>
    </xf>
    <xf numFmtId="0" fontId="16" fillId="0" borderId="1" xfId="49" applyFont="1" applyBorder="1" applyAlignment="1">
      <alignment horizontal="left" vertical="center" wrapText="1"/>
    </xf>
    <xf numFmtId="43" fontId="16" fillId="0" borderId="1" xfId="1" applyFont="1" applyFill="1" applyBorder="1" applyAlignment="1" applyProtection="1">
      <alignment horizontal="right" vertical="center"/>
    </xf>
    <xf numFmtId="0" fontId="4" fillId="0" borderId="0" xfId="0" applyFont="1" applyAlignment="1"/>
    <xf numFmtId="0" fontId="25" fillId="0" borderId="0" xfId="0" applyFont="1" applyAlignment="1"/>
    <xf numFmtId="49" fontId="25" fillId="0" borderId="0" xfId="0" applyNumberFormat="1" applyFont="1" applyAlignment="1"/>
    <xf numFmtId="0" fontId="26" fillId="0" borderId="0" xfId="0" applyFont="1" applyAlignment="1">
      <alignment wrapText="1"/>
    </xf>
    <xf numFmtId="0" fontId="27" fillId="0" borderId="0" xfId="0" applyFont="1" applyAlignment="1"/>
    <xf numFmtId="0" fontId="28" fillId="0" borderId="0" xfId="0" applyFont="1" applyAlignment="1"/>
    <xf numFmtId="43" fontId="27" fillId="0" borderId="0" xfId="1" applyFont="1" applyFill="1" applyBorder="1" applyAlignment="1"/>
    <xf numFmtId="0" fontId="29" fillId="0" borderId="0" xfId="0" applyFont="1" applyAlignment="1"/>
    <xf numFmtId="0" fontId="11" fillId="0" borderId="0" xfId="0" applyFont="1" applyAlignment="1">
      <alignment horizontal="center"/>
    </xf>
    <xf numFmtId="180" fontId="19" fillId="2" borderId="6" xfId="0" applyNumberFormat="1" applyFont="1" applyFill="1" applyBorder="1" applyAlignment="1">
      <alignment horizontal="center" vertical="center" wrapText="1"/>
    </xf>
    <xf numFmtId="180" fontId="19" fillId="2" borderId="1" xfId="0" applyNumberFormat="1" applyFont="1" applyFill="1" applyBorder="1" applyAlignment="1">
      <alignment horizontal="center" vertical="center" wrapText="1"/>
    </xf>
    <xf numFmtId="180" fontId="19" fillId="6" borderId="1" xfId="0" applyNumberFormat="1" applyFont="1" applyFill="1" applyBorder="1" applyAlignment="1">
      <alignment horizontal="center" vertical="center" wrapText="1"/>
    </xf>
    <xf numFmtId="180" fontId="19" fillId="2" borderId="8" xfId="0" applyNumberFormat="1" applyFont="1" applyFill="1" applyBorder="1" applyAlignment="1">
      <alignment horizontal="center" vertical="center" wrapText="1"/>
    </xf>
    <xf numFmtId="49" fontId="19" fillId="2" borderId="1" xfId="0" applyNumberFormat="1" applyFont="1" applyFill="1" applyBorder="1" applyAlignment="1">
      <alignment horizontal="center" vertical="center" wrapText="1"/>
    </xf>
    <xf numFmtId="0" fontId="30" fillId="0" borderId="1" xfId="0" applyFont="1" applyBorder="1" applyAlignment="1">
      <alignment wrapText="1"/>
    </xf>
    <xf numFmtId="3" fontId="30" fillId="0" borderId="1" xfId="0" applyNumberFormat="1" applyFont="1" applyBorder="1" applyAlignment="1">
      <alignment wrapText="1"/>
    </xf>
    <xf numFmtId="0" fontId="31" fillId="0" borderId="1" xfId="0" applyFont="1" applyBorder="1" applyAlignment="1">
      <alignment wrapText="1"/>
    </xf>
    <xf numFmtId="3" fontId="31" fillId="0" borderId="1" xfId="0" applyNumberFormat="1" applyFont="1" applyBorder="1" applyAlignment="1">
      <alignment wrapText="1"/>
    </xf>
    <xf numFmtId="3" fontId="32" fillId="0" borderId="1" xfId="0" applyNumberFormat="1" applyFont="1" applyBorder="1" applyAlignment="1">
      <alignment wrapText="1"/>
    </xf>
    <xf numFmtId="43" fontId="11" fillId="0" borderId="0" xfId="1" applyFont="1" applyFill="1" applyAlignment="1">
      <alignment horizontal="center"/>
    </xf>
    <xf numFmtId="43" fontId="12" fillId="0" borderId="0" xfId="1" applyFont="1" applyFill="1" applyAlignment="1">
      <alignment horizontal="center"/>
    </xf>
    <xf numFmtId="180" fontId="18" fillId="2" borderId="1" xfId="0" applyNumberFormat="1" applyFont="1" applyFill="1" applyBorder="1" applyAlignment="1">
      <alignment horizontal="center" vertical="center" wrapText="1"/>
    </xf>
    <xf numFmtId="43" fontId="19" fillId="2" borderId="1" xfId="1" applyFont="1" applyFill="1" applyBorder="1" applyAlignment="1">
      <alignment horizontal="center" vertical="center" wrapText="1"/>
    </xf>
    <xf numFmtId="176" fontId="30" fillId="0" borderId="1" xfId="0" applyNumberFormat="1" applyFont="1" applyBorder="1" applyAlignment="1">
      <alignment wrapText="1"/>
    </xf>
    <xf numFmtId="4" fontId="30" fillId="0" borderId="1" xfId="1" applyNumberFormat="1" applyFont="1" applyFill="1" applyBorder="1" applyAlignment="1">
      <alignment wrapText="1"/>
    </xf>
    <xf numFmtId="4" fontId="31" fillId="0" borderId="1" xfId="1" applyNumberFormat="1" applyFont="1" applyFill="1" applyBorder="1" applyAlignment="1">
      <alignment wrapText="1"/>
    </xf>
    <xf numFmtId="176" fontId="31" fillId="0" borderId="1" xfId="0" applyNumberFormat="1" applyFont="1" applyBorder="1" applyAlignment="1">
      <alignment wrapText="1"/>
    </xf>
    <xf numFmtId="0" fontId="31" fillId="0" borderId="1" xfId="0" applyNumberFormat="1" applyFont="1" applyBorder="1" applyAlignment="1">
      <alignment wrapText="1"/>
    </xf>
    <xf numFmtId="43" fontId="18" fillId="2" borderId="1" xfId="1" applyFont="1" applyFill="1" applyBorder="1" applyAlignment="1">
      <alignment horizontal="center" vertical="center" wrapText="1"/>
    </xf>
    <xf numFmtId="3" fontId="31" fillId="0" borderId="1" xfId="0" applyNumberFormat="1" applyFont="1" applyBorder="1" applyAlignment="1">
      <alignment vertical="center" wrapText="1"/>
    </xf>
    <xf numFmtId="4" fontId="32" fillId="0" borderId="1" xfId="1" applyNumberFormat="1" applyFont="1" applyFill="1" applyBorder="1" applyAlignment="1">
      <alignment vertical="center" wrapText="1"/>
    </xf>
    <xf numFmtId="4" fontId="31" fillId="0" borderId="1" xfId="1" applyNumberFormat="1" applyFont="1" applyFill="1" applyBorder="1" applyAlignment="1">
      <alignment vertical="center" wrapText="1"/>
    </xf>
    <xf numFmtId="43" fontId="31" fillId="6" borderId="1" xfId="1" applyFont="1" applyFill="1" applyBorder="1" applyAlignment="1" applyProtection="1">
      <alignment horizontal="center" wrapText="1"/>
    </xf>
    <xf numFmtId="3" fontId="10" fillId="0" borderId="1" xfId="0" applyNumberFormat="1" applyFont="1" applyBorder="1" applyAlignment="1">
      <alignment wrapText="1"/>
    </xf>
    <xf numFmtId="0" fontId="30" fillId="0" borderId="1" xfId="0" applyFont="1" applyBorder="1" applyAlignment="1"/>
    <xf numFmtId="0" fontId="33" fillId="0" borderId="1" xfId="0" applyFont="1" applyBorder="1" applyAlignment="1"/>
    <xf numFmtId="0" fontId="10" fillId="0" borderId="1" xfId="0" applyFont="1" applyBorder="1" applyAlignment="1"/>
    <xf numFmtId="0" fontId="30" fillId="0" borderId="1" xfId="0" applyNumberFormat="1" applyFont="1" applyBorder="1" applyAlignment="1">
      <alignment wrapText="1"/>
    </xf>
    <xf numFmtId="43" fontId="30" fillId="0" borderId="1" xfId="1" applyFont="1" applyFill="1" applyBorder="1" applyAlignment="1"/>
    <xf numFmtId="176" fontId="30" fillId="0" borderId="1" xfId="0" applyNumberFormat="1" applyFont="1" applyBorder="1" applyAlignment="1"/>
    <xf numFmtId="43" fontId="31" fillId="0" borderId="1" xfId="1" applyFont="1" applyFill="1" applyBorder="1" applyAlignment="1"/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4" fillId="0" borderId="0" xfId="0" applyFont="1">
      <alignment vertical="center"/>
    </xf>
    <xf numFmtId="49" fontId="34" fillId="0" borderId="0" xfId="0" applyNumberFormat="1" applyFont="1">
      <alignment vertical="center"/>
    </xf>
    <xf numFmtId="43" fontId="0" fillId="0" borderId="0" xfId="1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43" fontId="35" fillId="0" borderId="0" xfId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3" fontId="5" fillId="0" borderId="0" xfId="1" applyFont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43" fontId="6" fillId="2" borderId="1" xfId="1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43" fontId="6" fillId="2" borderId="1" xfId="1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/>
    </xf>
    <xf numFmtId="43" fontId="5" fillId="0" borderId="1" xfId="1" applyFont="1" applyBorder="1" applyAlignment="1">
      <alignment horizontal="center" vertical="center" wrapText="1"/>
    </xf>
    <xf numFmtId="43" fontId="5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8" fillId="2" borderId="3" xfId="1" applyFont="1" applyFill="1" applyBorder="1" applyAlignment="1">
      <alignment horizontal="center" vertical="center"/>
    </xf>
    <xf numFmtId="43" fontId="18" fillId="2" borderId="5" xfId="1" applyFont="1" applyFill="1" applyBorder="1" applyAlignment="1">
      <alignment horizontal="center" vertical="center"/>
    </xf>
    <xf numFmtId="43" fontId="18" fillId="2" borderId="2" xfId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3" fontId="5" fillId="0" borderId="9" xfId="1" applyFont="1" applyBorder="1" applyAlignment="1">
      <alignment horizontal="center" vertical="center"/>
    </xf>
    <xf numFmtId="0" fontId="36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 vertical="center"/>
    </xf>
    <xf numFmtId="43" fontId="0" fillId="0" borderId="0" xfId="1" applyFont="1" applyFill="1" applyBorder="1" applyAlignment="1"/>
    <xf numFmtId="0" fontId="5" fillId="0" borderId="4" xfId="0" applyFont="1" applyBorder="1" applyAlignment="1">
      <alignment horizontal="center" vertical="center"/>
    </xf>
    <xf numFmtId="0" fontId="6" fillId="3" borderId="1" xfId="5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19" fillId="3" borderId="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9" fillId="3" borderId="1" xfId="1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43" fontId="4" fillId="4" borderId="1" xfId="1" applyFont="1" applyFill="1" applyBorder="1" applyAlignment="1" applyProtection="1">
      <alignment horizontal="center" vertical="center" wrapText="1"/>
    </xf>
    <xf numFmtId="0" fontId="1" fillId="4" borderId="3" xfId="0" applyFont="1" applyFill="1" applyBorder="1" applyAlignment="1">
      <alignment horizontal="center" vertical="center"/>
    </xf>
    <xf numFmtId="43" fontId="4" fillId="0" borderId="1" xfId="1" applyFont="1" applyFill="1" applyBorder="1" applyAlignment="1" applyProtection="1">
      <alignment horizontal="center" vertical="center" wrapText="1"/>
    </xf>
    <xf numFmtId="0" fontId="1" fillId="4" borderId="1" xfId="1" applyNumberFormat="1" applyFont="1" applyFill="1" applyBorder="1" applyAlignment="1">
      <alignment horizontal="center" vertical="center"/>
    </xf>
    <xf numFmtId="0" fontId="1" fillId="0" borderId="1" xfId="1" applyNumberFormat="1" applyFont="1" applyFill="1" applyBorder="1" applyAlignment="1">
      <alignment vertical="center"/>
    </xf>
    <xf numFmtId="0" fontId="5" fillId="4" borderId="0" xfId="0" applyFont="1" applyFill="1" applyAlignment="1"/>
    <xf numFmtId="0" fontId="5" fillId="0" borderId="0" xfId="0" applyFont="1" applyAlignment="1"/>
    <xf numFmtId="0" fontId="37" fillId="0" borderId="0" xfId="0" applyFont="1">
      <alignment vertical="center"/>
    </xf>
    <xf numFmtId="9" fontId="0" fillId="0" borderId="0" xfId="3" applyFont="1" applyAlignment="1"/>
    <xf numFmtId="0" fontId="0" fillId="0" borderId="0" xfId="0" applyAlignment="1"/>
    <xf numFmtId="49" fontId="0" fillId="0" borderId="0" xfId="0" applyNumberFormat="1" applyAlignment="1">
      <alignment horizontal="center"/>
    </xf>
    <xf numFmtId="43" fontId="0" fillId="0" borderId="0" xfId="1" applyFont="1" applyFill="1" applyAlignment="1"/>
    <xf numFmtId="0" fontId="38" fillId="0" borderId="0" xfId="0" applyFont="1" applyAlignment="1"/>
    <xf numFmtId="181" fontId="38" fillId="0" borderId="0" xfId="3" applyNumberFormat="1" applyFont="1" applyFill="1" applyAlignment="1"/>
    <xf numFmtId="0" fontId="11" fillId="0" borderId="0" xfId="0" applyFont="1" applyAlignment="1">
      <alignment horizontal="center" vertical="center" wrapText="1"/>
    </xf>
    <xf numFmtId="43" fontId="11" fillId="0" borderId="0" xfId="1" applyFont="1" applyFill="1" applyAlignment="1">
      <alignment horizontal="center" vertical="center" wrapText="1"/>
    </xf>
    <xf numFmtId="181" fontId="11" fillId="0" borderId="0" xfId="3" applyNumberFormat="1" applyFont="1" applyFill="1" applyAlignment="1">
      <alignment horizontal="center" vertical="center" wrapText="1"/>
    </xf>
    <xf numFmtId="181" fontId="12" fillId="0" borderId="0" xfId="3" applyNumberFormat="1" applyFont="1" applyFill="1" applyAlignment="1">
      <alignment horizontal="center"/>
    </xf>
    <xf numFmtId="0" fontId="19" fillId="2" borderId="6" xfId="0" applyFont="1" applyFill="1" applyBorder="1" applyAlignment="1">
      <alignment horizontal="center" vertical="center" wrapText="1"/>
    </xf>
    <xf numFmtId="49" fontId="19" fillId="2" borderId="6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81" fontId="6" fillId="2" borderId="5" xfId="3" applyNumberFormat="1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49" fontId="19" fillId="2" borderId="7" xfId="0" applyNumberFormat="1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181" fontId="19" fillId="2" borderId="1" xfId="3" applyNumberFormat="1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 wrapText="1"/>
    </xf>
    <xf numFmtId="49" fontId="19" fillId="2" borderId="8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3" fontId="33" fillId="0" borderId="1" xfId="1" applyFont="1" applyFill="1" applyBorder="1" applyAlignment="1">
      <alignment vertical="center" wrapText="1"/>
    </xf>
    <xf numFmtId="9" fontId="33" fillId="0" borderId="9" xfId="0" applyNumberFormat="1" applyFont="1" applyBorder="1" applyAlignment="1">
      <alignment vertical="center" wrapText="1"/>
    </xf>
    <xf numFmtId="10" fontId="5" fillId="0" borderId="9" xfId="3" applyNumberFormat="1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9" fontId="33" fillId="0" borderId="1" xfId="0" applyNumberFormat="1" applyFont="1" applyBorder="1" applyAlignment="1">
      <alignment vertical="center" wrapText="1"/>
    </xf>
    <xf numFmtId="10" fontId="5" fillId="0" borderId="1" xfId="3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3" fontId="33" fillId="0" borderId="9" xfId="1" applyFont="1" applyFill="1" applyBorder="1" applyAlignment="1">
      <alignment vertical="center" wrapText="1"/>
    </xf>
    <xf numFmtId="10" fontId="33" fillId="0" borderId="9" xfId="3" applyNumberFormat="1" applyFont="1" applyFill="1" applyBorder="1" applyAlignment="1">
      <alignment vertical="center" wrapText="1"/>
    </xf>
    <xf numFmtId="0" fontId="39" fillId="0" borderId="10" xfId="0" applyFont="1" applyBorder="1" applyAlignment="1">
      <alignment vertical="center" wrapText="1"/>
    </xf>
    <xf numFmtId="0" fontId="39" fillId="0" borderId="0" xfId="0" applyFont="1" applyAlignment="1">
      <alignment vertical="center" wrapText="1"/>
    </xf>
    <xf numFmtId="43" fontId="39" fillId="0" borderId="0" xfId="1" applyFont="1" applyFill="1" applyBorder="1" applyAlignment="1">
      <alignment vertical="center" wrapText="1"/>
    </xf>
    <xf numFmtId="181" fontId="39" fillId="0" borderId="0" xfId="3" applyNumberFormat="1" applyFont="1" applyFill="1" applyBorder="1" applyAlignment="1">
      <alignment vertical="center" wrapText="1"/>
    </xf>
    <xf numFmtId="9" fontId="36" fillId="0" borderId="0" xfId="3" applyFont="1" applyAlignment="1">
      <alignment horizontal="center" vertical="center"/>
    </xf>
    <xf numFmtId="49" fontId="0" fillId="0" borderId="0" xfId="3" applyNumberFormat="1" applyFont="1" applyAlignment="1">
      <alignment horizontal="center"/>
    </xf>
    <xf numFmtId="43" fontId="0" fillId="0" borderId="0" xfId="1" applyFont="1" applyAlignment="1"/>
    <xf numFmtId="9" fontId="38" fillId="0" borderId="0" xfId="3" applyFont="1" applyAlignment="1"/>
    <xf numFmtId="181" fontId="38" fillId="0" borderId="0" xfId="3" applyNumberFormat="1" applyFont="1" applyAlignment="1"/>
    <xf numFmtId="49" fontId="36" fillId="0" borderId="0" xfId="3" applyNumberFormat="1" applyFont="1" applyAlignment="1">
      <alignment horizontal="center" vertical="center"/>
    </xf>
    <xf numFmtId="43" fontId="26" fillId="0" borderId="0" xfId="1" applyFont="1" applyAlignment="1">
      <alignment horizontal="left" vertical="center"/>
    </xf>
    <xf numFmtId="0" fontId="40" fillId="0" borderId="0" xfId="0" applyFont="1" applyAlignment="1"/>
    <xf numFmtId="43" fontId="33" fillId="0" borderId="1" xfId="1" applyFont="1" applyFill="1" applyBorder="1" applyAlignment="1">
      <alignment horizontal="right" vertical="center" wrapText="1"/>
    </xf>
    <xf numFmtId="49" fontId="5" fillId="0" borderId="0" xfId="0" applyNumberFormat="1" applyFont="1" applyAlignment="1"/>
    <xf numFmtId="0" fontId="14" fillId="0" borderId="0" xfId="0" applyFont="1" applyAlignment="1"/>
    <xf numFmtId="43" fontId="5" fillId="0" borderId="0" xfId="1" applyFont="1" applyFill="1" applyAlignment="1"/>
    <xf numFmtId="0" fontId="41" fillId="0" borderId="0" xfId="0" applyFont="1" applyAlignment="1">
      <alignment horizontal="center"/>
    </xf>
    <xf numFmtId="43" fontId="41" fillId="0" borderId="0" xfId="1" applyFont="1" applyFill="1" applyAlignment="1">
      <alignment horizontal="center"/>
    </xf>
    <xf numFmtId="0" fontId="28" fillId="0" borderId="4" xfId="0" applyFont="1" applyBorder="1" applyAlignment="1">
      <alignment horizontal="center" vertical="center"/>
    </xf>
    <xf numFmtId="43" fontId="28" fillId="0" borderId="4" xfId="1" applyFont="1" applyFill="1" applyBorder="1" applyAlignment="1">
      <alignment horizontal="center" vertical="center"/>
    </xf>
    <xf numFmtId="0" fontId="42" fillId="0" borderId="0" xfId="0" applyFont="1" applyAlignment="1"/>
    <xf numFmtId="180" fontId="43" fillId="2" borderId="6" xfId="0" applyNumberFormat="1" applyFont="1" applyFill="1" applyBorder="1" applyAlignment="1">
      <alignment horizontal="center" vertical="center" wrapText="1"/>
    </xf>
    <xf numFmtId="43" fontId="43" fillId="2" borderId="1" xfId="1" applyFont="1" applyFill="1" applyBorder="1" applyAlignment="1">
      <alignment horizontal="center" vertical="center" wrapText="1"/>
    </xf>
    <xf numFmtId="180" fontId="43" fillId="2" borderId="8" xfId="0" applyNumberFormat="1" applyFont="1" applyFill="1" applyBorder="1" applyAlignment="1">
      <alignment horizontal="center" vertical="center" wrapText="1"/>
    </xf>
    <xf numFmtId="0" fontId="42" fillId="7" borderId="1" xfId="51" applyFont="1" applyFill="1" applyBorder="1" applyAlignment="1">
      <alignment horizontal="left" vertical="center"/>
    </xf>
    <xf numFmtId="0" fontId="14" fillId="7" borderId="1" xfId="51" applyFont="1" applyFill="1" applyBorder="1" applyAlignment="1">
      <alignment horizontal="center" vertical="center"/>
    </xf>
    <xf numFmtId="43" fontId="14" fillId="7" borderId="1" xfId="1" applyFont="1" applyFill="1" applyBorder="1" applyAlignment="1">
      <alignment horizontal="center" vertical="center" wrapText="1"/>
    </xf>
    <xf numFmtId="43" fontId="42" fillId="7" borderId="1" xfId="1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left" vertical="center" wrapText="1"/>
    </xf>
    <xf numFmtId="43" fontId="14" fillId="0" borderId="1" xfId="1" applyFont="1" applyFill="1" applyBorder="1" applyAlignment="1">
      <alignment horizontal="center" vertical="center" wrapText="1"/>
    </xf>
    <xf numFmtId="180" fontId="42" fillId="7" borderId="1" xfId="0" applyNumberFormat="1" applyFont="1" applyFill="1" applyBorder="1" applyAlignment="1">
      <alignment horizontal="center" vertical="center" wrapText="1"/>
    </xf>
    <xf numFmtId="0" fontId="0" fillId="0" borderId="0" xfId="49" applyFont="1" applyAlignment="1"/>
    <xf numFmtId="43" fontId="0" fillId="0" borderId="0" xfId="1" applyFont="1" applyFill="1" applyBorder="1" applyAlignment="1" applyProtection="1"/>
    <xf numFmtId="43" fontId="8" fillId="0" borderId="0" xfId="1" applyFont="1" applyAlignment="1">
      <alignment horizontal="center" vertical="center"/>
    </xf>
    <xf numFmtId="0" fontId="6" fillId="0" borderId="6" xfId="49" applyFont="1" applyBorder="1" applyAlignment="1">
      <alignment horizontal="center" vertical="center" wrapText="1"/>
    </xf>
    <xf numFmtId="0" fontId="6" fillId="2" borderId="6" xfId="49" applyFont="1" applyFill="1" applyBorder="1" applyAlignment="1">
      <alignment horizontal="center" vertical="center"/>
    </xf>
    <xf numFmtId="0" fontId="6" fillId="0" borderId="7" xfId="49" applyFont="1" applyBorder="1" applyAlignment="1">
      <alignment horizontal="center" vertical="center" wrapText="1"/>
    </xf>
    <xf numFmtId="0" fontId="6" fillId="2" borderId="8" xfId="49" applyFont="1" applyFill="1" applyBorder="1" applyAlignment="1">
      <alignment horizontal="center" vertical="center"/>
    </xf>
    <xf numFmtId="0" fontId="6" fillId="0" borderId="1" xfId="49" applyFont="1" applyBorder="1" applyAlignment="1">
      <alignment horizontal="left" vertical="center"/>
    </xf>
    <xf numFmtId="0" fontId="5" fillId="0" borderId="1" xfId="49" applyFont="1" applyBorder="1" applyAlignment="1">
      <alignment horizontal="center" vertical="center"/>
    </xf>
    <xf numFmtId="43" fontId="25" fillId="0" borderId="1" xfId="1" applyFont="1" applyFill="1" applyBorder="1" applyAlignment="1" applyProtection="1">
      <alignment horizontal="center" vertical="center" wrapText="1"/>
    </xf>
    <xf numFmtId="0" fontId="6" fillId="0" borderId="1" xfId="49" applyFont="1" applyBorder="1" applyAlignment="1">
      <alignment vertical="center" wrapText="1"/>
    </xf>
    <xf numFmtId="0" fontId="5" fillId="0" borderId="1" xfId="49" applyFont="1" applyBorder="1">
      <alignment vertical="center"/>
    </xf>
    <xf numFmtId="0" fontId="6" fillId="0" borderId="8" xfId="49" applyFont="1" applyBorder="1" applyAlignment="1">
      <alignment horizontal="center" vertical="center" wrapText="1"/>
    </xf>
    <xf numFmtId="180" fontId="42" fillId="0" borderId="1" xfId="0" applyNumberFormat="1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6" fillId="2" borderId="6" xfId="49" applyFont="1" applyFill="1" applyBorder="1" applyAlignment="1">
      <alignment horizontal="center" vertical="center" wrapText="1"/>
    </xf>
    <xf numFmtId="0" fontId="6" fillId="2" borderId="8" xfId="49" applyFont="1" applyFill="1" applyBorder="1" applyAlignment="1">
      <alignment horizontal="center" vertical="center" wrapText="1"/>
    </xf>
    <xf numFmtId="43" fontId="14" fillId="0" borderId="1" xfId="1" applyFont="1" applyFill="1" applyBorder="1" applyAlignment="1" applyProtection="1">
      <alignment horizontal="center" vertical="center" wrapText="1"/>
    </xf>
    <xf numFmtId="182" fontId="42" fillId="0" borderId="1" xfId="3" applyNumberFormat="1" applyFont="1" applyFill="1" applyBorder="1" applyAlignment="1" applyProtection="1">
      <alignment horizontal="center" vertical="center" wrapText="1"/>
    </xf>
    <xf numFmtId="0" fontId="6" fillId="2" borderId="1" xfId="49" applyFont="1" applyFill="1" applyBorder="1" applyAlignment="1">
      <alignment horizontal="center" vertical="center" wrapText="1"/>
    </xf>
    <xf numFmtId="49" fontId="6" fillId="2" borderId="1" xfId="49" applyNumberFormat="1" applyFont="1" applyFill="1" applyBorder="1" applyAlignment="1">
      <alignment horizontal="center" vertical="center" wrapText="1"/>
    </xf>
    <xf numFmtId="0" fontId="5" fillId="0" borderId="1" xfId="49" applyFont="1" applyBorder="1" applyAlignment="1">
      <alignment horizontal="center" wrapText="1"/>
    </xf>
    <xf numFmtId="43" fontId="6" fillId="2" borderId="3" xfId="1" applyFont="1" applyFill="1" applyBorder="1" applyAlignment="1" applyProtection="1">
      <alignment horizontal="center" vertical="center" wrapText="1"/>
    </xf>
    <xf numFmtId="43" fontId="6" fillId="2" borderId="2" xfId="1" applyFont="1" applyFill="1" applyBorder="1" applyAlignment="1" applyProtection="1">
      <alignment horizontal="center" vertical="center" wrapText="1"/>
    </xf>
    <xf numFmtId="182" fontId="42" fillId="0" borderId="3" xfId="3" applyNumberFormat="1" applyFont="1" applyFill="1" applyBorder="1" applyAlignment="1" applyProtection="1">
      <alignment horizontal="center" vertical="center" wrapText="1"/>
    </xf>
    <xf numFmtId="182" fontId="42" fillId="0" borderId="2" xfId="3" applyNumberFormat="1" applyFont="1" applyFill="1" applyBorder="1" applyAlignment="1" applyProtection="1">
      <alignment horizontal="center" vertical="center" wrapText="1"/>
    </xf>
    <xf numFmtId="182" fontId="42" fillId="7" borderId="3" xfId="3" applyNumberFormat="1" applyFont="1" applyFill="1" applyBorder="1" applyAlignment="1">
      <alignment horizontal="center" vertical="center" wrapText="1"/>
    </xf>
    <xf numFmtId="182" fontId="42" fillId="7" borderId="2" xfId="3" applyNumberFormat="1" applyFont="1" applyFill="1" applyBorder="1" applyAlignment="1">
      <alignment horizontal="center" vertical="center" wrapText="1"/>
    </xf>
    <xf numFmtId="180" fontId="42" fillId="7" borderId="1" xfId="0" applyNumberFormat="1" applyFont="1" applyFill="1" applyBorder="1" applyAlignment="1">
      <alignment vertical="center" wrapText="1"/>
    </xf>
    <xf numFmtId="0" fontId="44" fillId="0" borderId="0" xfId="0" applyFont="1" applyAlignment="1"/>
    <xf numFmtId="0" fontId="45" fillId="0" borderId="0" xfId="0" applyFont="1">
      <alignment vertical="center"/>
    </xf>
    <xf numFmtId="0" fontId="0" fillId="0" borderId="0" xfId="0" applyAlignment="1">
      <alignment horizontal="left"/>
    </xf>
    <xf numFmtId="0" fontId="46" fillId="0" borderId="0" xfId="0" applyFont="1" applyAlignment="1">
      <alignment horizontal="center"/>
    </xf>
    <xf numFmtId="0" fontId="47" fillId="0" borderId="0" xfId="0" applyFont="1" applyAlignment="1">
      <alignment horizontal="left" vertical="center"/>
    </xf>
    <xf numFmtId="0" fontId="47" fillId="0" borderId="0" xfId="0" applyFont="1">
      <alignment vertical="center"/>
    </xf>
    <xf numFmtId="43" fontId="47" fillId="0" borderId="0" xfId="1" applyFont="1" applyFill="1" applyAlignment="1">
      <alignment horizontal="center" vertical="center"/>
    </xf>
    <xf numFmtId="180" fontId="48" fillId="4" borderId="1" xfId="0" applyNumberFormat="1" applyFont="1" applyFill="1" applyBorder="1" applyAlignment="1">
      <alignment horizontal="left" vertical="center" wrapText="1"/>
    </xf>
    <xf numFmtId="43" fontId="47" fillId="4" borderId="1" xfId="1" applyFont="1" applyFill="1" applyBorder="1" applyAlignment="1">
      <alignment horizontal="center" vertical="center"/>
    </xf>
    <xf numFmtId="43" fontId="48" fillId="4" borderId="1" xfId="1" applyFont="1" applyFill="1" applyBorder="1" applyAlignment="1">
      <alignment horizontal="center" vertical="center" wrapText="1"/>
    </xf>
    <xf numFmtId="43" fontId="48" fillId="4" borderId="3" xfId="1" applyFont="1" applyFill="1" applyBorder="1" applyAlignment="1">
      <alignment horizontal="center" vertical="center" wrapText="1"/>
    </xf>
    <xf numFmtId="43" fontId="47" fillId="4" borderId="5" xfId="1" applyFont="1" applyFill="1" applyBorder="1" applyAlignment="1">
      <alignment horizontal="center" vertical="center"/>
    </xf>
    <xf numFmtId="43" fontId="47" fillId="4" borderId="1" xfId="1" applyFont="1" applyFill="1" applyBorder="1" applyAlignment="1">
      <alignment horizontal="center" vertical="center" wrapText="1"/>
    </xf>
    <xf numFmtId="43" fontId="47" fillId="4" borderId="3" xfId="1" applyFont="1" applyFill="1" applyBorder="1" applyAlignment="1">
      <alignment horizontal="center" vertical="center" wrapText="1"/>
    </xf>
    <xf numFmtId="43" fontId="47" fillId="4" borderId="1" xfId="1" applyFont="1" applyFill="1" applyBorder="1" applyAlignment="1">
      <alignment horizontal="left" vertical="center" wrapText="1"/>
    </xf>
    <xf numFmtId="43" fontId="48" fillId="4" borderId="1" xfId="1" applyFont="1" applyFill="1" applyBorder="1" applyAlignment="1">
      <alignment horizontal="left" vertical="center" wrapText="1"/>
    </xf>
    <xf numFmtId="180" fontId="49" fillId="0" borderId="3" xfId="0" applyNumberFormat="1" applyFont="1" applyBorder="1" applyAlignment="1">
      <alignment horizontal="center" vertical="center" wrapText="1"/>
    </xf>
    <xf numFmtId="180" fontId="49" fillId="0" borderId="2" xfId="0" applyNumberFormat="1" applyFont="1" applyBorder="1" applyAlignment="1">
      <alignment horizontal="center" vertical="center" wrapText="1"/>
    </xf>
    <xf numFmtId="180" fontId="49" fillId="0" borderId="1" xfId="0" applyNumberFormat="1" applyFont="1" applyBorder="1" applyAlignment="1">
      <alignment horizontal="center" vertical="center" wrapText="1"/>
    </xf>
    <xf numFmtId="0" fontId="47" fillId="0" borderId="1" xfId="0" applyFont="1" applyBorder="1" applyAlignment="1">
      <alignment horizontal="left" vertical="center" wrapText="1"/>
    </xf>
    <xf numFmtId="0" fontId="47" fillId="0" borderId="1" xfId="0" applyFont="1" applyBorder="1" applyAlignment="1">
      <alignment horizontal="center" vertical="center" wrapText="1"/>
    </xf>
    <xf numFmtId="43" fontId="47" fillId="0" borderId="1" xfId="0" applyNumberFormat="1" applyFont="1" applyBorder="1" applyAlignment="1">
      <alignment horizontal="center" vertical="center" wrapText="1"/>
    </xf>
    <xf numFmtId="49" fontId="47" fillId="0" borderId="1" xfId="0" applyNumberFormat="1" applyFont="1" applyBorder="1" applyAlignment="1">
      <alignment horizontal="center" vertical="center" wrapText="1"/>
    </xf>
    <xf numFmtId="181" fontId="47" fillId="0" borderId="1" xfId="3" applyNumberFormat="1" applyFont="1" applyFill="1" applyBorder="1" applyAlignment="1">
      <alignment horizontal="center" vertical="center" wrapText="1"/>
    </xf>
    <xf numFmtId="180" fontId="48" fillId="0" borderId="1" xfId="0" applyNumberFormat="1" applyFont="1" applyBorder="1" applyAlignment="1">
      <alignment horizontal="center" vertical="center" wrapText="1"/>
    </xf>
    <xf numFmtId="43" fontId="48" fillId="4" borderId="5" xfId="1" applyFont="1" applyFill="1" applyBorder="1" applyAlignment="1">
      <alignment horizontal="center" vertical="center" wrapText="1"/>
    </xf>
    <xf numFmtId="43" fontId="48" fillId="4" borderId="2" xfId="1" applyFont="1" applyFill="1" applyBorder="1" applyAlignment="1">
      <alignment horizontal="center" vertical="center" wrapText="1"/>
    </xf>
    <xf numFmtId="43" fontId="47" fillId="4" borderId="2" xfId="1" applyFont="1" applyFill="1" applyBorder="1" applyAlignment="1">
      <alignment horizontal="center" vertical="center"/>
    </xf>
    <xf numFmtId="43" fontId="50" fillId="0" borderId="1" xfId="1" applyFont="1" applyBorder="1" applyAlignment="1">
      <alignment vertical="center" wrapText="1"/>
    </xf>
    <xf numFmtId="43" fontId="47" fillId="0" borderId="3" xfId="1" applyFont="1" applyFill="1" applyBorder="1" applyAlignment="1">
      <alignment horizontal="center" vertical="center" wrapText="1"/>
    </xf>
    <xf numFmtId="43" fontId="47" fillId="0" borderId="5" xfId="1" applyFont="1" applyFill="1" applyBorder="1" applyAlignment="1">
      <alignment horizontal="center" vertical="center"/>
    </xf>
    <xf numFmtId="43" fontId="47" fillId="0" borderId="2" xfId="1" applyFont="1" applyFill="1" applyBorder="1" applyAlignment="1">
      <alignment horizontal="center" vertical="center"/>
    </xf>
    <xf numFmtId="43" fontId="51" fillId="0" borderId="1" xfId="0" applyNumberFormat="1" applyFont="1" applyBorder="1" applyAlignment="1">
      <alignment horizontal="center" vertical="center" wrapText="1"/>
    </xf>
    <xf numFmtId="0" fontId="52" fillId="0" borderId="0" xfId="0" applyFont="1">
      <alignment vertical="center"/>
    </xf>
    <xf numFmtId="0" fontId="53" fillId="0" borderId="1" xfId="0" applyFont="1" applyBorder="1" applyAlignment="1">
      <alignment horizontal="center" vertical="center"/>
    </xf>
    <xf numFmtId="0" fontId="53" fillId="0" borderId="1" xfId="0" applyFont="1" applyBorder="1">
      <alignment vertical="center"/>
    </xf>
    <xf numFmtId="0" fontId="54" fillId="0" borderId="1" xfId="0" applyFont="1" applyBorder="1" applyAlignment="1">
      <alignment horizontal="center" vertical="center"/>
    </xf>
    <xf numFmtId="0" fontId="55" fillId="0" borderId="1" xfId="0" applyFont="1" applyBorder="1" applyAlignment="1">
      <alignment horizontal="left" vertical="center"/>
    </xf>
    <xf numFmtId="49" fontId="55" fillId="0" borderId="1" xfId="0" applyNumberFormat="1" applyFont="1" applyBorder="1" applyAlignment="1">
      <alignment horizontal="center" vertical="center"/>
    </xf>
    <xf numFmtId="0" fontId="55" fillId="0" borderId="1" xfId="0" applyFont="1" applyBorder="1">
      <alignment vertical="center"/>
    </xf>
    <xf numFmtId="43" fontId="47" fillId="0" borderId="1" xfId="1" applyFont="1" applyFill="1" applyBorder="1" applyAlignment="1">
      <alignment horizontal="right" vertical="center"/>
    </xf>
    <xf numFmtId="0" fontId="55" fillId="0" borderId="1" xfId="0" applyFont="1" applyBorder="1" applyAlignment="1">
      <alignment horizontal="center" vertical="center" wrapText="1"/>
    </xf>
    <xf numFmtId="4" fontId="56" fillId="0" borderId="1" xfId="0" applyNumberFormat="1" applyFont="1" applyBorder="1" applyAlignment="1">
      <alignment horizontal="center" vertical="center" wrapText="1"/>
    </xf>
    <xf numFmtId="0" fontId="56" fillId="0" borderId="3" xfId="0" applyFont="1" applyBorder="1" applyAlignment="1">
      <alignment horizontal="center" vertical="center" wrapText="1"/>
    </xf>
    <xf numFmtId="0" fontId="56" fillId="0" borderId="5" xfId="0" applyFont="1" applyBorder="1" applyAlignment="1">
      <alignment horizontal="center" vertical="center" wrapText="1"/>
    </xf>
    <xf numFmtId="0" fontId="56" fillId="0" borderId="2" xfId="0" applyFont="1" applyBorder="1" applyAlignment="1">
      <alignment horizontal="center" vertical="center" wrapText="1"/>
    </xf>
    <xf numFmtId="3" fontId="56" fillId="0" borderId="1" xfId="0" applyNumberFormat="1" applyFont="1" applyBorder="1" applyAlignment="1">
      <alignment horizontal="center" vertical="center" wrapText="1"/>
    </xf>
    <xf numFmtId="14" fontId="56" fillId="0" borderId="1" xfId="0" applyNumberFormat="1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/>
    </xf>
    <xf numFmtId="49" fontId="56" fillId="0" borderId="1" xfId="0" applyNumberFormat="1" applyFont="1" applyBorder="1" applyAlignment="1">
      <alignment horizontal="center" vertical="center" wrapText="1"/>
    </xf>
    <xf numFmtId="0" fontId="57" fillId="0" borderId="3" xfId="0" applyFont="1" applyBorder="1" applyAlignment="1">
      <alignment horizontal="center" vertical="center" wrapText="1"/>
    </xf>
    <xf numFmtId="14" fontId="56" fillId="0" borderId="3" xfId="0" applyNumberFormat="1" applyFont="1" applyBorder="1" applyAlignment="1">
      <alignment horizontal="center" vertical="center" wrapText="1"/>
    </xf>
    <xf numFmtId="14" fontId="55" fillId="0" borderId="1" xfId="0" applyNumberFormat="1" applyFont="1" applyBorder="1" applyAlignment="1">
      <alignment horizontal="center" vertical="center"/>
    </xf>
    <xf numFmtId="0" fontId="57" fillId="0" borderId="5" xfId="0" applyFont="1" applyBorder="1" applyAlignment="1">
      <alignment horizontal="center" vertical="center" wrapText="1"/>
    </xf>
    <xf numFmtId="0" fontId="57" fillId="0" borderId="2" xfId="0" applyFont="1" applyBorder="1" applyAlignment="1">
      <alignment horizontal="center" vertical="center" wrapText="1"/>
    </xf>
    <xf numFmtId="14" fontId="56" fillId="0" borderId="5" xfId="0" applyNumberFormat="1" applyFont="1" applyBorder="1" applyAlignment="1">
      <alignment horizontal="center" vertical="center" wrapText="1"/>
    </xf>
    <xf numFmtId="14" fontId="56" fillId="0" borderId="2" xfId="0" applyNumberFormat="1" applyFont="1" applyBorder="1" applyAlignment="1">
      <alignment horizontal="center" vertical="center" wrapText="1"/>
    </xf>
    <xf numFmtId="10" fontId="56" fillId="0" borderId="1" xfId="0" applyNumberFormat="1" applyFont="1" applyBorder="1" applyAlignment="1">
      <alignment vertical="center" wrapText="1"/>
    </xf>
    <xf numFmtId="14" fontId="56" fillId="0" borderId="1" xfId="0" applyNumberFormat="1" applyFont="1" applyBorder="1" applyAlignment="1">
      <alignment vertical="center" wrapText="1"/>
    </xf>
    <xf numFmtId="43" fontId="6" fillId="2" borderId="1" xfId="1" applyFont="1" applyFill="1" applyBorder="1" applyAlignment="1" applyProtection="1" quotePrefix="1">
      <alignment horizontal="center" vertical="center" wrapText="1"/>
    </xf>
    <xf numFmtId="49" fontId="6" fillId="2" borderId="1" xfId="49" applyNumberFormat="1" applyFont="1" applyFill="1" applyBorder="1" applyAlignment="1" quotePrefix="1">
      <alignment horizontal="center" vertical="center" wrapText="1"/>
    </xf>
    <xf numFmtId="43" fontId="6" fillId="2" borderId="3" xfId="1" applyFont="1" applyFill="1" applyBorder="1" applyAlignment="1" applyProtection="1" quotePrefix="1">
      <alignment horizontal="center" vertical="center" wrapText="1"/>
    </xf>
    <xf numFmtId="43" fontId="43" fillId="2" borderId="1" xfId="1" applyFont="1" applyFill="1" applyBorder="1" applyAlignment="1" quotePrefix="1">
      <alignment horizontal="center" vertical="center" wrapText="1"/>
    </xf>
    <xf numFmtId="43" fontId="19" fillId="2" borderId="1" xfId="1" applyFont="1" applyFill="1" applyBorder="1" applyAlignment="1" quotePrefix="1">
      <alignment horizontal="center" vertical="center" wrapText="1"/>
    </xf>
    <xf numFmtId="49" fontId="19" fillId="2" borderId="1" xfId="0" applyNumberFormat="1" applyFont="1" applyFill="1" applyBorder="1" applyAlignment="1" quotePrefix="1">
      <alignment horizontal="center" vertical="center" wrapText="1"/>
    </xf>
    <xf numFmtId="181" fontId="19" fillId="2" borderId="1" xfId="3" applyNumberFormat="1" applyFont="1" applyFill="1" applyBorder="1" applyAlignment="1" quotePrefix="1">
      <alignment horizontal="center" vertical="center" wrapText="1"/>
    </xf>
    <xf numFmtId="0" fontId="19" fillId="3" borderId="1" xfId="1" applyNumberFormat="1" applyFont="1" applyFill="1" applyBorder="1" applyAlignment="1" quotePrefix="1">
      <alignment horizontal="center" vertical="center" wrapText="1"/>
    </xf>
    <xf numFmtId="43" fontId="6" fillId="2" borderId="1" xfId="1" applyFont="1" applyFill="1" applyBorder="1" applyAlignment="1" quotePrefix="1">
      <alignment horizontal="center" vertical="center" wrapText="1"/>
    </xf>
    <xf numFmtId="43" fontId="18" fillId="2" borderId="1" xfId="1" applyFont="1" applyFill="1" applyBorder="1" applyAlignment="1" quotePrefix="1">
      <alignment horizontal="center" vertical="center" wrapText="1"/>
    </xf>
    <xf numFmtId="3" fontId="31" fillId="0" borderId="1" xfId="0" applyNumberFormat="1" applyFont="1" applyBorder="1" applyAlignment="1" quotePrefix="1">
      <alignment wrapText="1"/>
    </xf>
    <xf numFmtId="0" fontId="31" fillId="0" borderId="1" xfId="0" applyNumberFormat="1" applyFont="1" applyBorder="1" applyAlignment="1" quotePrefix="1">
      <alignment wrapText="1"/>
    </xf>
    <xf numFmtId="49" fontId="6" fillId="2" borderId="1" xfId="50" applyNumberFormat="1" applyFont="1" applyFill="1" applyBorder="1" applyAlignment="1" quotePrefix="1">
      <alignment horizontal="center" vertical="center" wrapText="1"/>
    </xf>
    <xf numFmtId="49" fontId="6" fillId="2" borderId="1" xfId="50" applyNumberFormat="1" applyFont="1" applyFill="1" applyBorder="1" applyAlignment="1" quotePrefix="1">
      <alignment vertical="center" wrapText="1"/>
    </xf>
    <xf numFmtId="43" fontId="22" fillId="2" borderId="1" xfId="1" applyFont="1" applyFill="1" applyBorder="1" applyAlignment="1" applyProtection="1" quotePrefix="1">
      <alignment horizontal="center" vertical="center" wrapText="1"/>
    </xf>
    <xf numFmtId="10" fontId="6" fillId="2" borderId="1" xfId="3" applyNumberFormat="1" applyFont="1" applyFill="1" applyBorder="1" applyAlignment="1" applyProtection="1" quotePrefix="1">
      <alignment horizontal="center" vertical="center" wrapText="1"/>
    </xf>
    <xf numFmtId="49" fontId="16" fillId="0" borderId="1" xfId="50" applyNumberFormat="1" applyFont="1" applyBorder="1" applyAlignment="1" quotePrefix="1">
      <alignment horizontal="left" vertical="center" wrapText="1"/>
    </xf>
    <xf numFmtId="49" fontId="13" fillId="3" borderId="1" xfId="0" applyNumberFormat="1" applyFont="1" applyFill="1" applyBorder="1" applyAlignment="1" quotePrefix="1">
      <alignment horizontal="center" vertical="center" wrapText="1"/>
    </xf>
    <xf numFmtId="0" fontId="3" fillId="2" borderId="1" xfId="49" applyFont="1" applyFill="1" applyBorder="1" applyAlignment="1" quotePrefix="1">
      <alignment horizontal="center" vertical="center" wrapText="1"/>
    </xf>
    <xf numFmtId="49" fontId="3" fillId="5" borderId="1" xfId="49" applyNumberFormat="1" applyFont="1" applyFill="1" applyBorder="1" applyAlignment="1" quotePrefix="1">
      <alignment horizontal="center" vertical="center" wrapText="1"/>
    </xf>
    <xf numFmtId="0" fontId="3" fillId="5" borderId="1" xfId="49" applyFont="1" applyFill="1" applyBorder="1" applyAlignment="1" quotePrefix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_广东省土地增值税清算申报表及附表" xfId="50"/>
    <cellStyle name="常规_南甸苑销售台账" xfId="51"/>
  </cellStyles>
  <dxfs count="1">
    <dxf>
      <fill>
        <patternFill patternType="solid">
          <bgColor theme="0" tint="-0.14996795556505"/>
        </patternFill>
      </fill>
    </dxf>
  </dxfs>
  <tableStyles count="0" defaultTableStyle="TableStyleMedium2" defaultPivotStyle="PivotStyleLight16"/>
  <colors>
    <mruColors>
      <color rgb="00232323"/>
      <color rgb="005B9BD5"/>
      <color rgb="00FFFFFF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customXml" Target="../customXml/item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I36"/>
  <sheetViews>
    <sheetView zoomScale="55" zoomScaleNormal="55" topLeftCell="A5" workbookViewId="0">
      <selection activeCell="AL12" sqref="AL12"/>
    </sheetView>
  </sheetViews>
  <sheetFormatPr defaultColWidth="11" defaultRowHeight="15.65"/>
  <cols>
    <col min="1" max="1" width="6.128" style="333" customWidth="1"/>
    <col min="2" max="2" width="22.128" style="333" customWidth="1"/>
    <col min="3" max="3" width="15.376" style="333" customWidth="1"/>
    <col min="4" max="5" width="5.872" style="333" customWidth="1"/>
    <col min="6" max="6" width="11.872" style="333" customWidth="1"/>
    <col min="7" max="7" width="10.128" style="333" customWidth="1"/>
    <col min="8" max="8" width="5.872" style="333" customWidth="1"/>
    <col min="9" max="9" width="13.128" style="333" customWidth="1"/>
    <col min="10" max="10" width="12.128" style="333" customWidth="1"/>
    <col min="11" max="11" width="1.624" style="333" customWidth="1"/>
    <col min="12" max="12" width="12.872" style="333" customWidth="1"/>
    <col min="13" max="17" width="5.872" style="333" customWidth="1"/>
    <col min="18" max="18" width="5.624" style="333" customWidth="1"/>
    <col min="19" max="31" width="5.872" style="333" customWidth="1"/>
    <col min="32" max="32" width="7.128" style="333" customWidth="1"/>
    <col min="33" max="34" width="5.872" style="333" customWidth="1"/>
    <col min="35" max="35" width="12.624" style="333" customWidth="1"/>
    <col min="36" max="16384" width="11" style="333"/>
  </cols>
  <sheetData>
    <row r="1" ht="36.3" spans="1:35">
      <c r="A1" s="334" t="s">
        <v>0</v>
      </c>
      <c r="B1" s="335"/>
      <c r="C1" s="335"/>
      <c r="D1" s="335"/>
      <c r="E1" s="335"/>
      <c r="F1" s="335"/>
      <c r="G1" s="335"/>
      <c r="H1" s="335"/>
      <c r="I1" s="335"/>
      <c r="J1" s="335"/>
      <c r="K1" s="335"/>
      <c r="L1" s="335"/>
      <c r="M1" s="335"/>
      <c r="N1" s="335"/>
      <c r="O1" s="335"/>
      <c r="P1" s="335"/>
      <c r="Q1" s="335"/>
      <c r="R1" s="335"/>
      <c r="S1" s="335"/>
      <c r="T1" s="335"/>
      <c r="U1" s="335"/>
      <c r="V1" s="335"/>
      <c r="W1" s="335"/>
      <c r="X1" s="335"/>
      <c r="Y1" s="335"/>
      <c r="Z1" s="335"/>
      <c r="AA1" s="335"/>
      <c r="AB1" s="335"/>
      <c r="AC1" s="335"/>
      <c r="AD1" s="335"/>
      <c r="AE1" s="335"/>
      <c r="AF1" s="335"/>
      <c r="AG1" s="335"/>
      <c r="AH1" s="335"/>
      <c r="AI1" s="335"/>
    </row>
    <row r="2" ht="26.25" spans="1:35">
      <c r="A2" s="336" t="s">
        <v>1</v>
      </c>
      <c r="B2" s="336"/>
      <c r="C2" s="336"/>
      <c r="D2" s="336"/>
      <c r="E2" s="336"/>
      <c r="F2" s="336"/>
      <c r="G2" s="336"/>
      <c r="H2" s="336"/>
      <c r="I2" s="336"/>
      <c r="J2" s="336"/>
      <c r="K2" s="336"/>
      <c r="L2" s="336"/>
      <c r="M2" s="336"/>
      <c r="N2" s="336"/>
      <c r="O2" s="336"/>
      <c r="P2" s="336"/>
      <c r="Q2" s="336"/>
      <c r="R2" s="336"/>
      <c r="S2" s="336"/>
      <c r="T2" s="336"/>
      <c r="U2" s="336"/>
      <c r="V2" s="336"/>
      <c r="W2" s="336"/>
      <c r="X2" s="336"/>
      <c r="Y2" s="336"/>
      <c r="Z2" s="336"/>
      <c r="AA2" s="336"/>
      <c r="AB2" s="336"/>
      <c r="AC2" s="336"/>
      <c r="AD2" s="336"/>
      <c r="AE2" s="336"/>
      <c r="AF2" s="336"/>
      <c r="AG2" s="336"/>
      <c r="AH2" s="336"/>
      <c r="AI2" s="336"/>
    </row>
    <row r="3" ht="36" customHeight="1" spans="1:35">
      <c r="A3" s="337" t="s">
        <v>2</v>
      </c>
      <c r="B3" s="337"/>
      <c r="C3" s="338" t="s">
        <v>3</v>
      </c>
      <c r="D3" s="338"/>
      <c r="E3" s="338"/>
      <c r="F3" s="338"/>
      <c r="G3" s="339" t="s">
        <v>4</v>
      </c>
      <c r="H3" s="339"/>
      <c r="I3" s="348" t="s">
        <v>5</v>
      </c>
      <c r="J3" s="348"/>
      <c r="K3" s="348"/>
      <c r="L3" s="348"/>
      <c r="M3" s="348"/>
      <c r="N3" s="348"/>
      <c r="O3" s="348"/>
      <c r="P3" s="348"/>
      <c r="Q3" s="348"/>
      <c r="R3" s="348"/>
      <c r="S3" s="348"/>
      <c r="T3" s="348"/>
      <c r="U3" s="348"/>
      <c r="V3" s="348"/>
      <c r="W3" s="348"/>
      <c r="X3" s="348"/>
      <c r="Y3" s="348"/>
      <c r="Z3" s="348" t="s">
        <v>6</v>
      </c>
      <c r="AA3" s="348"/>
      <c r="AB3" s="348"/>
      <c r="AC3" s="352" t="s">
        <v>7</v>
      </c>
      <c r="AD3" s="352"/>
      <c r="AE3" s="352"/>
      <c r="AF3" s="352"/>
      <c r="AG3" s="352"/>
      <c r="AH3" s="352"/>
      <c r="AI3" s="352"/>
    </row>
    <row r="4" ht="36" customHeight="1" spans="1:35">
      <c r="A4" s="340" t="s">
        <v>8</v>
      </c>
      <c r="B4" s="340"/>
      <c r="C4" s="340"/>
      <c r="D4" s="340"/>
      <c r="E4" s="340"/>
      <c r="F4" s="340"/>
      <c r="G4" s="340"/>
      <c r="H4" s="340"/>
      <c r="I4" s="340"/>
      <c r="J4" s="340"/>
      <c r="K4" s="340"/>
      <c r="L4" s="340"/>
      <c r="M4" s="340"/>
      <c r="N4" s="340"/>
      <c r="O4" s="340"/>
      <c r="P4" s="340"/>
      <c r="Q4" s="340"/>
      <c r="R4" s="340"/>
      <c r="S4" s="340"/>
      <c r="T4" s="340"/>
      <c r="U4" s="340"/>
      <c r="V4" s="340"/>
      <c r="W4" s="340"/>
      <c r="X4" s="340"/>
      <c r="Y4" s="340"/>
      <c r="Z4" s="340" t="s">
        <v>9</v>
      </c>
      <c r="AA4" s="340"/>
      <c r="AB4" s="340"/>
      <c r="AC4" s="340"/>
      <c r="AD4" s="340"/>
      <c r="AE4" s="340"/>
      <c r="AF4" s="340"/>
      <c r="AG4" s="340"/>
      <c r="AH4" s="340"/>
      <c r="AI4" s="340"/>
    </row>
    <row r="5" ht="36" customHeight="1" spans="1:35">
      <c r="A5" s="341" t="s">
        <v>10</v>
      </c>
      <c r="B5" s="341"/>
      <c r="C5" s="341"/>
      <c r="D5" s="341"/>
      <c r="E5" s="341"/>
      <c r="F5" s="341"/>
      <c r="G5" s="341"/>
      <c r="H5" s="341"/>
      <c r="I5" s="341"/>
      <c r="J5" s="341"/>
      <c r="K5" s="341"/>
      <c r="L5" s="341"/>
      <c r="M5" s="341"/>
      <c r="N5" s="341"/>
      <c r="O5" s="341"/>
      <c r="P5" s="341"/>
      <c r="Q5" s="341"/>
      <c r="R5" s="341"/>
      <c r="S5" s="341"/>
      <c r="T5" s="341"/>
      <c r="U5" s="341"/>
      <c r="V5" s="341"/>
      <c r="W5" s="341"/>
      <c r="X5" s="341"/>
      <c r="Y5" s="341"/>
      <c r="Z5" s="341"/>
      <c r="AA5" s="341"/>
      <c r="AB5" s="341"/>
      <c r="AC5" s="341"/>
      <c r="AD5" s="341"/>
      <c r="AE5" s="341"/>
      <c r="AF5" s="341"/>
      <c r="AG5" s="341"/>
      <c r="AH5" s="341"/>
      <c r="AI5" s="341"/>
    </row>
    <row r="6" ht="36" customHeight="1" spans="1:35">
      <c r="A6" s="342" t="s">
        <v>11</v>
      </c>
      <c r="B6" s="342"/>
      <c r="C6" s="342"/>
      <c r="D6" s="342" t="s">
        <v>12</v>
      </c>
      <c r="E6" s="342"/>
      <c r="F6" s="342"/>
      <c r="G6" s="342"/>
      <c r="H6" s="342" t="s">
        <v>13</v>
      </c>
      <c r="I6" s="342"/>
      <c r="J6" s="342"/>
      <c r="K6" s="342"/>
      <c r="L6" s="342"/>
      <c r="M6" s="342"/>
      <c r="N6" s="342"/>
      <c r="O6" s="342"/>
      <c r="P6" s="342"/>
      <c r="Q6" s="342"/>
      <c r="R6" s="342"/>
      <c r="S6" s="349" t="s">
        <v>14</v>
      </c>
      <c r="T6" s="349"/>
      <c r="U6" s="349"/>
      <c r="V6" s="349"/>
      <c r="W6" s="349"/>
      <c r="X6" s="342" t="s">
        <v>15</v>
      </c>
      <c r="Y6" s="342"/>
      <c r="Z6" s="342"/>
      <c r="AA6" s="342"/>
      <c r="AB6" s="342"/>
      <c r="AC6" s="342"/>
      <c r="AD6" s="342"/>
      <c r="AE6" s="342"/>
      <c r="AF6" s="342"/>
      <c r="AG6" s="342" t="s">
        <v>16</v>
      </c>
      <c r="AH6" s="342"/>
      <c r="AI6" s="342"/>
    </row>
    <row r="7" ht="36" customHeight="1" spans="1:35">
      <c r="A7" s="342" t="s">
        <v>17</v>
      </c>
      <c r="B7" s="342"/>
      <c r="C7" s="342"/>
      <c r="D7" s="342" t="s">
        <v>18</v>
      </c>
      <c r="E7" s="342"/>
      <c r="F7" s="342"/>
      <c r="G7" s="342"/>
      <c r="H7" s="342"/>
      <c r="I7" s="342"/>
      <c r="J7" s="342"/>
      <c r="K7" s="342"/>
      <c r="L7" s="342"/>
      <c r="M7" s="342"/>
      <c r="N7" s="342"/>
      <c r="O7" s="342"/>
      <c r="P7" s="342"/>
      <c r="Q7" s="342"/>
      <c r="R7" s="342"/>
      <c r="S7" s="342"/>
      <c r="T7" s="342"/>
      <c r="U7" s="342"/>
      <c r="V7" s="342"/>
      <c r="W7" s="342"/>
      <c r="X7" s="342" t="s">
        <v>19</v>
      </c>
      <c r="Y7" s="342"/>
      <c r="Z7" s="342"/>
      <c r="AA7" s="342"/>
      <c r="AB7" s="342"/>
      <c r="AC7" s="342"/>
      <c r="AD7" s="342"/>
      <c r="AE7" s="342"/>
      <c r="AF7" s="342"/>
      <c r="AG7" s="342">
        <v>98691579.78</v>
      </c>
      <c r="AH7" s="342"/>
      <c r="AI7" s="342"/>
    </row>
    <row r="8" ht="36" customHeight="1" spans="1:35">
      <c r="A8" s="343" t="s">
        <v>20</v>
      </c>
      <c r="B8" s="344"/>
      <c r="C8" s="345"/>
      <c r="D8" s="343" t="s">
        <v>21</v>
      </c>
      <c r="E8" s="344"/>
      <c r="F8" s="344"/>
      <c r="G8" s="345"/>
      <c r="H8" s="342" t="s">
        <v>22</v>
      </c>
      <c r="I8" s="342"/>
      <c r="J8" s="342"/>
      <c r="K8" s="342"/>
      <c r="L8" s="342"/>
      <c r="M8" s="342"/>
      <c r="N8" s="342"/>
      <c r="O8" s="342"/>
      <c r="P8" s="342"/>
      <c r="Q8" s="342"/>
      <c r="R8" s="342"/>
      <c r="S8" s="343" t="s">
        <v>23</v>
      </c>
      <c r="T8" s="344"/>
      <c r="U8" s="344"/>
      <c r="V8" s="344"/>
      <c r="W8" s="345"/>
      <c r="X8" s="350" t="s">
        <v>24</v>
      </c>
      <c r="Y8" s="353"/>
      <c r="Z8" s="353"/>
      <c r="AA8" s="353"/>
      <c r="AB8" s="353"/>
      <c r="AC8" s="353"/>
      <c r="AD8" s="353"/>
      <c r="AE8" s="353"/>
      <c r="AF8" s="354"/>
      <c r="AG8" s="347">
        <v>41430</v>
      </c>
      <c r="AH8" s="347"/>
      <c r="AI8" s="347"/>
    </row>
    <row r="9" ht="36" customHeight="1" spans="1:35">
      <c r="A9" s="342" t="s">
        <v>25</v>
      </c>
      <c r="B9" s="342"/>
      <c r="C9" s="342"/>
      <c r="D9" s="342">
        <v>3578.25</v>
      </c>
      <c r="E9" s="342"/>
      <c r="F9" s="342"/>
      <c r="G9" s="342"/>
      <c r="H9" s="342" t="s">
        <v>26</v>
      </c>
      <c r="I9" s="342"/>
      <c r="J9" s="342"/>
      <c r="K9" s="342"/>
      <c r="L9" s="342">
        <v>26212.41</v>
      </c>
      <c r="M9" s="342"/>
      <c r="N9" s="342"/>
      <c r="O9" s="342"/>
      <c r="P9" s="342"/>
      <c r="Q9" s="342"/>
      <c r="R9" s="342"/>
      <c r="S9" s="342" t="s">
        <v>27</v>
      </c>
      <c r="T9" s="342"/>
      <c r="U9" s="342"/>
      <c r="V9" s="342"/>
      <c r="W9" s="342"/>
      <c r="X9" s="342">
        <v>8609300</v>
      </c>
      <c r="Y9" s="342"/>
      <c r="Z9" s="342"/>
      <c r="AA9" s="342"/>
      <c r="AB9" s="342" t="s">
        <v>28</v>
      </c>
      <c r="AC9" s="342"/>
      <c r="AD9" s="342"/>
      <c r="AE9" s="342"/>
      <c r="AF9" s="342"/>
      <c r="AG9" s="342">
        <v>5.97</v>
      </c>
      <c r="AH9" s="342"/>
      <c r="AI9" s="357"/>
    </row>
    <row r="10" ht="36" customHeight="1" spans="1:35">
      <c r="A10" s="342" t="s">
        <v>29</v>
      </c>
      <c r="B10" s="342"/>
      <c r="C10" s="342"/>
      <c r="D10" s="342">
        <v>0.05</v>
      </c>
      <c r="E10" s="342"/>
      <c r="F10" s="342"/>
      <c r="G10" s="342"/>
      <c r="H10" s="342" t="s">
        <v>30</v>
      </c>
      <c r="I10" s="342"/>
      <c r="J10" s="342"/>
      <c r="K10" s="342"/>
      <c r="L10" s="347" t="s">
        <v>31</v>
      </c>
      <c r="M10" s="347"/>
      <c r="N10" s="347"/>
      <c r="O10" s="347"/>
      <c r="P10" s="347"/>
      <c r="Q10" s="347"/>
      <c r="R10" s="347"/>
      <c r="S10" s="342" t="s">
        <v>32</v>
      </c>
      <c r="T10" s="342"/>
      <c r="U10" s="342"/>
      <c r="V10" s="342"/>
      <c r="W10" s="342"/>
      <c r="X10" s="351" t="s">
        <v>33</v>
      </c>
      <c r="Y10" s="355"/>
      <c r="Z10" s="355"/>
      <c r="AA10" s="356"/>
      <c r="AB10" s="342" t="s">
        <v>34</v>
      </c>
      <c r="AC10" s="342"/>
      <c r="AD10" s="342"/>
      <c r="AE10" s="342"/>
      <c r="AF10" s="342"/>
      <c r="AG10" s="347" t="s">
        <v>35</v>
      </c>
      <c r="AH10" s="347"/>
      <c r="AI10" s="358"/>
    </row>
    <row r="11" ht="36" customHeight="1" spans="1:35">
      <c r="A11" s="341" t="s">
        <v>36</v>
      </c>
      <c r="B11" s="341"/>
      <c r="C11" s="341"/>
      <c r="D11" s="341"/>
      <c r="E11" s="341"/>
      <c r="F11" s="341"/>
      <c r="G11" s="341"/>
      <c r="H11" s="341"/>
      <c r="I11" s="341"/>
      <c r="J11" s="341"/>
      <c r="K11" s="341"/>
      <c r="L11" s="341"/>
      <c r="M11" s="341"/>
      <c r="N11" s="341"/>
      <c r="O11" s="341"/>
      <c r="P11" s="341"/>
      <c r="Q11" s="341"/>
      <c r="R11" s="341"/>
      <c r="S11" s="341"/>
      <c r="T11" s="341"/>
      <c r="U11" s="341"/>
      <c r="V11" s="341"/>
      <c r="W11" s="341"/>
      <c r="X11" s="341"/>
      <c r="Y11" s="341"/>
      <c r="Z11" s="341"/>
      <c r="AA11" s="341"/>
      <c r="AB11" s="341"/>
      <c r="AC11" s="341"/>
      <c r="AD11" s="341"/>
      <c r="AE11" s="341"/>
      <c r="AF11" s="341"/>
      <c r="AG11" s="341"/>
      <c r="AH11" s="341"/>
      <c r="AI11" s="341"/>
    </row>
    <row r="12" ht="36" customHeight="1" spans="1:35">
      <c r="A12" s="320" t="s">
        <v>37</v>
      </c>
      <c r="B12" s="320" t="s">
        <v>38</v>
      </c>
      <c r="C12" s="320" t="s">
        <v>39</v>
      </c>
      <c r="D12" s="320"/>
      <c r="E12" s="320"/>
      <c r="F12" s="320"/>
      <c r="G12" s="320"/>
      <c r="H12" s="320"/>
      <c r="I12" s="320"/>
      <c r="J12" s="320"/>
      <c r="K12" s="320"/>
      <c r="L12" s="320"/>
      <c r="M12" s="320"/>
      <c r="N12" s="320"/>
      <c r="O12" s="320"/>
      <c r="P12" s="320"/>
      <c r="Q12" s="320" t="s">
        <v>40</v>
      </c>
      <c r="R12" s="320"/>
      <c r="S12" s="320"/>
      <c r="T12" s="320"/>
      <c r="U12" s="320"/>
      <c r="V12" s="320"/>
      <c r="W12" s="320"/>
      <c r="X12" s="320"/>
      <c r="Y12" s="320"/>
      <c r="Z12" s="320"/>
      <c r="AA12" s="320" t="s">
        <v>41</v>
      </c>
      <c r="AB12" s="320"/>
      <c r="AC12" s="320"/>
      <c r="AD12" s="320"/>
      <c r="AE12" s="320"/>
      <c r="AF12" s="320"/>
      <c r="AG12" s="320"/>
      <c r="AH12" s="320"/>
      <c r="AI12" s="320"/>
    </row>
    <row r="13" ht="36" customHeight="1" spans="1:35">
      <c r="A13" s="346" t="s">
        <v>42</v>
      </c>
      <c r="B13" s="346" t="s">
        <v>43</v>
      </c>
      <c r="C13" s="342" t="s">
        <v>44</v>
      </c>
      <c r="D13" s="342"/>
      <c r="E13" s="342"/>
      <c r="F13" s="342"/>
      <c r="G13" s="342"/>
      <c r="H13" s="342"/>
      <c r="I13" s="342"/>
      <c r="J13" s="342"/>
      <c r="K13" s="342"/>
      <c r="L13" s="342"/>
      <c r="M13" s="342"/>
      <c r="N13" s="342"/>
      <c r="O13" s="342"/>
      <c r="P13" s="342"/>
      <c r="Q13" s="342">
        <v>59270000</v>
      </c>
      <c r="R13" s="342"/>
      <c r="S13" s="342"/>
      <c r="T13" s="342"/>
      <c r="U13" s="342"/>
      <c r="V13" s="342"/>
      <c r="W13" s="342"/>
      <c r="X13" s="342"/>
      <c r="Y13" s="342"/>
      <c r="Z13" s="342"/>
      <c r="AA13" s="342">
        <v>26860.48</v>
      </c>
      <c r="AB13" s="342"/>
      <c r="AC13" s="342"/>
      <c r="AD13" s="342"/>
      <c r="AE13" s="342"/>
      <c r="AF13" s="342"/>
      <c r="AG13" s="342"/>
      <c r="AH13" s="342"/>
      <c r="AI13" s="342"/>
    </row>
    <row r="14" ht="36" customHeight="1" spans="1:35">
      <c r="A14" s="341" t="s">
        <v>45</v>
      </c>
      <c r="B14" s="341"/>
      <c r="C14" s="341"/>
      <c r="D14" s="341"/>
      <c r="E14" s="341"/>
      <c r="F14" s="341"/>
      <c r="G14" s="341"/>
      <c r="H14" s="341"/>
      <c r="I14" s="341"/>
      <c r="J14" s="341"/>
      <c r="K14" s="341"/>
      <c r="L14" s="341"/>
      <c r="M14" s="341"/>
      <c r="N14" s="341"/>
      <c r="O14" s="341"/>
      <c r="P14" s="341"/>
      <c r="Q14" s="341"/>
      <c r="R14" s="341"/>
      <c r="S14" s="341"/>
      <c r="T14" s="341"/>
      <c r="U14" s="341"/>
      <c r="V14" s="341"/>
      <c r="W14" s="341"/>
      <c r="X14" s="341"/>
      <c r="Y14" s="341"/>
      <c r="Z14" s="341"/>
      <c r="AA14" s="341"/>
      <c r="AB14" s="341"/>
      <c r="AC14" s="341"/>
      <c r="AD14" s="341"/>
      <c r="AE14" s="341"/>
      <c r="AF14" s="341"/>
      <c r="AG14" s="341"/>
      <c r="AH14" s="341"/>
      <c r="AI14" s="341"/>
    </row>
    <row r="15" ht="36" customHeight="1" spans="1:35">
      <c r="A15" s="320" t="s">
        <v>37</v>
      </c>
      <c r="B15" s="320" t="s">
        <v>46</v>
      </c>
      <c r="C15" s="320" t="s">
        <v>47</v>
      </c>
      <c r="D15" s="320"/>
      <c r="E15" s="320"/>
      <c r="F15" s="320"/>
      <c r="G15" s="320"/>
      <c r="H15" s="320" t="s">
        <v>48</v>
      </c>
      <c r="I15" s="320"/>
      <c r="J15" s="320"/>
      <c r="K15" s="320"/>
      <c r="L15" s="320"/>
      <c r="M15" s="320"/>
      <c r="N15" s="320"/>
      <c r="O15" s="320" t="s">
        <v>49</v>
      </c>
      <c r="P15" s="320"/>
      <c r="Q15" s="320"/>
      <c r="R15" s="320"/>
      <c r="S15" s="320"/>
      <c r="T15" s="320"/>
      <c r="U15" s="320"/>
      <c r="V15" s="320"/>
      <c r="W15" s="320"/>
      <c r="X15" s="320" t="s">
        <v>50</v>
      </c>
      <c r="Y15" s="320"/>
      <c r="Z15" s="320"/>
      <c r="AA15" s="320" t="s">
        <v>51</v>
      </c>
      <c r="AB15" s="320"/>
      <c r="AC15" s="320"/>
      <c r="AD15" s="320"/>
      <c r="AE15" s="320" t="s">
        <v>52</v>
      </c>
      <c r="AF15" s="320"/>
      <c r="AG15" s="320" t="s">
        <v>53</v>
      </c>
      <c r="AH15" s="320"/>
      <c r="AI15" s="320"/>
    </row>
    <row r="16" ht="36" customHeight="1" spans="1:35">
      <c r="A16" s="346" t="s">
        <v>42</v>
      </c>
      <c r="B16" s="346" t="s">
        <v>54</v>
      </c>
      <c r="C16" s="342" t="s">
        <v>55</v>
      </c>
      <c r="D16" s="342"/>
      <c r="E16" s="342"/>
      <c r="F16" s="342"/>
      <c r="G16" s="342"/>
      <c r="H16" s="342" t="s">
        <v>56</v>
      </c>
      <c r="I16" s="342"/>
      <c r="J16" s="342"/>
      <c r="K16" s="342"/>
      <c r="L16" s="342"/>
      <c r="M16" s="342"/>
      <c r="N16" s="342"/>
      <c r="O16" s="342" t="s">
        <v>57</v>
      </c>
      <c r="P16" s="342"/>
      <c r="Q16" s="342"/>
      <c r="R16" s="342"/>
      <c r="S16" s="342"/>
      <c r="T16" s="342"/>
      <c r="U16" s="342"/>
      <c r="V16" s="342"/>
      <c r="W16" s="342"/>
      <c r="X16" s="342" t="s">
        <v>58</v>
      </c>
      <c r="Y16" s="342"/>
      <c r="Z16" s="342"/>
      <c r="AA16" s="342">
        <v>3578.27</v>
      </c>
      <c r="AB16" s="342"/>
      <c r="AC16" s="342"/>
      <c r="AD16" s="342"/>
      <c r="AE16" s="342">
        <v>40</v>
      </c>
      <c r="AF16" s="342"/>
      <c r="AG16" s="351" t="s">
        <v>59</v>
      </c>
      <c r="AH16" s="355"/>
      <c r="AI16" s="356"/>
    </row>
    <row r="17" ht="36" customHeight="1" spans="1:35">
      <c r="A17" s="341" t="s">
        <v>60</v>
      </c>
      <c r="B17" s="341"/>
      <c r="C17" s="341"/>
      <c r="D17" s="341"/>
      <c r="E17" s="341"/>
      <c r="F17" s="341"/>
      <c r="G17" s="341"/>
      <c r="H17" s="341"/>
      <c r="I17" s="341"/>
      <c r="J17" s="341"/>
      <c r="K17" s="341"/>
      <c r="L17" s="341"/>
      <c r="M17" s="341"/>
      <c r="N17" s="341"/>
      <c r="O17" s="341"/>
      <c r="P17" s="341"/>
      <c r="Q17" s="341"/>
      <c r="R17" s="341"/>
      <c r="S17" s="341"/>
      <c r="T17" s="341"/>
      <c r="U17" s="341"/>
      <c r="V17" s="341"/>
      <c r="W17" s="341"/>
      <c r="X17" s="341"/>
      <c r="Y17" s="341"/>
      <c r="Z17" s="341"/>
      <c r="AA17" s="341"/>
      <c r="AB17" s="341"/>
      <c r="AC17" s="341"/>
      <c r="AD17" s="341"/>
      <c r="AE17" s="341"/>
      <c r="AF17" s="341"/>
      <c r="AG17" s="341"/>
      <c r="AH17" s="341"/>
      <c r="AI17" s="341"/>
    </row>
    <row r="18" ht="36" customHeight="1" spans="1:35">
      <c r="A18" s="320" t="s">
        <v>37</v>
      </c>
      <c r="B18" s="320" t="s">
        <v>61</v>
      </c>
      <c r="C18" s="320" t="s">
        <v>62</v>
      </c>
      <c r="D18" s="320"/>
      <c r="E18" s="320"/>
      <c r="F18" s="320"/>
      <c r="G18" s="320"/>
      <c r="H18" s="320" t="s">
        <v>63</v>
      </c>
      <c r="I18" s="320"/>
      <c r="J18" s="320"/>
      <c r="K18" s="320"/>
      <c r="L18" s="320"/>
      <c r="M18" s="320"/>
      <c r="N18" s="320"/>
      <c r="O18" s="320"/>
      <c r="P18" s="320"/>
      <c r="Q18" s="320"/>
      <c r="R18" s="320"/>
      <c r="S18" s="320" t="s">
        <v>50</v>
      </c>
      <c r="T18" s="320"/>
      <c r="U18" s="320"/>
      <c r="V18" s="320" t="s">
        <v>64</v>
      </c>
      <c r="W18" s="320"/>
      <c r="X18" s="320"/>
      <c r="Y18" s="320"/>
      <c r="Z18" s="320"/>
      <c r="AA18" s="320" t="s">
        <v>65</v>
      </c>
      <c r="AB18" s="320"/>
      <c r="AC18" s="320"/>
      <c r="AD18" s="320"/>
      <c r="AE18" s="320"/>
      <c r="AF18" s="320"/>
      <c r="AG18" s="320" t="s">
        <v>66</v>
      </c>
      <c r="AH18" s="320"/>
      <c r="AI18" s="320"/>
    </row>
    <row r="19" ht="36" customHeight="1" spans="1:35">
      <c r="A19" s="346" t="s">
        <v>42</v>
      </c>
      <c r="B19" s="346" t="s">
        <v>67</v>
      </c>
      <c r="C19" s="342" t="s">
        <v>68</v>
      </c>
      <c r="D19" s="342"/>
      <c r="E19" s="342"/>
      <c r="F19" s="342"/>
      <c r="G19" s="342"/>
      <c r="H19" s="342" t="s">
        <v>69</v>
      </c>
      <c r="I19" s="342"/>
      <c r="J19" s="342"/>
      <c r="K19" s="342"/>
      <c r="L19" s="342"/>
      <c r="M19" s="342"/>
      <c r="N19" s="342"/>
      <c r="O19" s="342"/>
      <c r="P19" s="342"/>
      <c r="Q19" s="342"/>
      <c r="R19" s="342"/>
      <c r="S19" s="342" t="s">
        <v>58</v>
      </c>
      <c r="T19" s="342"/>
      <c r="U19" s="342"/>
      <c r="V19" s="342">
        <v>3578.25</v>
      </c>
      <c r="W19" s="342"/>
      <c r="X19" s="342"/>
      <c r="Y19" s="342"/>
      <c r="Z19" s="342"/>
      <c r="AA19" s="342">
        <v>26349.37</v>
      </c>
      <c r="AB19" s="342"/>
      <c r="AC19" s="342"/>
      <c r="AD19" s="342"/>
      <c r="AE19" s="342"/>
      <c r="AF19" s="342"/>
      <c r="AG19" s="347" t="s">
        <v>70</v>
      </c>
      <c r="AH19" s="342"/>
      <c r="AI19" s="342"/>
    </row>
    <row r="20" ht="36" customHeight="1" spans="1:35">
      <c r="A20" s="341" t="s">
        <v>71</v>
      </c>
      <c r="B20" s="341"/>
      <c r="C20" s="341"/>
      <c r="D20" s="341"/>
      <c r="E20" s="341"/>
      <c r="F20" s="341"/>
      <c r="G20" s="341"/>
      <c r="H20" s="341"/>
      <c r="I20" s="341"/>
      <c r="J20" s="341"/>
      <c r="K20" s="341"/>
      <c r="L20" s="341"/>
      <c r="M20" s="341"/>
      <c r="N20" s="341"/>
      <c r="O20" s="341"/>
      <c r="P20" s="341"/>
      <c r="Q20" s="341"/>
      <c r="R20" s="341"/>
      <c r="S20" s="341"/>
      <c r="T20" s="341"/>
      <c r="U20" s="341"/>
      <c r="V20" s="341"/>
      <c r="W20" s="341"/>
      <c r="X20" s="341"/>
      <c r="Y20" s="341"/>
      <c r="Z20" s="341"/>
      <c r="AA20" s="341"/>
      <c r="AB20" s="341"/>
      <c r="AC20" s="341"/>
      <c r="AD20" s="341"/>
      <c r="AE20" s="341"/>
      <c r="AF20" s="341"/>
      <c r="AG20" s="341"/>
      <c r="AH20" s="341"/>
      <c r="AI20" s="341"/>
    </row>
    <row r="21" ht="36" customHeight="1" spans="1:35">
      <c r="A21" s="320" t="s">
        <v>37</v>
      </c>
      <c r="B21" s="320" t="s">
        <v>72</v>
      </c>
      <c r="C21" s="320" t="s">
        <v>73</v>
      </c>
      <c r="D21" s="320"/>
      <c r="E21" s="320"/>
      <c r="F21" s="320"/>
      <c r="G21" s="320"/>
      <c r="H21" s="320" t="s">
        <v>74</v>
      </c>
      <c r="I21" s="320"/>
      <c r="J21" s="320"/>
      <c r="K21" s="320"/>
      <c r="L21" s="320"/>
      <c r="M21" s="320"/>
      <c r="N21" s="320"/>
      <c r="O21" s="320"/>
      <c r="P21" s="320"/>
      <c r="Q21" s="320"/>
      <c r="R21" s="320"/>
      <c r="S21" s="320" t="s">
        <v>65</v>
      </c>
      <c r="T21" s="320"/>
      <c r="U21" s="320"/>
      <c r="V21" s="320"/>
      <c r="W21" s="320"/>
      <c r="X21" s="320"/>
      <c r="Y21" s="320"/>
      <c r="Z21" s="320"/>
      <c r="AA21" s="320" t="s">
        <v>75</v>
      </c>
      <c r="AB21" s="320"/>
      <c r="AC21" s="320"/>
      <c r="AD21" s="320"/>
      <c r="AE21" s="320"/>
      <c r="AF21" s="320"/>
      <c r="AG21" s="320"/>
      <c r="AH21" s="320"/>
      <c r="AI21" s="320"/>
    </row>
    <row r="22" ht="36" customHeight="1" spans="1:35">
      <c r="A22" s="346" t="s">
        <v>42</v>
      </c>
      <c r="B22" s="346" t="s">
        <v>76</v>
      </c>
      <c r="C22" s="342" t="s">
        <v>77</v>
      </c>
      <c r="D22" s="342"/>
      <c r="E22" s="342"/>
      <c r="F22" s="342"/>
      <c r="G22" s="342"/>
      <c r="H22" s="342" t="s">
        <v>78</v>
      </c>
      <c r="I22" s="342"/>
      <c r="J22" s="342"/>
      <c r="K22" s="342"/>
      <c r="L22" s="342"/>
      <c r="M22" s="342"/>
      <c r="N22" s="342"/>
      <c r="O22" s="342"/>
      <c r="P22" s="342"/>
      <c r="Q22" s="342"/>
      <c r="R22" s="342"/>
      <c r="S22" s="342">
        <v>26349.37</v>
      </c>
      <c r="T22" s="342"/>
      <c r="U22" s="342"/>
      <c r="V22" s="342"/>
      <c r="W22" s="342"/>
      <c r="X22" s="342"/>
      <c r="Y22" s="342"/>
      <c r="Z22" s="342"/>
      <c r="AA22" s="347" t="s">
        <v>79</v>
      </c>
      <c r="AB22" s="347"/>
      <c r="AC22" s="347"/>
      <c r="AD22" s="347"/>
      <c r="AE22" s="347"/>
      <c r="AF22" s="347"/>
      <c r="AG22" s="347"/>
      <c r="AH22" s="347"/>
      <c r="AI22" s="347"/>
    </row>
    <row r="23" ht="36" customHeight="1" spans="1:35">
      <c r="A23" s="341" t="s">
        <v>80</v>
      </c>
      <c r="B23" s="341"/>
      <c r="C23" s="341"/>
      <c r="D23" s="341"/>
      <c r="E23" s="341"/>
      <c r="F23" s="341"/>
      <c r="G23" s="341"/>
      <c r="H23" s="341"/>
      <c r="I23" s="341"/>
      <c r="J23" s="341"/>
      <c r="K23" s="341"/>
      <c r="L23" s="341"/>
      <c r="M23" s="341"/>
      <c r="N23" s="341"/>
      <c r="O23" s="341"/>
      <c r="P23" s="341"/>
      <c r="Q23" s="341"/>
      <c r="R23" s="341"/>
      <c r="S23" s="341"/>
      <c r="T23" s="341"/>
      <c r="U23" s="341"/>
      <c r="V23" s="341"/>
      <c r="W23" s="341"/>
      <c r="X23" s="341"/>
      <c r="Y23" s="341"/>
      <c r="Z23" s="341"/>
      <c r="AA23" s="341"/>
      <c r="AB23" s="341"/>
      <c r="AC23" s="341"/>
      <c r="AD23" s="341"/>
      <c r="AE23" s="341"/>
      <c r="AF23" s="341"/>
      <c r="AG23" s="341"/>
      <c r="AH23" s="341"/>
      <c r="AI23" s="341"/>
    </row>
    <row r="24" ht="36" customHeight="1" spans="1:35">
      <c r="A24" s="320" t="s">
        <v>37</v>
      </c>
      <c r="B24" s="320" t="s">
        <v>81</v>
      </c>
      <c r="C24" s="320" t="s">
        <v>82</v>
      </c>
      <c r="D24" s="320"/>
      <c r="E24" s="320"/>
      <c r="F24" s="320"/>
      <c r="G24" s="320" t="s">
        <v>83</v>
      </c>
      <c r="H24" s="320" t="s">
        <v>65</v>
      </c>
      <c r="I24" s="320"/>
      <c r="J24" s="320"/>
      <c r="K24" s="320"/>
      <c r="L24" s="320"/>
      <c r="M24" s="320"/>
      <c r="N24" s="320"/>
      <c r="O24" s="320" t="s">
        <v>84</v>
      </c>
      <c r="P24" s="320"/>
      <c r="Q24" s="320"/>
      <c r="R24" s="320"/>
      <c r="S24" s="320" t="s">
        <v>85</v>
      </c>
      <c r="T24" s="320"/>
      <c r="U24" s="320"/>
      <c r="V24" s="320"/>
      <c r="W24" s="320"/>
      <c r="X24" s="320" t="s">
        <v>86</v>
      </c>
      <c r="Y24" s="320"/>
      <c r="Z24" s="320"/>
      <c r="AA24" s="320"/>
      <c r="AB24" s="320"/>
      <c r="AC24" s="320" t="s">
        <v>87</v>
      </c>
      <c r="AD24" s="320"/>
      <c r="AE24" s="320"/>
      <c r="AF24" s="320"/>
      <c r="AG24" s="320" t="s">
        <v>66</v>
      </c>
      <c r="AH24" s="320"/>
      <c r="AI24" s="320"/>
    </row>
    <row r="25" ht="36" customHeight="1" spans="1:35">
      <c r="A25" s="346" t="s">
        <v>42</v>
      </c>
      <c r="B25" s="346" t="s">
        <v>88</v>
      </c>
      <c r="C25" s="342" t="s">
        <v>89</v>
      </c>
      <c r="D25" s="342"/>
      <c r="E25" s="342"/>
      <c r="F25" s="342"/>
      <c r="G25" s="346" t="s">
        <v>90</v>
      </c>
      <c r="H25" s="342">
        <v>26349.37</v>
      </c>
      <c r="I25" s="342"/>
      <c r="J25" s="342"/>
      <c r="K25" s="342"/>
      <c r="L25" s="342"/>
      <c r="M25" s="342"/>
      <c r="N25" s="342"/>
      <c r="O25" s="342">
        <v>35535000</v>
      </c>
      <c r="P25" s="342"/>
      <c r="Q25" s="342"/>
      <c r="R25" s="342"/>
      <c r="S25" s="342" t="s">
        <v>91</v>
      </c>
      <c r="T25" s="342"/>
      <c r="U25" s="342"/>
      <c r="V25" s="342"/>
      <c r="W25" s="342"/>
      <c r="X25" s="347" t="s">
        <v>92</v>
      </c>
      <c r="Y25" s="347"/>
      <c r="Z25" s="347"/>
      <c r="AA25" s="347"/>
      <c r="AB25" s="347"/>
      <c r="AC25" s="347" t="s">
        <v>93</v>
      </c>
      <c r="AD25" s="347"/>
      <c r="AE25" s="347"/>
      <c r="AF25" s="347"/>
      <c r="AG25" s="347" t="s">
        <v>94</v>
      </c>
      <c r="AH25" s="347"/>
      <c r="AI25" s="347"/>
    </row>
    <row r="26" ht="36" customHeight="1" spans="1:35">
      <c r="A26" s="341" t="s">
        <v>95</v>
      </c>
      <c r="B26" s="341"/>
      <c r="C26" s="341"/>
      <c r="D26" s="341"/>
      <c r="E26" s="341"/>
      <c r="F26" s="341"/>
      <c r="G26" s="341"/>
      <c r="H26" s="341"/>
      <c r="I26" s="341"/>
      <c r="J26" s="341"/>
      <c r="K26" s="341"/>
      <c r="L26" s="341"/>
      <c r="M26" s="341"/>
      <c r="N26" s="341"/>
      <c r="O26" s="341"/>
      <c r="P26" s="341"/>
      <c r="Q26" s="341"/>
      <c r="R26" s="341"/>
      <c r="S26" s="341"/>
      <c r="T26" s="341"/>
      <c r="U26" s="341"/>
      <c r="V26" s="341"/>
      <c r="W26" s="341"/>
      <c r="X26" s="341"/>
      <c r="Y26" s="341"/>
      <c r="Z26" s="341"/>
      <c r="AA26" s="341"/>
      <c r="AB26" s="341"/>
      <c r="AC26" s="341"/>
      <c r="AD26" s="341"/>
      <c r="AE26" s="341"/>
      <c r="AF26" s="341"/>
      <c r="AG26" s="341"/>
      <c r="AH26" s="341"/>
      <c r="AI26" s="341"/>
    </row>
    <row r="27" ht="36" customHeight="1" spans="1:35">
      <c r="A27" s="342" t="s">
        <v>37</v>
      </c>
      <c r="B27" s="342" t="s">
        <v>96</v>
      </c>
      <c r="C27" s="342" t="s">
        <v>39</v>
      </c>
      <c r="D27" s="342"/>
      <c r="E27" s="342"/>
      <c r="F27" s="342" t="s">
        <v>97</v>
      </c>
      <c r="G27" s="342" t="s">
        <v>98</v>
      </c>
      <c r="H27" s="342"/>
      <c r="I27" s="342"/>
      <c r="J27" s="342"/>
      <c r="K27" s="342"/>
      <c r="L27" s="342"/>
      <c r="M27" s="342"/>
      <c r="N27" s="342"/>
      <c r="O27" s="342"/>
      <c r="P27" s="342"/>
      <c r="Q27" s="342"/>
      <c r="R27" s="342" t="s">
        <v>99</v>
      </c>
      <c r="S27" s="342"/>
      <c r="T27" s="342"/>
      <c r="U27" s="342"/>
      <c r="V27" s="342"/>
      <c r="W27" s="342"/>
      <c r="X27" s="342"/>
      <c r="Y27" s="342"/>
      <c r="Z27" s="342"/>
      <c r="AA27" s="342"/>
      <c r="AB27" s="342"/>
      <c r="AC27" s="342"/>
      <c r="AD27" s="342"/>
      <c r="AE27" s="342"/>
      <c r="AF27" s="342"/>
      <c r="AG27" s="342" t="s">
        <v>75</v>
      </c>
      <c r="AH27" s="342"/>
      <c r="AI27" s="342"/>
    </row>
    <row r="28" ht="36" customHeight="1" spans="1:35">
      <c r="A28" s="342"/>
      <c r="B28" s="342"/>
      <c r="C28" s="342"/>
      <c r="D28" s="342"/>
      <c r="E28" s="342"/>
      <c r="F28" s="342"/>
      <c r="G28" s="342" t="s">
        <v>100</v>
      </c>
      <c r="H28" s="342"/>
      <c r="I28" s="346" t="s">
        <v>101</v>
      </c>
      <c r="J28" s="346" t="s">
        <v>102</v>
      </c>
      <c r="K28" s="342" t="s">
        <v>103</v>
      </c>
      <c r="L28" s="342"/>
      <c r="M28" s="342" t="s">
        <v>104</v>
      </c>
      <c r="N28" s="342"/>
      <c r="O28" s="342"/>
      <c r="P28" s="342" t="s">
        <v>105</v>
      </c>
      <c r="Q28" s="342"/>
      <c r="R28" s="342" t="s">
        <v>100</v>
      </c>
      <c r="S28" s="342"/>
      <c r="T28" s="342" t="s">
        <v>101</v>
      </c>
      <c r="U28" s="342"/>
      <c r="V28" s="342"/>
      <c r="W28" s="342"/>
      <c r="X28" s="342" t="s">
        <v>102</v>
      </c>
      <c r="Y28" s="342"/>
      <c r="Z28" s="342" t="s">
        <v>106</v>
      </c>
      <c r="AA28" s="342"/>
      <c r="AB28" s="342"/>
      <c r="AC28" s="342" t="s">
        <v>104</v>
      </c>
      <c r="AD28" s="342"/>
      <c r="AE28" s="342"/>
      <c r="AF28" s="346" t="s">
        <v>105</v>
      </c>
      <c r="AG28" s="342"/>
      <c r="AH28" s="342"/>
      <c r="AI28" s="342"/>
    </row>
    <row r="29" ht="36" customHeight="1" spans="1:35">
      <c r="A29" s="346" t="s">
        <v>42</v>
      </c>
      <c r="B29" s="346" t="s">
        <v>107</v>
      </c>
      <c r="C29" s="342" t="s">
        <v>108</v>
      </c>
      <c r="D29" s="342"/>
      <c r="E29" s="342"/>
      <c r="F29" s="346" t="s">
        <v>109</v>
      </c>
      <c r="G29" s="342">
        <v>19054.2</v>
      </c>
      <c r="H29" s="342"/>
      <c r="I29" s="346">
        <v>2625.65</v>
      </c>
      <c r="J29" s="346">
        <v>0</v>
      </c>
      <c r="K29" s="342">
        <v>0</v>
      </c>
      <c r="L29" s="342"/>
      <c r="M29" s="342">
        <v>0</v>
      </c>
      <c r="N29" s="342"/>
      <c r="O29" s="342"/>
      <c r="P29" s="342">
        <v>21679.85</v>
      </c>
      <c r="Q29" s="342"/>
      <c r="R29" s="342">
        <v>180</v>
      </c>
      <c r="S29" s="342"/>
      <c r="T29" s="342">
        <v>9</v>
      </c>
      <c r="U29" s="342"/>
      <c r="V29" s="342"/>
      <c r="W29" s="342"/>
      <c r="X29" s="342">
        <v>0</v>
      </c>
      <c r="Y29" s="342"/>
      <c r="Z29" s="342">
        <v>0</v>
      </c>
      <c r="AA29" s="342"/>
      <c r="AB29" s="342"/>
      <c r="AC29" s="342">
        <v>0</v>
      </c>
      <c r="AD29" s="342"/>
      <c r="AE29" s="342"/>
      <c r="AF29" s="346">
        <v>189</v>
      </c>
      <c r="AG29" s="347" t="s">
        <v>35</v>
      </c>
      <c r="AH29" s="347"/>
      <c r="AI29" s="347"/>
    </row>
    <row r="30" ht="36" customHeight="1" spans="1:35">
      <c r="A30" s="341" t="s">
        <v>110</v>
      </c>
      <c r="B30" s="341"/>
      <c r="C30" s="341"/>
      <c r="D30" s="341"/>
      <c r="E30" s="341"/>
      <c r="F30" s="341"/>
      <c r="G30" s="341"/>
      <c r="H30" s="341"/>
      <c r="I30" s="341"/>
      <c r="J30" s="341"/>
      <c r="K30" s="341"/>
      <c r="L30" s="341"/>
      <c r="M30" s="341"/>
      <c r="N30" s="341"/>
      <c r="O30" s="341"/>
      <c r="P30" s="341"/>
      <c r="Q30" s="341"/>
      <c r="R30" s="341"/>
      <c r="S30" s="341"/>
      <c r="T30" s="341"/>
      <c r="U30" s="341"/>
      <c r="V30" s="341"/>
      <c r="W30" s="341"/>
      <c r="X30" s="341"/>
      <c r="Y30" s="341"/>
      <c r="Z30" s="341"/>
      <c r="AA30" s="341"/>
      <c r="AB30" s="341"/>
      <c r="AC30" s="341"/>
      <c r="AD30" s="341"/>
      <c r="AE30" s="341"/>
      <c r="AF30" s="341"/>
      <c r="AG30" s="341"/>
      <c r="AH30" s="341"/>
      <c r="AI30" s="341"/>
    </row>
    <row r="31" ht="36" customHeight="1" spans="1:35">
      <c r="A31" s="342" t="s">
        <v>37</v>
      </c>
      <c r="B31" s="342" t="s">
        <v>111</v>
      </c>
      <c r="C31" s="342" t="s">
        <v>39</v>
      </c>
      <c r="D31" s="342"/>
      <c r="E31" s="342"/>
      <c r="F31" s="342"/>
      <c r="G31" s="342"/>
      <c r="H31" s="342" t="s">
        <v>112</v>
      </c>
      <c r="I31" s="342"/>
      <c r="J31" s="342"/>
      <c r="K31" s="342"/>
      <c r="L31" s="342"/>
      <c r="M31" s="342"/>
      <c r="N31" s="342"/>
      <c r="O31" s="342"/>
      <c r="P31" s="342"/>
      <c r="Q31" s="342"/>
      <c r="R31" s="342"/>
      <c r="S31" s="342"/>
      <c r="T31" s="342"/>
      <c r="U31" s="342"/>
      <c r="V31" s="342"/>
      <c r="W31" s="342"/>
      <c r="X31" s="342"/>
      <c r="Y31" s="342"/>
      <c r="Z31" s="342"/>
      <c r="AA31" s="342" t="s">
        <v>66</v>
      </c>
      <c r="AB31" s="342"/>
      <c r="AC31" s="342"/>
      <c r="AD31" s="342"/>
      <c r="AE31" s="342"/>
      <c r="AF31" s="342"/>
      <c r="AG31" s="342"/>
      <c r="AH31" s="342"/>
      <c r="AI31" s="342"/>
    </row>
    <row r="32" ht="36" customHeight="1" spans="1:35">
      <c r="A32" s="342"/>
      <c r="B32" s="342"/>
      <c r="C32" s="342"/>
      <c r="D32" s="342"/>
      <c r="E32" s="342"/>
      <c r="F32" s="342"/>
      <c r="G32" s="342"/>
      <c r="H32" s="342" t="s">
        <v>100</v>
      </c>
      <c r="I32" s="342"/>
      <c r="J32" s="342"/>
      <c r="K32" s="342"/>
      <c r="L32" s="342"/>
      <c r="M32" s="342" t="s">
        <v>101</v>
      </c>
      <c r="N32" s="342"/>
      <c r="O32" s="342"/>
      <c r="P32" s="342"/>
      <c r="Q32" s="342" t="s">
        <v>102</v>
      </c>
      <c r="R32" s="342"/>
      <c r="S32" s="342"/>
      <c r="T32" s="342"/>
      <c r="U32" s="342" t="s">
        <v>103</v>
      </c>
      <c r="V32" s="342"/>
      <c r="W32" s="342" t="s">
        <v>104</v>
      </c>
      <c r="X32" s="342"/>
      <c r="Y32" s="342" t="s">
        <v>105</v>
      </c>
      <c r="Z32" s="342"/>
      <c r="AA32" s="342"/>
      <c r="AB32" s="342"/>
      <c r="AC32" s="342"/>
      <c r="AD32" s="342"/>
      <c r="AE32" s="342"/>
      <c r="AF32" s="342"/>
      <c r="AG32" s="342"/>
      <c r="AH32" s="342"/>
      <c r="AI32" s="342"/>
    </row>
    <row r="33" ht="36" customHeight="1" spans="1:35">
      <c r="A33" s="346" t="s">
        <v>42</v>
      </c>
      <c r="B33" s="346" t="s">
        <v>113</v>
      </c>
      <c r="C33" s="342" t="s">
        <v>108</v>
      </c>
      <c r="D33" s="342"/>
      <c r="E33" s="342"/>
      <c r="F33" s="342"/>
      <c r="G33" s="342"/>
      <c r="H33" s="342">
        <v>19054.6</v>
      </c>
      <c r="I33" s="342"/>
      <c r="J33" s="342"/>
      <c r="K33" s="342"/>
      <c r="L33" s="342"/>
      <c r="M33" s="342">
        <v>2619</v>
      </c>
      <c r="N33" s="342"/>
      <c r="O33" s="342"/>
      <c r="P33" s="342"/>
      <c r="Q33" s="342">
        <v>0</v>
      </c>
      <c r="R33" s="342"/>
      <c r="S33" s="342"/>
      <c r="T33" s="342"/>
      <c r="U33" s="342">
        <v>4453.65</v>
      </c>
      <c r="V33" s="342"/>
      <c r="W33" s="342">
        <v>0</v>
      </c>
      <c r="X33" s="342"/>
      <c r="Y33" s="342">
        <v>26127.25</v>
      </c>
      <c r="Z33" s="342"/>
      <c r="AA33" s="347" t="s">
        <v>114</v>
      </c>
      <c r="AB33" s="347"/>
      <c r="AC33" s="347"/>
      <c r="AD33" s="347"/>
      <c r="AE33" s="347"/>
      <c r="AF33" s="347"/>
      <c r="AG33" s="347"/>
      <c r="AH33" s="347"/>
      <c r="AI33" s="347"/>
    </row>
    <row r="34" ht="36" customHeight="1" spans="1:35">
      <c r="A34" s="341" t="s">
        <v>115</v>
      </c>
      <c r="B34" s="341"/>
      <c r="C34" s="341"/>
      <c r="D34" s="341"/>
      <c r="E34" s="341"/>
      <c r="F34" s="341"/>
      <c r="G34" s="341"/>
      <c r="H34" s="341"/>
      <c r="I34" s="341"/>
      <c r="J34" s="341"/>
      <c r="K34" s="341"/>
      <c r="L34" s="341"/>
      <c r="M34" s="341"/>
      <c r="N34" s="341"/>
      <c r="O34" s="341"/>
      <c r="P34" s="341"/>
      <c r="Q34" s="341"/>
      <c r="R34" s="341"/>
      <c r="S34" s="341"/>
      <c r="T34" s="341"/>
      <c r="U34" s="341"/>
      <c r="V34" s="341"/>
      <c r="W34" s="341"/>
      <c r="X34" s="341"/>
      <c r="Y34" s="341"/>
      <c r="Z34" s="341"/>
      <c r="AA34" s="341"/>
      <c r="AB34" s="341"/>
      <c r="AC34" s="341"/>
      <c r="AD34" s="341"/>
      <c r="AE34" s="341"/>
      <c r="AF34" s="341"/>
      <c r="AG34" s="341"/>
      <c r="AH34" s="341"/>
      <c r="AI34" s="341"/>
    </row>
    <row r="35" ht="30" customHeight="1" spans="1:35">
      <c r="A35" s="346" t="s">
        <v>37</v>
      </c>
      <c r="B35" s="342" t="s">
        <v>116</v>
      </c>
      <c r="C35" s="342"/>
      <c r="D35" s="342"/>
      <c r="E35" s="342"/>
      <c r="F35" s="342"/>
      <c r="G35" s="342"/>
      <c r="H35" s="342" t="s">
        <v>117</v>
      </c>
      <c r="I35" s="342"/>
      <c r="J35" s="342"/>
      <c r="K35" s="342"/>
      <c r="L35" s="342"/>
      <c r="M35" s="342"/>
      <c r="N35" s="342" t="s">
        <v>118</v>
      </c>
      <c r="O35" s="342"/>
      <c r="P35" s="342"/>
      <c r="Q35" s="342"/>
      <c r="R35" s="342"/>
      <c r="S35" s="342"/>
      <c r="T35" s="342"/>
      <c r="U35" s="342" t="s">
        <v>119</v>
      </c>
      <c r="V35" s="342"/>
      <c r="W35" s="342"/>
      <c r="X35" s="342"/>
      <c r="Y35" s="342"/>
      <c r="Z35" s="342"/>
      <c r="AA35" s="342" t="s">
        <v>120</v>
      </c>
      <c r="AB35" s="342"/>
      <c r="AC35" s="342"/>
      <c r="AD35" s="342"/>
      <c r="AE35" s="342"/>
      <c r="AF35" s="342"/>
      <c r="AG35" s="342"/>
      <c r="AH35" s="342"/>
      <c r="AI35" s="342"/>
    </row>
    <row r="36" ht="36.4" customHeight="1" spans="1:35">
      <c r="A36" s="346" t="s">
        <v>42</v>
      </c>
      <c r="B36" s="342" t="s">
        <v>88</v>
      </c>
      <c r="C36" s="342"/>
      <c r="D36" s="342"/>
      <c r="E36" s="342"/>
      <c r="F36" s="342"/>
      <c r="G36" s="342"/>
      <c r="H36" s="347" t="s">
        <v>93</v>
      </c>
      <c r="I36" s="347"/>
      <c r="J36" s="347"/>
      <c r="K36" s="347"/>
      <c r="L36" s="347"/>
      <c r="M36" s="347"/>
      <c r="N36" s="347" t="s">
        <v>33</v>
      </c>
      <c r="O36" s="347"/>
      <c r="P36" s="347"/>
      <c r="Q36" s="347"/>
      <c r="R36" s="347"/>
      <c r="S36" s="347"/>
      <c r="T36" s="347"/>
      <c r="U36" s="342">
        <v>98691579.79</v>
      </c>
      <c r="V36" s="342"/>
      <c r="W36" s="342"/>
      <c r="X36" s="342"/>
      <c r="Y36" s="342"/>
      <c r="Z36" s="342"/>
      <c r="AA36" s="342">
        <v>26212.41</v>
      </c>
      <c r="AB36" s="342"/>
      <c r="AC36" s="342"/>
      <c r="AD36" s="342"/>
      <c r="AE36" s="342"/>
      <c r="AF36" s="342"/>
      <c r="AG36" s="342"/>
      <c r="AH36" s="342"/>
      <c r="AI36" s="342"/>
    </row>
  </sheetData>
  <protectedRanges>
    <protectedRange sqref="A6:AI17" name="A6:AI17"/>
  </protectedRanges>
  <mergeCells count="160">
    <mergeCell ref="A1:AI1"/>
    <mergeCell ref="A2:AI2"/>
    <mergeCell ref="A3:B3"/>
    <mergeCell ref="C3:F3"/>
    <mergeCell ref="I3:Y3"/>
    <mergeCell ref="Z3:AB3"/>
    <mergeCell ref="AC3:AI3"/>
    <mergeCell ref="A4:Y4"/>
    <mergeCell ref="Z4:AI4"/>
    <mergeCell ref="A5:AI5"/>
    <mergeCell ref="A6:C6"/>
    <mergeCell ref="D6:G6"/>
    <mergeCell ref="H6:R6"/>
    <mergeCell ref="S6:W6"/>
    <mergeCell ref="X6:AF6"/>
    <mergeCell ref="AG6:AI6"/>
    <mergeCell ref="A7:C7"/>
    <mergeCell ref="D7:W7"/>
    <mergeCell ref="X7:AF7"/>
    <mergeCell ref="AG7:AI7"/>
    <mergeCell ref="A8:C8"/>
    <mergeCell ref="D8:G8"/>
    <mergeCell ref="H8:R8"/>
    <mergeCell ref="S8:W8"/>
    <mergeCell ref="X8:AF8"/>
    <mergeCell ref="AG8:AI8"/>
    <mergeCell ref="A9:C9"/>
    <mergeCell ref="D9:G9"/>
    <mergeCell ref="H9:K9"/>
    <mergeCell ref="L9:R9"/>
    <mergeCell ref="S9:W9"/>
    <mergeCell ref="X9:AA9"/>
    <mergeCell ref="AB9:AF9"/>
    <mergeCell ref="AG9:AI9"/>
    <mergeCell ref="A10:C10"/>
    <mergeCell ref="D10:G10"/>
    <mergeCell ref="H10:K10"/>
    <mergeCell ref="L10:R10"/>
    <mergeCell ref="S10:W10"/>
    <mergeCell ref="X10:AA10"/>
    <mergeCell ref="AB10:AF10"/>
    <mergeCell ref="AG10:AI10"/>
    <mergeCell ref="A11:AI11"/>
    <mergeCell ref="C12:P12"/>
    <mergeCell ref="Q12:Z12"/>
    <mergeCell ref="AA12:AI12"/>
    <mergeCell ref="C13:P13"/>
    <mergeCell ref="Q13:Z13"/>
    <mergeCell ref="AA13:AI13"/>
    <mergeCell ref="A14:AI14"/>
    <mergeCell ref="C15:G15"/>
    <mergeCell ref="H15:N15"/>
    <mergeCell ref="O15:W15"/>
    <mergeCell ref="X15:Z15"/>
    <mergeCell ref="AA15:AD15"/>
    <mergeCell ref="AE15:AF15"/>
    <mergeCell ref="AG15:AI15"/>
    <mergeCell ref="C16:G16"/>
    <mergeCell ref="H16:N16"/>
    <mergeCell ref="O16:W16"/>
    <mergeCell ref="X16:Z16"/>
    <mergeCell ref="AA16:AD16"/>
    <mergeCell ref="AE16:AF16"/>
    <mergeCell ref="AG16:AI16"/>
    <mergeCell ref="A17:AI17"/>
    <mergeCell ref="C18:G18"/>
    <mergeCell ref="H18:R18"/>
    <mergeCell ref="S18:U18"/>
    <mergeCell ref="V18:Z18"/>
    <mergeCell ref="AA18:AF18"/>
    <mergeCell ref="AG18:AI18"/>
    <mergeCell ref="C19:G19"/>
    <mergeCell ref="H19:R19"/>
    <mergeCell ref="S19:U19"/>
    <mergeCell ref="V19:Z19"/>
    <mergeCell ref="AA19:AF19"/>
    <mergeCell ref="AG19:AI19"/>
    <mergeCell ref="A20:AI20"/>
    <mergeCell ref="C21:G21"/>
    <mergeCell ref="H21:R21"/>
    <mergeCell ref="S21:Z21"/>
    <mergeCell ref="AA21:AI21"/>
    <mergeCell ref="C22:G22"/>
    <mergeCell ref="H22:R22"/>
    <mergeCell ref="S22:Z22"/>
    <mergeCell ref="AA22:AI22"/>
    <mergeCell ref="A23:AI23"/>
    <mergeCell ref="C24:F24"/>
    <mergeCell ref="H24:N24"/>
    <mergeCell ref="O24:R24"/>
    <mergeCell ref="S24:W24"/>
    <mergeCell ref="X24:AB24"/>
    <mergeCell ref="AC24:AF24"/>
    <mergeCell ref="AG24:AI24"/>
    <mergeCell ref="C25:F25"/>
    <mergeCell ref="H25:N25"/>
    <mergeCell ref="O25:R25"/>
    <mergeCell ref="S25:W25"/>
    <mergeCell ref="X25:AB25"/>
    <mergeCell ref="AC25:AF25"/>
    <mergeCell ref="AG25:AI25"/>
    <mergeCell ref="A26:AI26"/>
    <mergeCell ref="G27:Q27"/>
    <mergeCell ref="R27:AF27"/>
    <mergeCell ref="G28:H28"/>
    <mergeCell ref="K28:L28"/>
    <mergeCell ref="M28:O28"/>
    <mergeCell ref="P28:Q28"/>
    <mergeCell ref="R28:S28"/>
    <mergeCell ref="T28:W28"/>
    <mergeCell ref="X28:Y28"/>
    <mergeCell ref="Z28:AB28"/>
    <mergeCell ref="AC28:AE28"/>
    <mergeCell ref="C29:E29"/>
    <mergeCell ref="G29:H29"/>
    <mergeCell ref="K29:L29"/>
    <mergeCell ref="M29:O29"/>
    <mergeCell ref="P29:Q29"/>
    <mergeCell ref="R29:S29"/>
    <mergeCell ref="T29:W29"/>
    <mergeCell ref="X29:Y29"/>
    <mergeCell ref="Z29:AB29"/>
    <mergeCell ref="AC29:AE29"/>
    <mergeCell ref="AG29:AI29"/>
    <mergeCell ref="A30:AI30"/>
    <mergeCell ref="H31:Z31"/>
    <mergeCell ref="H32:L32"/>
    <mergeCell ref="M32:P32"/>
    <mergeCell ref="Q32:T32"/>
    <mergeCell ref="U32:V32"/>
    <mergeCell ref="W32:X32"/>
    <mergeCell ref="Y32:Z32"/>
    <mergeCell ref="C33:G33"/>
    <mergeCell ref="H33:L33"/>
    <mergeCell ref="M33:P33"/>
    <mergeCell ref="Q33:T33"/>
    <mergeCell ref="U33:V33"/>
    <mergeCell ref="W33:X33"/>
    <mergeCell ref="Y33:Z33"/>
    <mergeCell ref="AA33:AI33"/>
    <mergeCell ref="A34:AI34"/>
    <mergeCell ref="B35:G35"/>
    <mergeCell ref="H35:M35"/>
    <mergeCell ref="N35:T35"/>
    <mergeCell ref="U35:Z35"/>
    <mergeCell ref="AA35:AI35"/>
    <mergeCell ref="B36:G36"/>
    <mergeCell ref="H36:M36"/>
    <mergeCell ref="N36:T36"/>
    <mergeCell ref="U36:Z36"/>
    <mergeCell ref="AA36:AI36"/>
    <mergeCell ref="A27:A28"/>
    <mergeCell ref="A31:A32"/>
    <mergeCell ref="B27:B28"/>
    <mergeCell ref="B31:B32"/>
    <mergeCell ref="F27:F28"/>
    <mergeCell ref="AA31:AI32"/>
    <mergeCell ref="C31:G32"/>
    <mergeCell ref="C27:E28"/>
    <mergeCell ref="AG27:AI28"/>
  </mergeCells>
  <dataValidations count="1">
    <dataValidation type="list" allowBlank="1" showInputMessage="1" showErrorMessage="1" sqref="AG6:AI6">
      <formula1>"是,否"</formula1>
    </dataValidation>
  </dataValidations>
  <printOptions horizontalCentered="1"/>
  <pageMargins left="0.707638888888889" right="0.707638888888889" top="0.747916666666667" bottom="0.747916666666667" header="0.432638888888889" footer="0.313888888888889"/>
  <pageSetup paperSize="9" scale="45" fitToHeight="0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8"/>
  <sheetViews>
    <sheetView zoomScale="70" zoomScaleNormal="70" topLeftCell="A11" workbookViewId="0">
      <selection activeCell="D18" sqref="D18:E18"/>
    </sheetView>
  </sheetViews>
  <sheetFormatPr defaultColWidth="8.872" defaultRowHeight="15.65"/>
  <cols>
    <col min="1" max="1" width="32.904" style="302" customWidth="1"/>
    <col min="2" max="2" width="20.744" style="302" customWidth="1"/>
    <col min="3" max="3" width="22.504" style="210" customWidth="1"/>
    <col min="4" max="4" width="15.504" style="210" customWidth="1"/>
    <col min="5" max="5" width="18.448" style="210" customWidth="1"/>
    <col min="6" max="6" width="19.128" style="210" customWidth="1"/>
    <col min="7" max="8" width="15.504" style="210" customWidth="1"/>
    <col min="9" max="9" width="22.128" style="210" customWidth="1"/>
    <col min="10" max="10" width="15.504" style="210" customWidth="1"/>
    <col min="11" max="11" width="14" style="210"/>
    <col min="12" max="12" width="8.624" style="210"/>
  </cols>
  <sheetData>
    <row r="1" s="210" customFormat="1" ht="26.9" spans="1:12">
      <c r="A1" s="303" t="s">
        <v>121</v>
      </c>
      <c r="B1" s="303"/>
      <c r="C1" s="303"/>
      <c r="D1" s="303"/>
      <c r="E1" s="303"/>
      <c r="F1" s="303"/>
      <c r="G1" s="303"/>
      <c r="H1" s="303"/>
      <c r="I1" s="303"/>
      <c r="J1" s="303"/>
      <c r="K1" s="303"/>
      <c r="L1" s="303"/>
    </row>
    <row r="2" ht="34.5" customHeight="1" spans="1:12">
      <c r="A2" s="304" t="s">
        <v>122</v>
      </c>
      <c r="B2" s="304" t="s">
        <v>123</v>
      </c>
      <c r="C2" s="304"/>
      <c r="D2" s="304"/>
      <c r="E2" s="304"/>
      <c r="F2" s="304"/>
      <c r="G2" s="304"/>
      <c r="H2" s="304"/>
      <c r="I2" s="304"/>
      <c r="J2" s="304"/>
      <c r="K2" s="304"/>
      <c r="L2" s="304"/>
    </row>
    <row r="3" ht="34.5" customHeight="1" spans="1:12">
      <c r="A3" s="304" t="s">
        <v>124</v>
      </c>
      <c r="B3" s="304" t="str">
        <f>IF(清算项目基本情况表!C3="","",清算项目基本情况表!C3)</f>
        <v>91652801576209018D</v>
      </c>
      <c r="C3" s="304"/>
      <c r="D3" s="304"/>
      <c r="E3" s="304"/>
      <c r="F3" s="304"/>
      <c r="G3" s="304"/>
      <c r="H3" s="304"/>
      <c r="I3" s="304"/>
      <c r="J3" s="304"/>
      <c r="K3" s="304"/>
      <c r="L3" s="304"/>
    </row>
    <row r="4" ht="34.5" customHeight="1" spans="1:12">
      <c r="A4" s="305" t="s">
        <v>125</v>
      </c>
      <c r="B4" s="306" t="str">
        <f>IF(清算项目基本情况表!I3="","",清算项目基本情况表!I3)</f>
        <v>新疆通力房地产开发有限公司库尔勒分公司</v>
      </c>
      <c r="C4" s="306"/>
      <c r="D4" s="306"/>
      <c r="E4" s="306"/>
      <c r="F4" s="306"/>
      <c r="G4" s="306" t="s">
        <v>8</v>
      </c>
      <c r="H4" s="306"/>
      <c r="I4" s="306"/>
      <c r="J4" s="306"/>
      <c r="K4" s="306" t="s">
        <v>9</v>
      </c>
      <c r="L4" s="306"/>
    </row>
    <row r="5" s="300" customFormat="1" ht="34.5" customHeight="1" spans="1:12">
      <c r="A5" s="307" t="s">
        <v>39</v>
      </c>
      <c r="B5" s="308" t="str">
        <f>IF(清算项目基本情况表!D6="","",清算项目基本情况表!D6)</f>
        <v>通力华庭</v>
      </c>
      <c r="C5" s="308"/>
      <c r="D5" s="308"/>
      <c r="E5" s="308"/>
      <c r="F5" s="309" t="s">
        <v>126</v>
      </c>
      <c r="G5" s="309"/>
      <c r="H5" s="310" t="str">
        <f>IF(清算项目基本情况表!S6="","",清算项目基本情况表!S6)</f>
        <v>Z65280120160100</v>
      </c>
      <c r="I5" s="325"/>
      <c r="J5" s="325"/>
      <c r="K5" s="325"/>
      <c r="L5" s="326"/>
    </row>
    <row r="6" s="300" customFormat="1" ht="34.5" customHeight="1" spans="1:12">
      <c r="A6" s="307" t="s">
        <v>127</v>
      </c>
      <c r="B6" s="308" t="str">
        <f>清算项目基本情况表!D7</f>
        <v>萨依巴格辖区人民东路北四巷通力华庭</v>
      </c>
      <c r="C6" s="308"/>
      <c r="D6" s="308"/>
      <c r="E6" s="308"/>
      <c r="F6" s="311" t="s">
        <v>128</v>
      </c>
      <c r="G6" s="311"/>
      <c r="H6" s="308" t="s">
        <v>129</v>
      </c>
      <c r="I6" s="308"/>
      <c r="J6" s="308"/>
      <c r="K6" s="308"/>
      <c r="L6" s="308"/>
    </row>
    <row r="7" s="300" customFormat="1" ht="34.5" customHeight="1" spans="1:12">
      <c r="A7" s="307" t="s">
        <v>130</v>
      </c>
      <c r="B7" s="312">
        <f>'附表1-面积统计表'!F29</f>
        <v>26127.25</v>
      </c>
      <c r="C7" s="308"/>
      <c r="D7" s="308"/>
      <c r="E7" s="308"/>
      <c r="F7" s="312" t="s">
        <v>131</v>
      </c>
      <c r="G7" s="313">
        <f>'附表1-面积统计表'!I29+'附表1-面积统计表'!J29</f>
        <v>2335.84</v>
      </c>
      <c r="H7" s="311"/>
      <c r="I7" s="311"/>
      <c r="J7" s="311"/>
      <c r="K7" s="311"/>
      <c r="L7" s="327"/>
    </row>
    <row r="8" s="300" customFormat="1" ht="35.05" spans="1:12">
      <c r="A8" s="307" t="s">
        <v>132</v>
      </c>
      <c r="B8" s="314">
        <f>'附表1-面积统计表'!G29</f>
        <v>18795.2</v>
      </c>
      <c r="C8" s="312" t="s">
        <v>133</v>
      </c>
      <c r="D8" s="312">
        <f>'附表1-面积统计表'!G5</f>
        <v>18738.13</v>
      </c>
      <c r="E8" s="312"/>
      <c r="F8" s="315" t="s">
        <v>134</v>
      </c>
      <c r="G8" s="312">
        <f>'附表1-面积统计表'!G6</f>
        <v>0</v>
      </c>
      <c r="H8" s="312"/>
      <c r="I8" s="328" t="s">
        <v>135</v>
      </c>
      <c r="J8" s="329">
        <f>'附表1-面积统计表'!G7</f>
        <v>57.07</v>
      </c>
      <c r="K8" s="330"/>
      <c r="L8" s="331"/>
    </row>
    <row r="9" s="300" customFormat="1" ht="35.05" spans="1:12">
      <c r="A9" s="307" t="s">
        <v>136</v>
      </c>
      <c r="B9" s="314">
        <f>'附表1-面积统计表'!H29</f>
        <v>7332.05</v>
      </c>
      <c r="C9" s="312" t="s">
        <v>137</v>
      </c>
      <c r="D9" s="312">
        <f>'附表1-面积统计表'!H5</f>
        <v>316.470000000001</v>
      </c>
      <c r="E9" s="312"/>
      <c r="F9" s="315" t="s">
        <v>138</v>
      </c>
      <c r="G9" s="312">
        <f>'附表1-面积统计表'!H6</f>
        <v>0</v>
      </c>
      <c r="H9" s="312"/>
      <c r="I9" s="328" t="s">
        <v>139</v>
      </c>
      <c r="J9" s="329">
        <f>'附表1-面积统计表'!H7</f>
        <v>7015.58</v>
      </c>
      <c r="K9" s="330"/>
      <c r="L9" s="331"/>
    </row>
    <row r="10" s="300" customFormat="1" ht="34.5" customHeight="1" spans="1:12">
      <c r="A10" s="316" t="s">
        <v>140</v>
      </c>
      <c r="B10" s="317"/>
      <c r="C10" s="318" t="s">
        <v>141</v>
      </c>
      <c r="D10" s="318" t="s">
        <v>142</v>
      </c>
      <c r="E10" s="318"/>
      <c r="F10" s="318" t="s">
        <v>143</v>
      </c>
      <c r="G10" s="318"/>
      <c r="H10" s="318" t="s">
        <v>144</v>
      </c>
      <c r="I10" s="318"/>
      <c r="J10" s="318" t="s">
        <v>145</v>
      </c>
      <c r="K10" s="318"/>
      <c r="L10" s="318"/>
    </row>
    <row r="11" ht="34.5" customHeight="1" spans="1:12">
      <c r="A11" s="319" t="s">
        <v>146</v>
      </c>
      <c r="B11" s="319"/>
      <c r="C11" s="320" t="s">
        <v>147</v>
      </c>
      <c r="D11" s="321">
        <f t="shared" ref="D11:H11" si="0">SUM(D12:D14)</f>
        <v>68505556.2433333</v>
      </c>
      <c r="E11" s="321"/>
      <c r="F11" s="321">
        <f t="shared" si="0"/>
        <v>0</v>
      </c>
      <c r="G11" s="321"/>
      <c r="H11" s="321">
        <f t="shared" si="0"/>
        <v>1294848.57476191</v>
      </c>
      <c r="I11" s="321"/>
      <c r="J11" s="321">
        <f t="shared" ref="J11:J35" si="1">SUM(D11:I11)</f>
        <v>69800404.8180952</v>
      </c>
      <c r="K11" s="321"/>
      <c r="L11" s="321"/>
    </row>
    <row r="12" ht="34.5" customHeight="1" spans="1:12">
      <c r="A12" s="319" t="s">
        <v>148</v>
      </c>
      <c r="B12" s="319"/>
      <c r="C12" s="320">
        <v>2</v>
      </c>
      <c r="D12" s="321">
        <f>'附表2-收入统计表'!C5</f>
        <v>68505556.2433333</v>
      </c>
      <c r="E12" s="321"/>
      <c r="F12" s="321">
        <f>IF($H$6="三分法",'附表2-收入统计表'!C6,"")</f>
        <v>0</v>
      </c>
      <c r="G12" s="321"/>
      <c r="H12" s="321">
        <f>IF($H$6="三分法",'附表2-收入统计表'!C7,SUM('附表2-收入统计表'!C6:C7))</f>
        <v>1294848.57476191</v>
      </c>
      <c r="I12" s="321"/>
      <c r="J12" s="321">
        <f t="shared" si="1"/>
        <v>69800404.8180952</v>
      </c>
      <c r="K12" s="321"/>
      <c r="L12" s="321"/>
    </row>
    <row r="13" ht="34.5" customHeight="1" spans="1:12">
      <c r="A13" s="319" t="s">
        <v>149</v>
      </c>
      <c r="B13" s="319"/>
      <c r="C13" s="320">
        <v>3</v>
      </c>
      <c r="D13" s="321">
        <f>'附表2-收入统计表'!D5</f>
        <v>0</v>
      </c>
      <c r="E13" s="321"/>
      <c r="F13" s="321">
        <f>IF($H$6="三分法",'附表2-收入统计表'!D6,"")</f>
        <v>0</v>
      </c>
      <c r="G13" s="321"/>
      <c r="H13" s="321">
        <f>IF($H$6="三分法",'附表2-收入统计表'!D7,SUM('附表2-收入统计表'!D6:D7))</f>
        <v>0</v>
      </c>
      <c r="I13" s="321"/>
      <c r="J13" s="321">
        <f t="shared" si="1"/>
        <v>0</v>
      </c>
      <c r="K13" s="321"/>
      <c r="L13" s="321"/>
    </row>
    <row r="14" ht="34.5" customHeight="1" spans="1:12">
      <c r="A14" s="319" t="s">
        <v>150</v>
      </c>
      <c r="B14" s="319"/>
      <c r="C14" s="320">
        <v>4</v>
      </c>
      <c r="D14" s="321">
        <f>'附表2-收入统计表'!E5</f>
        <v>0</v>
      </c>
      <c r="E14" s="321"/>
      <c r="F14" s="321">
        <f>IF($H$6="三分法",'附表2-收入统计表'!E6,"")</f>
        <v>0</v>
      </c>
      <c r="G14" s="321"/>
      <c r="H14" s="321">
        <f>IF($H$6="三分法",'附表2-收入统计表'!E7,SUM('附表2-收入统计表'!E6:E7))</f>
        <v>0</v>
      </c>
      <c r="I14" s="321"/>
      <c r="J14" s="321">
        <f t="shared" si="1"/>
        <v>0</v>
      </c>
      <c r="K14" s="321"/>
      <c r="L14" s="321"/>
    </row>
    <row r="15" ht="34.5" customHeight="1" spans="1:12">
      <c r="A15" s="319" t="s">
        <v>151</v>
      </c>
      <c r="B15" s="319"/>
      <c r="C15" s="320" t="s">
        <v>152</v>
      </c>
      <c r="D15" s="321">
        <f t="shared" ref="D15:H15" si="2">SUM(D16)+SUM(D18)+SUM(D26)+SUM(D29)+SUM(D33)+SUM(D34)</f>
        <v>60500788.89</v>
      </c>
      <c r="E15" s="321"/>
      <c r="F15" s="321">
        <f t="shared" si="2"/>
        <v>0</v>
      </c>
      <c r="G15" s="321"/>
      <c r="H15" s="321">
        <f t="shared" si="2"/>
        <v>189541.59</v>
      </c>
      <c r="I15" s="321"/>
      <c r="J15" s="321">
        <f t="shared" si="1"/>
        <v>60690330.48</v>
      </c>
      <c r="K15" s="321"/>
      <c r="L15" s="321"/>
    </row>
    <row r="16" s="301" customFormat="1" ht="34.5" customHeight="1" spans="1:12">
      <c r="A16" s="319" t="s">
        <v>153</v>
      </c>
      <c r="B16" s="319"/>
      <c r="C16" s="320">
        <v>6</v>
      </c>
      <c r="D16" s="321">
        <f>SUM('附表3-扣除项目分摊表'!K7)</f>
        <v>7707556.96</v>
      </c>
      <c r="E16" s="321"/>
      <c r="F16" s="321">
        <f>IF($H$6="三分法",SUM('附表3-扣除项目分摊表'!L7),"")</f>
        <v>0</v>
      </c>
      <c r="G16" s="321"/>
      <c r="H16" s="321">
        <f>IF($H$6="三分法",SUM('附表3-扣除项目分摊表'!M7),SUM('附表3-扣除项目分摊表'!L7:M7))</f>
        <v>23474.62</v>
      </c>
      <c r="I16" s="321"/>
      <c r="J16" s="332">
        <f t="shared" si="1"/>
        <v>7731031.58</v>
      </c>
      <c r="K16" s="332"/>
      <c r="L16" s="332"/>
    </row>
    <row r="17" s="301" customFormat="1" ht="34.5" customHeight="1" spans="1:12">
      <c r="A17" s="319" t="s">
        <v>154</v>
      </c>
      <c r="B17" s="319"/>
      <c r="C17" s="322" t="s">
        <v>155</v>
      </c>
      <c r="D17" s="321">
        <f>SUM('附表3-扣除项目分摊表'!K8)</f>
        <v>0</v>
      </c>
      <c r="E17" s="321"/>
      <c r="F17" s="321">
        <f>IF($H$6="三分法",SUM('附表3-扣除项目分摊表'!L8),"")</f>
        <v>0</v>
      </c>
      <c r="G17" s="321"/>
      <c r="H17" s="321">
        <f>IF($H$6="三分法",SUM('附表3-扣除项目分摊表'!M8),SUM('附表3-扣除项目分摊表'!L8:M8))</f>
        <v>0</v>
      </c>
      <c r="I17" s="321"/>
      <c r="J17" s="321">
        <f t="shared" si="1"/>
        <v>0</v>
      </c>
      <c r="K17" s="321"/>
      <c r="L17" s="321"/>
    </row>
    <row r="18" s="301" customFormat="1" ht="34.5" customHeight="1" spans="1:12">
      <c r="A18" s="319" t="s">
        <v>156</v>
      </c>
      <c r="B18" s="319"/>
      <c r="C18" s="320" t="s">
        <v>157</v>
      </c>
      <c r="D18" s="321">
        <f t="shared" ref="D18:H18" si="3">SUM(D19:D24)</f>
        <v>38202521.77</v>
      </c>
      <c r="E18" s="321"/>
      <c r="F18" s="321">
        <f t="shared" si="3"/>
        <v>0</v>
      </c>
      <c r="G18" s="321"/>
      <c r="H18" s="321">
        <f t="shared" si="3"/>
        <v>116350.38</v>
      </c>
      <c r="I18" s="321"/>
      <c r="J18" s="321">
        <f t="shared" si="1"/>
        <v>38318872.15</v>
      </c>
      <c r="K18" s="321"/>
      <c r="L18" s="321"/>
    </row>
    <row r="19" s="301" customFormat="1" ht="34.5" customHeight="1" spans="1:12">
      <c r="A19" s="319" t="s">
        <v>158</v>
      </c>
      <c r="B19" s="319"/>
      <c r="C19" s="320">
        <v>8</v>
      </c>
      <c r="D19" s="321">
        <f>SUM('附表3-扣除项目分摊表'!K10)</f>
        <v>0</v>
      </c>
      <c r="E19" s="321"/>
      <c r="F19" s="321">
        <f>IF($H$6="三分法",SUM('附表3-扣除项目分摊表'!L10),"")</f>
        <v>0</v>
      </c>
      <c r="G19" s="321"/>
      <c r="H19" s="321">
        <f>IF($H$6="三分法",SUM('附表3-扣除项目分摊表'!M10),SUM('附表3-扣除项目分摊表'!L10:M10))</f>
        <v>0</v>
      </c>
      <c r="I19" s="321"/>
      <c r="J19" s="321">
        <f t="shared" si="1"/>
        <v>0</v>
      </c>
      <c r="K19" s="321"/>
      <c r="L19" s="321"/>
    </row>
    <row r="20" s="301" customFormat="1" ht="34.5" customHeight="1" spans="1:12">
      <c r="A20" s="319" t="s">
        <v>159</v>
      </c>
      <c r="B20" s="319"/>
      <c r="C20" s="320">
        <v>9</v>
      </c>
      <c r="D20" s="321">
        <f>SUM('附表3-扣除项目分摊表'!K11)</f>
        <v>1650110.89</v>
      </c>
      <c r="E20" s="321"/>
      <c r="F20" s="321">
        <f>IF($H$6="三分法",SUM('附表3-扣除项目分摊表'!L11),"")</f>
        <v>0</v>
      </c>
      <c r="G20" s="321"/>
      <c r="H20" s="321">
        <f>IF($H$6="三分法",SUM('附表3-扣除项目分摊表'!M11),SUM('附表3-扣除项目分摊表'!L11:M11))</f>
        <v>5025.61</v>
      </c>
      <c r="I20" s="321"/>
      <c r="J20" s="332">
        <f t="shared" si="1"/>
        <v>1655136.5</v>
      </c>
      <c r="K20" s="332"/>
      <c r="L20" s="332"/>
    </row>
    <row r="21" s="301" customFormat="1" ht="34.5" customHeight="1" spans="1:12">
      <c r="A21" s="319" t="s">
        <v>160</v>
      </c>
      <c r="B21" s="319"/>
      <c r="C21" s="320">
        <v>10</v>
      </c>
      <c r="D21" s="321">
        <f>SUM('附表3-扣除项目分摊表'!K12)</f>
        <v>34743854.24</v>
      </c>
      <c r="E21" s="321"/>
      <c r="F21" s="321">
        <f>IF($H$6="三分法",SUM('附表3-扣除项目分摊表'!L12),"")</f>
        <v>0</v>
      </c>
      <c r="G21" s="321"/>
      <c r="H21" s="321">
        <f>IF($H$6="三分法",SUM('附表3-扣除项目分摊表'!M12),SUM('附表3-扣除项目分摊表'!L12:M12))</f>
        <v>105816.6</v>
      </c>
      <c r="I21" s="321"/>
      <c r="J21" s="321">
        <f t="shared" si="1"/>
        <v>34849670.84</v>
      </c>
      <c r="K21" s="321"/>
      <c r="L21" s="321"/>
    </row>
    <row r="22" s="301" customFormat="1" ht="34.5" customHeight="1" spans="1:12">
      <c r="A22" s="319" t="s">
        <v>161</v>
      </c>
      <c r="B22" s="319"/>
      <c r="C22" s="320">
        <v>11</v>
      </c>
      <c r="D22" s="321">
        <f>SUM('附表3-扣除项目分摊表'!K13)</f>
        <v>1612700.06</v>
      </c>
      <c r="E22" s="321"/>
      <c r="F22" s="321">
        <f>IF($H$6="三分法",SUM('附表3-扣除项目分摊表'!L13),"")</f>
        <v>0</v>
      </c>
      <c r="G22" s="321"/>
      <c r="H22" s="321">
        <f>IF($H$6="三分法",SUM('附表3-扣除项目分摊表'!M13),SUM('附表3-扣除项目分摊表'!L13:M13))</f>
        <v>4911.67</v>
      </c>
      <c r="I22" s="321"/>
      <c r="J22" s="321">
        <f t="shared" si="1"/>
        <v>1617611.73</v>
      </c>
      <c r="K22" s="321"/>
      <c r="L22" s="321"/>
    </row>
    <row r="23" s="301" customFormat="1" ht="34.5" customHeight="1" spans="1:12">
      <c r="A23" s="319" t="s">
        <v>162</v>
      </c>
      <c r="B23" s="319"/>
      <c r="C23" s="320">
        <v>12</v>
      </c>
      <c r="D23" s="321">
        <f>SUM('附表3-扣除项目分摊表'!K14)</f>
        <v>0</v>
      </c>
      <c r="E23" s="321"/>
      <c r="F23" s="321">
        <f>IF($H$6="三分法",SUM('附表3-扣除项目分摊表'!L14),"")</f>
        <v>0</v>
      </c>
      <c r="G23" s="321"/>
      <c r="H23" s="321">
        <f>IF($H$6="三分法",SUM('附表3-扣除项目分摊表'!M14),SUM('附表3-扣除项目分摊表'!L14:M14))</f>
        <v>0</v>
      </c>
      <c r="I23" s="321"/>
      <c r="J23" s="321">
        <f t="shared" si="1"/>
        <v>0</v>
      </c>
      <c r="K23" s="321"/>
      <c r="L23" s="321"/>
    </row>
    <row r="24" s="301" customFormat="1" ht="34.5" customHeight="1" spans="1:12">
      <c r="A24" s="319" t="s">
        <v>163</v>
      </c>
      <c r="B24" s="319"/>
      <c r="C24" s="320">
        <v>13</v>
      </c>
      <c r="D24" s="321">
        <f>SUM('附表3-扣除项目分摊表'!K15)</f>
        <v>195856.58</v>
      </c>
      <c r="E24" s="321"/>
      <c r="F24" s="321">
        <f>IF($H$6="三分法",SUM('附表3-扣除项目分摊表'!L15),"")</f>
        <v>0</v>
      </c>
      <c r="G24" s="321"/>
      <c r="H24" s="321">
        <f>IF($H$6="三分法",SUM('附表3-扣除项目分摊表'!M15),SUM('附表3-扣除项目分摊表'!L15:M15))</f>
        <v>596.5</v>
      </c>
      <c r="I24" s="321"/>
      <c r="J24" s="321">
        <f t="shared" si="1"/>
        <v>196453.08</v>
      </c>
      <c r="K24" s="321"/>
      <c r="L24" s="321"/>
    </row>
    <row r="25" s="301" customFormat="1" ht="34.5" customHeight="1" spans="1:12">
      <c r="A25" s="319" t="s">
        <v>154</v>
      </c>
      <c r="B25" s="319"/>
      <c r="C25" s="322" t="s">
        <v>164</v>
      </c>
      <c r="D25" s="321">
        <f>SUM('附表3-扣除项目分摊表'!K16)</f>
        <v>0</v>
      </c>
      <c r="E25" s="321"/>
      <c r="F25" s="321">
        <f>IF($H$6="三分法",SUM('附表3-扣除项目分摊表'!L16),"")</f>
        <v>0</v>
      </c>
      <c r="G25" s="321"/>
      <c r="H25" s="321">
        <f>IF($H$6="三分法",SUM('附表3-扣除项目分摊表'!M16),SUM('附表3-扣除项目分摊表'!L16:M16))</f>
        <v>0</v>
      </c>
      <c r="I25" s="321"/>
      <c r="J25" s="321">
        <f t="shared" si="1"/>
        <v>0</v>
      </c>
      <c r="K25" s="321"/>
      <c r="L25" s="321"/>
    </row>
    <row r="26" ht="34.5" customHeight="1" spans="1:12">
      <c r="A26" s="319" t="s">
        <v>165</v>
      </c>
      <c r="B26" s="319"/>
      <c r="C26" s="320" t="s">
        <v>166</v>
      </c>
      <c r="D26" s="321">
        <f t="shared" ref="D26:H26" si="4">SUM(D27:D28)</f>
        <v>4591007.87</v>
      </c>
      <c r="E26" s="321"/>
      <c r="F26" s="321">
        <f t="shared" si="4"/>
        <v>0</v>
      </c>
      <c r="G26" s="321"/>
      <c r="H26" s="321">
        <f t="shared" si="4"/>
        <v>13982.5</v>
      </c>
      <c r="I26" s="321"/>
      <c r="J26" s="321">
        <f t="shared" si="1"/>
        <v>4604990.37</v>
      </c>
      <c r="K26" s="321"/>
      <c r="L26" s="321"/>
    </row>
    <row r="27" ht="34.5" customHeight="1" spans="1:12">
      <c r="A27" s="319" t="s">
        <v>167</v>
      </c>
      <c r="B27" s="319"/>
      <c r="C27" s="320">
        <v>15</v>
      </c>
      <c r="D27" s="321">
        <f>SUM('附表3-扣除项目分摊表'!K18)</f>
        <v>0</v>
      </c>
      <c r="E27" s="321"/>
      <c r="F27" s="321">
        <f>IF($H$6="三分法",SUM('附表3-扣除项目分摊表'!L18),"")</f>
        <v>0</v>
      </c>
      <c r="G27" s="321"/>
      <c r="H27" s="321">
        <f>IF($H$6="三分法",SUM('附表3-扣除项目分摊表'!M18),SUM('附表3-扣除项目分摊表'!L18:M18))</f>
        <v>0</v>
      </c>
      <c r="I27" s="321"/>
      <c r="J27" s="321">
        <f t="shared" si="1"/>
        <v>0</v>
      </c>
      <c r="K27" s="321"/>
      <c r="L27" s="321"/>
    </row>
    <row r="28" ht="34.5" customHeight="1" spans="1:12">
      <c r="A28" s="319" t="s">
        <v>168</v>
      </c>
      <c r="B28" s="319"/>
      <c r="C28" s="320">
        <v>16</v>
      </c>
      <c r="D28" s="321">
        <f>SUM('附表3-扣除项目分摊表'!K19)</f>
        <v>4591007.87</v>
      </c>
      <c r="E28" s="321"/>
      <c r="F28" s="321">
        <f>IF($H$6="三分法",SUM('附表3-扣除项目分摊表'!L19),"")</f>
        <v>0</v>
      </c>
      <c r="G28" s="321"/>
      <c r="H28" s="321">
        <f>IF($H$6="三分法",SUM('附表3-扣除项目分摊表'!M19),SUM('附表3-扣除项目分摊表'!L19:M19))</f>
        <v>13982.5</v>
      </c>
      <c r="I28" s="321"/>
      <c r="J28" s="321">
        <f t="shared" si="1"/>
        <v>4604990.37</v>
      </c>
      <c r="K28" s="321"/>
      <c r="L28" s="321"/>
    </row>
    <row r="29" ht="34.5" customHeight="1" spans="1:12">
      <c r="A29" s="319" t="s">
        <v>169</v>
      </c>
      <c r="B29" s="319"/>
      <c r="C29" s="320" t="s">
        <v>170</v>
      </c>
      <c r="D29" s="321">
        <f t="shared" ref="D29:H29" si="5">SUM(D30:D32)</f>
        <v>817686.54</v>
      </c>
      <c r="E29" s="321"/>
      <c r="F29" s="321">
        <f t="shared" si="5"/>
        <v>0</v>
      </c>
      <c r="G29" s="321"/>
      <c r="H29" s="321">
        <f t="shared" si="5"/>
        <v>7769.09</v>
      </c>
      <c r="I29" s="321"/>
      <c r="J29" s="321">
        <f t="shared" si="1"/>
        <v>825455.63</v>
      </c>
      <c r="K29" s="321"/>
      <c r="L29" s="321"/>
    </row>
    <row r="30" ht="34.5" customHeight="1" spans="1:12">
      <c r="A30" s="319" t="s">
        <v>171</v>
      </c>
      <c r="B30" s="319"/>
      <c r="C30" s="320">
        <v>18</v>
      </c>
      <c r="D30" s="321">
        <f>SUM('附表3-扣除项目分摊表'!K21)</f>
        <v>406653.2</v>
      </c>
      <c r="E30" s="321"/>
      <c r="F30" s="321">
        <f>IF($H$6="三分法",SUM('附表3-扣除项目分摊表'!L21),"")</f>
        <v>0</v>
      </c>
      <c r="G30" s="321"/>
      <c r="H30" s="321">
        <f>IF($H$6="三分法",SUM('附表3-扣除项目分摊表'!M21),SUM('附表3-扣除项目分摊表'!L21:M21))</f>
        <v>0</v>
      </c>
      <c r="I30" s="321"/>
      <c r="J30" s="321">
        <f t="shared" si="1"/>
        <v>406653.2</v>
      </c>
      <c r="K30" s="321"/>
      <c r="L30" s="321"/>
    </row>
    <row r="31" ht="34.5" customHeight="1" spans="1:12">
      <c r="A31" s="319" t="s">
        <v>172</v>
      </c>
      <c r="B31" s="319"/>
      <c r="C31" s="320">
        <v>19</v>
      </c>
      <c r="D31" s="321">
        <f>SUM('附表3-扣除项目分摊表'!K22)</f>
        <v>239769.45</v>
      </c>
      <c r="E31" s="321"/>
      <c r="F31" s="321">
        <f>IF($H$6="三分法",SUM('附表3-扣除项目分摊表'!L22),"")</f>
        <v>0</v>
      </c>
      <c r="G31" s="321"/>
      <c r="H31" s="321">
        <f>IF($H$6="三分法",SUM('附表3-扣除项目分摊表'!M22),SUM('附表3-扣除项目分摊表'!L22:M22))</f>
        <v>4531.97</v>
      </c>
      <c r="I31" s="321"/>
      <c r="J31" s="321">
        <f t="shared" si="1"/>
        <v>244301.42</v>
      </c>
      <c r="K31" s="321"/>
      <c r="L31" s="321"/>
    </row>
    <row r="32" ht="34.5" customHeight="1" spans="1:12">
      <c r="A32" s="319" t="s">
        <v>173</v>
      </c>
      <c r="B32" s="319"/>
      <c r="C32" s="320">
        <v>20</v>
      </c>
      <c r="D32" s="321">
        <f>SUM('附表3-扣除项目分摊表'!K23:K25)</f>
        <v>171263.89</v>
      </c>
      <c r="E32" s="321"/>
      <c r="F32" s="321">
        <f>IF($H$6="三分法",SUM('附表3-扣除项目分摊表'!L23:L25),"")</f>
        <v>0</v>
      </c>
      <c r="G32" s="321"/>
      <c r="H32" s="321">
        <f>IF($H$6="三分法",SUM('附表3-扣除项目分摊表'!M23:M25),SUM('附表3-扣除项目分摊表'!L23:M25))</f>
        <v>3237.12</v>
      </c>
      <c r="I32" s="321"/>
      <c r="J32" s="321">
        <f t="shared" si="1"/>
        <v>174501.01</v>
      </c>
      <c r="K32" s="321"/>
      <c r="L32" s="321"/>
    </row>
    <row r="33" ht="34.5" customHeight="1" spans="1:12">
      <c r="A33" s="319" t="s">
        <v>174</v>
      </c>
      <c r="B33" s="319"/>
      <c r="C33" s="320">
        <v>21</v>
      </c>
      <c r="D33" s="321">
        <f>SUM('附表3-扣除项目分摊表'!K26)</f>
        <v>9182015.75</v>
      </c>
      <c r="E33" s="321"/>
      <c r="F33" s="321">
        <f>IF($H$6="三分法",SUM('附表3-扣除项目分摊表'!L26),"")</f>
        <v>0</v>
      </c>
      <c r="G33" s="321"/>
      <c r="H33" s="321">
        <f>IF($H$6="三分法",SUM('附表3-扣除项目分摊表'!M26),SUM('附表3-扣除项目分摊表'!L26:M26))</f>
        <v>27965</v>
      </c>
      <c r="I33" s="321"/>
      <c r="J33" s="321">
        <f t="shared" si="1"/>
        <v>9209980.75</v>
      </c>
      <c r="K33" s="321"/>
      <c r="L33" s="321"/>
    </row>
    <row r="34" ht="34.5" customHeight="1" spans="1:12">
      <c r="A34" s="319" t="s">
        <v>175</v>
      </c>
      <c r="B34" s="319"/>
      <c r="C34" s="320">
        <v>22</v>
      </c>
      <c r="D34" s="321">
        <f>SUM('附表3-扣除项目分摊表'!K27)</f>
        <v>0</v>
      </c>
      <c r="E34" s="321"/>
      <c r="F34" s="321">
        <f>IF($H$6="三分法",SUM('附表3-扣除项目分摊表'!L27),"")</f>
        <v>0</v>
      </c>
      <c r="G34" s="321"/>
      <c r="H34" s="321">
        <f>IF($H$6="三分法",SUM('附表3-扣除项目分摊表'!M27),SUM('附表3-扣除项目分摊表'!L27:M27))</f>
        <v>0</v>
      </c>
      <c r="I34" s="321"/>
      <c r="J34" s="321">
        <f t="shared" si="1"/>
        <v>0</v>
      </c>
      <c r="K34" s="321"/>
      <c r="L34" s="321"/>
    </row>
    <row r="35" ht="34.5" customHeight="1" spans="1:12">
      <c r="A35" s="319" t="s">
        <v>176</v>
      </c>
      <c r="B35" s="319"/>
      <c r="C35" s="320" t="s">
        <v>177</v>
      </c>
      <c r="D35" s="321">
        <f t="shared" ref="D35:H35" si="6">D11-D15</f>
        <v>8004767.35333331</v>
      </c>
      <c r="E35" s="321"/>
      <c r="F35" s="321">
        <f t="shared" si="6"/>
        <v>0</v>
      </c>
      <c r="G35" s="321"/>
      <c r="H35" s="321">
        <f t="shared" si="6"/>
        <v>1105306.9847619</v>
      </c>
      <c r="I35" s="321"/>
      <c r="J35" s="321">
        <f t="shared" si="1"/>
        <v>9110074.33809521</v>
      </c>
      <c r="K35" s="321"/>
      <c r="L35" s="321"/>
    </row>
    <row r="36" ht="34.5" customHeight="1" spans="1:12">
      <c r="A36" s="319" t="s">
        <v>178</v>
      </c>
      <c r="B36" s="319"/>
      <c r="C36" s="320" t="s">
        <v>179</v>
      </c>
      <c r="D36" s="323">
        <f t="shared" ref="D36:H36" si="7">IF(D15=0,"",ROUND(D35/D15,6))</f>
        <v>0.132308</v>
      </c>
      <c r="E36" s="323"/>
      <c r="F36" s="323" t="str">
        <f t="shared" si="7"/>
        <v/>
      </c>
      <c r="G36" s="323"/>
      <c r="H36" s="323">
        <f t="shared" si="7"/>
        <v>5.831475</v>
      </c>
      <c r="I36" s="323"/>
      <c r="J36" s="323">
        <f>IF(J15=0,"",ROUND(J35/J15,6))</f>
        <v>0.150108</v>
      </c>
      <c r="K36" s="323"/>
      <c r="L36" s="323"/>
    </row>
    <row r="37" ht="34.5" customHeight="1" spans="1:12">
      <c r="A37" s="319" t="s">
        <v>180</v>
      </c>
      <c r="B37" s="319"/>
      <c r="C37" s="320">
        <v>25</v>
      </c>
      <c r="D37" s="323">
        <f t="shared" ref="D37:H37" si="8">IF(D35&lt;0,"",IF(D36="","",IF(D36&gt;200%,60%,IF(D36&gt;100%,50%,IF(D36&gt;50%,40%,30%)))))</f>
        <v>0.3</v>
      </c>
      <c r="E37" s="323"/>
      <c r="F37" s="323" t="str">
        <f t="shared" si="8"/>
        <v/>
      </c>
      <c r="G37" s="323"/>
      <c r="H37" s="323">
        <f t="shared" si="8"/>
        <v>0.6</v>
      </c>
      <c r="I37" s="323"/>
      <c r="J37" s="323"/>
      <c r="K37" s="323"/>
      <c r="L37" s="323"/>
    </row>
    <row r="38" ht="34.5" customHeight="1" spans="1:12">
      <c r="A38" s="319" t="s">
        <v>181</v>
      </c>
      <c r="B38" s="319"/>
      <c r="C38" s="320">
        <v>26</v>
      </c>
      <c r="D38" s="323">
        <f t="shared" ref="D38:H38" si="9">IF(D36="","",IF(D36&gt;200%,35%,IF(D36&gt;100%,15%,IF(D36&gt;50%,5%,0))))</f>
        <v>0</v>
      </c>
      <c r="E38" s="323"/>
      <c r="F38" s="323" t="str">
        <f t="shared" si="9"/>
        <v/>
      </c>
      <c r="G38" s="323"/>
      <c r="H38" s="323">
        <f t="shared" si="9"/>
        <v>0.35</v>
      </c>
      <c r="I38" s="323"/>
      <c r="J38" s="323"/>
      <c r="K38" s="323"/>
      <c r="L38" s="323"/>
    </row>
    <row r="39" ht="34.5" customHeight="1" spans="1:12">
      <c r="A39" s="319" t="s">
        <v>182</v>
      </c>
      <c r="B39" s="319"/>
      <c r="C39" s="320" t="s">
        <v>183</v>
      </c>
      <c r="D39" s="321">
        <f t="shared" ref="D39:H39" si="10">IF(D35&lt;0,0,ROUND(SUM(D35)*SUM(D37)-SUM(D15)*SUM(D38),2))</f>
        <v>2401430.21</v>
      </c>
      <c r="E39" s="321"/>
      <c r="F39" s="321">
        <f t="shared" si="10"/>
        <v>0</v>
      </c>
      <c r="G39" s="321"/>
      <c r="H39" s="321">
        <f t="shared" si="10"/>
        <v>596844.63</v>
      </c>
      <c r="I39" s="321"/>
      <c r="J39" s="321">
        <f t="shared" ref="J39:J42" si="11">SUM(D39:I39)</f>
        <v>2998274.84</v>
      </c>
      <c r="K39" s="321"/>
      <c r="L39" s="321"/>
    </row>
    <row r="40" ht="34.5" customHeight="1" spans="1:12">
      <c r="A40" s="319" t="s">
        <v>184</v>
      </c>
      <c r="B40" s="319"/>
      <c r="C40" s="320" t="s">
        <v>185</v>
      </c>
      <c r="D40" s="321">
        <f t="shared" ref="D40:H40" si="12">D42+D44+D46</f>
        <v>2401430.21</v>
      </c>
      <c r="E40" s="321"/>
      <c r="F40" s="321">
        <f t="shared" si="12"/>
        <v>0</v>
      </c>
      <c r="G40" s="321"/>
      <c r="H40" s="321">
        <f t="shared" si="12"/>
        <v>0</v>
      </c>
      <c r="I40" s="321"/>
      <c r="J40" s="321">
        <f t="shared" si="11"/>
        <v>2401430.21</v>
      </c>
      <c r="K40" s="321"/>
      <c r="L40" s="321"/>
    </row>
    <row r="41" ht="35.05" spans="1:12">
      <c r="A41" s="319" t="s">
        <v>186</v>
      </c>
      <c r="B41" s="319" t="s">
        <v>187</v>
      </c>
      <c r="C41" s="320">
        <v>29</v>
      </c>
      <c r="D41" s="321" t="str">
        <f>IF(D35&lt;0,"",IF(D36&gt;20%,"","普通住宅增值率不超过20%的土地增值税减免"))</f>
        <v>普通住宅增值率不超过20%的土地增值税减免</v>
      </c>
      <c r="E41" s="321"/>
      <c r="F41" s="321"/>
      <c r="G41" s="321"/>
      <c r="H41" s="321"/>
      <c r="I41" s="321"/>
      <c r="J41" s="321"/>
      <c r="K41" s="321"/>
      <c r="L41" s="321"/>
    </row>
    <row r="42" ht="34.5" customHeight="1" spans="1:12">
      <c r="A42" s="319"/>
      <c r="B42" s="319" t="s">
        <v>188</v>
      </c>
      <c r="C42" s="320">
        <v>30</v>
      </c>
      <c r="D42" s="321">
        <f>IF(D35&lt;0,0,IF(D36&gt;20%,0,ROUND(D35*D37,2)))</f>
        <v>2401430.21</v>
      </c>
      <c r="E42" s="321"/>
      <c r="F42" s="321">
        <v>0</v>
      </c>
      <c r="G42" s="321"/>
      <c r="H42" s="321">
        <v>0</v>
      </c>
      <c r="I42" s="321"/>
      <c r="J42" s="321">
        <f t="shared" si="11"/>
        <v>2401430.21</v>
      </c>
      <c r="K42" s="321"/>
      <c r="L42" s="321"/>
    </row>
    <row r="43" ht="35.05" spans="1:12">
      <c r="A43" s="319" t="s">
        <v>189</v>
      </c>
      <c r="B43" s="319" t="s">
        <v>190</v>
      </c>
      <c r="C43" s="320">
        <v>31</v>
      </c>
      <c r="D43" s="321"/>
      <c r="E43" s="321"/>
      <c r="F43" s="324"/>
      <c r="G43" s="324"/>
      <c r="H43" s="321"/>
      <c r="I43" s="321"/>
      <c r="J43" s="321"/>
      <c r="K43" s="321"/>
      <c r="L43" s="321"/>
    </row>
    <row r="44" ht="34.5" customHeight="1" spans="1:12">
      <c r="A44" s="319"/>
      <c r="B44" s="319" t="s">
        <v>191</v>
      </c>
      <c r="C44" s="320">
        <v>32</v>
      </c>
      <c r="D44" s="321">
        <v>0</v>
      </c>
      <c r="E44" s="321"/>
      <c r="F44" s="321">
        <v>0</v>
      </c>
      <c r="G44" s="321"/>
      <c r="H44" s="321">
        <v>0</v>
      </c>
      <c r="I44" s="321"/>
      <c r="J44" s="321">
        <f t="shared" ref="J44:J48" si="13">SUM(D44:I44)</f>
        <v>0</v>
      </c>
      <c r="K44" s="321"/>
      <c r="L44" s="321"/>
    </row>
    <row r="45" ht="35.05" spans="1:12">
      <c r="A45" s="319" t="s">
        <v>192</v>
      </c>
      <c r="B45" s="319" t="s">
        <v>193</v>
      </c>
      <c r="C45" s="320">
        <v>33</v>
      </c>
      <c r="D45" s="321"/>
      <c r="E45" s="321"/>
      <c r="F45" s="324"/>
      <c r="G45" s="324"/>
      <c r="H45" s="321"/>
      <c r="I45" s="321"/>
      <c r="J45" s="321"/>
      <c r="K45" s="321"/>
      <c r="L45" s="321"/>
    </row>
    <row r="46" ht="34.5" customHeight="1" spans="1:12">
      <c r="A46" s="319"/>
      <c r="B46" s="319" t="s">
        <v>194</v>
      </c>
      <c r="C46" s="320">
        <v>34</v>
      </c>
      <c r="D46" s="321">
        <v>0</v>
      </c>
      <c r="E46" s="321"/>
      <c r="F46" s="321">
        <v>0</v>
      </c>
      <c r="G46" s="321"/>
      <c r="H46" s="321">
        <v>0</v>
      </c>
      <c r="I46" s="321"/>
      <c r="J46" s="321">
        <f t="shared" si="13"/>
        <v>0</v>
      </c>
      <c r="K46" s="321"/>
      <c r="L46" s="321"/>
    </row>
    <row r="47" ht="34.5" customHeight="1" spans="1:12">
      <c r="A47" s="319" t="s">
        <v>195</v>
      </c>
      <c r="B47" s="319"/>
      <c r="C47" s="320">
        <v>35</v>
      </c>
      <c r="D47" s="321">
        <f>1083897.11+43479.12</f>
        <v>1127376.23</v>
      </c>
      <c r="E47" s="321"/>
      <c r="F47" s="324">
        <v>0</v>
      </c>
      <c r="G47" s="324"/>
      <c r="H47" s="321">
        <v>38845.46</v>
      </c>
      <c r="I47" s="321"/>
      <c r="J47" s="321">
        <f t="shared" si="13"/>
        <v>1166221.69</v>
      </c>
      <c r="K47" s="321"/>
      <c r="L47" s="321"/>
    </row>
    <row r="48" ht="34.5" customHeight="1" spans="1:12">
      <c r="A48" s="319" t="s">
        <v>196</v>
      </c>
      <c r="B48" s="319"/>
      <c r="C48" s="320" t="s">
        <v>197</v>
      </c>
      <c r="D48" s="321">
        <f t="shared" ref="D48:H48" si="14">SUM(D39)-SUM(D40)-SUM(D47)</f>
        <v>-1127376.23</v>
      </c>
      <c r="E48" s="321"/>
      <c r="F48" s="321">
        <f t="shared" si="14"/>
        <v>0</v>
      </c>
      <c r="G48" s="321"/>
      <c r="H48" s="321">
        <f t="shared" si="14"/>
        <v>557999.17</v>
      </c>
      <c r="I48" s="321"/>
      <c r="J48" s="321">
        <f t="shared" si="13"/>
        <v>-569377.06</v>
      </c>
      <c r="K48" s="321"/>
      <c r="L48" s="321"/>
    </row>
  </sheetData>
  <mergeCells count="212">
    <mergeCell ref="A1:L1"/>
    <mergeCell ref="B2:L2"/>
    <mergeCell ref="B3:L3"/>
    <mergeCell ref="B4:F4"/>
    <mergeCell ref="G4:J4"/>
    <mergeCell ref="K4:L4"/>
    <mergeCell ref="B5:E5"/>
    <mergeCell ref="F5:G5"/>
    <mergeCell ref="H5:L5"/>
    <mergeCell ref="B6:E6"/>
    <mergeCell ref="F6:G6"/>
    <mergeCell ref="H6:L6"/>
    <mergeCell ref="B7:E7"/>
    <mergeCell ref="G7:L7"/>
    <mergeCell ref="D8:E8"/>
    <mergeCell ref="G8:H8"/>
    <mergeCell ref="J8:L8"/>
    <mergeCell ref="D9:E9"/>
    <mergeCell ref="G9:H9"/>
    <mergeCell ref="J9:L9"/>
    <mergeCell ref="A10:B10"/>
    <mergeCell ref="D10:E10"/>
    <mergeCell ref="F10:G10"/>
    <mergeCell ref="H10:I10"/>
    <mergeCell ref="J10:L10"/>
    <mergeCell ref="A11:B11"/>
    <mergeCell ref="D11:E11"/>
    <mergeCell ref="F11:G11"/>
    <mergeCell ref="H11:I11"/>
    <mergeCell ref="J11:L11"/>
    <mergeCell ref="A12:B12"/>
    <mergeCell ref="D12:E12"/>
    <mergeCell ref="F12:G12"/>
    <mergeCell ref="H12:I12"/>
    <mergeCell ref="J12:L12"/>
    <mergeCell ref="A13:B13"/>
    <mergeCell ref="D13:E13"/>
    <mergeCell ref="F13:G13"/>
    <mergeCell ref="H13:I13"/>
    <mergeCell ref="J13:L13"/>
    <mergeCell ref="A14:B14"/>
    <mergeCell ref="D14:E14"/>
    <mergeCell ref="F14:G14"/>
    <mergeCell ref="H14:I14"/>
    <mergeCell ref="J14:L14"/>
    <mergeCell ref="A15:B15"/>
    <mergeCell ref="D15:E15"/>
    <mergeCell ref="F15:G15"/>
    <mergeCell ref="H15:I15"/>
    <mergeCell ref="J15:L15"/>
    <mergeCell ref="A16:B16"/>
    <mergeCell ref="D16:E16"/>
    <mergeCell ref="F16:G16"/>
    <mergeCell ref="H16:I16"/>
    <mergeCell ref="J16:L16"/>
    <mergeCell ref="A17:B17"/>
    <mergeCell ref="D17:E17"/>
    <mergeCell ref="F17:G17"/>
    <mergeCell ref="H17:I17"/>
    <mergeCell ref="J17:L17"/>
    <mergeCell ref="A18:B18"/>
    <mergeCell ref="D18:E18"/>
    <mergeCell ref="F18:G18"/>
    <mergeCell ref="H18:I18"/>
    <mergeCell ref="J18:L18"/>
    <mergeCell ref="A19:B19"/>
    <mergeCell ref="D19:E19"/>
    <mergeCell ref="F19:G19"/>
    <mergeCell ref="H19:I19"/>
    <mergeCell ref="J19:L19"/>
    <mergeCell ref="A20:B20"/>
    <mergeCell ref="D20:E20"/>
    <mergeCell ref="F20:G20"/>
    <mergeCell ref="H20:I20"/>
    <mergeCell ref="J20:L20"/>
    <mergeCell ref="A21:B21"/>
    <mergeCell ref="D21:E21"/>
    <mergeCell ref="F21:G21"/>
    <mergeCell ref="H21:I21"/>
    <mergeCell ref="J21:L21"/>
    <mergeCell ref="A22:B22"/>
    <mergeCell ref="D22:E22"/>
    <mergeCell ref="F22:G22"/>
    <mergeCell ref="H22:I22"/>
    <mergeCell ref="J22:L22"/>
    <mergeCell ref="A23:B23"/>
    <mergeCell ref="D23:E23"/>
    <mergeCell ref="F23:G23"/>
    <mergeCell ref="H23:I23"/>
    <mergeCell ref="J23:L23"/>
    <mergeCell ref="A24:B24"/>
    <mergeCell ref="D24:E24"/>
    <mergeCell ref="F24:G24"/>
    <mergeCell ref="H24:I24"/>
    <mergeCell ref="J24:L24"/>
    <mergeCell ref="A25:B25"/>
    <mergeCell ref="D25:E25"/>
    <mergeCell ref="F25:G25"/>
    <mergeCell ref="H25:I25"/>
    <mergeCell ref="J25:L25"/>
    <mergeCell ref="A26:B26"/>
    <mergeCell ref="D26:E26"/>
    <mergeCell ref="F26:G26"/>
    <mergeCell ref="H26:I26"/>
    <mergeCell ref="J26:L26"/>
    <mergeCell ref="A27:B27"/>
    <mergeCell ref="D27:E27"/>
    <mergeCell ref="F27:G27"/>
    <mergeCell ref="H27:I27"/>
    <mergeCell ref="J27:L27"/>
    <mergeCell ref="A28:B28"/>
    <mergeCell ref="D28:E28"/>
    <mergeCell ref="F28:G28"/>
    <mergeCell ref="H28:I28"/>
    <mergeCell ref="J28:L28"/>
    <mergeCell ref="A29:B29"/>
    <mergeCell ref="D29:E29"/>
    <mergeCell ref="F29:G29"/>
    <mergeCell ref="H29:I29"/>
    <mergeCell ref="J29:L29"/>
    <mergeCell ref="A30:B30"/>
    <mergeCell ref="D30:E30"/>
    <mergeCell ref="F30:G30"/>
    <mergeCell ref="H30:I30"/>
    <mergeCell ref="J30:L30"/>
    <mergeCell ref="A31:B31"/>
    <mergeCell ref="D31:E31"/>
    <mergeCell ref="F31:G31"/>
    <mergeCell ref="H31:I31"/>
    <mergeCell ref="J31:L31"/>
    <mergeCell ref="A32:B32"/>
    <mergeCell ref="D32:E32"/>
    <mergeCell ref="F32:G32"/>
    <mergeCell ref="H32:I32"/>
    <mergeCell ref="J32:L32"/>
    <mergeCell ref="A33:B33"/>
    <mergeCell ref="D33:E33"/>
    <mergeCell ref="F33:G33"/>
    <mergeCell ref="H33:I33"/>
    <mergeCell ref="J33:L33"/>
    <mergeCell ref="A34:B34"/>
    <mergeCell ref="D34:E34"/>
    <mergeCell ref="F34:G34"/>
    <mergeCell ref="H34:I34"/>
    <mergeCell ref="J34:L34"/>
    <mergeCell ref="A35:B35"/>
    <mergeCell ref="D35:E35"/>
    <mergeCell ref="F35:G35"/>
    <mergeCell ref="H35:I35"/>
    <mergeCell ref="J35:L35"/>
    <mergeCell ref="A36:B36"/>
    <mergeCell ref="D36:E36"/>
    <mergeCell ref="F36:G36"/>
    <mergeCell ref="H36:I36"/>
    <mergeCell ref="J36:L36"/>
    <mergeCell ref="A37:B37"/>
    <mergeCell ref="D37:E37"/>
    <mergeCell ref="F37:G37"/>
    <mergeCell ref="H37:I37"/>
    <mergeCell ref="J37:L37"/>
    <mergeCell ref="A38:B38"/>
    <mergeCell ref="D38:E38"/>
    <mergeCell ref="F38:G38"/>
    <mergeCell ref="H38:I38"/>
    <mergeCell ref="J38:L38"/>
    <mergeCell ref="A39:B39"/>
    <mergeCell ref="D39:E39"/>
    <mergeCell ref="F39:G39"/>
    <mergeCell ref="H39:I39"/>
    <mergeCell ref="J39:L39"/>
    <mergeCell ref="A40:B40"/>
    <mergeCell ref="D40:E40"/>
    <mergeCell ref="F40:G40"/>
    <mergeCell ref="H40:I40"/>
    <mergeCell ref="J40:L40"/>
    <mergeCell ref="D41:E41"/>
    <mergeCell ref="F41:G41"/>
    <mergeCell ref="H41:I41"/>
    <mergeCell ref="J41:L41"/>
    <mergeCell ref="D42:E42"/>
    <mergeCell ref="F42:G42"/>
    <mergeCell ref="H42:I42"/>
    <mergeCell ref="J42:L42"/>
    <mergeCell ref="D43:E43"/>
    <mergeCell ref="F43:G43"/>
    <mergeCell ref="H43:I43"/>
    <mergeCell ref="J43:L43"/>
    <mergeCell ref="D44:E44"/>
    <mergeCell ref="F44:G44"/>
    <mergeCell ref="H44:I44"/>
    <mergeCell ref="J44:L44"/>
    <mergeCell ref="D45:E45"/>
    <mergeCell ref="F45:G45"/>
    <mergeCell ref="H45:I45"/>
    <mergeCell ref="J45:L45"/>
    <mergeCell ref="D46:E46"/>
    <mergeCell ref="F46:G46"/>
    <mergeCell ref="H46:I46"/>
    <mergeCell ref="J46:L46"/>
    <mergeCell ref="A47:B47"/>
    <mergeCell ref="D47:E47"/>
    <mergeCell ref="F47:G47"/>
    <mergeCell ref="H47:I47"/>
    <mergeCell ref="J47:L47"/>
    <mergeCell ref="A48:B48"/>
    <mergeCell ref="D48:E48"/>
    <mergeCell ref="F48:G48"/>
    <mergeCell ref="H48:I48"/>
    <mergeCell ref="J48:L48"/>
    <mergeCell ref="A41:A42"/>
    <mergeCell ref="A43:A44"/>
    <mergeCell ref="A45:A46"/>
  </mergeCells>
  <dataValidations count="1">
    <dataValidation type="list" allowBlank="1" showInputMessage="1" showErrorMessage="1" sqref="H6:L6">
      <formula1>数据对照表!$AB$1:$AC$1</formula1>
    </dataValidation>
  </dataValidations>
  <printOptions horizontalCentered="1"/>
  <pageMargins left="0.747916666666667" right="0.747916666666667" top="0.747916666666667" bottom="0.747916666666667" header="0.313888888888889" footer="0.313888888888889"/>
  <pageSetup paperSize="9" scale="54" fitToHeight="0" orientation="landscape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5"/>
  <sheetViews>
    <sheetView zoomScale="120" zoomScaleNormal="120" topLeftCell="B1" workbookViewId="0">
      <selection activeCell="F5" sqref="F5"/>
    </sheetView>
  </sheetViews>
  <sheetFormatPr defaultColWidth="2.376" defaultRowHeight="15.65"/>
  <cols>
    <col min="1" max="1" width="4.128" style="271" customWidth="1"/>
    <col min="2" max="2" width="25" style="271"/>
    <col min="3" max="3" width="5" style="271" customWidth="1"/>
    <col min="4" max="4" width="13" style="272" customWidth="1"/>
    <col min="5" max="5" width="15.128" style="272" customWidth="1"/>
    <col min="6" max="6" width="13.624" style="272" customWidth="1"/>
    <col min="7" max="7" width="12.128" style="272" customWidth="1"/>
    <col min="8" max="8" width="14.872" style="272" customWidth="1"/>
    <col min="9" max="9" width="14.128" style="272" customWidth="1"/>
    <col min="10" max="10" width="14.504" style="272" customWidth="1"/>
    <col min="11" max="11" width="9.128" style="271" customWidth="1"/>
    <col min="12" max="16384" width="2.376" style="271"/>
  </cols>
  <sheetData>
    <row r="1" ht="23.8" spans="1:11">
      <c r="A1" s="81" t="s">
        <v>198</v>
      </c>
      <c r="B1" s="81"/>
      <c r="C1" s="81"/>
      <c r="D1" s="273"/>
      <c r="E1" s="273"/>
      <c r="F1" s="273"/>
      <c r="G1" s="273"/>
      <c r="H1" s="273"/>
      <c r="I1" s="273"/>
      <c r="J1" s="273"/>
      <c r="K1" s="81"/>
    </row>
    <row r="2" ht="25.5" customHeight="1" spans="1:11">
      <c r="A2" s="49" t="str">
        <f>土地增值税税源明细表!F5&amp;"："&amp;土地增值税税源明细表!H5&amp;"          "&amp;土地增值税税源明细表!A5&amp;"："&amp;土地增值税税源明细表!B5&amp;"          "&amp;"面积单位：㎡"</f>
        <v>项目编码：Z65280120160100          项目名称：通力华庭          面积单位：㎡</v>
      </c>
      <c r="B2" s="49"/>
      <c r="C2" s="49"/>
      <c r="D2" s="166"/>
      <c r="E2" s="166"/>
      <c r="F2" s="166"/>
      <c r="G2" s="166"/>
      <c r="H2" s="166"/>
      <c r="I2" s="166"/>
      <c r="J2" s="166"/>
      <c r="K2" s="49"/>
    </row>
    <row r="3" ht="23.8" spans="1:11">
      <c r="A3" s="274" t="s">
        <v>199</v>
      </c>
      <c r="B3" s="275" t="s">
        <v>200</v>
      </c>
      <c r="C3" s="275" t="s">
        <v>37</v>
      </c>
      <c r="D3" s="100" t="s">
        <v>201</v>
      </c>
      <c r="E3" s="100" t="s">
        <v>202</v>
      </c>
      <c r="F3" s="100" t="s">
        <v>203</v>
      </c>
      <c r="G3" s="100" t="s">
        <v>204</v>
      </c>
      <c r="H3" s="100" t="s">
        <v>205</v>
      </c>
      <c r="I3" s="100" t="s">
        <v>206</v>
      </c>
      <c r="J3" s="100" t="s">
        <v>207</v>
      </c>
      <c r="K3" s="290" t="s">
        <v>208</v>
      </c>
    </row>
    <row r="4" ht="23.8" spans="1:11">
      <c r="A4" s="276"/>
      <c r="B4" s="277"/>
      <c r="C4" s="277"/>
      <c r="D4" s="359" t="s">
        <v>209</v>
      </c>
      <c r="E4" s="359" t="s">
        <v>210</v>
      </c>
      <c r="F4" s="359" t="s">
        <v>211</v>
      </c>
      <c r="G4" s="359" t="s">
        <v>212</v>
      </c>
      <c r="H4" s="359" t="s">
        <v>213</v>
      </c>
      <c r="I4" s="359" t="s">
        <v>214</v>
      </c>
      <c r="J4" s="359" t="s">
        <v>215</v>
      </c>
      <c r="K4" s="360" t="s">
        <v>216</v>
      </c>
    </row>
    <row r="5" spans="1:11">
      <c r="A5" s="276"/>
      <c r="B5" s="278" t="str">
        <f>数据对照表!A2</f>
        <v>普通住宅</v>
      </c>
      <c r="C5" s="279">
        <v>1</v>
      </c>
      <c r="D5" s="280">
        <f>SUMIFS('附表6-收入明细采集底稿'!P:P,'附表6-收入明细采集底稿'!G:G,数据对照表!A2)</f>
        <v>19054.6</v>
      </c>
      <c r="E5" s="280">
        <f>SUMIFS('附表6-收入明细采集底稿'!P:P,'附表6-收入明细采集底稿'!G:G,数据对照表!A2,'附表6-收入明细采集底稿'!H:H,"不可售")</f>
        <v>0</v>
      </c>
      <c r="F5" s="280">
        <f>SUM(SUMIFS('附表6-收入明细采集底稿'!P:P,'附表6-收入明细采集底稿'!G:G,数据对照表!A2,'附表6-收入明细采集底稿'!H:H,"已售"),SUMIFS('附表6-收入明细采集底稿'!P:P,'附表6-收入明细采集底稿'!G:G,数据对照表!A2,'附表6-收入明细采集底稿'!H:H,"出租"),SUMIFS('附表6-收入明细采集底稿'!P:P,'附表6-收入明细采集底稿'!G:G,数据对照表!A2,'附表6-收入明细采集底稿'!H:H,"自用"),SUMIFS('附表6-收入明细采集底稿'!P:P,'附表6-收入明细采集底稿'!G:G,数据对照表!A2,'附表6-收入明细采集底稿'!H:H,"未售"))</f>
        <v>19054.6</v>
      </c>
      <c r="G5" s="280">
        <f>SUMIFS('附表6-收入明细采集底稿'!P:P,'附表6-收入明细采集底稿'!G:G,数据对照表!A2,'附表6-收入明细采集底稿'!H:H,"已售")</f>
        <v>18738.13</v>
      </c>
      <c r="H5" s="280">
        <f t="shared" ref="H5:H11" si="0">F5-G5</f>
        <v>316.470000000001</v>
      </c>
      <c r="I5" s="280">
        <f>SUMIFS('附表6-收入明细采集底稿'!P:P,'附表6-收入明细采集底稿'!G:G,数据对照表!A2,'附表6-收入明细采集底稿'!H:H,"自用")</f>
        <v>0</v>
      </c>
      <c r="J5" s="280">
        <f>SUMIFS('附表6-收入明细采集底稿'!P:P,'附表6-收入明细采集底稿'!G:G,数据对照表!A2,'附表6-收入明细采集底稿'!H:H,"出租")</f>
        <v>0</v>
      </c>
      <c r="K5" s="292"/>
    </row>
    <row r="6" spans="1:11">
      <c r="A6" s="276"/>
      <c r="B6" s="278" t="str">
        <f>数据对照表!A3</f>
        <v>非普通住宅</v>
      </c>
      <c r="C6" s="279">
        <v>2</v>
      </c>
      <c r="D6" s="280">
        <f>SUMIFS('附表6-收入明细采集底稿'!P:P,'附表6-收入明细采集底稿'!G:G,数据对照表!A3)</f>
        <v>0</v>
      </c>
      <c r="E6" s="280">
        <f>SUMIFS('附表6-收入明细采集底稿'!P:P,'附表6-收入明细采集底稿'!G:G,数据对照表!A3,'附表6-收入明细采集底稿'!H:H,"不可售")</f>
        <v>0</v>
      </c>
      <c r="F6" s="280">
        <f>SUM(SUMIFS('附表6-收入明细采集底稿'!P:P,'附表6-收入明细采集底稿'!G:G,数据对照表!A3,'附表6-收入明细采集底稿'!H:H,"已售"),SUMIFS('附表6-收入明细采集底稿'!P:P,'附表6-收入明细采集底稿'!G:G,数据对照表!A3,'附表6-收入明细采集底稿'!H:H,"出租"),SUMIFS('附表6-收入明细采集底稿'!P:P,'附表6-收入明细采集底稿'!G:G,数据对照表!A3,'附表6-收入明细采集底稿'!H:H,"自用"),SUMIFS('附表6-收入明细采集底稿'!P:P,'附表6-收入明细采集底稿'!G:G,数据对照表!A3,'附表6-收入明细采集底稿'!H:H,"未售"))</f>
        <v>0</v>
      </c>
      <c r="G6" s="280">
        <f>SUMIFS('附表6-收入明细采集底稿'!P:P,'附表6-收入明细采集底稿'!G:G,数据对照表!A3,'附表6-收入明细采集底稿'!H:H,"已售")</f>
        <v>0</v>
      </c>
      <c r="H6" s="280">
        <f t="shared" si="0"/>
        <v>0</v>
      </c>
      <c r="I6" s="280">
        <f>SUMIFS('附表6-收入明细采集底稿'!P:P,'附表6-收入明细采集底稿'!G:G,数据对照表!A3,'附表6-收入明细采集底稿'!H:H,"自用")</f>
        <v>0</v>
      </c>
      <c r="J6" s="280">
        <f>SUMIFS('附表6-收入明细采集底稿'!P:P,'附表6-收入明细采集底稿'!G:G,数据对照表!A3,'附表6-收入明细采集底稿'!H:H,"出租")</f>
        <v>0</v>
      </c>
      <c r="K6" s="292"/>
    </row>
    <row r="7" spans="1:11">
      <c r="A7" s="276"/>
      <c r="B7" s="278" t="s">
        <v>144</v>
      </c>
      <c r="C7" s="279">
        <v>3</v>
      </c>
      <c r="D7" s="280">
        <f>SUM(D8:D12)</f>
        <v>7157.81</v>
      </c>
      <c r="E7" s="280">
        <f t="shared" ref="E7:J7" si="1">SUM(E8:E12)</f>
        <v>85.16</v>
      </c>
      <c r="F7" s="280">
        <f t="shared" si="1"/>
        <v>7072.65</v>
      </c>
      <c r="G7" s="280">
        <f t="shared" si="1"/>
        <v>57.07</v>
      </c>
      <c r="H7" s="280">
        <f t="shared" si="1"/>
        <v>7015.58</v>
      </c>
      <c r="I7" s="280">
        <f t="shared" si="1"/>
        <v>0</v>
      </c>
      <c r="J7" s="280">
        <f t="shared" si="1"/>
        <v>2335.84</v>
      </c>
      <c r="K7" s="292"/>
    </row>
    <row r="8" spans="1:11">
      <c r="A8" s="276"/>
      <c r="B8" s="281" t="str">
        <f>"其中："&amp;数据对照表!A4</f>
        <v>其中：商业用房</v>
      </c>
      <c r="C8" s="279">
        <v>4</v>
      </c>
      <c r="D8" s="280">
        <f>SUMIFS('附表6-收入明细采集底稿'!P:P,'附表6-收入明细采集底稿'!G:G,数据对照表!A4)</f>
        <v>2619</v>
      </c>
      <c r="E8" s="280">
        <f>SUMIFS('附表6-收入明细采集底稿'!P:P,'附表6-收入明细采集底稿'!G:G,数据对照表!A4,'附表6-收入明细采集底稿'!H:H,"不可售")</f>
        <v>0</v>
      </c>
      <c r="F8" s="280">
        <f>SUM(SUMIFS('附表6-收入明细采集底稿'!P:P,'附表6-收入明细采集底稿'!G:G,数据对照表!A4,'附表6-收入明细采集底稿'!H:H,"已售"),SUMIFS('附表6-收入明细采集底稿'!P:P,'附表6-收入明细采集底稿'!G:G,数据对照表!A4,'附表6-收入明细采集底稿'!H:H,"出租"),SUMIFS('附表6-收入明细采集底稿'!P:P,'附表6-收入明细采集底稿'!G:G,数据对照表!A4,'附表6-收入明细采集底稿'!H:H,"自用"),SUMIFS('附表6-收入明细采集底稿'!P:P,'附表6-收入明细采集底稿'!G:G,数据对照表!A4,'附表6-收入明细采集底稿'!H:H,"未售"))</f>
        <v>2619</v>
      </c>
      <c r="G8" s="280">
        <f>SUMIFS('附表6-收入明细采集底稿'!P:P,'附表6-收入明细采集底稿'!G:G,数据对照表!A4,'附表6-收入明细采集底稿'!H:H,"已售")</f>
        <v>57.07</v>
      </c>
      <c r="H8" s="280">
        <f t="shared" si="0"/>
        <v>2561.93</v>
      </c>
      <c r="I8" s="280">
        <f>SUMIFS('附表6-收入明细采集底稿'!P:P,'附表6-收入明细采集底稿'!G:G,数据对照表!A4,'附表6-收入明细采集底稿'!H:H,"自用")</f>
        <v>0</v>
      </c>
      <c r="J8" s="280">
        <f>SUMIFS('附表6-收入明细采集底稿'!P:P,'附表6-收入明细采集底稿'!G:G,数据对照表!A4,'附表6-收入明细采集底稿'!H:H,"出租")</f>
        <v>2335.84</v>
      </c>
      <c r="K8" s="292"/>
    </row>
    <row r="9" spans="1:11">
      <c r="A9" s="276"/>
      <c r="B9" s="281" t="str">
        <f>"      "&amp;数据对照表!A5</f>
        <v>      办公用房</v>
      </c>
      <c r="C9" s="279">
        <v>5</v>
      </c>
      <c r="D9" s="280">
        <f>SUMIFS('附表6-收入明细采集底稿'!P:P,'附表6-收入明细采集底稿'!G:G,数据对照表!A5)</f>
        <v>0</v>
      </c>
      <c r="E9" s="280">
        <f>SUMIFS('附表6-收入明细采集底稿'!P:P,'附表6-收入明细采集底稿'!G:G,数据对照表!A5,'附表6-收入明细采集底稿'!H:H,"不可售")</f>
        <v>0</v>
      </c>
      <c r="F9" s="280">
        <f>SUM(SUMIFS('附表6-收入明细采集底稿'!P:P,'附表6-收入明细采集底稿'!G:G,数据对照表!A5,'附表6-收入明细采集底稿'!H:H,"已售"),SUMIFS('附表6-收入明细采集底稿'!P:P,'附表6-收入明细采集底稿'!G:G,数据对照表!A5,'附表6-收入明细采集底稿'!H:H,"出租"),SUMIFS('附表6-收入明细采集底稿'!P:P,'附表6-收入明细采集底稿'!G:G,数据对照表!A5,'附表6-收入明细采集底稿'!H:H,"自用"),SUMIFS('附表6-收入明细采集底稿'!P:P,'附表6-收入明细采集底稿'!G:G,数据对照表!A5,'附表6-收入明细采集底稿'!H:H,"未售"))</f>
        <v>0</v>
      </c>
      <c r="G9" s="280">
        <f>SUMIFS('附表6-收入明细采集底稿'!P:P,'附表6-收入明细采集底稿'!G:G,数据对照表!A5,'附表6-收入明细采集底稿'!H:H,"已售")</f>
        <v>0</v>
      </c>
      <c r="H9" s="280">
        <f t="shared" si="0"/>
        <v>0</v>
      </c>
      <c r="I9" s="280">
        <f>SUMIFS('附表6-收入明细采集底稿'!P:P,'附表6-收入明细采集底稿'!G:G,数据对照表!A5,'附表6-收入明细采集底稿'!H:H,"自用")</f>
        <v>0</v>
      </c>
      <c r="J9" s="280">
        <f>SUMIFS('附表6-收入明细采集底稿'!P:P,'附表6-收入明细采集底稿'!G:G,数据对照表!A5,'附表6-收入明细采集底稿'!H:H,"出租")</f>
        <v>0</v>
      </c>
      <c r="K9" s="292"/>
    </row>
    <row r="10" spans="1:11">
      <c r="A10" s="276"/>
      <c r="B10" s="281" t="str">
        <f>"      "&amp;数据对照表!A6</f>
        <v>      车位车库</v>
      </c>
      <c r="C10" s="279">
        <v>6</v>
      </c>
      <c r="D10" s="280">
        <f>SUMIFS('附表6-收入明细采集底稿'!P:P,'附表6-收入明细采集底稿'!G:G,数据对照表!A6)</f>
        <v>3284.87</v>
      </c>
      <c r="E10" s="280">
        <f>SUMIFS('附表6-收入明细采集底稿'!P:P,'附表6-收入明细采集底稿'!G:G,数据对照表!A6,'附表6-收入明细采集底稿'!H:H,"不可售")</f>
        <v>0</v>
      </c>
      <c r="F10" s="280">
        <f>SUM(SUMIFS('附表6-收入明细采集底稿'!P:P,'附表6-收入明细采集底稿'!G:G,数据对照表!A6,'附表6-收入明细采集底稿'!H:H,"已售"),SUMIFS('附表6-收入明细采集底稿'!P:P,'附表6-收入明细采集底稿'!G:G,数据对照表!A6,'附表6-收入明细采集底稿'!H:H,"出租"),SUMIFS('附表6-收入明细采集底稿'!P:P,'附表6-收入明细采集底稿'!G:G,数据对照表!A6,'附表6-收入明细采集底稿'!H:H,"自用"),SUMIFS('附表6-收入明细采集底稿'!P:P,'附表6-收入明细采集底稿'!G:G,数据对照表!A6,'附表6-收入明细采集底稿'!H:H,"未售"))</f>
        <v>3284.87</v>
      </c>
      <c r="G10" s="280">
        <f>SUMIFS('附表6-收入明细采集底稿'!P:P,'附表6-收入明细采集底稿'!G:G,数据对照表!A6,'附表6-收入明细采集底稿'!H:H,"已售")</f>
        <v>0</v>
      </c>
      <c r="H10" s="280">
        <f t="shared" si="0"/>
        <v>3284.87</v>
      </c>
      <c r="I10" s="280">
        <f>SUMIFS('附表6-收入明细采集底稿'!P:P,'附表6-收入明细采集底稿'!G:G,数据对照表!A6,'附表6-收入明细采集底稿'!H:H,"自用")</f>
        <v>0</v>
      </c>
      <c r="J10" s="280">
        <f>SUMIFS('附表6-收入明细采集底稿'!P:P,'附表6-收入明细采集底稿'!G:G,数据对照表!A6,'附表6-收入明细采集底稿'!H:H,"出租")</f>
        <v>0</v>
      </c>
      <c r="K10" s="292"/>
    </row>
    <row r="11" spans="1:11">
      <c r="A11" s="276"/>
      <c r="B11" s="281" t="str">
        <f>"      "&amp;数据对照表!A7</f>
        <v>      其他营业性房产</v>
      </c>
      <c r="C11" s="279">
        <v>7</v>
      </c>
      <c r="D11" s="280">
        <f>SUMIFS('附表6-收入明细采集底稿'!P:P,'附表6-收入明细采集底稿'!G:G,数据对照表!A7)</f>
        <v>0</v>
      </c>
      <c r="E11" s="280">
        <f>SUMIFS('附表6-收入明细采集底稿'!P:P,'附表6-收入明细采集底稿'!G:G,数据对照表!A7,'附表6-收入明细采集底稿'!H:H,"不可售")</f>
        <v>0</v>
      </c>
      <c r="F11" s="280">
        <f>SUM(SUMIFS('附表6-收入明细采集底稿'!P:P,'附表6-收入明细采集底稿'!G:G,数据对照表!A7,'附表6-收入明细采集底稿'!H:H,"已售"),SUMIFS('附表6-收入明细采集底稿'!P:P,'附表6-收入明细采集底稿'!G:G,数据对照表!A7,'附表6-收入明细采集底稿'!H:H,"出租"),SUMIFS('附表6-收入明细采集底稿'!P:P,'附表6-收入明细采集底稿'!G:G,数据对照表!A7,'附表6-收入明细采集底稿'!H:H,"自用"),SUMIFS('附表6-收入明细采集底稿'!P:P,'附表6-收入明细采集底稿'!G:G,数据对照表!A7,'附表6-收入明细采集底稿'!H:H,"未售"))</f>
        <v>0</v>
      </c>
      <c r="G11" s="280">
        <f>SUMIFS('附表6-收入明细采集底稿'!P:P,'附表6-收入明细采集底稿'!G:G,数据对照表!A7,'附表6-收入明细采集底稿'!H:H,"已售")</f>
        <v>0</v>
      </c>
      <c r="H11" s="280">
        <f t="shared" si="0"/>
        <v>0</v>
      </c>
      <c r="I11" s="280">
        <f>SUMIFS('附表6-收入明细采集底稿'!P:P,'附表6-收入明细采集底稿'!G:G,数据对照表!A7,'附表6-收入明细采集底稿'!H:H,"自用")</f>
        <v>0</v>
      </c>
      <c r="J11" s="280">
        <f>SUMIFS('附表6-收入明细采集底稿'!P:P,'附表6-收入明细采集底稿'!G:G,数据对照表!A7,'附表6-收入明细采集底稿'!H:H,"出租")</f>
        <v>0</v>
      </c>
      <c r="K11" s="292"/>
    </row>
    <row r="12" spans="1:11">
      <c r="A12" s="276"/>
      <c r="B12" s="281" t="str">
        <f>"      "&amp;"非营业性房产"</f>
        <v>      非营业性房产</v>
      </c>
      <c r="C12" s="279">
        <v>8</v>
      </c>
      <c r="D12" s="280">
        <f>SUM(D13:D28)</f>
        <v>1253.94</v>
      </c>
      <c r="E12" s="280">
        <f t="shared" ref="E12:J12" si="2">SUM(E13:E28)</f>
        <v>85.16</v>
      </c>
      <c r="F12" s="280">
        <f t="shared" si="2"/>
        <v>1168.78</v>
      </c>
      <c r="G12" s="280">
        <f t="shared" si="2"/>
        <v>0</v>
      </c>
      <c r="H12" s="280">
        <f t="shared" si="2"/>
        <v>1168.78</v>
      </c>
      <c r="I12" s="280">
        <f t="shared" si="2"/>
        <v>0</v>
      </c>
      <c r="J12" s="280">
        <f t="shared" si="2"/>
        <v>0</v>
      </c>
      <c r="K12" s="292"/>
    </row>
    <row r="13" spans="1:11">
      <c r="A13" s="276"/>
      <c r="B13" s="282" t="str">
        <f>"      其中："&amp;数据对照表!A8</f>
        <v>      其中：居委会用房</v>
      </c>
      <c r="C13" s="279">
        <v>9</v>
      </c>
      <c r="D13" s="280">
        <f>SUMIFS('附表6-收入明细采集底稿'!P:P,'附表6-收入明细采集底稿'!G:G,数据对照表!A8)</f>
        <v>0</v>
      </c>
      <c r="E13" s="280">
        <f>SUMIFS('附表6-收入明细采集底稿'!P:P,'附表6-收入明细采集底稿'!G:G,数据对照表!A8,'附表6-收入明细采集底稿'!H:H,"不可售")</f>
        <v>0</v>
      </c>
      <c r="F13" s="280">
        <f>SUM(SUMIFS('附表6-收入明细采集底稿'!P:P,'附表6-收入明细采集底稿'!G:G,数据对照表!A8,'附表6-收入明细采集底稿'!H:H,"已售"),SUMIFS('附表6-收入明细采集底稿'!P:P,'附表6-收入明细采集底稿'!G:G,数据对照表!A8,'附表6-收入明细采集底稿'!H:H,"出租"),SUMIFS('附表6-收入明细采集底稿'!P:P,'附表6-收入明细采集底稿'!G:G,数据对照表!A8,'附表6-收入明细采集底稿'!H:H,"自用"),SUMIFS('附表6-收入明细采集底稿'!P:P,'附表6-收入明细采集底稿'!G:G,数据对照表!A8,'附表6-收入明细采集底稿'!H:H,"未售"))</f>
        <v>0</v>
      </c>
      <c r="G13" s="280">
        <f>SUMIFS('附表6-收入明细采集底稿'!P:P,'附表6-收入明细采集底稿'!G:G,数据对照表!A8,'附表6-收入明细采集底稿'!H:H,"已售")</f>
        <v>0</v>
      </c>
      <c r="H13" s="280">
        <f t="shared" ref="H13:H17" si="3">F13-G13</f>
        <v>0</v>
      </c>
      <c r="I13" s="280">
        <f>SUMIFS('附表6-收入明细采集底稿'!P:P,'附表6-收入明细采集底稿'!G:G,数据对照表!A8,'附表6-收入明细采集底稿'!H:H,"自用")</f>
        <v>0</v>
      </c>
      <c r="J13" s="280">
        <f>SUMIFS('附表6-收入明细采集底稿'!P:P,'附表6-收入明细采集底稿'!G:G,数据对照表!A8,'附表6-收入明细采集底稿'!H:H,"出租")</f>
        <v>0</v>
      </c>
      <c r="K13" s="292"/>
    </row>
    <row r="14" spans="1:11">
      <c r="A14" s="276"/>
      <c r="B14" s="282" t="str">
        <f>"            "&amp;数据对照表!A9</f>
        <v>            派出所用房</v>
      </c>
      <c r="C14" s="279">
        <v>10</v>
      </c>
      <c r="D14" s="280">
        <f>SUMIFS('附表6-收入明细采集底稿'!P:P,'附表6-收入明细采集底稿'!G:G,数据对照表!A9)</f>
        <v>0</v>
      </c>
      <c r="E14" s="280">
        <f>SUMIFS('附表6-收入明细采集底稿'!P:P,'附表6-收入明细采集底稿'!G:G,数据对照表!A9,'附表6-收入明细采集底稿'!H:H,"不可售")</f>
        <v>0</v>
      </c>
      <c r="F14" s="280">
        <f>SUM(SUMIFS('附表6-收入明细采集底稿'!P:P,'附表6-收入明细采集底稿'!G:G,数据对照表!A9,'附表6-收入明细采集底稿'!H:H,"已售"),SUMIFS('附表6-收入明细采集底稿'!P:P,'附表6-收入明细采集底稿'!G:G,数据对照表!A9,'附表6-收入明细采集底稿'!H:H,"出租"),SUMIFS('附表6-收入明细采集底稿'!P:P,'附表6-收入明细采集底稿'!G:G,数据对照表!A9,'附表6-收入明细采集底稿'!H:H,"自用"),SUMIFS('附表6-收入明细采集底稿'!P:P,'附表6-收入明细采集底稿'!G:G,数据对照表!A9,'附表6-收入明细采集底稿'!H:H,"未售"))</f>
        <v>0</v>
      </c>
      <c r="G14" s="280">
        <f>SUMIFS('附表6-收入明细采集底稿'!P:P,'附表6-收入明细采集底稿'!G:G,数据对照表!A9,'附表6-收入明细采集底稿'!H:H,"已售")</f>
        <v>0</v>
      </c>
      <c r="H14" s="280">
        <f t="shared" si="3"/>
        <v>0</v>
      </c>
      <c r="I14" s="280">
        <f>SUMIFS('附表6-收入明细采集底稿'!P:P,'附表6-收入明细采集底稿'!G:G,数据对照表!A9,'附表6-收入明细采集底稿'!H:H,"自用")</f>
        <v>0</v>
      </c>
      <c r="J14" s="280">
        <f>SUMIFS('附表6-收入明细采集底稿'!P:P,'附表6-收入明细采集底稿'!G:G,数据对照表!A9,'附表6-收入明细采集底稿'!H:H,"出租")</f>
        <v>0</v>
      </c>
      <c r="K14" s="292"/>
    </row>
    <row r="15" spans="1:11">
      <c r="A15" s="276"/>
      <c r="B15" s="282" t="str">
        <f>"            "&amp;数据对照表!A10</f>
        <v>            会所</v>
      </c>
      <c r="C15" s="279">
        <v>11</v>
      </c>
      <c r="D15" s="280">
        <f>SUMIFS('附表6-收入明细采集底稿'!P:P,'附表6-收入明细采集底稿'!G:G,数据对照表!A10)</f>
        <v>0</v>
      </c>
      <c r="E15" s="280">
        <f>SUMIFS('附表6-收入明细采集底稿'!P:P,'附表6-收入明细采集底稿'!G:G,数据对照表!A10,'附表6-收入明细采集底稿'!H:H,"不可售")</f>
        <v>0</v>
      </c>
      <c r="F15" s="280">
        <f>SUM(SUMIFS('附表6-收入明细采集底稿'!P:P,'附表6-收入明细采集底稿'!G:G,数据对照表!A10,'附表6-收入明细采集底稿'!H:H,"已售"),SUMIFS('附表6-收入明细采集底稿'!P:P,'附表6-收入明细采集底稿'!G:G,数据对照表!A10,'附表6-收入明细采集底稿'!H:H,"出租"),SUMIFS('附表6-收入明细采集底稿'!P:P,'附表6-收入明细采集底稿'!G:G,数据对照表!A10,'附表6-收入明细采集底稿'!H:H,"自用"),SUMIFS('附表6-收入明细采集底稿'!P:P,'附表6-收入明细采集底稿'!G:G,数据对照表!A10,'附表6-收入明细采集底稿'!H:H,"未售"))</f>
        <v>0</v>
      </c>
      <c r="G15" s="280">
        <f>SUMIFS('附表6-收入明细采集底稿'!P:P,'附表6-收入明细采集底稿'!G:G,数据对照表!A10,'附表6-收入明细采集底稿'!H:H,"已售")</f>
        <v>0</v>
      </c>
      <c r="H15" s="280">
        <f t="shared" si="3"/>
        <v>0</v>
      </c>
      <c r="I15" s="280">
        <f>SUMIFS('附表6-收入明细采集底稿'!P:P,'附表6-收入明细采集底稿'!G:G,数据对照表!A10,'附表6-收入明细采集底稿'!H:H,"自用")</f>
        <v>0</v>
      </c>
      <c r="J15" s="280">
        <f>SUMIFS('附表6-收入明细采集底稿'!P:P,'附表6-收入明细采集底稿'!G:G,数据对照表!A10,'附表6-收入明细采集底稿'!H:H,"出租")</f>
        <v>0</v>
      </c>
      <c r="K15" s="292"/>
    </row>
    <row r="16" spans="1:11">
      <c r="A16" s="276"/>
      <c r="B16" s="282" t="str">
        <f>"            "&amp;数据对照表!A11</f>
        <v>            非机动车库（场）</v>
      </c>
      <c r="C16" s="279">
        <v>12</v>
      </c>
      <c r="D16" s="280">
        <f>SUMIFS('附表6-收入明细采集底稿'!P:P,'附表6-收入明细采集底稿'!G:G,数据对照表!A11)</f>
        <v>0</v>
      </c>
      <c r="E16" s="280">
        <f>SUMIFS('附表6-收入明细采集底稿'!P:P,'附表6-收入明细采集底稿'!G:G,数据对照表!A11,'附表6-收入明细采集底稿'!H:H,"不可售")</f>
        <v>0</v>
      </c>
      <c r="F16" s="280">
        <f>SUM(SUMIFS('附表6-收入明细采集底稿'!P:P,'附表6-收入明细采集底稿'!G:G,数据对照表!A11,'附表6-收入明细采集底稿'!H:H,"已售"),SUMIFS('附表6-收入明细采集底稿'!P:P,'附表6-收入明细采集底稿'!G:G,数据对照表!A11,'附表6-收入明细采集底稿'!H:H,"出租"),SUMIFS('附表6-收入明细采集底稿'!P:P,'附表6-收入明细采集底稿'!G:G,数据对照表!A11,'附表6-收入明细采集底稿'!H:H,"自用"),SUMIFS('附表6-收入明细采集底稿'!P:P,'附表6-收入明细采集底稿'!G:G,数据对照表!A11,'附表6-收入明细采集底稿'!H:H,"未售"))</f>
        <v>0</v>
      </c>
      <c r="G16" s="280">
        <f>SUMIFS('附表6-收入明细采集底稿'!P:P,'附表6-收入明细采集底稿'!G:G,数据对照表!A11,'附表6-收入明细采集底稿'!H:H,"已售")</f>
        <v>0</v>
      </c>
      <c r="H16" s="280">
        <f t="shared" si="3"/>
        <v>0</v>
      </c>
      <c r="I16" s="280">
        <f>SUMIFS('附表6-收入明细采集底稿'!P:P,'附表6-收入明细采集底稿'!G:G,数据对照表!A11,'附表6-收入明细采集底稿'!H:H,"自用")</f>
        <v>0</v>
      </c>
      <c r="J16" s="280">
        <f>SUMIFS('附表6-收入明细采集底稿'!P:P,'附表6-收入明细采集底稿'!G:G,数据对照表!A11,'附表6-收入明细采集底稿'!H:H,"出租")</f>
        <v>0</v>
      </c>
      <c r="K16" s="292"/>
    </row>
    <row r="17" spans="1:11">
      <c r="A17" s="276"/>
      <c r="B17" s="282" t="str">
        <f>"            "&amp;数据对照表!A12</f>
        <v>            地下人防设施</v>
      </c>
      <c r="C17" s="279">
        <v>13</v>
      </c>
      <c r="D17" s="280">
        <f>SUMIFS('附表6-收入明细采集底稿'!P:P,'附表6-收入明细采集底稿'!G:G,数据对照表!A12)</f>
        <v>0</v>
      </c>
      <c r="E17" s="280">
        <f>SUMIFS('附表6-收入明细采集底稿'!P:P,'附表6-收入明细采集底稿'!G:G,数据对照表!A12,'附表6-收入明细采集底稿'!H:H,"不可售")</f>
        <v>0</v>
      </c>
      <c r="F17" s="280">
        <f>SUM(SUMIFS('附表6-收入明细采集底稿'!P:P,'附表6-收入明细采集底稿'!G:G,数据对照表!A12,'附表6-收入明细采集底稿'!H:H,"已售"),SUMIFS('附表6-收入明细采集底稿'!P:P,'附表6-收入明细采集底稿'!G:G,数据对照表!A12,'附表6-收入明细采集底稿'!H:H,"出租"),SUMIFS('附表6-收入明细采集底稿'!P:P,'附表6-收入明细采集底稿'!G:G,数据对照表!A12,'附表6-收入明细采集底稿'!H:H,"自用"),SUMIFS('附表6-收入明细采集底稿'!P:P,'附表6-收入明细采集底稿'!G:G,数据对照表!A12,'附表6-收入明细采集底稿'!H:H,"未售"))</f>
        <v>0</v>
      </c>
      <c r="G17" s="280">
        <f>SUMIFS('附表6-收入明细采集底稿'!P:P,'附表6-收入明细采集底稿'!G:G,数据对照表!A12,'附表6-收入明细采集底稿'!H:H,"已售")</f>
        <v>0</v>
      </c>
      <c r="H17" s="280">
        <f t="shared" si="3"/>
        <v>0</v>
      </c>
      <c r="I17" s="280">
        <f>SUMIFS('附表6-收入明细采集底稿'!P:P,'附表6-收入明细采集底稿'!G:G,数据对照表!A12,'附表6-收入明细采集底稿'!H:H,"自用")</f>
        <v>0</v>
      </c>
      <c r="J17" s="280">
        <f>SUMIFS('附表6-收入明细采集底稿'!P:P,'附表6-收入明细采集底稿'!G:G,数据对照表!A12,'附表6-收入明细采集底稿'!H:H,"出租")</f>
        <v>0</v>
      </c>
      <c r="K17" s="292"/>
    </row>
    <row r="18" spans="1:11">
      <c r="A18" s="276"/>
      <c r="B18" s="282" t="str">
        <f>"            "&amp;数据对照表!A13</f>
        <v>            物业管理场所</v>
      </c>
      <c r="C18" s="279">
        <v>14</v>
      </c>
      <c r="D18" s="280">
        <f>SUMIFS('附表6-收入明细采集底稿'!P:P,'附表6-收入明细采集底稿'!G:G,数据对照表!A13)</f>
        <v>0</v>
      </c>
      <c r="E18" s="280">
        <f>SUMIFS('附表6-收入明细采集底稿'!P:P,'附表6-收入明细采集底稿'!G:G,数据对照表!A13,'附表6-收入明细采集底稿'!H:H,"不可售")</f>
        <v>0</v>
      </c>
      <c r="F18" s="280">
        <f>SUM(SUMIFS('附表6-收入明细采集底稿'!P:P,'附表6-收入明细采集底稿'!G:G,数据对照表!A13,'附表6-收入明细采集底稿'!H:H,"已售"),SUMIFS('附表6-收入明细采集底稿'!P:P,'附表6-收入明细采集底稿'!G:G,数据对照表!A13,'附表6-收入明细采集底稿'!H:H,"出租"),SUMIFS('附表6-收入明细采集底稿'!P:P,'附表6-收入明细采集底稿'!G:G,数据对照表!A13,'附表6-收入明细采集底稿'!H:H,"自用"),SUMIFS('附表6-收入明细采集底稿'!P:P,'附表6-收入明细采集底稿'!G:G,数据对照表!A13,'附表6-收入明细采集底稿'!H:H,"未售"))</f>
        <v>0</v>
      </c>
      <c r="G18" s="280">
        <f>SUMIFS('附表6-收入明细采集底稿'!P:P,'附表6-收入明细采集底稿'!G:G,数据对照表!A13,'附表6-收入明细采集底稿'!H:H,"已售")</f>
        <v>0</v>
      </c>
      <c r="H18" s="280">
        <f t="shared" ref="H18:H28" si="4">F18-G18</f>
        <v>0</v>
      </c>
      <c r="I18" s="280">
        <f>SUMIFS('附表6-收入明细采集底稿'!P:P,'附表6-收入明细采集底稿'!G:G,数据对照表!A13,'附表6-收入明细采集底稿'!H:H,"自用")</f>
        <v>0</v>
      </c>
      <c r="J18" s="280">
        <f>SUMIFS('附表6-收入明细采集底稿'!P:P,'附表6-收入明细采集底稿'!G:G,数据对照表!A13,'附表6-收入明细采集底稿'!H:H,"出租")</f>
        <v>0</v>
      </c>
      <c r="K18" s="292"/>
    </row>
    <row r="19" spans="1:11">
      <c r="A19" s="276"/>
      <c r="B19" s="282" t="str">
        <f>"            "&amp;数据对照表!A14</f>
        <v>            变电站</v>
      </c>
      <c r="C19" s="279">
        <v>15</v>
      </c>
      <c r="D19" s="280">
        <f>SUMIFS('附表6-收入明细采集底稿'!P:P,'附表6-收入明细采集底稿'!G:G,数据对照表!A14)</f>
        <v>0</v>
      </c>
      <c r="E19" s="280">
        <f>SUMIFS('附表6-收入明细采集底稿'!P:P,'附表6-收入明细采集底稿'!G:G,数据对照表!A14,'附表6-收入明细采集底稿'!H:H,"不可售")</f>
        <v>0</v>
      </c>
      <c r="F19" s="280">
        <f>SUM(SUMIFS('附表6-收入明细采集底稿'!P:P,'附表6-收入明细采集底稿'!G:G,数据对照表!A14,'附表6-收入明细采集底稿'!H:H,"已售"),SUMIFS('附表6-收入明细采集底稿'!P:P,'附表6-收入明细采集底稿'!G:G,数据对照表!A14,'附表6-收入明细采集底稿'!H:H,"出租"),SUMIFS('附表6-收入明细采集底稿'!P:P,'附表6-收入明细采集底稿'!G:G,数据对照表!A14,'附表6-收入明细采集底稿'!H:H,"自用"),SUMIFS('附表6-收入明细采集底稿'!P:P,'附表6-收入明细采集底稿'!G:G,数据对照表!A14,'附表6-收入明细采集底稿'!H:H,"未售"))</f>
        <v>0</v>
      </c>
      <c r="G19" s="280">
        <f>SUMIFS('附表6-收入明细采集底稿'!P:P,'附表6-收入明细采集底稿'!G:G,数据对照表!A14,'附表6-收入明细采集底稿'!H:H,"已售")</f>
        <v>0</v>
      </c>
      <c r="H19" s="280">
        <f t="shared" si="4"/>
        <v>0</v>
      </c>
      <c r="I19" s="280">
        <f>SUMIFS('附表6-收入明细采集底稿'!P:P,'附表6-收入明细采集底稿'!G:G,数据对照表!A14,'附表6-收入明细采集底稿'!H:H,"自用")</f>
        <v>0</v>
      </c>
      <c r="J19" s="280">
        <f>SUMIFS('附表6-收入明细采集底稿'!P:P,'附表6-收入明细采集底稿'!G:G,数据对照表!A14,'附表6-收入明细采集底稿'!H:H,"出租")</f>
        <v>0</v>
      </c>
      <c r="K19" s="292"/>
    </row>
    <row r="20" spans="1:11">
      <c r="A20" s="276"/>
      <c r="B20" s="282" t="str">
        <f>"            "&amp;数据对照表!A15</f>
        <v>            热力站</v>
      </c>
      <c r="C20" s="279">
        <v>16</v>
      </c>
      <c r="D20" s="280">
        <f>SUMIFS('附表6-收入明细采集底稿'!P:P,'附表6-收入明细采集底稿'!G:G,数据对照表!A15)</f>
        <v>0</v>
      </c>
      <c r="E20" s="280">
        <f>SUMIFS('附表6-收入明细采集底稿'!P:P,'附表6-收入明细采集底稿'!G:G,数据对照表!A15,'附表6-收入明细采集底稿'!H:H,"不可售")</f>
        <v>0</v>
      </c>
      <c r="F20" s="280">
        <f>SUM(SUMIFS('附表6-收入明细采集底稿'!P:P,'附表6-收入明细采集底稿'!G:G,数据对照表!A15,'附表6-收入明细采集底稿'!H:H,"已售"),SUMIFS('附表6-收入明细采集底稿'!P:P,'附表6-收入明细采集底稿'!G:G,数据对照表!A15,'附表6-收入明细采集底稿'!H:H,"出租"),SUMIFS('附表6-收入明细采集底稿'!P:P,'附表6-收入明细采集底稿'!G:G,数据对照表!A15,'附表6-收入明细采集底稿'!H:H,"自用"),SUMIFS('附表6-收入明细采集底稿'!P:P,'附表6-收入明细采集底稿'!G:G,数据对照表!A15,'附表6-收入明细采集底稿'!H:H,"未售"))</f>
        <v>0</v>
      </c>
      <c r="G20" s="280">
        <f>SUMIFS('附表6-收入明细采集底稿'!P:P,'附表6-收入明细采集底稿'!G:G,数据对照表!A15,'附表6-收入明细采集底稿'!H:H,"已售")</f>
        <v>0</v>
      </c>
      <c r="H20" s="280">
        <f t="shared" si="4"/>
        <v>0</v>
      </c>
      <c r="I20" s="280">
        <f>SUMIFS('附表6-收入明细采集底稿'!P:P,'附表6-收入明细采集底稿'!G:G,数据对照表!A15,'附表6-收入明细采集底稿'!H:H,"自用")</f>
        <v>0</v>
      </c>
      <c r="J20" s="280">
        <f>SUMIFS('附表6-收入明细采集底稿'!P:P,'附表6-收入明细采集底稿'!G:G,数据对照表!A15,'附表6-收入明细采集底稿'!H:H,"出租")</f>
        <v>0</v>
      </c>
      <c r="K20" s="292"/>
    </row>
    <row r="21" spans="1:11">
      <c r="A21" s="276"/>
      <c r="B21" s="282" t="str">
        <f>"            "&amp;数据对照表!A16</f>
        <v>            水厂</v>
      </c>
      <c r="C21" s="279">
        <v>17</v>
      </c>
      <c r="D21" s="280">
        <f>SUMIFS('附表6-收入明细采集底稿'!P:P,'附表6-收入明细采集底稿'!G:G,数据对照表!A16)</f>
        <v>0</v>
      </c>
      <c r="E21" s="280">
        <f>SUMIFS('附表6-收入明细采集底稿'!P:P,'附表6-收入明细采集底稿'!G:G,数据对照表!A16,'附表6-收入明细采集底稿'!H:H,"不可售")</f>
        <v>0</v>
      </c>
      <c r="F21" s="280">
        <f>SUM(SUMIFS('附表6-收入明细采集底稿'!P:P,'附表6-收入明细采集底稿'!G:G,数据对照表!A16,'附表6-收入明细采集底稿'!H:H,"已售"),SUMIFS('附表6-收入明细采集底稿'!P:P,'附表6-收入明细采集底稿'!G:G,数据对照表!A16,'附表6-收入明细采集底稿'!H:H,"出租"),SUMIFS('附表6-收入明细采集底稿'!P:P,'附表6-收入明细采集底稿'!G:G,数据对照表!A16,'附表6-收入明细采集底稿'!H:H,"自用"),SUMIFS('附表6-收入明细采集底稿'!P:P,'附表6-收入明细采集底稿'!G:G,数据对照表!A16,'附表6-收入明细采集底稿'!H:H,"未售"))</f>
        <v>0</v>
      </c>
      <c r="G21" s="280">
        <f>SUMIFS('附表6-收入明细采集底稿'!P:P,'附表6-收入明细采集底稿'!G:G,数据对照表!A16,'附表6-收入明细采集底稿'!H:H,"已售")</f>
        <v>0</v>
      </c>
      <c r="H21" s="280">
        <f t="shared" si="4"/>
        <v>0</v>
      </c>
      <c r="I21" s="280">
        <f>SUMIFS('附表6-收入明细采集底稿'!P:P,'附表6-收入明细采集底稿'!G:G,数据对照表!A16,'附表6-收入明细采集底稿'!H:H,"自用")</f>
        <v>0</v>
      </c>
      <c r="J21" s="280">
        <f>SUMIFS('附表6-收入明细采集底稿'!P:P,'附表6-收入明细采集底稿'!G:G,数据对照表!A16,'附表6-收入明细采集底稿'!H:H,"出租")</f>
        <v>0</v>
      </c>
      <c r="K21" s="292"/>
    </row>
    <row r="22" spans="1:11">
      <c r="A22" s="276"/>
      <c r="B22" s="282" t="str">
        <f>"            "&amp;数据对照表!A17</f>
        <v>            文体场馆</v>
      </c>
      <c r="C22" s="279">
        <v>18</v>
      </c>
      <c r="D22" s="280">
        <f>SUMIFS('附表6-收入明细采集底稿'!P:P,'附表6-收入明细采集底稿'!G:G,数据对照表!A17)</f>
        <v>0</v>
      </c>
      <c r="E22" s="280">
        <f>SUMIFS('附表6-收入明细采集底稿'!P:P,'附表6-收入明细采集底稿'!G:G,数据对照表!A17,'附表6-收入明细采集底稿'!H:H,"不可售")</f>
        <v>0</v>
      </c>
      <c r="F22" s="280">
        <f>SUM(SUMIFS('附表6-收入明细采集底稿'!P:P,'附表6-收入明细采集底稿'!G:G,数据对照表!A17,'附表6-收入明细采集底稿'!H:H,"已售"),SUMIFS('附表6-收入明细采集底稿'!P:P,'附表6-收入明细采集底稿'!G:G,数据对照表!A17,'附表6-收入明细采集底稿'!H:H,"出租"),SUMIFS('附表6-收入明细采集底稿'!P:P,'附表6-收入明细采集底稿'!G:G,数据对照表!A17,'附表6-收入明细采集底稿'!H:H,"自用"),SUMIFS('附表6-收入明细采集底稿'!P:P,'附表6-收入明细采集底稿'!G:G,数据对照表!A17,'附表6-收入明细采集底稿'!H:H,"未售"))</f>
        <v>0</v>
      </c>
      <c r="G22" s="280">
        <f>SUMIFS('附表6-收入明细采集底稿'!P:P,'附表6-收入明细采集底稿'!G:G,数据对照表!A17,'附表6-收入明细采集底稿'!H:H,"已售")</f>
        <v>0</v>
      </c>
      <c r="H22" s="280">
        <f t="shared" si="4"/>
        <v>0</v>
      </c>
      <c r="I22" s="280">
        <f>SUMIFS('附表6-收入明细采集底稿'!P:P,'附表6-收入明细采集底稿'!G:G,数据对照表!A17,'附表6-收入明细采集底稿'!H:H,"自用")</f>
        <v>0</v>
      </c>
      <c r="J22" s="280">
        <f>SUMIFS('附表6-收入明细采集底稿'!P:P,'附表6-收入明细采集底稿'!G:G,数据对照表!A17,'附表6-收入明细采集底稿'!H:H,"出租")</f>
        <v>0</v>
      </c>
      <c r="K22" s="292"/>
    </row>
    <row r="23" spans="1:11">
      <c r="A23" s="276"/>
      <c r="B23" s="282" t="str">
        <f>"            "&amp;数据对照表!A18</f>
        <v>            学校</v>
      </c>
      <c r="C23" s="279">
        <v>19</v>
      </c>
      <c r="D23" s="280">
        <f>SUMIFS('附表6-收入明细采集底稿'!P:P,'附表6-收入明细采集底稿'!G:G,数据对照表!A18)</f>
        <v>0</v>
      </c>
      <c r="E23" s="280">
        <f>SUMIFS('附表6-收入明细采集底稿'!P:P,'附表6-收入明细采集底稿'!G:G,数据对照表!A18,'附表6-收入明细采集底稿'!H:H,"不可售")</f>
        <v>0</v>
      </c>
      <c r="F23" s="280">
        <f>SUM(SUMIFS('附表6-收入明细采集底稿'!P:P,'附表6-收入明细采集底稿'!G:G,数据对照表!A18,'附表6-收入明细采集底稿'!H:H,"已售"),SUMIFS('附表6-收入明细采集底稿'!P:P,'附表6-收入明细采集底稿'!G:G,数据对照表!A18,'附表6-收入明细采集底稿'!H:H,"出租"),SUMIFS('附表6-收入明细采集底稿'!P:P,'附表6-收入明细采集底稿'!G:G,数据对照表!A18,'附表6-收入明细采集底稿'!H:H,"自用"),SUMIFS('附表6-收入明细采集底稿'!P:P,'附表6-收入明细采集底稿'!G:G,数据对照表!A18,'附表6-收入明细采集底稿'!H:H,"未售"))</f>
        <v>0</v>
      </c>
      <c r="G23" s="280">
        <f>SUMIFS('附表6-收入明细采集底稿'!P:P,'附表6-收入明细采集底稿'!G:G,数据对照表!A18,'附表6-收入明细采集底稿'!H:H,"已售")</f>
        <v>0</v>
      </c>
      <c r="H23" s="280">
        <f t="shared" si="4"/>
        <v>0</v>
      </c>
      <c r="I23" s="280">
        <f>SUMIFS('附表6-收入明细采集底稿'!P:P,'附表6-收入明细采集底稿'!G:G,数据对照表!A18,'附表6-收入明细采集底稿'!H:H,"自用")</f>
        <v>0</v>
      </c>
      <c r="J23" s="280">
        <f>SUMIFS('附表6-收入明细采集底稿'!P:P,'附表6-收入明细采集底稿'!G:G,数据对照表!A18,'附表6-收入明细采集底稿'!H:H,"出租")</f>
        <v>0</v>
      </c>
      <c r="K23" s="292"/>
    </row>
    <row r="24" spans="1:11">
      <c r="A24" s="276"/>
      <c r="B24" s="282" t="str">
        <f>"            "&amp;数据对照表!A19</f>
        <v>            幼儿园</v>
      </c>
      <c r="C24" s="279">
        <v>20</v>
      </c>
      <c r="D24" s="280">
        <f>SUMIFS('附表6-收入明细采集底稿'!P:P,'附表6-收入明细采集底稿'!G:G,数据对照表!A19)</f>
        <v>0</v>
      </c>
      <c r="E24" s="280">
        <f>SUMIFS('附表6-收入明细采集底稿'!P:P,'附表6-收入明细采集底稿'!G:G,数据对照表!A19,'附表6-收入明细采集底稿'!H:H,"不可售")</f>
        <v>0</v>
      </c>
      <c r="F24" s="280">
        <f>SUM(SUMIFS('附表6-收入明细采集底稿'!P:P,'附表6-收入明细采集底稿'!G:G,数据对照表!A19,'附表6-收入明细采集底稿'!H:H,"已售"),SUMIFS('附表6-收入明细采集底稿'!P:P,'附表6-收入明细采集底稿'!G:G,数据对照表!A19,'附表6-收入明细采集底稿'!H:H,"出租"),SUMIFS('附表6-收入明细采集底稿'!P:P,'附表6-收入明细采集底稿'!G:G,数据对照表!A19,'附表6-收入明细采集底稿'!H:H,"自用"),SUMIFS('附表6-收入明细采集底稿'!P:P,'附表6-收入明细采集底稿'!G:G,数据对照表!A19,'附表6-收入明细采集底稿'!H:H,"未售"))</f>
        <v>0</v>
      </c>
      <c r="G24" s="280">
        <f>SUMIFS('附表6-收入明细采集底稿'!P:P,'附表6-收入明细采集底稿'!G:G,数据对照表!A19,'附表6-收入明细采集底稿'!H:H,"已售")</f>
        <v>0</v>
      </c>
      <c r="H24" s="280">
        <f t="shared" si="4"/>
        <v>0</v>
      </c>
      <c r="I24" s="280">
        <f>SUMIFS('附表6-收入明细采集底稿'!P:P,'附表6-收入明细采集底稿'!G:G,数据对照表!A19,'附表6-收入明细采集底稿'!H:H,"自用")</f>
        <v>0</v>
      </c>
      <c r="J24" s="280">
        <f>SUMIFS('附表6-收入明细采集底稿'!P:P,'附表6-收入明细采集底稿'!G:G,数据对照表!A19,'附表6-收入明细采集底稿'!H:H,"出租")</f>
        <v>0</v>
      </c>
      <c r="K24" s="292"/>
    </row>
    <row r="25" spans="1:11">
      <c r="A25" s="276"/>
      <c r="B25" s="282" t="str">
        <f>"            "&amp;数据对照表!A20</f>
        <v>            托儿所</v>
      </c>
      <c r="C25" s="279">
        <v>21</v>
      </c>
      <c r="D25" s="280">
        <f>SUMIFS('附表6-收入明细采集底稿'!P:P,'附表6-收入明细采集底稿'!G:G,数据对照表!A20)</f>
        <v>0</v>
      </c>
      <c r="E25" s="280">
        <f>SUMIFS('附表6-收入明细采集底稿'!P:P,'附表6-收入明细采集底稿'!G:G,数据对照表!A20,'附表6-收入明细采集底稿'!H:H,"不可售")</f>
        <v>0</v>
      </c>
      <c r="F25" s="280">
        <f>SUM(SUMIFS('附表6-收入明细采集底稿'!P:P,'附表6-收入明细采集底稿'!G:G,数据对照表!A20,'附表6-收入明细采集底稿'!H:H,"已售"),SUMIFS('附表6-收入明细采集底稿'!P:P,'附表6-收入明细采集底稿'!G:G,数据对照表!A20,'附表6-收入明细采集底稿'!H:H,"出租"),SUMIFS('附表6-收入明细采集底稿'!P:P,'附表6-收入明细采集底稿'!G:G,数据对照表!A20,'附表6-收入明细采集底稿'!H:H,"自用"),SUMIFS('附表6-收入明细采集底稿'!P:P,'附表6-收入明细采集底稿'!G:G,数据对照表!A20,'附表6-收入明细采集底稿'!H:H,"未售"))</f>
        <v>0</v>
      </c>
      <c r="G25" s="280">
        <f>SUMIFS('附表6-收入明细采集底稿'!P:P,'附表6-收入明细采集底稿'!G:G,数据对照表!A20,'附表6-收入明细采集底稿'!H:H,"已售")</f>
        <v>0</v>
      </c>
      <c r="H25" s="280">
        <f t="shared" si="4"/>
        <v>0</v>
      </c>
      <c r="I25" s="280">
        <f>SUMIFS('附表6-收入明细采集底稿'!P:P,'附表6-收入明细采集底稿'!G:G,数据对照表!A20,'附表6-收入明细采集底稿'!H:H,"自用")</f>
        <v>0</v>
      </c>
      <c r="J25" s="280">
        <f>SUMIFS('附表6-收入明细采集底稿'!P:P,'附表6-收入明细采集底稿'!G:G,数据对照表!A20,'附表6-收入明细采集底稿'!H:H,"出租")</f>
        <v>0</v>
      </c>
      <c r="K25" s="292"/>
    </row>
    <row r="26" spans="1:11">
      <c r="A26" s="276"/>
      <c r="B26" s="282" t="str">
        <f>"            "&amp;数据对照表!A21</f>
        <v>            医院</v>
      </c>
      <c r="C26" s="279">
        <v>22</v>
      </c>
      <c r="D26" s="280">
        <f>SUMIFS('附表6-收入明细采集底稿'!P:P,'附表6-收入明细采集底稿'!G:G,数据对照表!A21)</f>
        <v>0</v>
      </c>
      <c r="E26" s="280">
        <f>SUMIFS('附表6-收入明细采集底稿'!P:P,'附表6-收入明细采集底稿'!G:G,数据对照表!A21,'附表6-收入明细采集底稿'!H:H,"不可售")</f>
        <v>0</v>
      </c>
      <c r="F26" s="280">
        <f>SUM(SUMIFS('附表6-收入明细采集底稿'!P:P,'附表6-收入明细采集底稿'!G:G,数据对照表!A21,'附表6-收入明细采集底稿'!H:H,"已售"),SUMIFS('附表6-收入明细采集底稿'!P:P,'附表6-收入明细采集底稿'!G:G,数据对照表!A21,'附表6-收入明细采集底稿'!H:H,"出租"),SUMIFS('附表6-收入明细采集底稿'!P:P,'附表6-收入明细采集底稿'!G:G,数据对照表!A21,'附表6-收入明细采集底稿'!H:H,"自用"),SUMIFS('附表6-收入明细采集底稿'!P:P,'附表6-收入明细采集底稿'!G:G,数据对照表!A21,'附表6-收入明细采集底稿'!H:H,"未售"))</f>
        <v>0</v>
      </c>
      <c r="G26" s="280">
        <f>SUMIFS('附表6-收入明细采集底稿'!P:P,'附表6-收入明细采集底稿'!G:G,数据对照表!A21,'附表6-收入明细采集底稿'!H:H,"已售")</f>
        <v>0</v>
      </c>
      <c r="H26" s="280">
        <f t="shared" si="4"/>
        <v>0</v>
      </c>
      <c r="I26" s="280">
        <f>SUMIFS('附表6-收入明细采集底稿'!P:P,'附表6-收入明细采集底稿'!G:G,数据对照表!A21,'附表6-收入明细采集底稿'!H:H,"自用")</f>
        <v>0</v>
      </c>
      <c r="J26" s="280">
        <f>SUMIFS('附表6-收入明细采集底稿'!P:P,'附表6-收入明细采集底稿'!G:G,数据对照表!A21,'附表6-收入明细采集底稿'!H:H,"出租")</f>
        <v>0</v>
      </c>
      <c r="K26" s="292"/>
    </row>
    <row r="27" spans="1:11">
      <c r="A27" s="276"/>
      <c r="B27" s="282" t="str">
        <f>"            "&amp;数据对照表!A22</f>
        <v>            邮电通讯</v>
      </c>
      <c r="C27" s="279">
        <v>23</v>
      </c>
      <c r="D27" s="280">
        <f>SUMIFS('附表6-收入明细采集底稿'!P:P,'附表6-收入明细采集底稿'!G:G,数据对照表!A22)</f>
        <v>0</v>
      </c>
      <c r="E27" s="280">
        <f>SUMIFS('附表6-收入明细采集底稿'!P:P,'附表6-收入明细采集底稿'!G:G,数据对照表!A22,'附表6-收入明细采集底稿'!H:H,"不可售")</f>
        <v>0</v>
      </c>
      <c r="F27" s="280">
        <f>SUM(SUMIFS('附表6-收入明细采集底稿'!P:P,'附表6-收入明细采集底稿'!G:G,数据对照表!A22,'附表6-收入明细采集底稿'!H:H,"已售"),SUMIFS('附表6-收入明细采集底稿'!P:P,'附表6-收入明细采集底稿'!G:G,数据对照表!A22,'附表6-收入明细采集底稿'!H:H,"出租"),SUMIFS('附表6-收入明细采集底稿'!P:P,'附表6-收入明细采集底稿'!G:G,数据对照表!A22,'附表6-收入明细采集底稿'!H:H,"自用"),SUMIFS('附表6-收入明细采集底稿'!P:P,'附表6-收入明细采集底稿'!G:G,数据对照表!A22,'附表6-收入明细采集底稿'!H:H,"未售"))</f>
        <v>0</v>
      </c>
      <c r="G27" s="280">
        <f>SUMIFS('附表6-收入明细采集底稿'!P:P,'附表6-收入明细采集底稿'!G:G,数据对照表!A22,'附表6-收入明细采集底稿'!H:H,"已售")</f>
        <v>0</v>
      </c>
      <c r="H27" s="280">
        <f t="shared" si="4"/>
        <v>0</v>
      </c>
      <c r="I27" s="280">
        <f>SUMIFS('附表6-收入明细采集底稿'!P:P,'附表6-收入明细采集底稿'!G:G,数据对照表!A22,'附表6-收入明细采集底稿'!H:H,"自用")</f>
        <v>0</v>
      </c>
      <c r="J27" s="280">
        <f>SUMIFS('附表6-收入明细采集底稿'!P:P,'附表6-收入明细采集底稿'!G:G,数据对照表!A22,'附表6-收入明细采集底稿'!H:H,"出租")</f>
        <v>0</v>
      </c>
      <c r="K27" s="292"/>
    </row>
    <row r="28" spans="1:11">
      <c r="A28" s="276"/>
      <c r="B28" s="282" t="str">
        <f>"            "&amp;数据对照表!A23</f>
        <v>            其他非营业性房产</v>
      </c>
      <c r="C28" s="279">
        <v>24</v>
      </c>
      <c r="D28" s="280">
        <f>SUMIFS('附表6-收入明细采集底稿'!P:P,'附表6-收入明细采集底稿'!G:G,数据对照表!A23)</f>
        <v>1253.94</v>
      </c>
      <c r="E28" s="280">
        <f>SUMIFS('附表6-收入明细采集底稿'!P:P,'附表6-收入明细采集底稿'!G:G,数据对照表!A23,'附表6-收入明细采集底稿'!H:H,"不可售")</f>
        <v>85.16</v>
      </c>
      <c r="F28" s="280">
        <f>SUM(SUMIFS('附表6-收入明细采集底稿'!P:P,'附表6-收入明细采集底稿'!G:G,数据对照表!A23,'附表6-收入明细采集底稿'!H:H,"已售"),SUMIFS('附表6-收入明细采集底稿'!P:P,'附表6-收入明细采集底稿'!G:G,数据对照表!A23,'附表6-收入明细采集底稿'!H:H,"出租"),SUMIFS('附表6-收入明细采集底稿'!P:P,'附表6-收入明细采集底稿'!G:G,数据对照表!A23,'附表6-收入明细采集底稿'!H:H,"自用"),SUMIFS('附表6-收入明细采集底稿'!P:P,'附表6-收入明细采集底稿'!G:G,数据对照表!A23,'附表6-收入明细采集底稿'!H:H,"未售"))</f>
        <v>1168.78</v>
      </c>
      <c r="G28" s="280">
        <f>SUMIFS('附表6-收入明细采集底稿'!P:P,'附表6-收入明细采集底稿'!G:G,数据对照表!A23,'附表6-收入明细采集底稿'!H:H,"已售")</f>
        <v>0</v>
      </c>
      <c r="H28" s="280">
        <f t="shared" si="4"/>
        <v>1168.78</v>
      </c>
      <c r="I28" s="280">
        <f>SUMIFS('附表6-收入明细采集底稿'!P:P,'附表6-收入明细采集底稿'!G:G,数据对照表!A23,'附表6-收入明细采集底稿'!H:H,"自用")</f>
        <v>0</v>
      </c>
      <c r="J28" s="280">
        <f>SUMIFS('附表6-收入明细采集底稿'!P:P,'附表6-收入明细采集底稿'!G:G,数据对照表!A23,'附表6-收入明细采集底稿'!H:H,"出租")</f>
        <v>0</v>
      </c>
      <c r="K28" s="292"/>
    </row>
    <row r="29" spans="1:11">
      <c r="A29" s="283"/>
      <c r="B29" s="284" t="s">
        <v>105</v>
      </c>
      <c r="C29" s="279">
        <v>25</v>
      </c>
      <c r="D29" s="280">
        <f>SUM(D5:D7)</f>
        <v>26212.41</v>
      </c>
      <c r="E29" s="280">
        <f t="shared" ref="E29:J29" si="5">SUM(E5:E7)</f>
        <v>85.16</v>
      </c>
      <c r="F29" s="280">
        <f t="shared" si="5"/>
        <v>26127.25</v>
      </c>
      <c r="G29" s="280">
        <f t="shared" si="5"/>
        <v>18795.2</v>
      </c>
      <c r="H29" s="280">
        <f t="shared" si="5"/>
        <v>7332.05</v>
      </c>
      <c r="I29" s="280">
        <f t="shared" si="5"/>
        <v>0</v>
      </c>
      <c r="J29" s="280">
        <f t="shared" si="5"/>
        <v>2335.84</v>
      </c>
      <c r="K29" s="292"/>
    </row>
    <row r="30" spans="1:11">
      <c r="A30" s="285" t="s">
        <v>217</v>
      </c>
      <c r="B30" s="286" t="s">
        <v>200</v>
      </c>
      <c r="C30" s="286" t="s">
        <v>37</v>
      </c>
      <c r="D30" s="100" t="s">
        <v>218</v>
      </c>
      <c r="E30" s="100" t="s">
        <v>132</v>
      </c>
      <c r="F30" s="100" t="s">
        <v>219</v>
      </c>
      <c r="G30" s="100" t="s">
        <v>220</v>
      </c>
      <c r="H30" s="100" t="s">
        <v>221</v>
      </c>
      <c r="I30" s="293" t="s">
        <v>222</v>
      </c>
      <c r="J30" s="294"/>
      <c r="K30" s="290" t="s">
        <v>208</v>
      </c>
    </row>
    <row r="31" spans="1:11">
      <c r="A31" s="285"/>
      <c r="B31" s="287"/>
      <c r="C31" s="287"/>
      <c r="D31" s="359" t="s">
        <v>223</v>
      </c>
      <c r="E31" s="359" t="s">
        <v>224</v>
      </c>
      <c r="F31" s="359" t="s">
        <v>225</v>
      </c>
      <c r="G31" s="359" t="s">
        <v>226</v>
      </c>
      <c r="H31" s="359" t="s">
        <v>227</v>
      </c>
      <c r="I31" s="361" t="s">
        <v>228</v>
      </c>
      <c r="J31" s="294"/>
      <c r="K31" s="360" t="s">
        <v>229</v>
      </c>
    </row>
    <row r="32" spans="1:11">
      <c r="A32" s="285"/>
      <c r="B32" s="282" t="str">
        <f>B5</f>
        <v>普通住宅</v>
      </c>
      <c r="C32" s="279">
        <v>26</v>
      </c>
      <c r="D32" s="288">
        <f>F5</f>
        <v>19054.6</v>
      </c>
      <c r="E32" s="288">
        <f t="shared" ref="D32:E34" si="6">G5</f>
        <v>18738.13</v>
      </c>
      <c r="F32" s="289">
        <f>IF(D32=0,"",ROUND(E32/D32,6))</f>
        <v>0.983391</v>
      </c>
      <c r="G32" s="289">
        <f>IF(F5=0,"",ROUND(I5/F5,6))</f>
        <v>0</v>
      </c>
      <c r="H32" s="289">
        <f>IF(F5=0,"",ROUND(J5/F5,6))</f>
        <v>0</v>
      </c>
      <c r="I32" s="295">
        <f>IF(F5=0,"",ROUND((G5+I5+J5)/F5,6))</f>
        <v>0.983391</v>
      </c>
      <c r="J32" s="296"/>
      <c r="K32" s="279"/>
    </row>
    <row r="33" spans="1:11">
      <c r="A33" s="285"/>
      <c r="B33" s="282" t="str">
        <f>B6</f>
        <v>非普通住宅</v>
      </c>
      <c r="C33" s="279">
        <v>27</v>
      </c>
      <c r="D33" s="288">
        <f t="shared" si="6"/>
        <v>0</v>
      </c>
      <c r="E33" s="288">
        <f t="shared" si="6"/>
        <v>0</v>
      </c>
      <c r="F33" s="289" t="str">
        <f t="shared" ref="F33:F35" si="7">IF(D33=0,"",ROUND(E33/D33,6))</f>
        <v/>
      </c>
      <c r="G33" s="289" t="str">
        <f t="shared" ref="G33:G34" si="8">IF(F6=0,"",ROUND(I6/F6,6))</f>
        <v/>
      </c>
      <c r="H33" s="289" t="str">
        <f t="shared" ref="H33:H34" si="9">IF(F6=0,"",ROUND(J6/F6,6))</f>
        <v/>
      </c>
      <c r="I33" s="295" t="str">
        <f t="shared" ref="I33:I34" si="10">IF(F6=0,"",ROUND((G6+I6+J6)/F6,6))</f>
        <v/>
      </c>
      <c r="J33" s="296"/>
      <c r="K33" s="279"/>
    </row>
    <row r="34" spans="1:11">
      <c r="A34" s="285"/>
      <c r="B34" s="282" t="str">
        <f>B7</f>
        <v>其他类型房产</v>
      </c>
      <c r="C34" s="279">
        <v>28</v>
      </c>
      <c r="D34" s="288">
        <f>F7</f>
        <v>7072.65</v>
      </c>
      <c r="E34" s="288">
        <f t="shared" si="6"/>
        <v>57.07</v>
      </c>
      <c r="F34" s="289">
        <f t="shared" si="7"/>
        <v>0.008069</v>
      </c>
      <c r="G34" s="289">
        <f t="shared" si="8"/>
        <v>0</v>
      </c>
      <c r="H34" s="289">
        <f t="shared" si="9"/>
        <v>0.330264</v>
      </c>
      <c r="I34" s="295">
        <f t="shared" si="10"/>
        <v>0.338333</v>
      </c>
      <c r="J34" s="296"/>
      <c r="K34" s="279"/>
    </row>
    <row r="35" ht="14.25" customHeight="1" spans="1:11">
      <c r="A35" s="285"/>
      <c r="B35" s="270" t="s">
        <v>105</v>
      </c>
      <c r="C35" s="279">
        <v>29</v>
      </c>
      <c r="D35" s="288">
        <f>SUM(D32:D34)</f>
        <v>26127.25</v>
      </c>
      <c r="E35" s="288">
        <f>SUM(E32:E34)</f>
        <v>18795.2</v>
      </c>
      <c r="F35" s="289">
        <f t="shared" si="7"/>
        <v>0.719372</v>
      </c>
      <c r="G35" s="289">
        <f>IF(F29=0,"",ROUND(I29/F29,6))</f>
        <v>0</v>
      </c>
      <c r="H35" s="289">
        <f>IF(F29=0,"",ROUND(J29/F29,6))</f>
        <v>0.089402</v>
      </c>
      <c r="I35" s="297">
        <f>IF(F29=0,"",ROUND((G29+I29+J29)/F29,6))</f>
        <v>0.808774</v>
      </c>
      <c r="J35" s="298"/>
      <c r="K35" s="299"/>
    </row>
  </sheetData>
  <mergeCells count="14">
    <mergeCell ref="A1:K1"/>
    <mergeCell ref="A2:K2"/>
    <mergeCell ref="I30:J30"/>
    <mergeCell ref="I31:J31"/>
    <mergeCell ref="I32:J32"/>
    <mergeCell ref="I33:J33"/>
    <mergeCell ref="I34:J34"/>
    <mergeCell ref="I35:J35"/>
    <mergeCell ref="A3:A29"/>
    <mergeCell ref="A30:A35"/>
    <mergeCell ref="B3:B4"/>
    <mergeCell ref="B30:B31"/>
    <mergeCell ref="C3:C4"/>
    <mergeCell ref="C30:C31"/>
  </mergeCells>
  <printOptions horizontalCentered="1"/>
  <pageMargins left="0.747916666666667" right="0.747916666666667" top="0.984027777777778" bottom="0.984027777777778" header="0.511805555555556" footer="0.511805555555556"/>
  <pageSetup paperSize="9" scale="85" fitToHeight="0" orientation="landscape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zoomScale="120" zoomScaleNormal="120" workbookViewId="0">
      <selection activeCell="H10" sqref="H10"/>
    </sheetView>
  </sheetViews>
  <sheetFormatPr defaultColWidth="8.872" defaultRowHeight="11.85"/>
  <cols>
    <col min="1" max="1" width="21.504" style="207" customWidth="1"/>
    <col min="2" max="2" width="5.752" style="207" customWidth="1"/>
    <col min="3" max="6" width="26.624" style="255" customWidth="1"/>
    <col min="7" max="7" width="15.872" style="207" customWidth="1"/>
    <col min="8" max="28" width="9" style="207"/>
    <col min="29" max="16384" width="8.872" style="207"/>
  </cols>
  <sheetData>
    <row r="1" ht="23.8" spans="1:6">
      <c r="A1" s="256" t="s">
        <v>230</v>
      </c>
      <c r="B1" s="256"/>
      <c r="C1" s="257"/>
      <c r="D1" s="257"/>
      <c r="E1" s="257"/>
      <c r="F1" s="257"/>
    </row>
    <row r="2" ht="35.1" customHeight="1" spans="1:9">
      <c r="A2" s="258" t="str">
        <f>土地增值税税源明细表!F5&amp;"："&amp;土地增值税税源明细表!H5&amp;"          "&amp;土地增值税税源明细表!A5&amp;"："&amp;土地增值税税源明细表!B5&amp;"          "&amp;"金额单位:人民币元(列至角分)"</f>
        <v>项目编码：Z65280120160100          项目名称：通力华庭          金额单位:人民币元(列至角分)</v>
      </c>
      <c r="B2" s="258"/>
      <c r="C2" s="259"/>
      <c r="D2" s="259"/>
      <c r="E2" s="259"/>
      <c r="F2" s="259"/>
      <c r="G2" s="260"/>
      <c r="H2" s="260"/>
      <c r="I2" s="260"/>
    </row>
    <row r="3" ht="35.1" customHeight="1" spans="1:6">
      <c r="A3" s="261" t="s">
        <v>231</v>
      </c>
      <c r="B3" s="261" t="s">
        <v>37</v>
      </c>
      <c r="C3" s="262" t="s">
        <v>232</v>
      </c>
      <c r="D3" s="262" t="s">
        <v>233</v>
      </c>
      <c r="E3" s="262" t="s">
        <v>234</v>
      </c>
      <c r="F3" s="262" t="s">
        <v>235</v>
      </c>
    </row>
    <row r="4" s="253" customFormat="1" ht="35.1" customHeight="1" spans="1:6">
      <c r="A4" s="263"/>
      <c r="B4" s="263"/>
      <c r="C4" s="362" t="s">
        <v>42</v>
      </c>
      <c r="D4" s="362" t="s">
        <v>210</v>
      </c>
      <c r="E4" s="362" t="s">
        <v>211</v>
      </c>
      <c r="F4" s="362" t="s">
        <v>236</v>
      </c>
    </row>
    <row r="5" ht="35.1" customHeight="1" spans="1:6">
      <c r="A5" s="264" t="str">
        <f>数据对照表!A2</f>
        <v>普通住宅</v>
      </c>
      <c r="B5" s="265">
        <v>1</v>
      </c>
      <c r="C5" s="266">
        <f>SUMIFS('附表6-收入明细采集底稿'!X:X,'附表6-收入明细采集底稿'!G:G,"普通住宅",'附表6-收入明细采集底稿'!H:H,"已售",'附表6-收入明细采集底稿'!I:I,"货币收入")</f>
        <v>68505556.2433333</v>
      </c>
      <c r="D5" s="266">
        <f>SUMIFS('附表6-收入明细采集底稿'!X:X,'附表6-收入明细采集底稿'!G:G,"普通住宅",'附表6-收入明细采集底稿'!H:H,"已售",'附表6-收入明细采集底稿'!I:I,"实物及其他收入")</f>
        <v>0</v>
      </c>
      <c r="E5" s="266">
        <f>SUMIFS('附表6-收入明细采集底稿'!X:X,'附表6-收入明细采集底稿'!G:G,"普通住宅",'附表6-收入明细采集底稿'!H:H,"已售",'附表6-收入明细采集底稿'!I:I,"视同销售收入")</f>
        <v>0</v>
      </c>
      <c r="F5" s="267">
        <f>C5+D5+E5</f>
        <v>68505556.2433333</v>
      </c>
    </row>
    <row r="6" ht="35.1" customHeight="1" spans="1:6">
      <c r="A6" s="264" t="str">
        <f>数据对照表!A3</f>
        <v>非普通住宅</v>
      </c>
      <c r="B6" s="265">
        <v>2</v>
      </c>
      <c r="C6" s="266">
        <f>SUMIFS('附表6-收入明细采集底稿'!X:X,'附表6-收入明细采集底稿'!G:G,"非普通住宅",'附表6-收入明细采集底稿'!H:H,"已售",'附表6-收入明细采集底稿'!I:I,"货币收入")</f>
        <v>0</v>
      </c>
      <c r="D6" s="266">
        <f>SUMIFS('附表6-收入明细采集底稿'!X:X,'附表6-收入明细采集底稿'!G:G,"非普通住宅",'附表6-收入明细采集底稿'!H:H,"已售",'附表6-收入明细采集底稿'!I:I,"实物及其他收入")</f>
        <v>0</v>
      </c>
      <c r="E6" s="266">
        <f>SUMIFS('附表6-收入明细采集底稿'!X:X,'附表6-收入明细采集底稿'!G:G,"非普通住宅",'附表6-收入明细采集底稿'!H:H,"已售",'附表6-收入明细采集底稿'!I:I,"视同销售收入")</f>
        <v>0</v>
      </c>
      <c r="F6" s="267">
        <f t="shared" ref="F6:F13" si="0">C6+D6+E6</f>
        <v>0</v>
      </c>
    </row>
    <row r="7" ht="35.1" customHeight="1" spans="1:6">
      <c r="A7" s="264" t="s">
        <v>144</v>
      </c>
      <c r="B7" s="265">
        <v>3</v>
      </c>
      <c r="C7" s="266">
        <f>SUM(C8:C12)</f>
        <v>1294848.57476191</v>
      </c>
      <c r="D7" s="266">
        <f>SUM(D8:D12)</f>
        <v>0</v>
      </c>
      <c r="E7" s="266">
        <f>SUM(E8:E12)</f>
        <v>0</v>
      </c>
      <c r="F7" s="267">
        <f t="shared" si="0"/>
        <v>1294848.57476191</v>
      </c>
    </row>
    <row r="8" ht="35.1" customHeight="1" spans="1:6">
      <c r="A8" s="268" t="str">
        <f>"其中："&amp;数据对照表!A4</f>
        <v>其中：商业用房</v>
      </c>
      <c r="B8" s="265">
        <v>4</v>
      </c>
      <c r="C8" s="266">
        <f>SUMIFS('附表6-收入明细采集底稿'!X:X,'附表6-收入明细采集底稿'!G:G,"商业用房",'附表6-收入明细采集底稿'!H:H,"已售",'附表6-收入明细采集底稿'!I:I,"货币收入")</f>
        <v>1294848.57476191</v>
      </c>
      <c r="D8" s="266">
        <f>SUMIFS('附表6-收入明细采集底稿'!X:X,'附表6-收入明细采集底稿'!G:G,"商业用房",'附表6-收入明细采集底稿'!H:H,"已售",'附表6-收入明细采集底稿'!I:I,"实物及其他收入")</f>
        <v>0</v>
      </c>
      <c r="E8" s="266">
        <f>SUMIFS('附表6-收入明细采集底稿'!X:X,'附表6-收入明细采集底稿'!G:G,"商业用房",'附表6-收入明细采集底稿'!H:H,"已售",'附表6-收入明细采集底稿'!I:I,"视同销售收入")</f>
        <v>0</v>
      </c>
      <c r="F8" s="267">
        <f t="shared" si="0"/>
        <v>1294848.57476191</v>
      </c>
    </row>
    <row r="9" ht="35.1" customHeight="1" spans="1:6">
      <c r="A9" s="268" t="str">
        <f>"      "&amp;数据对照表!A5</f>
        <v>      办公用房</v>
      </c>
      <c r="B9" s="265">
        <v>5</v>
      </c>
      <c r="C9" s="266">
        <f>SUMIFS('附表6-收入明细采集底稿'!X:X,'附表6-收入明细采集底稿'!G:G,"办公用房",'附表6-收入明细采集底稿'!H:H,"已售",'附表6-收入明细采集底稿'!I:I,"货币收入")</f>
        <v>0</v>
      </c>
      <c r="D9" s="266">
        <f>SUMIFS('附表6-收入明细采集底稿'!X:X,'附表6-收入明细采集底稿'!G:G,"办公用房",'附表6-收入明细采集底稿'!H:H,"已售",'附表6-收入明细采集底稿'!I:I,"实物及其他收入")</f>
        <v>0</v>
      </c>
      <c r="E9" s="266">
        <f>SUMIFS('附表6-收入明细采集底稿'!X:X,'附表6-收入明细采集底稿'!G:G,"办公用房",'附表6-收入明细采集底稿'!H:H,"已售",'附表6-收入明细采集底稿'!I:I,"视同销售收入")</f>
        <v>0</v>
      </c>
      <c r="F9" s="267">
        <f t="shared" si="0"/>
        <v>0</v>
      </c>
    </row>
    <row r="10" ht="35.1" customHeight="1" spans="1:6">
      <c r="A10" s="268" t="str">
        <f>"      "&amp;数据对照表!A6</f>
        <v>      车位车库</v>
      </c>
      <c r="B10" s="265">
        <v>6</v>
      </c>
      <c r="C10" s="266">
        <f>SUMIFS('附表6-收入明细采集底稿'!X:X,'附表6-收入明细采集底稿'!G:G,"车位车库",'附表6-收入明细采集底稿'!H:H,"已售",'附表6-收入明细采集底稿'!I:I,"货币收入")</f>
        <v>0</v>
      </c>
      <c r="D10" s="266">
        <f>SUMIFS('附表6-收入明细采集底稿'!X:X,'附表6-收入明细采集底稿'!G:G,"车位车库",'附表6-收入明细采集底稿'!H:H,"已售",'附表6-收入明细采集底稿'!I:I,"实物及其他收入")</f>
        <v>0</v>
      </c>
      <c r="E10" s="266">
        <f>SUMIFS('附表6-收入明细采集底稿'!X:X,'附表6-收入明细采集底稿'!G:G,"车位车库",'附表6-收入明细采集底稿'!H:H,"已售",'附表6-收入明细采集底稿'!I:I,"视同销售收入")</f>
        <v>0</v>
      </c>
      <c r="F10" s="267">
        <f t="shared" si="0"/>
        <v>0</v>
      </c>
    </row>
    <row r="11" ht="35.1" customHeight="1" spans="1:6">
      <c r="A11" s="268" t="str">
        <f>"      "&amp;数据对照表!A7</f>
        <v>      其他营业性房产</v>
      </c>
      <c r="B11" s="265">
        <v>7</v>
      </c>
      <c r="C11" s="266">
        <f>SUMIFS('附表6-收入明细采集底稿'!X:X,'附表6-收入明细采集底稿'!G:G,"其他营业性房产",'附表6-收入明细采集底稿'!H:H,"已售",'附表6-收入明细采集底稿'!I:I,"货币收入")</f>
        <v>0</v>
      </c>
      <c r="D11" s="266">
        <f>SUMIFS('附表6-收入明细采集底稿'!X:X,'附表6-收入明细采集底稿'!G:G,"其他营业性房产",'附表6-收入明细采集底稿'!H:H,"已售",'附表6-收入明细采集底稿'!I:I,"实物及其他收入")</f>
        <v>0</v>
      </c>
      <c r="E11" s="266">
        <f>SUMIFS('附表6-收入明细采集底稿'!X:X,'附表6-收入明细采集底稿'!G:G,"其他营业性房产",'附表6-收入明细采集底稿'!H:H,"已售",'附表6-收入明细采集底稿'!I:I,"视同销售收入")</f>
        <v>0</v>
      </c>
      <c r="F11" s="267">
        <f t="shared" si="0"/>
        <v>0</v>
      </c>
    </row>
    <row r="12" ht="35.1" customHeight="1" spans="1:6">
      <c r="A12" s="268" t="str">
        <f>"      "&amp;"非营业性房产"</f>
        <v>      非营业性房产</v>
      </c>
      <c r="B12" s="265">
        <v>8</v>
      </c>
      <c r="C12" s="269">
        <f>ROUND(SUMIFS('附表6-收入明细采集底稿'!X:X,'附表6-收入明细采集底稿'!H:H,"已售",'附表6-收入明细采集底稿'!I:I,"货币收入")-C5-C6-C8-C9-C10-C11,2)</f>
        <v>0</v>
      </c>
      <c r="D12" s="269">
        <f>ROUND(SUMIFS('附表6-收入明细采集底稿'!X:X,'附表6-收入明细采集底稿'!H:H,"已售",'附表6-收入明细采集底稿'!I:I,"实物及其他收入")-D5-D6-D8-D9-D10-D11,2)</f>
        <v>0</v>
      </c>
      <c r="E12" s="269">
        <f>ROUND(SUMIFS('附表6-收入明细采集底稿'!X:X,'附表6-收入明细采集底稿'!H:H,"已售",'附表6-收入明细采集底稿'!I:I,"视同销售收入")-E5-E6-E8-E9-E10-E11,2)</f>
        <v>0</v>
      </c>
      <c r="F12" s="267">
        <f t="shared" si="0"/>
        <v>0</v>
      </c>
    </row>
    <row r="13" s="254" customFormat="1" ht="35.1" customHeight="1" spans="1:6">
      <c r="A13" s="270" t="s">
        <v>105</v>
      </c>
      <c r="B13" s="265">
        <v>9</v>
      </c>
      <c r="C13" s="267">
        <f>C5+C6+C7</f>
        <v>69800404.8180952</v>
      </c>
      <c r="D13" s="267">
        <f>D5+D6+D7</f>
        <v>0</v>
      </c>
      <c r="E13" s="267">
        <f>E5+E6+E7</f>
        <v>0</v>
      </c>
      <c r="F13" s="267">
        <f t="shared" si="0"/>
        <v>69800404.8180952</v>
      </c>
    </row>
  </sheetData>
  <mergeCells count="4">
    <mergeCell ref="A1:F1"/>
    <mergeCell ref="A2:F2"/>
    <mergeCell ref="A3:A4"/>
    <mergeCell ref="B3:B4"/>
  </mergeCells>
  <printOptions horizontalCentered="1"/>
  <pageMargins left="0.747916666666667" right="0.747916666666667" top="0.984027777777778" bottom="0.984027777777778" header="0.511805555555556" footer="0.511805555555556"/>
  <pageSetup paperSize="9" scale="80" fitToHeight="0" orientation="landscape"/>
  <headerFooter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36"/>
  <sheetViews>
    <sheetView zoomScale="90" zoomScaleNormal="90" topLeftCell="A15" workbookViewId="0">
      <selection activeCell="K6" sqref="K6"/>
    </sheetView>
  </sheetViews>
  <sheetFormatPr defaultColWidth="8.872" defaultRowHeight="15.65"/>
  <cols>
    <col min="1" max="1" width="23.264" style="210" customWidth="1"/>
    <col min="2" max="2" width="11.464" style="211" customWidth="1"/>
    <col min="3" max="3" width="13.376" style="212" customWidth="1"/>
    <col min="4" max="4" width="5.784" style="212" customWidth="1"/>
    <col min="5" max="5" width="14.128" style="212" customWidth="1"/>
    <col min="6" max="6" width="14.24" style="212" customWidth="1"/>
    <col min="7" max="7" width="13.376" style="213" customWidth="1"/>
    <col min="8" max="8" width="9.344" style="214" customWidth="1"/>
    <col min="9" max="9" width="10.784" style="214" customWidth="1"/>
    <col min="10" max="10" width="10.12" style="214" customWidth="1"/>
    <col min="11" max="13" width="17.376" style="212" customWidth="1"/>
    <col min="14" max="14" width="15.504" style="212" customWidth="1"/>
    <col min="15" max="16384" width="8.872" style="210"/>
  </cols>
  <sheetData>
    <row r="1" s="206" customFormat="1" ht="20.65" spans="1:14">
      <c r="A1" s="215" t="s">
        <v>237</v>
      </c>
      <c r="B1" s="215"/>
      <c r="C1" s="216"/>
      <c r="D1" s="216"/>
      <c r="E1" s="216"/>
      <c r="F1" s="216"/>
      <c r="G1" s="215"/>
      <c r="H1" s="217"/>
      <c r="I1" s="217"/>
      <c r="J1" s="217"/>
      <c r="K1" s="216"/>
      <c r="L1" s="216"/>
      <c r="M1" s="216"/>
      <c r="N1" s="216"/>
    </row>
    <row r="2" s="207" customFormat="1" ht="19.5" customHeight="1" spans="1:21">
      <c r="A2" s="53" t="str">
        <f>土地增值税税源明细表!F5&amp;"："&amp;土地增值税税源明细表!H5&amp;"          "&amp;土地增值税税源明细表!A5&amp;"："&amp;土地增值税税源明细表!B5&amp;"          "&amp;"金额单位:人民币元(列至角分)"</f>
        <v>项目编码：Z65280120160100          项目名称：通力华庭          金额单位:人民币元(列至角分)</v>
      </c>
      <c r="B2" s="53"/>
      <c r="C2" s="141"/>
      <c r="D2" s="141"/>
      <c r="E2" s="141"/>
      <c r="F2" s="141"/>
      <c r="G2" s="53"/>
      <c r="H2" s="218"/>
      <c r="I2" s="218"/>
      <c r="J2" s="218"/>
      <c r="K2" s="141"/>
      <c r="L2" s="141"/>
      <c r="M2" s="141"/>
      <c r="N2" s="141"/>
      <c r="O2" s="251"/>
      <c r="P2" s="251"/>
      <c r="Q2" s="251"/>
      <c r="R2" s="251"/>
      <c r="S2" s="251"/>
      <c r="T2" s="251"/>
      <c r="U2" s="251"/>
    </row>
    <row r="3" s="162" customFormat="1" ht="27.95" customHeight="1" spans="1:14">
      <c r="A3" s="219" t="s">
        <v>238</v>
      </c>
      <c r="B3" s="220" t="s">
        <v>37</v>
      </c>
      <c r="C3" s="143" t="s">
        <v>239</v>
      </c>
      <c r="D3" s="143"/>
      <c r="E3" s="143"/>
      <c r="F3" s="143"/>
      <c r="G3" s="221" t="s">
        <v>240</v>
      </c>
      <c r="H3" s="222"/>
      <c r="I3" s="222"/>
      <c r="J3" s="222"/>
      <c r="K3" s="143" t="s">
        <v>241</v>
      </c>
      <c r="L3" s="143"/>
      <c r="M3" s="143"/>
      <c r="N3" s="143"/>
    </row>
    <row r="4" s="162" customFormat="1" ht="27.95" customHeight="1" spans="1:14">
      <c r="A4" s="223"/>
      <c r="B4" s="224"/>
      <c r="C4" s="143" t="s">
        <v>142</v>
      </c>
      <c r="D4" s="143" t="s">
        <v>143</v>
      </c>
      <c r="E4" s="143" t="s">
        <v>144</v>
      </c>
      <c r="F4" s="143" t="s">
        <v>235</v>
      </c>
      <c r="G4" s="225" t="s">
        <v>242</v>
      </c>
      <c r="H4" s="226" t="s">
        <v>142</v>
      </c>
      <c r="I4" s="226" t="s">
        <v>143</v>
      </c>
      <c r="J4" s="226" t="s">
        <v>144</v>
      </c>
      <c r="K4" s="143" t="s">
        <v>142</v>
      </c>
      <c r="L4" s="143" t="s">
        <v>143</v>
      </c>
      <c r="M4" s="143" t="s">
        <v>144</v>
      </c>
      <c r="N4" s="143" t="s">
        <v>235</v>
      </c>
    </row>
    <row r="5" s="162" customFormat="1" ht="27.95" customHeight="1" spans="1:14">
      <c r="A5" s="227"/>
      <c r="B5" s="228"/>
      <c r="C5" s="363" t="s">
        <v>42</v>
      </c>
      <c r="D5" s="363" t="s">
        <v>210</v>
      </c>
      <c r="E5" s="363" t="s">
        <v>211</v>
      </c>
      <c r="F5" s="363" t="s">
        <v>236</v>
      </c>
      <c r="G5" s="364" t="s">
        <v>243</v>
      </c>
      <c r="H5" s="365" t="s">
        <v>214</v>
      </c>
      <c r="I5" s="365" t="s">
        <v>215</v>
      </c>
      <c r="J5" s="365" t="s">
        <v>216</v>
      </c>
      <c r="K5" s="363" t="s">
        <v>244</v>
      </c>
      <c r="L5" s="363" t="s">
        <v>245</v>
      </c>
      <c r="M5" s="363" t="s">
        <v>246</v>
      </c>
      <c r="N5" s="363" t="s">
        <v>247</v>
      </c>
    </row>
    <row r="6" s="162" customFormat="1" ht="27.95" customHeight="1" spans="1:14">
      <c r="A6" s="229" t="s">
        <v>248</v>
      </c>
      <c r="B6" s="230" t="s">
        <v>249</v>
      </c>
      <c r="C6" s="231">
        <f>'附表5-扣除项目统计表'!E87+'附表5-扣除项目统计表'!I87</f>
        <v>61508807.7152892</v>
      </c>
      <c r="D6" s="231">
        <f>'附表5-扣除项目统计表'!F87+'附表5-扣除项目统计表'!J87</f>
        <v>0</v>
      </c>
      <c r="E6" s="231">
        <f>'附表5-扣除项目统计表'!G87+'附表5-扣除项目统计表'!K87</f>
        <v>20153485.9837108</v>
      </c>
      <c r="F6" s="231">
        <f>SUM(C6:E6)</f>
        <v>81662293.699</v>
      </c>
      <c r="G6" s="232"/>
      <c r="H6" s="233"/>
      <c r="I6" s="233"/>
      <c r="J6" s="233"/>
      <c r="K6" s="252">
        <f>SUM(K7)+SUM(K9)+SUM(K17)+SUM(K20)+SUM(K26)+SUM(K27)</f>
        <v>60500788.89</v>
      </c>
      <c r="L6" s="252">
        <f>SUM(L7)+SUM(L9)+SUM(L17)+SUM(L20)+SUM(L26)+SUM(L27)</f>
        <v>0</v>
      </c>
      <c r="M6" s="252">
        <f>SUM(M7)+SUM(M9)+SUM(M17)+SUM(M20)+SUM(M26)+SUM(M27)</f>
        <v>189541.59</v>
      </c>
      <c r="N6" s="252">
        <f>SUM(K6:M6)</f>
        <v>60690330.48</v>
      </c>
    </row>
    <row r="7" s="162" customFormat="1" ht="27.95" customHeight="1" spans="1:14">
      <c r="A7" s="234" t="s">
        <v>153</v>
      </c>
      <c r="B7" s="230" t="s">
        <v>210</v>
      </c>
      <c r="C7" s="231">
        <f>'附表5-扣除项目统计表'!E6+'附表5-扣除项目统计表'!I6</f>
        <v>7837733.87714556</v>
      </c>
      <c r="D7" s="231">
        <f>'附表5-扣除项目统计表'!F6+'附表5-扣除项目统计表'!J6</f>
        <v>0</v>
      </c>
      <c r="E7" s="231">
        <f>'附表5-扣除项目统计表'!G6+'附表5-扣除项目统计表'!K6</f>
        <v>1077273.99285444</v>
      </c>
      <c r="F7" s="231">
        <f t="shared" ref="F7:F19" si="0">SUM(C7:E7)</f>
        <v>8915007.87</v>
      </c>
      <c r="G7" s="235" t="s">
        <v>250</v>
      </c>
      <c r="H7" s="236">
        <f>'附表1-面积统计表'!F32</f>
        <v>0.983391</v>
      </c>
      <c r="I7" s="236">
        <v>0</v>
      </c>
      <c r="J7" s="236">
        <f>'附表1-面积统计表'!E34/'附表1-面积统计表'!D8</f>
        <v>0.0217907598319969</v>
      </c>
      <c r="K7" s="252">
        <f t="shared" ref="K7:K14" si="1">IF(AND(H7&lt;=1,H7&gt;=0),ROUND(C7*H7,2),"请准确填写扣除比例")</f>
        <v>7707556.96</v>
      </c>
      <c r="L7" s="252">
        <v>0</v>
      </c>
      <c r="M7" s="252">
        <f t="shared" ref="M7:M14" si="2">IF(AND(J7&lt;=1,J7&gt;=0),ROUND(E7*J7,2),"请准确填写扣除比例")</f>
        <v>23474.62</v>
      </c>
      <c r="N7" s="252">
        <f t="shared" ref="N7:N27" si="3">SUM(K7:M7)</f>
        <v>7731031.58</v>
      </c>
    </row>
    <row r="8" s="162" customFormat="1" ht="27.95" customHeight="1" spans="1:14">
      <c r="A8" s="237" t="s">
        <v>154</v>
      </c>
      <c r="B8" s="230" t="s">
        <v>211</v>
      </c>
      <c r="C8" s="231">
        <f>'附表5-扣除项目统计表'!E10+'附表5-扣除项目统计表'!I10</f>
        <v>0</v>
      </c>
      <c r="D8" s="231">
        <f>'附表5-扣除项目统计表'!F10+'附表5-扣除项目统计表'!J10</f>
        <v>0</v>
      </c>
      <c r="E8" s="231">
        <f>'附表5-扣除项目统计表'!G10+'附表5-扣除项目统计表'!K10</f>
        <v>0</v>
      </c>
      <c r="F8" s="231">
        <f t="shared" si="0"/>
        <v>0</v>
      </c>
      <c r="G8" s="235" t="s">
        <v>251</v>
      </c>
      <c r="H8" s="236">
        <f>IF(OR($G8="可售建筑面积法",$G8="可售建筑面积法（二分法）"),'附表1-面积统计表'!$F$32,IF($G8="其他合理方法","请填写","请选择分摊方法"))</f>
        <v>0.983391</v>
      </c>
      <c r="I8" s="236" t="str">
        <f>IF($G8="可售建筑面积法（二分法）",IF('附表1-面积统计表'!$D$33+'附表1-面积统计表'!$D$34=0,"",ROUND(('附表1-面积统计表'!$E$33+'附表1-面积统计表'!$E$34)/('附表1-面积统计表'!$D$33+'附表1-面积统计表'!$D$34),6)),IF($G8="可售建筑面积法",'附表1-面积统计表'!$F$33,IF($G8="其他合理方法","请填写","请选择分摊方法")))</f>
        <v/>
      </c>
      <c r="J8" s="236">
        <f>IF($G8="可售建筑面积法（二分法）",IF('附表1-面积统计表'!$D$33+'附表1-面积统计表'!$D$34=0,"",ROUND(('附表1-面积统计表'!$E$33+'附表1-面积统计表'!$E$34)/('附表1-面积统计表'!$D$33+'附表1-面积统计表'!$D$34),6)),IF($G8="可售建筑面积法",'附表1-面积统计表'!$F$34,IF($G8="其他合理方法","请填写","请选择分摊方法")))</f>
        <v>0.008069</v>
      </c>
      <c r="K8" s="252">
        <f t="shared" si="1"/>
        <v>0</v>
      </c>
      <c r="L8" s="252">
        <v>0</v>
      </c>
      <c r="M8" s="252">
        <f t="shared" si="2"/>
        <v>0</v>
      </c>
      <c r="N8" s="252">
        <f t="shared" si="3"/>
        <v>0</v>
      </c>
    </row>
    <row r="9" s="162" customFormat="1" ht="27.95" customHeight="1" spans="1:14">
      <c r="A9" s="234" t="s">
        <v>156</v>
      </c>
      <c r="B9" s="230" t="s">
        <v>252</v>
      </c>
      <c r="C9" s="231">
        <f>'附表5-扣除项目统计表'!E11+'附表5-扣除项目统计表'!I11</f>
        <v>38847743.95</v>
      </c>
      <c r="D9" s="231">
        <f>'附表5-扣除项目统计表'!F11+'附表5-扣除项目统计表'!J11</f>
        <v>0</v>
      </c>
      <c r="E9" s="231">
        <f>'附表5-扣除项目统计表'!G11+'附表5-扣除项目统计表'!K11</f>
        <v>14419431.31</v>
      </c>
      <c r="F9" s="231">
        <f t="shared" si="0"/>
        <v>53267175.26</v>
      </c>
      <c r="G9" s="233"/>
      <c r="H9" s="233"/>
      <c r="I9" s="233"/>
      <c r="J9" s="233"/>
      <c r="K9" s="252">
        <f>SUM(K10:K15)</f>
        <v>38202521.77</v>
      </c>
      <c r="L9" s="252">
        <f>SUM(L10:L15)</f>
        <v>0</v>
      </c>
      <c r="M9" s="252">
        <f>SUM(M10:M15)</f>
        <v>116350.38</v>
      </c>
      <c r="N9" s="252">
        <f t="shared" si="3"/>
        <v>38318872.15</v>
      </c>
    </row>
    <row r="10" s="162" customFormat="1" ht="27.95" customHeight="1" spans="1:14">
      <c r="A10" s="237" t="s">
        <v>158</v>
      </c>
      <c r="B10" s="230" t="s">
        <v>243</v>
      </c>
      <c r="C10" s="231">
        <f>'附表5-扣除项目统计表'!E12+'附表5-扣除项目统计表'!I12</f>
        <v>0</v>
      </c>
      <c r="D10" s="231">
        <f>'附表5-扣除项目统计表'!F12+'附表5-扣除项目统计表'!J12</f>
        <v>0</v>
      </c>
      <c r="E10" s="231">
        <f>'附表5-扣除项目统计表'!G12+'附表5-扣除项目统计表'!K12</f>
        <v>0</v>
      </c>
      <c r="F10" s="231">
        <f t="shared" si="0"/>
        <v>0</v>
      </c>
      <c r="G10" s="235" t="s">
        <v>251</v>
      </c>
      <c r="H10" s="236">
        <f>IF(OR($G10="可售建筑面积法",$G10="可售建筑面积法（二分法）"),'附表1-面积统计表'!$F$32,IF($G10="其他合理方法","请填写","请选择分摊方法"))</f>
        <v>0.983391</v>
      </c>
      <c r="I10" s="236" t="str">
        <f>IF($G10="可售建筑面积法（二分法）",IF('附表1-面积统计表'!$D$33+'附表1-面积统计表'!$D$34=0,"",ROUND(('附表1-面积统计表'!$E$33+'附表1-面积统计表'!$E$34)/('附表1-面积统计表'!$D$33+'附表1-面积统计表'!$D$34),6)),IF($G10="可售建筑面积法",'附表1-面积统计表'!$F$33,IF($G10="其他合理方法","请填写","请选择分摊方法")))</f>
        <v/>
      </c>
      <c r="J10" s="236">
        <f>IF($G10="可售建筑面积法（二分法）",IF('附表1-面积统计表'!$D$33+'附表1-面积统计表'!$D$34=0,"",ROUND(('附表1-面积统计表'!$E$33+'附表1-面积统计表'!$E$34)/('附表1-面积统计表'!$D$33+'附表1-面积统计表'!$D$34),6)),IF($G10="可售建筑面积法",'附表1-面积统计表'!$F$34,IF($G10="其他合理方法","请填写","请选择分摊方法")))</f>
        <v>0.008069</v>
      </c>
      <c r="K10" s="252">
        <f t="shared" si="1"/>
        <v>0</v>
      </c>
      <c r="L10" s="252">
        <v>0</v>
      </c>
      <c r="M10" s="252">
        <f t="shared" si="2"/>
        <v>0</v>
      </c>
      <c r="N10" s="252">
        <f t="shared" si="3"/>
        <v>0</v>
      </c>
    </row>
    <row r="11" s="162" customFormat="1" ht="27.95" customHeight="1" spans="1:14">
      <c r="A11" s="237" t="s">
        <v>159</v>
      </c>
      <c r="B11" s="230" t="s">
        <v>214</v>
      </c>
      <c r="C11" s="231">
        <f>'附表5-扣除项目统计表'!E19+'附表5-扣除项目统计表'!I19</f>
        <v>1677980.47</v>
      </c>
      <c r="D11" s="231">
        <f>'附表5-扣除项目统计表'!F19+'附表5-扣除项目统计表'!J19</f>
        <v>0</v>
      </c>
      <c r="E11" s="231">
        <f>'附表5-扣除项目统计表'!G19+'附表5-扣除项目统计表'!K19</f>
        <v>622829.55</v>
      </c>
      <c r="F11" s="231">
        <f t="shared" si="0"/>
        <v>2300810.02</v>
      </c>
      <c r="G11" s="235" t="s">
        <v>251</v>
      </c>
      <c r="H11" s="236">
        <f>IF(OR($G11="可售建筑面积法",$G11="可售建筑面积法（二分法）"),'附表1-面积统计表'!$F$32,IF($G11="其他合理方法","请填写","请选择分摊方法"))</f>
        <v>0.983391</v>
      </c>
      <c r="I11" s="236" t="str">
        <f>IF($G11="可售建筑面积法（二分法）",IF('附表1-面积统计表'!$D$33+'附表1-面积统计表'!$D$34=0,"",ROUND(('附表1-面积统计表'!$E$33+'附表1-面积统计表'!$E$34)/('附表1-面积统计表'!$D$33+'附表1-面积统计表'!$D$34),6)),IF($G11="可售建筑面积法",'附表1-面积统计表'!$F$33,IF($G11="其他合理方法","请填写","请选择分摊方法")))</f>
        <v/>
      </c>
      <c r="J11" s="236">
        <f>IF($G11="可售建筑面积法（二分法）",IF('附表1-面积统计表'!$D$33+'附表1-面积统计表'!$D$34=0,"",ROUND(('附表1-面积统计表'!$E$33+'附表1-面积统计表'!$E$34)/('附表1-面积统计表'!$D$33+'附表1-面积统计表'!$D$34),6)),IF($G11="可售建筑面积法",'附表1-面积统计表'!$F$34,IF($G11="其他合理方法","请填写","请选择分摊方法")))</f>
        <v>0.008069</v>
      </c>
      <c r="K11" s="252">
        <f t="shared" si="1"/>
        <v>1650110.89</v>
      </c>
      <c r="L11" s="252">
        <v>0</v>
      </c>
      <c r="M11" s="252">
        <f t="shared" si="2"/>
        <v>5025.61</v>
      </c>
      <c r="N11" s="252">
        <f t="shared" si="3"/>
        <v>1655136.5</v>
      </c>
    </row>
    <row r="12" s="162" customFormat="1" ht="27.95" customHeight="1" spans="1:14">
      <c r="A12" s="237" t="s">
        <v>160</v>
      </c>
      <c r="B12" s="230" t="s">
        <v>215</v>
      </c>
      <c r="C12" s="231">
        <f>'附表5-扣除项目统计表'!E29+'附表5-扣除项目统计表'!I29</f>
        <v>35330661.19</v>
      </c>
      <c r="D12" s="231">
        <f>'附表5-扣除项目统计表'!F29+'附表5-扣除项目统计表'!J29</f>
        <v>0</v>
      </c>
      <c r="E12" s="231">
        <f>'附表5-扣除项目统计表'!G29+'附表5-扣除项目统计表'!K29</f>
        <v>13113967.26</v>
      </c>
      <c r="F12" s="231">
        <f t="shared" si="0"/>
        <v>48444628.45</v>
      </c>
      <c r="G12" s="235" t="s">
        <v>251</v>
      </c>
      <c r="H12" s="236">
        <f>IF(OR($G12="可售建筑面积法",$G12="可售建筑面积法（二分法）"),'附表1-面积统计表'!$F$32,IF($G12="其他合理方法","请填写","请选择分摊方法"))</f>
        <v>0.983391</v>
      </c>
      <c r="I12" s="236" t="str">
        <f>IF($G12="可售建筑面积法（二分法）",IF('附表1-面积统计表'!$D$33+'附表1-面积统计表'!$D$34=0,"",ROUND(('附表1-面积统计表'!$E$33+'附表1-面积统计表'!$E$34)/('附表1-面积统计表'!$D$33+'附表1-面积统计表'!$D$34),6)),IF($G12="可售建筑面积法",'附表1-面积统计表'!$F$33,IF($G12="其他合理方法","请填写","请选择分摊方法")))</f>
        <v/>
      </c>
      <c r="J12" s="236">
        <f>IF($G12="可售建筑面积法（二分法）",IF('附表1-面积统计表'!$D$33+'附表1-面积统计表'!$D$34=0,"",ROUND(('附表1-面积统计表'!$E$33+'附表1-面积统计表'!$E$34)/('附表1-面积统计表'!$D$33+'附表1-面积统计表'!$D$34),6)),IF($G12="可售建筑面积法",'附表1-面积统计表'!$F$34,IF($G12="其他合理方法","请填写","请选择分摊方法")))</f>
        <v>0.008069</v>
      </c>
      <c r="K12" s="252">
        <f t="shared" si="1"/>
        <v>34743854.24</v>
      </c>
      <c r="L12" s="252">
        <v>0</v>
      </c>
      <c r="M12" s="252">
        <f t="shared" si="2"/>
        <v>105816.6</v>
      </c>
      <c r="N12" s="252">
        <f t="shared" si="3"/>
        <v>34849670.84</v>
      </c>
    </row>
    <row r="13" s="162" customFormat="1" ht="27.95" customHeight="1" spans="1:14">
      <c r="A13" s="237" t="s">
        <v>161</v>
      </c>
      <c r="B13" s="230" t="s">
        <v>216</v>
      </c>
      <c r="C13" s="231">
        <f>'附表5-扣除项目统计表'!E36+'附表5-扣除项目统计表'!I36</f>
        <v>1639937.79</v>
      </c>
      <c r="D13" s="231">
        <f>'附表5-扣除项目统计表'!F36+'附表5-扣除项目统计表'!J36</f>
        <v>0</v>
      </c>
      <c r="E13" s="231">
        <f>'附表5-扣除项目统计表'!G36+'附表5-扣除项目统计表'!K36</f>
        <v>608709</v>
      </c>
      <c r="F13" s="231">
        <f t="shared" si="0"/>
        <v>2248646.79</v>
      </c>
      <c r="G13" s="235" t="s">
        <v>251</v>
      </c>
      <c r="H13" s="236">
        <f>IF(OR($G13="可售建筑面积法",$G13="可售建筑面积法（二分法）"),'附表1-面积统计表'!$F$32,IF($G13="其他合理方法","请填写","请选择分摊方法"))</f>
        <v>0.983391</v>
      </c>
      <c r="I13" s="236" t="str">
        <f>IF($G13="可售建筑面积法（二分法）",IF('附表1-面积统计表'!$D$33+'附表1-面积统计表'!$D$34=0,"",ROUND(('附表1-面积统计表'!$E$33+'附表1-面积统计表'!$E$34)/('附表1-面积统计表'!$D$33+'附表1-面积统计表'!$D$34),6)),IF($G13="可售建筑面积法",'附表1-面积统计表'!$F$33,IF($G13="其他合理方法","请填写","请选择分摊方法")))</f>
        <v/>
      </c>
      <c r="J13" s="236">
        <f>IF($G13="可售建筑面积法（二分法）",IF('附表1-面积统计表'!$D$33+'附表1-面积统计表'!$D$34=0,"",ROUND(('附表1-面积统计表'!$E$33+'附表1-面积统计表'!$E$34)/('附表1-面积统计表'!$D$33+'附表1-面积统计表'!$D$34),6)),IF($G13="可售建筑面积法",'附表1-面积统计表'!$F$34,IF($G13="其他合理方法","请填写","请选择分摊方法")))</f>
        <v>0.008069</v>
      </c>
      <c r="K13" s="252">
        <f t="shared" si="1"/>
        <v>1612700.06</v>
      </c>
      <c r="L13" s="252">
        <v>0</v>
      </c>
      <c r="M13" s="252">
        <f t="shared" si="2"/>
        <v>4911.67</v>
      </c>
      <c r="N13" s="252">
        <f t="shared" si="3"/>
        <v>1617611.73</v>
      </c>
    </row>
    <row r="14" s="208" customFormat="1" ht="27.95" customHeight="1" spans="1:14">
      <c r="A14" s="237" t="s">
        <v>162</v>
      </c>
      <c r="B14" s="230" t="s">
        <v>223</v>
      </c>
      <c r="C14" s="231">
        <f>'附表5-扣除项目统计表'!E48+'附表5-扣除项目统计表'!I48</f>
        <v>0</v>
      </c>
      <c r="D14" s="231">
        <f>'附表5-扣除项目统计表'!F48+'附表5-扣除项目统计表'!J48</f>
        <v>0</v>
      </c>
      <c r="E14" s="231">
        <f>'附表5-扣除项目统计表'!G48+'附表5-扣除项目统计表'!K48</f>
        <v>0</v>
      </c>
      <c r="F14" s="231">
        <f t="shared" si="0"/>
        <v>0</v>
      </c>
      <c r="G14" s="235" t="s">
        <v>251</v>
      </c>
      <c r="H14" s="236">
        <f>IF(OR($G14="可售建筑面积法",$G14="可售建筑面积法（二分法）"),'附表1-面积统计表'!$F$32,IF($G14="其他合理方法","请填写","请选择分摊方法"))</f>
        <v>0.983391</v>
      </c>
      <c r="I14" s="236" t="str">
        <f>IF($G14="可售建筑面积法（二分法）",IF('附表1-面积统计表'!$D$33+'附表1-面积统计表'!$D$34=0,"",ROUND(('附表1-面积统计表'!$E$33+'附表1-面积统计表'!$E$34)/('附表1-面积统计表'!$D$33+'附表1-面积统计表'!$D$34),6)),IF($G14="可售建筑面积法",'附表1-面积统计表'!$F$33,IF($G14="其他合理方法","请填写","请选择分摊方法")))</f>
        <v/>
      </c>
      <c r="J14" s="236">
        <f>IF($G14="可售建筑面积法（二分法）",IF('附表1-面积统计表'!$D$33+'附表1-面积统计表'!$D$34=0,"",ROUND(('附表1-面积统计表'!$E$33+'附表1-面积统计表'!$E$34)/('附表1-面积统计表'!$D$33+'附表1-面积统计表'!$D$34),6)),IF($G14="可售建筑面积法",'附表1-面积统计表'!$F$34,IF($G14="其他合理方法","请填写","请选择分摊方法")))</f>
        <v>0.008069</v>
      </c>
      <c r="K14" s="252">
        <f t="shared" si="1"/>
        <v>0</v>
      </c>
      <c r="L14" s="252">
        <v>0</v>
      </c>
      <c r="M14" s="252">
        <f t="shared" si="2"/>
        <v>0</v>
      </c>
      <c r="N14" s="252">
        <f t="shared" si="3"/>
        <v>0</v>
      </c>
    </row>
    <row r="15" s="208" customFormat="1" ht="27.95" customHeight="1" spans="1:14">
      <c r="A15" s="237" t="s">
        <v>163</v>
      </c>
      <c r="B15" s="230" t="s">
        <v>224</v>
      </c>
      <c r="C15" s="231">
        <f>'附表5-扣除项目统计表'!E65+'附表5-扣除项目统计表'!I65</f>
        <v>199164.5</v>
      </c>
      <c r="D15" s="231">
        <f>'附表5-扣除项目统计表'!F65+'附表5-扣除项目统计表'!J65</f>
        <v>0</v>
      </c>
      <c r="E15" s="231">
        <f>'附表5-扣除项目统计表'!G65+'附表5-扣除项目统计表'!K65</f>
        <v>73925.5</v>
      </c>
      <c r="F15" s="231">
        <f t="shared" si="0"/>
        <v>273090</v>
      </c>
      <c r="G15" s="235" t="s">
        <v>251</v>
      </c>
      <c r="H15" s="236">
        <f>IF(OR($G15="可售建筑面积法",$G15="可售建筑面积法（二分法）"),'附表1-面积统计表'!$F$32,IF($G15="其他合理方法","请填写","请选择分摊方法"))</f>
        <v>0.983391</v>
      </c>
      <c r="I15" s="236" t="str">
        <f>IF($G15="可售建筑面积法（二分法）",IF('附表1-面积统计表'!$D$33+'附表1-面积统计表'!$D$34=0,"",ROUND(('附表1-面积统计表'!$E$33+'附表1-面积统计表'!$E$34)/('附表1-面积统计表'!$D$33+'附表1-面积统计表'!$D$34),6)),IF($G15="可售建筑面积法",'附表1-面积统计表'!$F$33,IF($G15="其他合理方法","请填写","请选择分摊方法")))</f>
        <v/>
      </c>
      <c r="J15" s="236">
        <f>IF($G15="可售建筑面积法（二分法）",IF('附表1-面积统计表'!$D$33+'附表1-面积统计表'!$D$34=0,"",ROUND(('附表1-面积统计表'!$E$33+'附表1-面积统计表'!$E$34)/('附表1-面积统计表'!$D$33+'附表1-面积统计表'!$D$34),6)),IF($G15="可售建筑面积法",'附表1-面积统计表'!$F$34,IF($G15="其他合理方法","请填写","请选择分摊方法")))</f>
        <v>0.008069</v>
      </c>
      <c r="K15" s="252">
        <f t="shared" ref="K15:M16" si="4">IF(AND(H15&lt;=1,H15&gt;=0),ROUND(C15*H15,2),"请准确填写扣除比例")</f>
        <v>195856.58</v>
      </c>
      <c r="L15" s="252">
        <v>0</v>
      </c>
      <c r="M15" s="252">
        <f t="shared" si="4"/>
        <v>596.5</v>
      </c>
      <c r="N15" s="252">
        <f t="shared" si="3"/>
        <v>196453.08</v>
      </c>
    </row>
    <row r="16" s="208" customFormat="1" ht="27.95" customHeight="1" spans="1:14">
      <c r="A16" s="237" t="s">
        <v>154</v>
      </c>
      <c r="B16" s="230" t="s">
        <v>253</v>
      </c>
      <c r="C16" s="231">
        <f>'附表5-扣除项目统计表'!E75+'附表5-扣除项目统计表'!I75</f>
        <v>0</v>
      </c>
      <c r="D16" s="231">
        <f>'附表5-扣除项目统计表'!F75+'附表5-扣除项目统计表'!J75</f>
        <v>0</v>
      </c>
      <c r="E16" s="231">
        <f>'附表5-扣除项目统计表'!G75+'附表5-扣除项目统计表'!K75</f>
        <v>0</v>
      </c>
      <c r="F16" s="231">
        <f t="shared" si="0"/>
        <v>0</v>
      </c>
      <c r="G16" s="235" t="s">
        <v>251</v>
      </c>
      <c r="H16" s="236">
        <f>IF(OR($G16="可售建筑面积法",$G16="可售建筑面积法（二分法）"),'附表1-面积统计表'!$F$32,IF($G16="其他合理方法","请填写","请选择分摊方法"))</f>
        <v>0.983391</v>
      </c>
      <c r="I16" s="236" t="str">
        <f>IF($G16="可售建筑面积法（二分法）",IF('附表1-面积统计表'!$D$33+'附表1-面积统计表'!$D$34=0,"",ROUND(('附表1-面积统计表'!$E$33+'附表1-面积统计表'!$E$34)/('附表1-面积统计表'!$D$33+'附表1-面积统计表'!$D$34),6)),IF($G16="可售建筑面积法",'附表1-面积统计表'!$F$33,IF($G16="其他合理方法","请填写","请选择分摊方法")))</f>
        <v/>
      </c>
      <c r="J16" s="236">
        <f>IF($G16="可售建筑面积法（二分法）",IF('附表1-面积统计表'!$D$33+'附表1-面积统计表'!$D$34=0,"",ROUND(('附表1-面积统计表'!$E$33+'附表1-面积统计表'!$E$34)/('附表1-面积统计表'!$D$33+'附表1-面积统计表'!$D$34),6)),IF($G16="可售建筑面积法",'附表1-面积统计表'!$F$34,IF($G16="其他合理方法","请填写","请选择分摊方法")))</f>
        <v>0.008069</v>
      </c>
      <c r="K16" s="252">
        <f t="shared" si="4"/>
        <v>0</v>
      </c>
      <c r="L16" s="252">
        <v>0</v>
      </c>
      <c r="M16" s="252">
        <f t="shared" si="4"/>
        <v>0</v>
      </c>
      <c r="N16" s="252">
        <f t="shared" si="3"/>
        <v>0</v>
      </c>
    </row>
    <row r="17" s="208" customFormat="1" ht="27.95" customHeight="1" spans="1:14">
      <c r="A17" s="234" t="s">
        <v>165</v>
      </c>
      <c r="B17" s="230" t="s">
        <v>254</v>
      </c>
      <c r="C17" s="231">
        <f>'附表5-扣除项目统计表'!E76+'附表5-扣除项目统计表'!I76</f>
        <v>4668547.78271456</v>
      </c>
      <c r="D17" s="231">
        <f>'附表5-扣除项目统计表'!F76+'附表5-扣除项目统计表'!J76</f>
        <v>0</v>
      </c>
      <c r="E17" s="231">
        <f>'附表5-扣除项目统计表'!G76+'附表5-扣除项目统计表'!K76</f>
        <v>1549670.53028544</v>
      </c>
      <c r="F17" s="231">
        <f t="shared" si="0"/>
        <v>6218218.313</v>
      </c>
      <c r="G17" s="233"/>
      <c r="H17" s="233"/>
      <c r="I17" s="233"/>
      <c r="J17" s="233"/>
      <c r="K17" s="252">
        <f>SUM(K18:K19)</f>
        <v>4591007.87</v>
      </c>
      <c r="L17" s="252">
        <f>SUM(L18:L19)</f>
        <v>0</v>
      </c>
      <c r="M17" s="252">
        <f>SUM(M18:M19)</f>
        <v>13982.5</v>
      </c>
      <c r="N17" s="252">
        <f t="shared" si="3"/>
        <v>4604990.37</v>
      </c>
    </row>
    <row r="18" s="162" customFormat="1" ht="27.95" customHeight="1" spans="1:14">
      <c r="A18" s="237" t="s">
        <v>167</v>
      </c>
      <c r="B18" s="230" t="s">
        <v>227</v>
      </c>
      <c r="C18" s="231">
        <f>'附表5-扣除项目统计表'!E77+'附表5-扣除项目统计表'!I77</f>
        <v>0</v>
      </c>
      <c r="D18" s="231">
        <f>'附表5-扣除项目统计表'!F77+'附表5-扣除项目统计表'!J77</f>
        <v>0</v>
      </c>
      <c r="E18" s="231">
        <f>'附表5-扣除项目统计表'!G77+'附表5-扣除项目统计表'!K77</f>
        <v>0</v>
      </c>
      <c r="F18" s="231">
        <f t="shared" si="0"/>
        <v>0</v>
      </c>
      <c r="G18" s="235" t="s">
        <v>251</v>
      </c>
      <c r="H18" s="236">
        <f>IF(OR($G18="可售建筑面积法",$G18="可售建筑面积法（二分法）"),'附表1-面积统计表'!$F$32,IF($G18="其他合理方法","请填写","请选择分摊方法"))</f>
        <v>0.983391</v>
      </c>
      <c r="I18" s="236" t="str">
        <f>IF($G18="可售建筑面积法（二分法）",IF('附表1-面积统计表'!$D$33+'附表1-面积统计表'!$D$34=0,"",ROUND(('附表1-面积统计表'!$E$33+'附表1-面积统计表'!$E$34)/('附表1-面积统计表'!$D$33+'附表1-面积统计表'!$D$34),6)),IF($G18="可售建筑面积法",'附表1-面积统计表'!$F$33,IF($G18="其他合理方法","请填写","请选择分摊方法")))</f>
        <v/>
      </c>
      <c r="J18" s="236">
        <f>IF($G18="可售建筑面积法（二分法）",IF('附表1-面积统计表'!$D$33+'附表1-面积统计表'!$D$34=0,"",ROUND(('附表1-面积统计表'!$E$33+'附表1-面积统计表'!$E$34)/('附表1-面积统计表'!$D$33+'附表1-面积统计表'!$D$34),6)),IF($G18="可售建筑面积法",'附表1-面积统计表'!$F$34,IF($G18="其他合理方法","请填写","请选择分摊方法")))</f>
        <v>0.008069</v>
      </c>
      <c r="K18" s="252">
        <f>IF('附表5-扣除项目统计表'!$D$77="据实扣除",IF(AND(H18&lt;=1,H18&gt;=0),ROUND(C18*H18,2),"请准确填写扣除比例"),0)</f>
        <v>0</v>
      </c>
      <c r="L18" s="252">
        <f>IF('附表5-扣除项目统计表'!$D$77="据实扣除",IF(AND(I18&lt;=1,I18&gt;=0),ROUND(D18*I18,2),"请准确填写扣除比例"),0)</f>
        <v>0</v>
      </c>
      <c r="M18" s="252">
        <f>IF('附表5-扣除项目统计表'!$D$77="据实扣除",IF(AND(J18&lt;=1,J18&gt;=0),ROUND(E18*J18,2),"请准确填写扣除比例"),0)</f>
        <v>0</v>
      </c>
      <c r="N18" s="252">
        <f t="shared" si="3"/>
        <v>0</v>
      </c>
    </row>
    <row r="19" s="162" customFormat="1" ht="27.95" customHeight="1" spans="1:14">
      <c r="A19" s="237" t="s">
        <v>168</v>
      </c>
      <c r="B19" s="230" t="s">
        <v>228</v>
      </c>
      <c r="C19" s="231">
        <f>'附表5-扣除项目统计表'!E78+'附表5-扣除项目统计表'!I78</f>
        <v>4668547.78271456</v>
      </c>
      <c r="D19" s="231">
        <f>'附表5-扣除项目统计表'!F78+'附表5-扣除项目统计表'!J78</f>
        <v>0</v>
      </c>
      <c r="E19" s="231">
        <f>'附表5-扣除项目统计表'!G78+'附表5-扣除项目统计表'!K78</f>
        <v>1549670.53028544</v>
      </c>
      <c r="F19" s="231">
        <f t="shared" si="0"/>
        <v>6218218.313</v>
      </c>
      <c r="G19" s="162" t="s">
        <v>255</v>
      </c>
      <c r="H19" s="233"/>
      <c r="I19" s="233"/>
      <c r="J19" s="233"/>
      <c r="K19" s="252">
        <f>IF(G19="与加计扣除一致",ROUND(IF('附表5-扣除项目统计表'!$D$77="计算扣除",((SUM(K7)-SUM(K8))+(SUM(K9)-SUM(K16)))*10%,((SUM(K7)-SUM(K8))+(SUM(K9)-SUM(K16)))*5%),2),"请准确填写普通住宅扣除金额。")</f>
        <v>4591007.87</v>
      </c>
      <c r="L19" s="252">
        <f>IF(G19="与加计扣除一致",ROUND(IF('附表5-扣除项目统计表'!$D$77="计算扣除",((SUM(L7)-SUM(L8))+(SUM(L9)-SUM(L16)))*10%,((SUM(L7)-SUM(L8))+(SUM(L9)-SUM(L16)))*5%),2),"请准确填写非普通住宅扣除金额。")</f>
        <v>0</v>
      </c>
      <c r="M19" s="252">
        <f>IF(G19="与加计扣除一致",ROUND(IF('附表5-扣除项目统计表'!$D$77="计算扣除",((SUM(M7)-SUM(M8))+(SUM(M9)-SUM(M16)))*10%,((SUM(M7)-SUM(M8))+(SUM(M9)-SUM(M16)))*5%),2),"请准确填写其他类型房地产扣除金额。")</f>
        <v>13982.5</v>
      </c>
      <c r="N19" s="252">
        <f t="shared" si="3"/>
        <v>4604990.37</v>
      </c>
    </row>
    <row r="20" s="162" customFormat="1" ht="27.95" customHeight="1" spans="1:14">
      <c r="A20" s="234" t="s">
        <v>169</v>
      </c>
      <c r="B20" s="230" t="s">
        <v>256</v>
      </c>
      <c r="C20" s="238"/>
      <c r="D20" s="238"/>
      <c r="E20" s="238"/>
      <c r="F20" s="238"/>
      <c r="G20" s="239"/>
      <c r="H20" s="239"/>
      <c r="I20" s="233"/>
      <c r="J20" s="233"/>
      <c r="K20" s="252">
        <f>SUM(K21:K25)</f>
        <v>817686.54</v>
      </c>
      <c r="L20" s="252">
        <f>SUM(L21:L25)</f>
        <v>0</v>
      </c>
      <c r="M20" s="252">
        <f>SUM(M21:M25)</f>
        <v>7769.09</v>
      </c>
      <c r="N20" s="252">
        <f t="shared" si="3"/>
        <v>825455.63</v>
      </c>
    </row>
    <row r="21" s="162" customFormat="1" ht="27.95" customHeight="1" spans="1:14">
      <c r="A21" s="237" t="s">
        <v>171</v>
      </c>
      <c r="B21" s="230" t="s">
        <v>257</v>
      </c>
      <c r="C21" s="238"/>
      <c r="D21" s="238"/>
      <c r="E21" s="238"/>
      <c r="F21" s="238"/>
      <c r="G21" s="239"/>
      <c r="H21" s="239"/>
      <c r="I21" s="233"/>
      <c r="J21" s="233"/>
      <c r="K21" s="252">
        <v>406653.2</v>
      </c>
      <c r="L21" s="252">
        <f>ROUND(SUM('附表5-扣除项目统计表'!F80),2)</f>
        <v>0</v>
      </c>
      <c r="M21" s="252">
        <v>0</v>
      </c>
      <c r="N21" s="252">
        <f t="shared" si="3"/>
        <v>406653.2</v>
      </c>
    </row>
    <row r="22" s="162" customFormat="1" ht="27.95" customHeight="1" spans="1:14">
      <c r="A22" s="237" t="s">
        <v>172</v>
      </c>
      <c r="B22" s="230" t="s">
        <v>258</v>
      </c>
      <c r="C22" s="238"/>
      <c r="D22" s="238"/>
      <c r="E22" s="238"/>
      <c r="F22" s="238"/>
      <c r="G22" s="239"/>
      <c r="H22" s="239"/>
      <c r="I22" s="233"/>
      <c r="J22" s="233"/>
      <c r="K22" s="252">
        <v>239769.45</v>
      </c>
      <c r="L22" s="252">
        <f>ROUND(SUM('附表5-扣除项目统计表'!F81),2)</f>
        <v>0</v>
      </c>
      <c r="M22" s="252">
        <v>4531.97</v>
      </c>
      <c r="N22" s="252">
        <f t="shared" si="3"/>
        <v>244301.42</v>
      </c>
    </row>
    <row r="23" s="162" customFormat="1" ht="27.95" customHeight="1" spans="1:14">
      <c r="A23" s="237" t="s">
        <v>173</v>
      </c>
      <c r="B23" s="230" t="s">
        <v>259</v>
      </c>
      <c r="C23" s="238"/>
      <c r="D23" s="238"/>
      <c r="E23" s="238"/>
      <c r="F23" s="238"/>
      <c r="G23" s="239"/>
      <c r="H23" s="239"/>
      <c r="I23" s="233"/>
      <c r="J23" s="233"/>
      <c r="K23" s="252">
        <v>102758.33</v>
      </c>
      <c r="L23" s="252">
        <f>ROUND(SUM('附表5-扣除项目统计表'!F82),2)</f>
        <v>0</v>
      </c>
      <c r="M23" s="252">
        <v>1942.27</v>
      </c>
      <c r="N23" s="252">
        <f t="shared" si="3"/>
        <v>104700.6</v>
      </c>
    </row>
    <row r="24" s="162" customFormat="1" ht="27.95" customHeight="1" spans="1:14">
      <c r="A24" s="237" t="s">
        <v>260</v>
      </c>
      <c r="B24" s="230" t="s">
        <v>261</v>
      </c>
      <c r="C24" s="238"/>
      <c r="D24" s="238"/>
      <c r="E24" s="238"/>
      <c r="F24" s="238"/>
      <c r="G24" s="239"/>
      <c r="H24" s="239"/>
      <c r="I24" s="233"/>
      <c r="J24" s="233"/>
      <c r="K24" s="252">
        <v>68505.56</v>
      </c>
      <c r="L24" s="252">
        <f>ROUND(SUM('附表5-扣除项目统计表'!F83),2)</f>
        <v>0</v>
      </c>
      <c r="M24" s="252">
        <v>1294.85</v>
      </c>
      <c r="N24" s="252">
        <f t="shared" si="3"/>
        <v>69800.41</v>
      </c>
    </row>
    <row r="25" s="162" customFormat="1" ht="27.95" customHeight="1" spans="1:14">
      <c r="A25" s="237" t="s">
        <v>262</v>
      </c>
      <c r="B25" s="230" t="s">
        <v>263</v>
      </c>
      <c r="C25" s="238"/>
      <c r="D25" s="238"/>
      <c r="E25" s="238"/>
      <c r="F25" s="238"/>
      <c r="G25" s="239"/>
      <c r="H25" s="239"/>
      <c r="I25" s="233"/>
      <c r="J25" s="233"/>
      <c r="K25" s="252">
        <f>ROUND(SUM('附表5-扣除项目统计表'!E84),2)</f>
        <v>0</v>
      </c>
      <c r="L25" s="252">
        <f>ROUND(SUM('附表5-扣除项目统计表'!F84),2)</f>
        <v>0</v>
      </c>
      <c r="M25" s="252">
        <f>ROUND(SUM('附表5-扣除项目统计表'!G84),2)</f>
        <v>0</v>
      </c>
      <c r="N25" s="252">
        <f t="shared" si="3"/>
        <v>0</v>
      </c>
    </row>
    <row r="26" s="162" customFormat="1" ht="27.95" customHeight="1" spans="1:14">
      <c r="A26" s="234" t="s">
        <v>174</v>
      </c>
      <c r="B26" s="230" t="s">
        <v>264</v>
      </c>
      <c r="C26" s="231">
        <f>'附表5-扣除项目统计表'!E85+'附表5-扣除项目统计表'!I85</f>
        <v>9337095.56542911</v>
      </c>
      <c r="D26" s="231">
        <f>'附表5-扣除项目统计表'!F85+'附表5-扣除项目统计表'!J85</f>
        <v>0</v>
      </c>
      <c r="E26" s="231">
        <f>'附表5-扣除项目统计表'!G85+'附表5-扣除项目统计表'!K85</f>
        <v>3099341.06057089</v>
      </c>
      <c r="F26" s="231">
        <f>SUM(C26:E26)</f>
        <v>12436436.626</v>
      </c>
      <c r="G26" s="239"/>
      <c r="H26" s="239"/>
      <c r="I26" s="233"/>
      <c r="J26" s="233"/>
      <c r="K26" s="252">
        <f>ROUND((SUM(K7)-SUM(K8)+SUM(K9)-SUM(K16))*20%,2)</f>
        <v>9182015.75</v>
      </c>
      <c r="L26" s="252">
        <f>ROUND((SUM(L7)-SUM(L8)+SUM(L9)-SUM(L16))*20%,2)</f>
        <v>0</v>
      </c>
      <c r="M26" s="252">
        <f>ROUND((SUM(M7)-SUM(M8)+SUM(M9)-SUM(M16))*20%,2)</f>
        <v>27965</v>
      </c>
      <c r="N26" s="252">
        <f t="shared" si="3"/>
        <v>9209980.75</v>
      </c>
    </row>
    <row r="27" s="162" customFormat="1" ht="27.95" customHeight="1" spans="1:14">
      <c r="A27" s="234" t="s">
        <v>175</v>
      </c>
      <c r="B27" s="230" t="s">
        <v>265</v>
      </c>
      <c r="C27" s="231">
        <f>SUM('附表5-扣除项目统计表'!E86)+SUM('附表5-扣除项目统计表'!I86)</f>
        <v>0</v>
      </c>
      <c r="D27" s="231">
        <f>SUM('附表5-扣除项目统计表'!F86)+SUM('附表5-扣除项目统计表'!J86)</f>
        <v>0</v>
      </c>
      <c r="E27" s="231">
        <f>SUM('附表5-扣除项目统计表'!G86)+SUM('附表5-扣除项目统计表'!K86)</f>
        <v>0</v>
      </c>
      <c r="F27" s="231">
        <f>SUM(C27:E27)</f>
        <v>0</v>
      </c>
      <c r="G27" s="235" t="s">
        <v>251</v>
      </c>
      <c r="H27" s="236">
        <f>IF(OR($G27="可售建筑面积法",$G27="可售建筑面积法（二分法）"),'附表1-面积统计表'!$F$32,IF($G27="其他合理方法","请填写","请选择分摊方法"))</f>
        <v>0.983391</v>
      </c>
      <c r="I27" s="236" t="str">
        <f>IF($G27="可售建筑面积法（二分法）",IF('附表1-面积统计表'!$D$33+'附表1-面积统计表'!$D$34=0,"",ROUND(('附表1-面积统计表'!$E$33+'附表1-面积统计表'!$E$34)/('附表1-面积统计表'!$D$33+'附表1-面积统计表'!$D$34),6)),IF($G27="可售建筑面积法",'附表1-面积统计表'!$F$33,IF($G27="其他合理方法","请填写","请选择分摊方法")))</f>
        <v/>
      </c>
      <c r="J27" s="236">
        <f>IF($G27="可售建筑面积法（二分法）",IF('附表1-面积统计表'!$D$33+'附表1-面积统计表'!$D$34=0,"",ROUND(('附表1-面积统计表'!$E$33+'附表1-面积统计表'!$E$34)/('附表1-面积统计表'!$D$33+'附表1-面积统计表'!$D$34),6)),IF($G27="可售建筑面积法",'附表1-面积统计表'!$F$34,IF($G27="其他合理方法","请填写","请选择分摊方法")))</f>
        <v>0.008069</v>
      </c>
      <c r="K27" s="252">
        <f>IF(AND(H27&lt;=1,H27&gt;=0),ROUND(C27*H27,2),"请准确填写扣除比例")</f>
        <v>0</v>
      </c>
      <c r="L27" s="252">
        <v>0</v>
      </c>
      <c r="M27" s="252">
        <f>IF(AND(J27&lt;=1,J27&gt;=0),ROUND(E27*J27,2),"请准确填写扣除比例")</f>
        <v>0</v>
      </c>
      <c r="N27" s="252">
        <f t="shared" si="3"/>
        <v>0</v>
      </c>
    </row>
    <row r="28" spans="1:14">
      <c r="A28" s="240"/>
      <c r="B28" s="241"/>
      <c r="C28" s="242"/>
      <c r="D28" s="242"/>
      <c r="E28" s="242"/>
      <c r="F28" s="242"/>
      <c r="G28" s="241"/>
      <c r="H28" s="243"/>
      <c r="I28" s="243"/>
      <c r="J28" s="243"/>
      <c r="K28" s="210"/>
      <c r="L28" s="210"/>
      <c r="M28" s="210"/>
      <c r="N28" s="210"/>
    </row>
    <row r="29" spans="1:14">
      <c r="A29" s="240"/>
      <c r="B29" s="241"/>
      <c r="C29" s="242"/>
      <c r="D29" s="242"/>
      <c r="E29" s="242"/>
      <c r="F29" s="242"/>
      <c r="G29" s="241"/>
      <c r="H29" s="243"/>
      <c r="I29" s="243"/>
      <c r="J29" s="243"/>
      <c r="K29" s="210"/>
      <c r="L29" s="210"/>
      <c r="M29" s="210"/>
      <c r="N29" s="210"/>
    </row>
    <row r="30" spans="11:14">
      <c r="K30" s="210"/>
      <c r="L30" s="210"/>
      <c r="M30" s="210"/>
      <c r="N30" s="210"/>
    </row>
    <row r="31" spans="11:14">
      <c r="K31" s="210"/>
      <c r="L31" s="210"/>
      <c r="M31" s="210"/>
      <c r="N31" s="210"/>
    </row>
    <row r="34" s="209" customFormat="1" spans="1:10">
      <c r="A34" s="244"/>
      <c r="B34" s="245"/>
      <c r="C34" s="246"/>
      <c r="D34" s="246"/>
      <c r="E34" s="246"/>
      <c r="F34" s="246"/>
      <c r="G34" s="247"/>
      <c r="H34" s="248"/>
      <c r="I34" s="248"/>
      <c r="J34" s="248"/>
    </row>
    <row r="35" s="209" customFormat="1" spans="2:10">
      <c r="B35" s="249"/>
      <c r="C35" s="250"/>
      <c r="D35" s="250"/>
      <c r="E35" s="250"/>
      <c r="F35" s="250"/>
      <c r="G35" s="247"/>
      <c r="H35" s="248"/>
      <c r="I35" s="248"/>
      <c r="J35" s="248"/>
    </row>
    <row r="36" s="209" customFormat="1" spans="2:10">
      <c r="B36" s="249"/>
      <c r="C36" s="250"/>
      <c r="D36" s="250"/>
      <c r="E36" s="250"/>
      <c r="F36" s="250"/>
      <c r="G36" s="247"/>
      <c r="H36" s="248"/>
      <c r="I36" s="248"/>
      <c r="J36" s="248"/>
    </row>
  </sheetData>
  <mergeCells count="7">
    <mergeCell ref="A1:N1"/>
    <mergeCell ref="A2:N2"/>
    <mergeCell ref="C3:F3"/>
    <mergeCell ref="G3:J3"/>
    <mergeCell ref="K3:N3"/>
    <mergeCell ref="A3:A5"/>
    <mergeCell ref="B3:B5"/>
  </mergeCells>
  <dataValidations count="4">
    <dataValidation allowBlank="1" showInputMessage="1" showErrorMessage="1" sqref="G6 F6:F19 F26:F27"/>
    <dataValidation type="list" allowBlank="1" showInputMessage="1" showErrorMessage="1" sqref="G18 G27 G7:G8 G10:G16">
      <formula1>IF(土地增值税税源明细表!$H$6="三分法",数据对照表!$AB$2:$AB$3,数据对照表!$AC$2:$AC$4)</formula1>
    </dataValidation>
    <dataValidation type="list" allowBlank="1" showInputMessage="1" showErrorMessage="1" sqref="G19">
      <formula1>OFFSET(数据对照表!$AD$2,,,COUNTA(数据对照表!AD:AD)-1,1)</formula1>
    </dataValidation>
    <dataValidation type="list" allowBlank="1" showInputMessage="1" showErrorMessage="1" sqref="G20:H26">
      <formula1>"建筑面积法,其他合理方法"</formula1>
    </dataValidation>
  </dataValidations>
  <printOptions horizontalCentered="1"/>
  <pageMargins left="0.747916666666667" right="0.747916666666667" top="0.984027777777778" bottom="0.984027777777778" header="0.511805555555556" footer="0.511805555555556"/>
  <pageSetup paperSize="9" scale="57" fitToHeight="0" orientation="landscape"/>
  <headerFooter>
    <oddFooter>&amp;C第 &amp;P 页，共 &amp;N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4"/>
  <sheetViews>
    <sheetView zoomScale="115" zoomScaleNormal="115" workbookViewId="0">
      <selection activeCell="G5" sqref="G5"/>
    </sheetView>
  </sheetViews>
  <sheetFormatPr defaultColWidth="8.872" defaultRowHeight="15.65"/>
  <cols>
    <col min="1" max="1" width="5" style="189" customWidth="1"/>
    <col min="2" max="2" width="23.128" style="190" customWidth="1"/>
    <col min="3" max="3" width="8.504" style="191" customWidth="1"/>
    <col min="4" max="4" width="20.128" style="192" customWidth="1"/>
    <col min="5" max="5" width="21.128" style="192" customWidth="1"/>
    <col min="6" max="6" width="19" style="192" customWidth="1"/>
    <col min="7" max="7" width="21.872" style="192" customWidth="1"/>
    <col min="8" max="8" width="20.128" style="192" customWidth="1"/>
    <col min="9" max="9" width="16" customWidth="1"/>
  </cols>
  <sheetData>
    <row r="1" ht="20.65" spans="1:9">
      <c r="A1" s="81" t="s">
        <v>266</v>
      </c>
      <c r="B1" s="81"/>
      <c r="C1" s="81"/>
      <c r="D1" s="81"/>
      <c r="E1" s="81"/>
      <c r="F1" s="81"/>
      <c r="G1" s="81"/>
      <c r="H1" s="81"/>
      <c r="I1" s="81"/>
    </row>
    <row r="2" spans="1:9">
      <c r="A2" s="193" t="str">
        <f>土地增值税税源明细表!F5&amp;"："&amp;土地增值税税源明细表!H5&amp;"          "&amp;土地增值税税源明细表!A5&amp;"："&amp;土地增值税税源明细表!B5&amp;"          "&amp;"金额单位:人民币元(列至角分)"</f>
        <v>项目编码：Z65280120160100          项目名称：通力华庭          金额单位:人民币元(列至角分)</v>
      </c>
      <c r="B2" s="193"/>
      <c r="C2" s="193"/>
      <c r="D2" s="193"/>
      <c r="E2" s="193"/>
      <c r="F2" s="193"/>
      <c r="G2" s="193"/>
      <c r="H2" s="193"/>
      <c r="I2" s="193"/>
    </row>
    <row r="3" ht="35.7" spans="1:9">
      <c r="A3" s="194" t="s">
        <v>37</v>
      </c>
      <c r="B3" s="195" t="s">
        <v>11</v>
      </c>
      <c r="C3" s="195" t="s">
        <v>267</v>
      </c>
      <c r="D3" s="196" t="s">
        <v>13</v>
      </c>
      <c r="E3" s="197" t="s">
        <v>268</v>
      </c>
      <c r="F3" s="197" t="s">
        <v>201</v>
      </c>
      <c r="G3" s="197" t="s">
        <v>203</v>
      </c>
      <c r="H3" s="195" t="s">
        <v>269</v>
      </c>
      <c r="I3" s="195" t="s">
        <v>270</v>
      </c>
    </row>
    <row r="4" spans="1:9">
      <c r="A4" s="194"/>
      <c r="B4" s="366" t="s">
        <v>42</v>
      </c>
      <c r="C4" s="366" t="s">
        <v>210</v>
      </c>
      <c r="D4" s="366" t="s">
        <v>211</v>
      </c>
      <c r="E4" s="366" t="s">
        <v>212</v>
      </c>
      <c r="F4" s="366" t="s">
        <v>243</v>
      </c>
      <c r="G4" s="366" t="s">
        <v>214</v>
      </c>
      <c r="H4" s="366" t="s">
        <v>215</v>
      </c>
      <c r="I4" s="366" t="s">
        <v>216</v>
      </c>
    </row>
    <row r="5" spans="1:9">
      <c r="A5" s="199">
        <v>1</v>
      </c>
      <c r="B5" s="200" t="s">
        <v>12</v>
      </c>
      <c r="C5" s="201" t="s">
        <v>271</v>
      </c>
      <c r="D5" s="202" t="str">
        <f>IF(清算项目基本情况表!S6="","",清算项目基本情况表!S6)</f>
        <v>Z65280120160100</v>
      </c>
      <c r="E5" s="201">
        <f>IF(清算项目基本情况表!D9="","",清算项目基本情况表!D9)</f>
        <v>3578.25</v>
      </c>
      <c r="F5" s="201">
        <f>IF(SUM('附表1-面积统计表'!D29)=0,"",'附表1-面积统计表'!D29)</f>
        <v>26212.41</v>
      </c>
      <c r="G5" s="201">
        <f>IF(SUM('附表1-面积统计表'!F29)=0,"",'附表1-面积统计表'!F29)</f>
        <v>26127.25</v>
      </c>
      <c r="H5" s="203"/>
      <c r="I5" s="204" t="s">
        <v>272</v>
      </c>
    </row>
    <row r="6" spans="1:9">
      <c r="A6" s="7">
        <v>2</v>
      </c>
      <c r="B6" s="8"/>
      <c r="C6" s="203"/>
      <c r="D6" s="10"/>
      <c r="E6" s="203"/>
      <c r="F6" s="203"/>
      <c r="G6" s="203"/>
      <c r="H6" s="203"/>
      <c r="I6" s="205"/>
    </row>
    <row r="7" spans="1:9">
      <c r="A7" s="7">
        <v>3</v>
      </c>
      <c r="B7" s="8"/>
      <c r="C7" s="203"/>
      <c r="D7" s="10"/>
      <c r="E7" s="203"/>
      <c r="F7" s="203"/>
      <c r="G7" s="203"/>
      <c r="H7" s="203"/>
      <c r="I7" s="205"/>
    </row>
    <row r="8" spans="1:9">
      <c r="A8" s="7">
        <v>4</v>
      </c>
      <c r="B8" s="8"/>
      <c r="C8" s="203"/>
      <c r="D8" s="10"/>
      <c r="E8" s="203"/>
      <c r="F8" s="203"/>
      <c r="G8" s="203"/>
      <c r="H8" s="203"/>
      <c r="I8" s="205"/>
    </row>
    <row r="9" spans="1:9">
      <c r="A9" s="7">
        <v>5</v>
      </c>
      <c r="B9" s="8"/>
      <c r="C9" s="203"/>
      <c r="D9" s="10"/>
      <c r="E9" s="203"/>
      <c r="F9" s="203"/>
      <c r="G9" s="203"/>
      <c r="H9" s="203"/>
      <c r="I9" s="205"/>
    </row>
    <row r="10" spans="1:9">
      <c r="A10" s="7">
        <v>6</v>
      </c>
      <c r="B10" s="8"/>
      <c r="C10" s="203"/>
      <c r="D10" s="10"/>
      <c r="E10" s="203"/>
      <c r="F10" s="203"/>
      <c r="G10" s="203"/>
      <c r="H10" s="203"/>
      <c r="I10" s="205"/>
    </row>
    <row r="11" spans="1:9">
      <c r="A11" s="7">
        <v>7</v>
      </c>
      <c r="B11" s="8"/>
      <c r="C11" s="203"/>
      <c r="D11" s="10"/>
      <c r="E11" s="203"/>
      <c r="F11" s="203"/>
      <c r="G11" s="203"/>
      <c r="H11" s="203"/>
      <c r="I11" s="205"/>
    </row>
    <row r="12" spans="1:9">
      <c r="A12" s="7">
        <v>8</v>
      </c>
      <c r="B12" s="8"/>
      <c r="C12" s="203"/>
      <c r="D12" s="10"/>
      <c r="E12" s="203"/>
      <c r="F12" s="203"/>
      <c r="G12" s="203"/>
      <c r="H12" s="203"/>
      <c r="I12" s="205"/>
    </row>
    <row r="13" spans="1:9">
      <c r="A13" s="7">
        <v>9</v>
      </c>
      <c r="B13" s="8"/>
      <c r="C13" s="203"/>
      <c r="D13" s="10"/>
      <c r="E13" s="203"/>
      <c r="F13" s="203"/>
      <c r="G13" s="203"/>
      <c r="H13" s="203"/>
      <c r="I13" s="205"/>
    </row>
    <row r="14" spans="1:9">
      <c r="A14" s="7">
        <v>10</v>
      </c>
      <c r="B14" s="8"/>
      <c r="C14" s="203"/>
      <c r="D14" s="10"/>
      <c r="E14" s="203"/>
      <c r="F14" s="203"/>
      <c r="G14" s="203"/>
      <c r="H14" s="203"/>
      <c r="I14" s="205"/>
    </row>
  </sheetData>
  <mergeCells count="3">
    <mergeCell ref="A1:I1"/>
    <mergeCell ref="A2:I2"/>
    <mergeCell ref="A3:A4"/>
  </mergeCells>
  <dataValidations count="1">
    <dataValidation type="list" allowBlank="1" showInputMessage="1" showErrorMessage="1" sqref="C1:C2 C5:C1048576">
      <formula1>"是,否"</formula1>
    </dataValidation>
  </dataValidations>
  <pageMargins left="0.747916666666667" right="0.747916666666667" top="0.984027777777778" bottom="0.984027777777778" header="0.511805555555556" footer="0.511805555555556"/>
  <pageSetup paperSize="9" scale="78" fitToHeight="0" orientation="landscape"/>
  <headerFooter>
    <oddFooter>&amp;C第 &amp;P 页，共 &amp;N 页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87"/>
  <sheetViews>
    <sheetView topLeftCell="A30" workbookViewId="0">
      <selection activeCell="AE90" sqref="AE90"/>
    </sheetView>
  </sheetViews>
  <sheetFormatPr defaultColWidth="3.624" defaultRowHeight="15.65"/>
  <cols>
    <col min="1" max="2" width="3.624" style="49"/>
    <col min="3" max="3" width="10.376" style="49" customWidth="1"/>
    <col min="4" max="4" width="16.872" style="49" customWidth="1"/>
    <col min="5" max="5" width="21.128" style="166" customWidth="1"/>
    <col min="6" max="6" width="20.624" style="166" customWidth="1"/>
    <col min="7" max="7" width="22.624" style="166" customWidth="1"/>
    <col min="8" max="8" width="13.68" style="166" customWidth="1"/>
    <col min="9" max="11" width="23.376" style="166" customWidth="1"/>
    <col min="12" max="13" width="13.792" style="166" customWidth="1"/>
  </cols>
  <sheetData>
    <row r="1" s="162" customFormat="1" ht="20.65" spans="1:13">
      <c r="A1" s="167" t="s">
        <v>273</v>
      </c>
      <c r="B1" s="167"/>
      <c r="C1" s="167"/>
      <c r="D1" s="167"/>
      <c r="E1" s="168"/>
      <c r="F1" s="168"/>
      <c r="G1" s="168"/>
      <c r="H1" s="168"/>
      <c r="I1" s="168"/>
      <c r="J1" s="168"/>
      <c r="K1" s="168"/>
      <c r="L1" s="168"/>
      <c r="M1" s="168"/>
    </row>
    <row r="2" s="162" customFormat="1" ht="18.75" customHeight="1" spans="1:13">
      <c r="A2" s="169" t="str">
        <f>土地增值税税源明细表!F5&amp;"："&amp;土地增值税税源明细表!H5&amp;"          "&amp;土地增值税税源明细表!A5&amp;"："&amp;土地增值税税源明细表!B5&amp;"          "&amp;"金额单位:人民币元(列至角分)"</f>
        <v>项目编码：Z65280120160100          项目名称：通力华庭          金额单位:人民币元(列至角分)</v>
      </c>
      <c r="B2" s="169"/>
      <c r="C2" s="169"/>
      <c r="D2" s="169"/>
      <c r="E2" s="170"/>
      <c r="F2" s="170"/>
      <c r="G2" s="170"/>
      <c r="H2" s="170"/>
      <c r="I2" s="170"/>
      <c r="J2" s="170"/>
      <c r="K2" s="170"/>
      <c r="L2" s="170"/>
      <c r="M2" s="170"/>
    </row>
    <row r="3" s="163" customFormat="1" ht="24" customHeight="1" spans="1:13">
      <c r="A3" s="171" t="s">
        <v>37</v>
      </c>
      <c r="B3" s="172" t="s">
        <v>238</v>
      </c>
      <c r="C3" s="172"/>
      <c r="D3" s="172"/>
      <c r="E3" s="173" t="s">
        <v>274</v>
      </c>
      <c r="F3" s="173"/>
      <c r="G3" s="173"/>
      <c r="H3" s="173"/>
      <c r="I3" s="182" t="s">
        <v>275</v>
      </c>
      <c r="J3" s="183"/>
      <c r="K3" s="183"/>
      <c r="L3" s="184"/>
      <c r="M3" s="175" t="s">
        <v>105</v>
      </c>
    </row>
    <row r="4" s="164" customFormat="1" ht="24" customHeight="1" spans="1:13">
      <c r="A4" s="174"/>
      <c r="B4" s="172"/>
      <c r="C4" s="172"/>
      <c r="D4" s="172"/>
      <c r="E4" s="175" t="s">
        <v>142</v>
      </c>
      <c r="F4" s="175" t="s">
        <v>143</v>
      </c>
      <c r="G4" s="175" t="s">
        <v>144</v>
      </c>
      <c r="H4" s="175" t="s">
        <v>235</v>
      </c>
      <c r="I4" s="175" t="s">
        <v>142</v>
      </c>
      <c r="J4" s="175" t="s">
        <v>143</v>
      </c>
      <c r="K4" s="175" t="s">
        <v>144</v>
      </c>
      <c r="L4" s="175" t="s">
        <v>235</v>
      </c>
      <c r="M4" s="175"/>
    </row>
    <row r="5" s="165" customFormat="1" ht="24" customHeight="1" spans="1:13">
      <c r="A5" s="176"/>
      <c r="B5" s="172"/>
      <c r="C5" s="172"/>
      <c r="D5" s="172"/>
      <c r="E5" s="367" t="s">
        <v>42</v>
      </c>
      <c r="F5" s="367" t="s">
        <v>210</v>
      </c>
      <c r="G5" s="367" t="s">
        <v>211</v>
      </c>
      <c r="H5" s="367" t="s">
        <v>236</v>
      </c>
      <c r="I5" s="367" t="s">
        <v>243</v>
      </c>
      <c r="J5" s="368" t="s">
        <v>214</v>
      </c>
      <c r="K5" s="367" t="s">
        <v>215</v>
      </c>
      <c r="L5" s="367" t="s">
        <v>276</v>
      </c>
      <c r="M5" s="367" t="s">
        <v>277</v>
      </c>
    </row>
    <row r="6" s="162" customFormat="1" ht="24" customHeight="1" spans="1:13">
      <c r="A6" s="65">
        <v>1</v>
      </c>
      <c r="B6" s="56" t="str">
        <f>数据对照表!B1</f>
        <v>取得土地使用权所支付的金额</v>
      </c>
      <c r="C6" s="56"/>
      <c r="D6" s="56"/>
      <c r="E6" s="177">
        <f>SUMIFS('附表7-扣除项目明细采集底稿'!W:W,'附表7-扣除项目明细采集底稿'!D:D,数据对照表!B1,'附表7-扣除项目明细采集底稿'!V:V,"直接归集成本费用")</f>
        <v>0</v>
      </c>
      <c r="F6" s="177">
        <f>SUMIFS('附表7-扣除项目明细采集底稿'!X:X,'附表7-扣除项目明细采集底稿'!D:D,数据对照表!B1,'附表7-扣除项目明细采集底稿'!V:V,"直接归集成本费用")</f>
        <v>0</v>
      </c>
      <c r="G6" s="177">
        <f>SUMIFS('附表7-扣除项目明细采集底稿'!Y:Y,'附表7-扣除项目明细采集底稿'!D:D,数据对照表!B1,'附表7-扣除项目明细采集底稿'!V:V,"直接归集成本费用")</f>
        <v>0</v>
      </c>
      <c r="H6" s="178">
        <f t="shared" ref="H6:H20" si="0">SUM(E6:G6)</f>
        <v>0</v>
      </c>
      <c r="I6" s="177">
        <f>SUMIFS('附表7-扣除项目明细采集底稿'!W:W,'附表7-扣除项目明细采集底稿'!D:D,数据对照表!B1,'附表7-扣除项目明细采集底稿'!V:V,"共同成本费用")</f>
        <v>7837733.87714556</v>
      </c>
      <c r="J6" s="177">
        <f>SUMIFS('附表7-扣除项目明细采集底稿'!X:X,'附表7-扣除项目明细采集底稿'!D:D,数据对照表!B1,'附表7-扣除项目明细采集底稿'!V:V,"共同成本费用")</f>
        <v>0</v>
      </c>
      <c r="K6" s="177">
        <f>SUMIFS('附表7-扣除项目明细采集底稿'!Y:Y,'附表7-扣除项目明细采集底稿'!D:D,数据对照表!B1,'附表7-扣除项目明细采集底稿'!V:V,"共同成本费用")</f>
        <v>1077273.99285444</v>
      </c>
      <c r="L6" s="178">
        <f t="shared" ref="L6:L20" si="1">SUM(I6:K6)</f>
        <v>8915007.87</v>
      </c>
      <c r="M6" s="178">
        <f t="shared" ref="M6:M20" si="2">H6+L6</f>
        <v>8915007.87</v>
      </c>
    </row>
    <row r="7" s="162" customFormat="1" ht="24" customHeight="1" spans="1:13">
      <c r="A7" s="65">
        <v>2</v>
      </c>
      <c r="B7" s="65" t="s">
        <v>278</v>
      </c>
      <c r="C7" s="179" t="str">
        <f>数据对照表!B2</f>
        <v>支付的土地出让金额</v>
      </c>
      <c r="D7" s="179"/>
      <c r="E7" s="177">
        <f>SUMIFS('附表7-扣除项目明细采集底稿'!W:W,'附表7-扣除项目明细采集底稿'!E:E,数据对照表!B2,'附表7-扣除项目明细采集底稿'!V:V,"直接归集成本费用")</f>
        <v>0</v>
      </c>
      <c r="F7" s="177">
        <f>SUMIFS('附表7-扣除项目明细采集底稿'!X:X,'附表7-扣除项目明细采集底稿'!E:E,数据对照表!B2,'附表7-扣除项目明细采集底稿'!V:V,"直接归集成本费用")</f>
        <v>0</v>
      </c>
      <c r="G7" s="177">
        <f>SUMIFS('附表7-扣除项目明细采集底稿'!Y:Y,'附表7-扣除项目明细采集底稿'!E:E,数据对照表!B2,'附表7-扣除项目明细采集底稿'!V:V,"直接归集成本费用")</f>
        <v>0</v>
      </c>
      <c r="H7" s="178">
        <f t="shared" si="0"/>
        <v>0</v>
      </c>
      <c r="I7" s="177">
        <f>SUMIFS('附表7-扣除项目明细采集底稿'!W:W,'附表7-扣除项目明细采集底稿'!E:E,数据对照表!B2,'附表7-扣除项目明细采集底稿'!V:V,"共同成本费用")</f>
        <v>7568967.2126458</v>
      </c>
      <c r="J7" s="177">
        <f>SUMIFS('附表7-扣除项目明细采集底稿'!X:X,'附表7-扣除项目明细采集底稿'!E:E,数据对照表!B2,'附表7-扣除项目明细采集底稿'!V:V,"共同成本费用")</f>
        <v>0</v>
      </c>
      <c r="K7" s="177">
        <f>SUMIFS('附表7-扣除项目明细采集底稿'!Y:Y,'附表7-扣除项目明细采集底稿'!E:E,数据对照表!B2,'附表7-扣除项目明细采集底稿'!V:V,"共同成本费用")</f>
        <v>1040332.7873542</v>
      </c>
      <c r="L7" s="178">
        <f t="shared" si="1"/>
        <v>8609300</v>
      </c>
      <c r="M7" s="178">
        <f t="shared" si="2"/>
        <v>8609300</v>
      </c>
    </row>
    <row r="8" s="162" customFormat="1" ht="24" customHeight="1" spans="1:13">
      <c r="A8" s="65">
        <v>3</v>
      </c>
      <c r="B8" s="65"/>
      <c r="C8" s="179" t="str">
        <f>数据对照表!B3</f>
        <v>支付的地价款金额</v>
      </c>
      <c r="D8" s="179"/>
      <c r="E8" s="177">
        <f>SUMIFS('附表7-扣除项目明细采集底稿'!W:W,'附表7-扣除项目明细采集底稿'!E:E,数据对照表!B3,'附表7-扣除项目明细采集底稿'!V:V,"直接归集成本费用")</f>
        <v>0</v>
      </c>
      <c r="F8" s="177">
        <f>SUMIFS('附表7-扣除项目明细采集底稿'!X:X,'附表7-扣除项目明细采集底稿'!E:E,数据对照表!B3,'附表7-扣除项目明细采集底稿'!V:V,"直接归集成本费用")</f>
        <v>0</v>
      </c>
      <c r="G8" s="177">
        <f>SUMIFS('附表7-扣除项目明细采集底稿'!Y:Y,'附表7-扣除项目明细采集底稿'!E:E,数据对照表!B3,'附表7-扣除项目明细采集底稿'!V:V,"直接归集成本费用")</f>
        <v>0</v>
      </c>
      <c r="H8" s="178">
        <f t="shared" si="0"/>
        <v>0</v>
      </c>
      <c r="I8" s="177">
        <f>SUMIFS('附表7-扣除项目明细采集底稿'!W:W,'附表7-扣除项目明细采集底稿'!E:E,数据对照表!B3,'附表7-扣除项目明细采集底稿'!V:V,"共同成本费用")</f>
        <v>0</v>
      </c>
      <c r="J8" s="177">
        <f>SUMIFS('附表7-扣除项目明细采集底稿'!X:X,'附表7-扣除项目明细采集底稿'!E:E,数据对照表!B3,'附表7-扣除项目明细采集底稿'!V:V,"共同成本费用")</f>
        <v>0</v>
      </c>
      <c r="K8" s="177">
        <f>SUMIFS('附表7-扣除项目明细采集底稿'!Y:Y,'附表7-扣除项目明细采集底稿'!E:E,数据对照表!B3,'附表7-扣除项目明细采集底稿'!V:V,"共同成本费用")</f>
        <v>0</v>
      </c>
      <c r="L8" s="178">
        <f t="shared" si="1"/>
        <v>0</v>
      </c>
      <c r="M8" s="178">
        <f t="shared" si="2"/>
        <v>0</v>
      </c>
    </row>
    <row r="9" s="162" customFormat="1" ht="24" customHeight="1" spans="1:13">
      <c r="A9" s="65">
        <v>4</v>
      </c>
      <c r="B9" s="65"/>
      <c r="C9" s="179" t="str">
        <f>数据对照表!B4</f>
        <v>交纳的有关税费</v>
      </c>
      <c r="D9" s="179"/>
      <c r="E9" s="180">
        <f>SUMIFS('附表7-扣除项目明细采集底稿'!W:W,'附表7-扣除项目明细采集底稿'!E:E,数据对照表!B4,'附表7-扣除项目明细采集底稿'!V:V,"直接归集成本费用")</f>
        <v>0</v>
      </c>
      <c r="F9" s="180">
        <f>SUMIFS('附表7-扣除项目明细采集底稿'!X:X,'附表7-扣除项目明细采集底稿'!E:E,数据对照表!B4,'附表7-扣除项目明细采集底稿'!V:V,"直接归集成本费用")</f>
        <v>0</v>
      </c>
      <c r="G9" s="180">
        <f>SUMIFS('附表7-扣除项目明细采集底稿'!Y:Y,'附表7-扣除项目明细采集底稿'!E:E,数据对照表!B4,'附表7-扣除项目明细采集底稿'!V:V,"直接归集成本费用")</f>
        <v>0</v>
      </c>
      <c r="H9" s="181">
        <f t="shared" si="0"/>
        <v>0</v>
      </c>
      <c r="I9" s="180">
        <f>SUMIFS('附表7-扣除项目明细采集底稿'!W:W,'附表7-扣除项目明细采集底稿'!E:E,数据对照表!B4,'附表7-扣除项目明细采集底稿'!V:V,"共同成本费用")</f>
        <v>268766.66449976</v>
      </c>
      <c r="J9" s="180">
        <f>SUMIFS('附表7-扣除项目明细采集底稿'!X:X,'附表7-扣除项目明细采集底稿'!E:E,数据对照表!B4,'附表7-扣除项目明细采集底稿'!V:V,"共同成本费用")</f>
        <v>0</v>
      </c>
      <c r="K9" s="180">
        <f>SUMIFS('附表7-扣除项目明细采集底稿'!Y:Y,'附表7-扣除项目明细采集底稿'!E:E,数据对照表!B4,'附表7-扣除项目明细采集底稿'!V:V,"共同成本费用")</f>
        <v>36941.2055002399</v>
      </c>
      <c r="L9" s="178">
        <f t="shared" si="1"/>
        <v>305707.87</v>
      </c>
      <c r="M9" s="178">
        <f t="shared" si="2"/>
        <v>305707.87</v>
      </c>
    </row>
    <row r="10" s="162" customFormat="1" ht="24" customHeight="1" spans="1:13">
      <c r="A10" s="65">
        <v>5</v>
      </c>
      <c r="B10" s="179" t="s">
        <v>154</v>
      </c>
      <c r="C10" s="179"/>
      <c r="D10" s="179"/>
      <c r="E10" s="177">
        <f>SUMIFS('附表7-扣除项目明细采集底稿'!W:W,'附表7-扣除项目明细采集底稿'!D:D,数据对照表!B1,'附表7-扣除项目明细采集底稿'!V:V,"直接归集成本费用",'附表7-扣除项目明细采集底稿'!AB:AB,"不可加计")</f>
        <v>0</v>
      </c>
      <c r="F10" s="177">
        <f>SUMIFS('附表7-扣除项目明细采集底稿'!X:X,'附表7-扣除项目明细采集底稿'!D:D,数据对照表!B1,'附表7-扣除项目明细采集底稿'!V:V,"直接归集成本费用",'附表7-扣除项目明细采集底稿'!AB:AB,"不可加计")</f>
        <v>0</v>
      </c>
      <c r="G10" s="177">
        <f>SUMIFS('附表7-扣除项目明细采集底稿'!Y:Y,'附表7-扣除项目明细采集底稿'!D:D,数据对照表!B1,'附表7-扣除项目明细采集底稿'!V:V,"直接归集成本费用",'附表7-扣除项目明细采集底稿'!AB:AB,"不可加计")</f>
        <v>0</v>
      </c>
      <c r="H10" s="178">
        <f t="shared" si="0"/>
        <v>0</v>
      </c>
      <c r="I10" s="177">
        <f>SUMIFS('附表7-扣除项目明细采集底稿'!W:W,'附表7-扣除项目明细采集底稿'!D:D,数据对照表!B1,'附表7-扣除项目明细采集底稿'!V:V,"共同成本费用",'附表7-扣除项目明细采集底稿'!AB:AB,"不可加计")</f>
        <v>0</v>
      </c>
      <c r="J10" s="177">
        <f>SUMIFS('附表7-扣除项目明细采集底稿'!X:X,'附表7-扣除项目明细采集底稿'!D:D,数据对照表!B1,'附表7-扣除项目明细采集底稿'!V:V,"共同成本费用",'附表7-扣除项目明细采集底稿'!AB:AB,"不可加计")</f>
        <v>0</v>
      </c>
      <c r="K10" s="177">
        <f>SUMIFS('附表7-扣除项目明细采集底稿'!Y:Y,'附表7-扣除项目明细采集底稿'!D:D,数据对照表!B1,'附表7-扣除项目明细采集底稿'!V:V,"共同成本费用",'附表7-扣除项目明细采集底稿'!AB:AB,"不可加计")</f>
        <v>0</v>
      </c>
      <c r="L10" s="178">
        <f t="shared" si="1"/>
        <v>0</v>
      </c>
      <c r="M10" s="178">
        <f t="shared" si="2"/>
        <v>0</v>
      </c>
    </row>
    <row r="11" s="162" customFormat="1" ht="24" customHeight="1" spans="1:13">
      <c r="A11" s="65">
        <v>6</v>
      </c>
      <c r="B11" s="179" t="s">
        <v>279</v>
      </c>
      <c r="C11" s="179"/>
      <c r="D11" s="179"/>
      <c r="E11" s="177">
        <f>SUM(SUMIFS('附表7-扣除项目明细采集底稿'!W:W,'附表7-扣除项目明细采集底稿'!D:D,"土地征用及拆迁补偿费",'附表7-扣除项目明细采集底稿'!V:V,"直接归集成本费用"),SUMIFS('附表7-扣除项目明细采集底稿'!W:W,'附表7-扣除项目明细采集底稿'!D:D,"前期工程费",'附表7-扣除项目明细采集底稿'!V:V,"直接归集成本费用"),SUMIFS('附表7-扣除项目明细采集底稿'!W:W,'附表7-扣除项目明细采集底稿'!D:D,"建筑安装工程费",'附表7-扣除项目明细采集底稿'!V:V,"直接归集成本费用"),SUMIFS('附表7-扣除项目明细采集底稿'!W:W,'附表7-扣除项目明细采集底稿'!D:D,"基础设施费",'附表7-扣除项目明细采集底稿'!V:V,"直接归集成本费用"),SUMIFS('附表7-扣除项目明细采集底稿'!W:W,'附表7-扣除项目明细采集底稿'!D:D,"公共配套设施费",'附表7-扣除项目明细采集底稿'!V:V,"直接归集成本费用"),SUMIFS('附表7-扣除项目明细采集底稿'!W:W,'附表7-扣除项目明细采集底稿'!D:D,"开发间接费用",'附表7-扣除项目明细采集底稿'!V:V,"直接归集成本费用"))</f>
        <v>0</v>
      </c>
      <c r="F11" s="177">
        <f>SUM(SUMIFS('附表7-扣除项目明细采集底稿'!X:X,'附表7-扣除项目明细采集底稿'!D:D,"土地征用及拆迁补偿费",'附表7-扣除项目明细采集底稿'!V:V,"直接归集成本费用"),SUMIFS('附表7-扣除项目明细采集底稿'!X:X,'附表7-扣除项目明细采集底稿'!D:D,"前期工程费",'附表7-扣除项目明细采集底稿'!V:V,"直接归集成本费用"),SUMIFS('附表7-扣除项目明细采集底稿'!X:X,'附表7-扣除项目明细采集底稿'!D:D,"建筑安装工程费",'附表7-扣除项目明细采集底稿'!V:V,"直接归集成本费用"),SUMIFS('附表7-扣除项目明细采集底稿'!X:X,'附表7-扣除项目明细采集底稿'!D:D,"基础设施费",'附表7-扣除项目明细采集底稿'!V:V,"直接归集成本费用"),SUMIFS('附表7-扣除项目明细采集底稿'!X:X,'附表7-扣除项目明细采集底稿'!D:D,"公共配套设施费",'附表7-扣除项目明细采集底稿'!V:V,"直接归集成本费用"),SUMIFS('附表7-扣除项目明细采集底稿'!X:X,'附表7-扣除项目明细采集底稿'!D:D,"开发间接费用",'附表7-扣除项目明细采集底稿'!V:V,"直接归集成本费用"))</f>
        <v>0</v>
      </c>
      <c r="G11" s="177">
        <f>SUM(SUMIFS('附表7-扣除项目明细采集底稿'!Y:Y,'附表7-扣除项目明细采集底稿'!D:D,"土地征用及拆迁补偿费",'附表7-扣除项目明细采集底稿'!V:V,"直接归集成本费用"),SUMIFS('附表7-扣除项目明细采集底稿'!Y:Y,'附表7-扣除项目明细采集底稿'!D:D,"前期工程费",'附表7-扣除项目明细采集底稿'!V:V,"直接归集成本费用"),SUMIFS('附表7-扣除项目明细采集底稿'!Y:Y,'附表7-扣除项目明细采集底稿'!D:D,"建筑安装工程费",'附表7-扣除项目明细采集底稿'!V:V,"直接归集成本费用"),SUMIFS('附表7-扣除项目明细采集底稿'!Y:Y,'附表7-扣除项目明细采集底稿'!D:D,"基础设施费",'附表7-扣除项目明细采集底稿'!V:V,"直接归集成本费用"),SUMIFS('附表7-扣除项目明细采集底稿'!Y:Y,'附表7-扣除项目明细采集底稿'!D:D,"公共配套设施费",'附表7-扣除项目明细采集底稿'!V:V,"直接归集成本费用"),SUMIFS('附表7-扣除项目明细采集底稿'!Y:Y,'附表7-扣除项目明细采集底稿'!D:D,"开发间接费用",'附表7-扣除项目明细采集底稿'!V:V,"直接归集成本费用"))</f>
        <v>0</v>
      </c>
      <c r="H11" s="178">
        <f t="shared" si="0"/>
        <v>0</v>
      </c>
      <c r="I11" s="177">
        <f>SUM(SUMIFS('附表7-扣除项目明细采集底稿'!W:W,'附表7-扣除项目明细采集底稿'!D:D,"土地征用及拆迁补偿费",'附表7-扣除项目明细采集底稿'!V:V,"共同成本费用"),SUMIFS('附表7-扣除项目明细采集底稿'!W:W,'附表7-扣除项目明细采集底稿'!D:D,"前期工程费",'附表7-扣除项目明细采集底稿'!V:V,"共同成本费用"),SUMIFS('附表7-扣除项目明细采集底稿'!W:W,'附表7-扣除项目明细采集底稿'!D:D,"建筑安装工程费",'附表7-扣除项目明细采集底稿'!V:V,"共同成本费用"),SUMIFS('附表7-扣除项目明细采集底稿'!W:W,'附表7-扣除项目明细采集底稿'!D:D,"基础设施费",'附表7-扣除项目明细采集底稿'!V:V,"共同成本费用"),SUMIFS('附表7-扣除项目明细采集底稿'!W:W,'附表7-扣除项目明细采集底稿'!D:D,"公共配套设施费",'附表7-扣除项目明细采集底稿'!V:V,"共同成本费用"),SUMIFS('附表7-扣除项目明细采集底稿'!W:W,'附表7-扣除项目明细采集底稿'!D:D,"开发间接费用",'附表7-扣除项目明细采集底稿'!V:V,"共同成本费用"))</f>
        <v>38847743.95</v>
      </c>
      <c r="J11" s="177">
        <f>SUM(SUMIFS('附表7-扣除项目明细采集底稿'!X:X,'附表7-扣除项目明细采集底稿'!D:D,"土地征用及拆迁补偿费",'附表7-扣除项目明细采集底稿'!V:V,"共同成本费用"),SUMIFS('附表7-扣除项目明细采集底稿'!X:X,'附表7-扣除项目明细采集底稿'!D:D,"前期工程费",'附表7-扣除项目明细采集底稿'!V:V,"共同成本费用"),SUMIFS('附表7-扣除项目明细采集底稿'!X:X,'附表7-扣除项目明细采集底稿'!D:D,"建筑安装工程费",'附表7-扣除项目明细采集底稿'!V:V,"共同成本费用"),SUMIFS('附表7-扣除项目明细采集底稿'!X:X,'附表7-扣除项目明细采集底稿'!D:D,"基础设施费",'附表7-扣除项目明细采集底稿'!V:V,"共同成本费用"),SUMIFS('附表7-扣除项目明细采集底稿'!X:X,'附表7-扣除项目明细采集底稿'!D:D,"公共配套设施费",'附表7-扣除项目明细采集底稿'!V:V,"共同成本费用"),SUMIFS('附表7-扣除项目明细采集底稿'!X:X,'附表7-扣除项目明细采集底稿'!D:D,"开发间接费用",'附表7-扣除项目明细采集底稿'!V:V,"共同成本费用"))</f>
        <v>0</v>
      </c>
      <c r="K11" s="177">
        <f>SUM(SUMIFS('附表7-扣除项目明细采集底稿'!Y:Y,'附表7-扣除项目明细采集底稿'!D:D,"土地征用及拆迁补偿费",'附表7-扣除项目明细采集底稿'!V:V,"共同成本费用"),SUMIFS('附表7-扣除项目明细采集底稿'!Y:Y,'附表7-扣除项目明细采集底稿'!D:D,"前期工程费",'附表7-扣除项目明细采集底稿'!V:V,"共同成本费用"),SUMIFS('附表7-扣除项目明细采集底稿'!Y:Y,'附表7-扣除项目明细采集底稿'!D:D,"建筑安装工程费",'附表7-扣除项目明细采集底稿'!V:V,"共同成本费用"),SUMIFS('附表7-扣除项目明细采集底稿'!Y:Y,'附表7-扣除项目明细采集底稿'!D:D,"基础设施费",'附表7-扣除项目明细采集底稿'!V:V,"共同成本费用"),SUMIFS('附表7-扣除项目明细采集底稿'!Y:Y,'附表7-扣除项目明细采集底稿'!D:D,"公共配套设施费",'附表7-扣除项目明细采集底稿'!V:V,"共同成本费用"),SUMIFS('附表7-扣除项目明细采集底稿'!Y:Y,'附表7-扣除项目明细采集底稿'!D:D,"开发间接费用",'附表7-扣除项目明细采集底稿'!V:V,"共同成本费用"))</f>
        <v>14419431.31</v>
      </c>
      <c r="L11" s="178">
        <f t="shared" si="1"/>
        <v>53267175.26</v>
      </c>
      <c r="M11" s="178">
        <f t="shared" si="2"/>
        <v>53267175.26</v>
      </c>
    </row>
    <row r="12" s="162" customFormat="1" ht="24" customHeight="1" spans="1:13">
      <c r="A12" s="65">
        <v>7</v>
      </c>
      <c r="B12" s="65" t="s">
        <v>278</v>
      </c>
      <c r="C12" s="56" t="str">
        <f>数据对照表!C1</f>
        <v>土地征用及拆迁补偿费</v>
      </c>
      <c r="D12" s="56"/>
      <c r="E12" s="177">
        <f>SUMIFS('附表7-扣除项目明细采集底稿'!W:W,'附表7-扣除项目明细采集底稿'!D:D,数据对照表!C1,'附表7-扣除项目明细采集底稿'!V:V,"直接归集成本费用")</f>
        <v>0</v>
      </c>
      <c r="F12" s="177">
        <f>SUMIFS('附表7-扣除项目明细采集底稿'!X:X,'附表7-扣除项目明细采集底稿'!D:D,数据对照表!C1,'附表7-扣除项目明细采集底稿'!V:V,"直接归集成本费用")</f>
        <v>0</v>
      </c>
      <c r="G12" s="177">
        <f>SUMIFS('附表7-扣除项目明细采集底稿'!Y:Y,'附表7-扣除项目明细采集底稿'!D:D,数据对照表!C1,'附表7-扣除项目明细采集底稿'!V:V,"直接归集成本费用")</f>
        <v>0</v>
      </c>
      <c r="H12" s="178">
        <f t="shared" si="0"/>
        <v>0</v>
      </c>
      <c r="I12" s="177">
        <f>SUMIFS('附表7-扣除项目明细采集底稿'!W:W,'附表7-扣除项目明细采集底稿'!D:D,数据对照表!C1,'附表7-扣除项目明细采集底稿'!V:V,"共同成本费用")</f>
        <v>0</v>
      </c>
      <c r="J12" s="177">
        <f>SUMIFS('附表7-扣除项目明细采集底稿'!X:X,'附表7-扣除项目明细采集底稿'!D:D,数据对照表!C1,'附表7-扣除项目明细采集底稿'!V:V,"共同成本费用")</f>
        <v>0</v>
      </c>
      <c r="K12" s="177">
        <f>SUMIFS('附表7-扣除项目明细采集底稿'!Y:Y,'附表7-扣除项目明细采集底稿'!D:D,数据对照表!C1,'附表7-扣除项目明细采集底稿'!V:V,"共同成本费用")</f>
        <v>0</v>
      </c>
      <c r="L12" s="178">
        <f t="shared" si="1"/>
        <v>0</v>
      </c>
      <c r="M12" s="178">
        <f t="shared" si="2"/>
        <v>0</v>
      </c>
    </row>
    <row r="13" s="162" customFormat="1" ht="24" customHeight="1" spans="1:13">
      <c r="A13" s="65">
        <v>8</v>
      </c>
      <c r="B13" s="65"/>
      <c r="C13" s="65" t="s">
        <v>278</v>
      </c>
      <c r="D13" s="179" t="str">
        <f>数据对照表!C2</f>
        <v>土地征用费用</v>
      </c>
      <c r="E13" s="177">
        <f>SUMIFS('附表7-扣除项目明细采集底稿'!W:W,'附表7-扣除项目明细采集底稿'!E:E,数据对照表!C2,'附表7-扣除项目明细采集底稿'!V:V,"直接归集成本费用")</f>
        <v>0</v>
      </c>
      <c r="F13" s="177">
        <f>SUMIFS('附表7-扣除项目明细采集底稿'!X:X,'附表7-扣除项目明细采集底稿'!E:E,数据对照表!C2,'附表7-扣除项目明细采集底稿'!V:V,"直接归集成本费用")</f>
        <v>0</v>
      </c>
      <c r="G13" s="177">
        <f>SUMIFS('附表7-扣除项目明细采集底稿'!Y:Y,'附表7-扣除项目明细采集底稿'!E:E,数据对照表!C2,'附表7-扣除项目明细采集底稿'!V:V,"直接归集成本费用")</f>
        <v>0</v>
      </c>
      <c r="H13" s="178">
        <f t="shared" si="0"/>
        <v>0</v>
      </c>
      <c r="I13" s="177">
        <f>SUMIFS('附表7-扣除项目明细采集底稿'!W:W,'附表7-扣除项目明细采集底稿'!E:E,数据对照表!C2,'附表7-扣除项目明细采集底稿'!V:V,"共同成本费用")</f>
        <v>0</v>
      </c>
      <c r="J13" s="177">
        <f>SUMIFS('附表7-扣除项目明细采集底稿'!X:X,'附表7-扣除项目明细采集底稿'!E:E,数据对照表!C2,'附表7-扣除项目明细采集底稿'!V:V,"共同成本费用")</f>
        <v>0</v>
      </c>
      <c r="K13" s="177">
        <f>SUMIFS('附表7-扣除项目明细采集底稿'!Y:Y,'附表7-扣除项目明细采集底稿'!E:E,数据对照表!C2,'附表7-扣除项目明细采集底稿'!V:V,"共同成本费用")</f>
        <v>0</v>
      </c>
      <c r="L13" s="178">
        <f t="shared" si="1"/>
        <v>0</v>
      </c>
      <c r="M13" s="178">
        <f t="shared" si="2"/>
        <v>0</v>
      </c>
    </row>
    <row r="14" s="162" customFormat="1" ht="24" customHeight="1" spans="1:13">
      <c r="A14" s="65">
        <v>9</v>
      </c>
      <c r="B14" s="65"/>
      <c r="C14" s="65"/>
      <c r="D14" s="179" t="str">
        <f>数据对照表!C3</f>
        <v>耕地占用税</v>
      </c>
      <c r="E14" s="177">
        <f>SUMIFS('附表7-扣除项目明细采集底稿'!W:W,'附表7-扣除项目明细采集底稿'!E:E,数据对照表!C3,'附表7-扣除项目明细采集底稿'!V:V,"直接归集成本费用")</f>
        <v>0</v>
      </c>
      <c r="F14" s="177">
        <f>SUMIFS('附表7-扣除项目明细采集底稿'!X:X,'附表7-扣除项目明细采集底稿'!E:E,数据对照表!C3,'附表7-扣除项目明细采集底稿'!V:V,"直接归集成本费用")</f>
        <v>0</v>
      </c>
      <c r="G14" s="177">
        <f>SUMIFS('附表7-扣除项目明细采集底稿'!Y:Y,'附表7-扣除项目明细采集底稿'!E:E,数据对照表!C3,'附表7-扣除项目明细采集底稿'!V:V,"直接归集成本费用")</f>
        <v>0</v>
      </c>
      <c r="H14" s="178">
        <f t="shared" si="0"/>
        <v>0</v>
      </c>
      <c r="I14" s="177">
        <f>SUMIFS('附表7-扣除项目明细采集底稿'!W:W,'附表7-扣除项目明细采集底稿'!E:E,数据对照表!C3,'附表7-扣除项目明细采集底稿'!V:V,"共同成本费用")</f>
        <v>0</v>
      </c>
      <c r="J14" s="177">
        <f>SUMIFS('附表7-扣除项目明细采集底稿'!X:X,'附表7-扣除项目明细采集底稿'!E:E,数据对照表!C3,'附表7-扣除项目明细采集底稿'!V:V,"共同成本费用")</f>
        <v>0</v>
      </c>
      <c r="K14" s="177">
        <f>SUMIFS('附表7-扣除项目明细采集底稿'!Y:Y,'附表7-扣除项目明细采集底稿'!E:E,数据对照表!C3,'附表7-扣除项目明细采集底稿'!V:V,"共同成本费用")</f>
        <v>0</v>
      </c>
      <c r="L14" s="178">
        <f t="shared" si="1"/>
        <v>0</v>
      </c>
      <c r="M14" s="178">
        <f t="shared" si="2"/>
        <v>0</v>
      </c>
    </row>
    <row r="15" s="162" customFormat="1" ht="24" customHeight="1" spans="1:13">
      <c r="A15" s="65">
        <v>10</v>
      </c>
      <c r="B15" s="65"/>
      <c r="C15" s="65"/>
      <c r="D15" s="179" t="str">
        <f>数据对照表!C4</f>
        <v>劳动力安置费</v>
      </c>
      <c r="E15" s="177">
        <f>SUMIFS('附表7-扣除项目明细采集底稿'!W:W,'附表7-扣除项目明细采集底稿'!E:E,数据对照表!C4,'附表7-扣除项目明细采集底稿'!V:V,"直接归集成本费用")</f>
        <v>0</v>
      </c>
      <c r="F15" s="177">
        <f>SUMIFS('附表7-扣除项目明细采集底稿'!X:X,'附表7-扣除项目明细采集底稿'!E:E,数据对照表!C4,'附表7-扣除项目明细采集底稿'!V:V,"直接归集成本费用")</f>
        <v>0</v>
      </c>
      <c r="G15" s="177">
        <f>SUMIFS('附表7-扣除项目明细采集底稿'!Y:Y,'附表7-扣除项目明细采集底稿'!E:E,数据对照表!C4,'附表7-扣除项目明细采集底稿'!V:V,"直接归集成本费用")</f>
        <v>0</v>
      </c>
      <c r="H15" s="178">
        <f t="shared" si="0"/>
        <v>0</v>
      </c>
      <c r="I15" s="177">
        <f>SUMIFS('附表7-扣除项目明细采集底稿'!W:W,'附表7-扣除项目明细采集底稿'!E:E,数据对照表!C4,'附表7-扣除项目明细采集底稿'!V:V,"共同成本费用")</f>
        <v>0</v>
      </c>
      <c r="J15" s="177">
        <f>SUMIFS('附表7-扣除项目明细采集底稿'!X:X,'附表7-扣除项目明细采集底稿'!E:E,数据对照表!C4,'附表7-扣除项目明细采集底稿'!V:V,"共同成本费用")</f>
        <v>0</v>
      </c>
      <c r="K15" s="177">
        <f>SUMIFS('附表7-扣除项目明细采集底稿'!Y:Y,'附表7-扣除项目明细采集底稿'!E:E,数据对照表!C4,'附表7-扣除项目明细采集底稿'!V:V,"共同成本费用")</f>
        <v>0</v>
      </c>
      <c r="L15" s="178">
        <f t="shared" si="1"/>
        <v>0</v>
      </c>
      <c r="M15" s="178">
        <f t="shared" si="2"/>
        <v>0</v>
      </c>
    </row>
    <row r="16" s="162" customFormat="1" ht="24" customHeight="1" spans="1:13">
      <c r="A16" s="65">
        <v>11</v>
      </c>
      <c r="B16" s="65"/>
      <c r="C16" s="65"/>
      <c r="D16" s="179" t="str">
        <f>数据对照表!C5</f>
        <v>安置动迁用房支出</v>
      </c>
      <c r="E16" s="177">
        <f>SUMIFS('附表7-扣除项目明细采集底稿'!W:W,'附表7-扣除项目明细采集底稿'!E:E,数据对照表!C5,'附表7-扣除项目明细采集底稿'!V:V,"直接归集成本费用")</f>
        <v>0</v>
      </c>
      <c r="F16" s="177">
        <f>SUMIFS('附表7-扣除项目明细采集底稿'!X:X,'附表7-扣除项目明细采集底稿'!E:E,数据对照表!C5,'附表7-扣除项目明细采集底稿'!V:V,"直接归集成本费用")</f>
        <v>0</v>
      </c>
      <c r="G16" s="177">
        <f>SUMIFS('附表7-扣除项目明细采集底稿'!Y:Y,'附表7-扣除项目明细采集底稿'!E:E,数据对照表!C5,'附表7-扣除项目明细采集底稿'!V:V,"直接归集成本费用")</f>
        <v>0</v>
      </c>
      <c r="H16" s="178">
        <f t="shared" si="0"/>
        <v>0</v>
      </c>
      <c r="I16" s="177">
        <f>SUMIFS('附表7-扣除项目明细采集底稿'!W:W,'附表7-扣除项目明细采集底稿'!E:E,数据对照表!C5,'附表7-扣除项目明细采集底稿'!V:V,"共同成本费用")</f>
        <v>0</v>
      </c>
      <c r="J16" s="177">
        <f>SUMIFS('附表7-扣除项目明细采集底稿'!X:X,'附表7-扣除项目明细采集底稿'!E:E,数据对照表!C5,'附表7-扣除项目明细采集底稿'!V:V,"共同成本费用")</f>
        <v>0</v>
      </c>
      <c r="K16" s="177">
        <f>SUMIFS('附表7-扣除项目明细采集底稿'!Y:Y,'附表7-扣除项目明细采集底稿'!E:E,数据对照表!C5,'附表7-扣除项目明细采集底稿'!V:V,"共同成本费用")</f>
        <v>0</v>
      </c>
      <c r="L16" s="178">
        <f t="shared" si="1"/>
        <v>0</v>
      </c>
      <c r="M16" s="178">
        <f t="shared" si="2"/>
        <v>0</v>
      </c>
    </row>
    <row r="17" s="162" customFormat="1" ht="24" customHeight="1" spans="1:13">
      <c r="A17" s="65">
        <v>12</v>
      </c>
      <c r="B17" s="65"/>
      <c r="C17" s="65"/>
      <c r="D17" s="179" t="str">
        <f>数据对照表!C6</f>
        <v>拆迁补偿费</v>
      </c>
      <c r="E17" s="177">
        <f>SUMIFS('附表7-扣除项目明细采集底稿'!W:W,'附表7-扣除项目明细采集底稿'!E:E,数据对照表!C6,'附表7-扣除项目明细采集底稿'!V:V,"直接归集成本费用")</f>
        <v>0</v>
      </c>
      <c r="F17" s="177">
        <f>SUMIFS('附表7-扣除项目明细采集底稿'!X:X,'附表7-扣除项目明细采集底稿'!E:E,数据对照表!C6,'附表7-扣除项目明细采集底稿'!V:V,"直接归集成本费用")</f>
        <v>0</v>
      </c>
      <c r="G17" s="177">
        <f>SUMIFS('附表7-扣除项目明细采集底稿'!Y:Y,'附表7-扣除项目明细采集底稿'!E:E,数据对照表!C6,'附表7-扣除项目明细采集底稿'!V:V,"直接归集成本费用")</f>
        <v>0</v>
      </c>
      <c r="H17" s="178">
        <f t="shared" si="0"/>
        <v>0</v>
      </c>
      <c r="I17" s="177">
        <f>SUMIFS('附表7-扣除项目明细采集底稿'!W:W,'附表7-扣除项目明细采集底稿'!E:E,数据对照表!C6,'附表7-扣除项目明细采集底稿'!V:V,"共同成本费用")</f>
        <v>0</v>
      </c>
      <c r="J17" s="177">
        <f>SUMIFS('附表7-扣除项目明细采集底稿'!X:X,'附表7-扣除项目明细采集底稿'!E:E,数据对照表!C6,'附表7-扣除项目明细采集底稿'!V:V,"共同成本费用")</f>
        <v>0</v>
      </c>
      <c r="K17" s="177">
        <f>SUMIFS('附表7-扣除项目明细采集底稿'!Y:Y,'附表7-扣除项目明细采集底稿'!E:E,数据对照表!C6,'附表7-扣除项目明细采集底稿'!V:V,"共同成本费用")</f>
        <v>0</v>
      </c>
      <c r="L17" s="178">
        <f t="shared" si="1"/>
        <v>0</v>
      </c>
      <c r="M17" s="178">
        <f t="shared" si="2"/>
        <v>0</v>
      </c>
    </row>
    <row r="18" s="162" customFormat="1" ht="27.95" customHeight="1" spans="1:13">
      <c r="A18" s="65">
        <v>13</v>
      </c>
      <c r="B18" s="65"/>
      <c r="C18" s="65"/>
      <c r="D18" s="179" t="str">
        <f>数据对照表!C7</f>
        <v>其他土地征用及拆迁补偿费</v>
      </c>
      <c r="E18" s="177">
        <f>SUMIFS('附表7-扣除项目明细采集底稿'!W:W,'附表7-扣除项目明细采集底稿'!E:E,数据对照表!C7,'附表7-扣除项目明细采集底稿'!V:V,"直接归集成本费用")</f>
        <v>0</v>
      </c>
      <c r="F18" s="177">
        <f>SUMIFS('附表7-扣除项目明细采集底稿'!X:X,'附表7-扣除项目明细采集底稿'!E:E,数据对照表!C7,'附表7-扣除项目明细采集底稿'!V:V,"直接归集成本费用")</f>
        <v>0</v>
      </c>
      <c r="G18" s="177">
        <f>SUMIFS('附表7-扣除项目明细采集底稿'!Y:Y,'附表7-扣除项目明细采集底稿'!E:E,数据对照表!C7,'附表7-扣除项目明细采集底稿'!V:V,"直接归集成本费用")</f>
        <v>0</v>
      </c>
      <c r="H18" s="178">
        <f t="shared" si="0"/>
        <v>0</v>
      </c>
      <c r="I18" s="177">
        <f>SUMIFS('附表7-扣除项目明细采集底稿'!W:W,'附表7-扣除项目明细采集底稿'!E:E,数据对照表!C7,'附表7-扣除项目明细采集底稿'!V:V,"共同成本费用")</f>
        <v>0</v>
      </c>
      <c r="J18" s="177">
        <f>SUMIFS('附表7-扣除项目明细采集底稿'!X:X,'附表7-扣除项目明细采集底稿'!E:E,数据对照表!C7,'附表7-扣除项目明细采集底稿'!V:V,"共同成本费用")</f>
        <v>0</v>
      </c>
      <c r="K18" s="177">
        <f>SUMIFS('附表7-扣除项目明细采集底稿'!Y:Y,'附表7-扣除项目明细采集底稿'!E:E,数据对照表!C7,'附表7-扣除项目明细采集底稿'!V:V,"共同成本费用")</f>
        <v>0</v>
      </c>
      <c r="L18" s="178">
        <f t="shared" si="1"/>
        <v>0</v>
      </c>
      <c r="M18" s="178">
        <f t="shared" si="2"/>
        <v>0</v>
      </c>
    </row>
    <row r="19" s="162" customFormat="1" ht="24" customHeight="1" spans="1:13">
      <c r="A19" s="65">
        <v>14</v>
      </c>
      <c r="B19" s="65"/>
      <c r="C19" s="179" t="str">
        <f>数据对照表!D1</f>
        <v>前期工程费</v>
      </c>
      <c r="D19" s="179"/>
      <c r="E19" s="177">
        <f>SUMIFS('附表7-扣除项目明细采集底稿'!W:W,'附表7-扣除项目明细采集底稿'!D:D,数据对照表!D1,'附表7-扣除项目明细采集底稿'!V:V,"直接归集成本费用")</f>
        <v>0</v>
      </c>
      <c r="F19" s="177">
        <f>SUMIFS('附表7-扣除项目明细采集底稿'!X:X,'附表7-扣除项目明细采集底稿'!D:D,数据对照表!D1,'附表7-扣除项目明细采集底稿'!V:V,"直接归集成本费用")</f>
        <v>0</v>
      </c>
      <c r="G19" s="177">
        <f>SUMIFS('附表7-扣除项目明细采集底稿'!Y:Y,'附表7-扣除项目明细采集底稿'!D:D,数据对照表!D1,'附表7-扣除项目明细采集底稿'!V:V,"直接归集成本费用")</f>
        <v>0</v>
      </c>
      <c r="H19" s="178">
        <f t="shared" si="0"/>
        <v>0</v>
      </c>
      <c r="I19" s="177">
        <f>SUMIFS('附表7-扣除项目明细采集底稿'!W:W,'附表7-扣除项目明细采集底稿'!D:D,数据对照表!D1,'附表7-扣除项目明细采集底稿'!V:V,"共同成本费用")</f>
        <v>1677980.47</v>
      </c>
      <c r="J19" s="177">
        <f>SUMIFS('附表7-扣除项目明细采集底稿'!X:X,'附表7-扣除项目明细采集底稿'!D:D,数据对照表!D1,'附表7-扣除项目明细采集底稿'!V:V,"共同成本费用")</f>
        <v>0</v>
      </c>
      <c r="K19" s="177">
        <f>SUMIFS('附表7-扣除项目明细采集底稿'!Y:Y,'附表7-扣除项目明细采集底稿'!D:D,数据对照表!D1,'附表7-扣除项目明细采集底稿'!V:V,"共同成本费用")</f>
        <v>622829.55</v>
      </c>
      <c r="L19" s="178">
        <f t="shared" si="1"/>
        <v>2300810.02</v>
      </c>
      <c r="M19" s="178">
        <f t="shared" si="2"/>
        <v>2300810.02</v>
      </c>
    </row>
    <row r="20" s="162" customFormat="1" ht="24" customHeight="1" spans="1:13">
      <c r="A20" s="65">
        <v>15</v>
      </c>
      <c r="B20" s="65"/>
      <c r="C20" s="65" t="s">
        <v>278</v>
      </c>
      <c r="D20" s="179" t="str">
        <f>数据对照表!D2</f>
        <v>规划费用</v>
      </c>
      <c r="E20" s="177">
        <f>SUMIFS('附表7-扣除项目明细采集底稿'!W:W,'附表7-扣除项目明细采集底稿'!E:E,数据对照表!D2,'附表7-扣除项目明细采集底稿'!V:V,"直接归集成本费用")</f>
        <v>0</v>
      </c>
      <c r="F20" s="177">
        <f>SUMIFS('附表7-扣除项目明细采集底稿'!X:X,'附表7-扣除项目明细采集底稿'!E:E,数据对照表!D2,'附表7-扣除项目明细采集底稿'!V:V,"直接归集成本费用")</f>
        <v>0</v>
      </c>
      <c r="G20" s="177">
        <f>SUMIFS('附表7-扣除项目明细采集底稿'!Y:Y,'附表7-扣除项目明细采集底稿'!E:E,数据对照表!D2,'附表7-扣除项目明细采集底稿'!V:V,"直接归集成本费用")</f>
        <v>0</v>
      </c>
      <c r="H20" s="178">
        <f t="shared" si="0"/>
        <v>0</v>
      </c>
      <c r="I20" s="177">
        <f>SUMIFS('附表7-扣除项目明细采集底稿'!W:W,'附表7-扣除项目明细采集底稿'!E:E,数据对照表!D2,'附表7-扣除项目明细采集底稿'!V:V,"共同成本费用")</f>
        <v>0</v>
      </c>
      <c r="J20" s="177">
        <f>SUMIFS('附表7-扣除项目明细采集底稿'!X:X,'附表7-扣除项目明细采集底稿'!E:E,数据对照表!D2,'附表7-扣除项目明细采集底稿'!V:V,"共同成本费用")</f>
        <v>0</v>
      </c>
      <c r="K20" s="177">
        <f>SUMIFS('附表7-扣除项目明细采集底稿'!Y:Y,'附表7-扣除项目明细采集底稿'!E:E,数据对照表!D2,'附表7-扣除项目明细采集底稿'!V:V,"共同成本费用")</f>
        <v>0</v>
      </c>
      <c r="L20" s="178">
        <f t="shared" si="1"/>
        <v>0</v>
      </c>
      <c r="M20" s="178">
        <f t="shared" si="2"/>
        <v>0</v>
      </c>
    </row>
    <row r="21" s="162" customFormat="1" ht="24" customHeight="1" spans="1:13">
      <c r="A21" s="65">
        <v>16</v>
      </c>
      <c r="B21" s="65"/>
      <c r="C21" s="65"/>
      <c r="D21" s="179" t="str">
        <f>数据对照表!D3</f>
        <v>设计费用</v>
      </c>
      <c r="E21" s="177">
        <f>SUMIFS('附表7-扣除项目明细采集底稿'!W:W,'附表7-扣除项目明细采集底稿'!E:E,数据对照表!D3,'附表7-扣除项目明细采集底稿'!V:V,"直接归集成本费用")</f>
        <v>0</v>
      </c>
      <c r="F21" s="177">
        <f>SUMIFS('附表7-扣除项目明细采集底稿'!X:X,'附表7-扣除项目明细采集底稿'!E:E,数据对照表!D3,'附表7-扣除项目明细采集底稿'!V:V,"直接归集成本费用")</f>
        <v>0</v>
      </c>
      <c r="G21" s="177">
        <f>SUMIFS('附表7-扣除项目明细采集底稿'!Y:Y,'附表7-扣除项目明细采集底稿'!E:E,数据对照表!D3,'附表7-扣除项目明细采集底稿'!V:V,"直接归集成本费用")</f>
        <v>0</v>
      </c>
      <c r="H21" s="178">
        <f t="shared" ref="H21:H37" si="3">SUM(E21:G21)</f>
        <v>0</v>
      </c>
      <c r="I21" s="177">
        <f>SUMIFS('附表7-扣除项目明细采集底稿'!W:W,'附表7-扣除项目明细采集底稿'!E:E,数据对照表!D3,'附表7-扣除项目明细采集底稿'!V:V,"共同成本费用")</f>
        <v>414338.6</v>
      </c>
      <c r="J21" s="177">
        <f>SUMIFS('附表7-扣除项目明细采集底稿'!X:X,'附表7-扣除项目明细采集底稿'!E:E,数据对照表!D3,'附表7-扣除项目明细采集底稿'!V:V,"共同成本费用")</f>
        <v>0</v>
      </c>
      <c r="K21" s="177">
        <f>SUMIFS('附表7-扣除项目明细采集底稿'!Y:Y,'附表7-扣除项目明细采集底稿'!E:E,数据对照表!D3,'附表7-扣除项目明细采集底稿'!V:V,"共同成本费用")</f>
        <v>153793.4</v>
      </c>
      <c r="L21" s="178">
        <f t="shared" ref="L21:L37" si="4">SUM(I21:K21)</f>
        <v>568132</v>
      </c>
      <c r="M21" s="178">
        <f t="shared" ref="M21:M37" si="5">H21+L21</f>
        <v>568132</v>
      </c>
    </row>
    <row r="22" s="162" customFormat="1" ht="24" customHeight="1" spans="1:13">
      <c r="A22" s="65">
        <v>17</v>
      </c>
      <c r="B22" s="65"/>
      <c r="C22" s="65"/>
      <c r="D22" s="179" t="str">
        <f>数据对照表!D4</f>
        <v>项目可行性研究费用</v>
      </c>
      <c r="E22" s="177">
        <f>SUMIFS('附表7-扣除项目明细采集底稿'!W:W,'附表7-扣除项目明细采集底稿'!E:E,数据对照表!D4,'附表7-扣除项目明细采集底稿'!V:V,"直接归集成本费用")</f>
        <v>0</v>
      </c>
      <c r="F22" s="177">
        <f>SUMIFS('附表7-扣除项目明细采集底稿'!X:X,'附表7-扣除项目明细采集底稿'!E:E,数据对照表!D4,'附表7-扣除项目明细采集底稿'!V:V,"直接归集成本费用")</f>
        <v>0</v>
      </c>
      <c r="G22" s="177">
        <f>SUMIFS('附表7-扣除项目明细采集底稿'!Y:Y,'附表7-扣除项目明细采集底稿'!E:E,数据对照表!D4,'附表7-扣除项目明细采集底稿'!V:V,"直接归集成本费用")</f>
        <v>0</v>
      </c>
      <c r="H22" s="178">
        <f t="shared" si="3"/>
        <v>0</v>
      </c>
      <c r="I22" s="177">
        <f>SUMIFS('附表7-扣除项目明细采集底稿'!W:W,'附表7-扣除项目明细采集底稿'!E:E,数据对照表!D4,'附表7-扣除项目明细采集底稿'!V:V,"共同成本费用")</f>
        <v>13127.4</v>
      </c>
      <c r="J22" s="177">
        <f>SUMIFS('附表7-扣除项目明细采集底稿'!X:X,'附表7-扣除项目明细采集底稿'!E:E,数据对照表!D4,'附表7-扣除项目明细采集底稿'!V:V,"共同成本费用")</f>
        <v>0</v>
      </c>
      <c r="K22" s="177">
        <f>SUMIFS('附表7-扣除项目明细采集底稿'!Y:Y,'附表7-扣除项目明细采集底稿'!E:E,数据对照表!D4,'附表7-扣除项目明细采集底稿'!V:V,"共同成本费用")</f>
        <v>4872.6</v>
      </c>
      <c r="L22" s="178">
        <f t="shared" si="4"/>
        <v>18000</v>
      </c>
      <c r="M22" s="178">
        <f t="shared" si="5"/>
        <v>18000</v>
      </c>
    </row>
    <row r="23" s="162" customFormat="1" ht="24" customHeight="1" spans="1:13">
      <c r="A23" s="65">
        <v>18</v>
      </c>
      <c r="B23" s="65"/>
      <c r="C23" s="65"/>
      <c r="D23" s="179" t="str">
        <f>数据对照表!D5</f>
        <v>水文费用</v>
      </c>
      <c r="E23" s="177">
        <f>SUMIFS('附表7-扣除项目明细采集底稿'!W:W,'附表7-扣除项目明细采集底稿'!E:E,数据对照表!D5,'附表7-扣除项目明细采集底稿'!V:V,"直接归集成本费用")</f>
        <v>0</v>
      </c>
      <c r="F23" s="177">
        <f>SUMIFS('附表7-扣除项目明细采集底稿'!X:X,'附表7-扣除项目明细采集底稿'!E:E,数据对照表!D5,'附表7-扣除项目明细采集底稿'!V:V,"直接归集成本费用")</f>
        <v>0</v>
      </c>
      <c r="G23" s="177">
        <f>SUMIFS('附表7-扣除项目明细采集底稿'!Y:Y,'附表7-扣除项目明细采集底稿'!E:E,数据对照表!D5,'附表7-扣除项目明细采集底稿'!V:V,"直接归集成本费用")</f>
        <v>0</v>
      </c>
      <c r="H23" s="178">
        <f t="shared" si="3"/>
        <v>0</v>
      </c>
      <c r="I23" s="177">
        <f>SUMIFS('附表7-扣除项目明细采集底稿'!W:W,'附表7-扣除项目明细采集底稿'!E:E,数据对照表!D5,'附表7-扣除项目明细采集底稿'!V:V,"共同成本费用")</f>
        <v>0</v>
      </c>
      <c r="J23" s="177">
        <f>SUMIFS('附表7-扣除项目明细采集底稿'!X:X,'附表7-扣除项目明细采集底稿'!E:E,数据对照表!D5,'附表7-扣除项目明细采集底稿'!V:V,"共同成本费用")</f>
        <v>0</v>
      </c>
      <c r="K23" s="177">
        <f>SUMIFS('附表7-扣除项目明细采集底稿'!Y:Y,'附表7-扣除项目明细采集底稿'!E:E,数据对照表!D5,'附表7-扣除项目明细采集底稿'!V:V,"共同成本费用")</f>
        <v>0</v>
      </c>
      <c r="L23" s="178">
        <f t="shared" si="4"/>
        <v>0</v>
      </c>
      <c r="M23" s="178">
        <f t="shared" si="5"/>
        <v>0</v>
      </c>
    </row>
    <row r="24" s="162" customFormat="1" ht="24" customHeight="1" spans="1:13">
      <c r="A24" s="65">
        <v>19</v>
      </c>
      <c r="B24" s="65"/>
      <c r="C24" s="65"/>
      <c r="D24" s="179" t="str">
        <f>数据对照表!D6</f>
        <v>地质费用</v>
      </c>
      <c r="E24" s="177">
        <f>SUMIFS('附表7-扣除项目明细采集底稿'!W:W,'附表7-扣除项目明细采集底稿'!E:E,数据对照表!D6,'附表7-扣除项目明细采集底稿'!V:V,"直接归集成本费用")</f>
        <v>0</v>
      </c>
      <c r="F24" s="177">
        <f>SUMIFS('附表7-扣除项目明细采集底稿'!X:X,'附表7-扣除项目明细采集底稿'!E:E,数据对照表!D6,'附表7-扣除项目明细采集底稿'!V:V,"直接归集成本费用")</f>
        <v>0</v>
      </c>
      <c r="G24" s="177">
        <f>SUMIFS('附表7-扣除项目明细采集底稿'!Y:Y,'附表7-扣除项目明细采集底稿'!E:E,数据对照表!D6,'附表7-扣除项目明细采集底稿'!V:V,"直接归集成本费用")</f>
        <v>0</v>
      </c>
      <c r="H24" s="178">
        <f t="shared" si="3"/>
        <v>0</v>
      </c>
      <c r="I24" s="177">
        <f>SUMIFS('附表7-扣除项目明细采集底稿'!W:W,'附表7-扣除项目明细采集底稿'!E:E,数据对照表!D6,'附表7-扣除项目明细采集底稿'!V:V,"共同成本费用")</f>
        <v>0</v>
      </c>
      <c r="J24" s="177">
        <f>SUMIFS('附表7-扣除项目明细采集底稿'!X:X,'附表7-扣除项目明细采集底稿'!E:E,数据对照表!D6,'附表7-扣除项目明细采集底稿'!V:V,"共同成本费用")</f>
        <v>0</v>
      </c>
      <c r="K24" s="177">
        <f>SUMIFS('附表7-扣除项目明细采集底稿'!Y:Y,'附表7-扣除项目明细采集底稿'!E:E,数据对照表!D6,'附表7-扣除项目明细采集底稿'!V:V,"共同成本费用")</f>
        <v>0</v>
      </c>
      <c r="L24" s="178">
        <f t="shared" si="4"/>
        <v>0</v>
      </c>
      <c r="M24" s="178">
        <f t="shared" si="5"/>
        <v>0</v>
      </c>
    </row>
    <row r="25" s="162" customFormat="1" ht="24" customHeight="1" spans="1:13">
      <c r="A25" s="65">
        <v>20</v>
      </c>
      <c r="B25" s="65"/>
      <c r="C25" s="65"/>
      <c r="D25" s="179" t="str">
        <f>数据对照表!D7</f>
        <v>勘探费用</v>
      </c>
      <c r="E25" s="177">
        <f>SUMIFS('附表7-扣除项目明细采集底稿'!W:W,'附表7-扣除项目明细采集底稿'!E:E,数据对照表!D7,'附表7-扣除项目明细采集底稿'!V:V,"直接归集成本费用")</f>
        <v>0</v>
      </c>
      <c r="F25" s="177">
        <f>SUMIFS('附表7-扣除项目明细采集底稿'!X:X,'附表7-扣除项目明细采集底稿'!E:E,数据对照表!D7,'附表7-扣除项目明细采集底稿'!V:V,"直接归集成本费用")</f>
        <v>0</v>
      </c>
      <c r="G25" s="177">
        <f>SUMIFS('附表7-扣除项目明细采集底稿'!Y:Y,'附表7-扣除项目明细采集底稿'!E:E,数据对照表!D7,'附表7-扣除项目明细采集底稿'!V:V,"直接归集成本费用")</f>
        <v>0</v>
      </c>
      <c r="H25" s="178">
        <f t="shared" si="3"/>
        <v>0</v>
      </c>
      <c r="I25" s="177">
        <f>SUMIFS('附表7-扣除项目明细采集底稿'!W:W,'附表7-扣除项目明细采集底稿'!E:E,数据对照表!D7,'附表7-扣除项目明细采集底稿'!V:V,"共同成本费用")</f>
        <v>28962.7</v>
      </c>
      <c r="J25" s="177">
        <f>SUMIFS('附表7-扣除项目明细采集底稿'!X:X,'附表7-扣除项目明细采集底稿'!E:E,数据对照表!D7,'附表7-扣除项目明细采集底稿'!V:V,"共同成本费用")</f>
        <v>0</v>
      </c>
      <c r="K25" s="177">
        <f>SUMIFS('附表7-扣除项目明细采集底稿'!Y:Y,'附表7-扣除项目明细采集底稿'!E:E,数据对照表!D7,'附表7-扣除项目明细采集底稿'!V:V,"共同成本费用")</f>
        <v>10750.3</v>
      </c>
      <c r="L25" s="178">
        <f t="shared" si="4"/>
        <v>39713</v>
      </c>
      <c r="M25" s="178">
        <f t="shared" si="5"/>
        <v>39713</v>
      </c>
    </row>
    <row r="26" s="162" customFormat="1" ht="24" customHeight="1" spans="1:13">
      <c r="A26" s="65">
        <v>21</v>
      </c>
      <c r="B26" s="65"/>
      <c r="C26" s="65"/>
      <c r="D26" s="179" t="str">
        <f>数据对照表!D8</f>
        <v>测绘费用</v>
      </c>
      <c r="E26" s="177">
        <f>SUMIFS('附表7-扣除项目明细采集底稿'!W:W,'附表7-扣除项目明细采集底稿'!E:E,数据对照表!D8,'附表7-扣除项目明细采集底稿'!V:V,"直接归集成本费用")</f>
        <v>0</v>
      </c>
      <c r="F26" s="177">
        <f>SUMIFS('附表7-扣除项目明细采集底稿'!X:X,'附表7-扣除项目明细采集底稿'!E:E,数据对照表!D8,'附表7-扣除项目明细采集底稿'!V:V,"直接归集成本费用")</f>
        <v>0</v>
      </c>
      <c r="G26" s="177">
        <f>SUMIFS('附表7-扣除项目明细采集底稿'!Y:Y,'附表7-扣除项目明细采集底稿'!E:E,数据对照表!D8,'附表7-扣除项目明细采集底稿'!V:V,"直接归集成本费用")</f>
        <v>0</v>
      </c>
      <c r="H26" s="178">
        <f t="shared" si="3"/>
        <v>0</v>
      </c>
      <c r="I26" s="177">
        <f>SUMIFS('附表7-扣除项目明细采集底稿'!W:W,'附表7-扣除项目明细采集底稿'!E:E,数据对照表!D8,'附表7-扣除项目明细采集底稿'!V:V,"共同成本费用")</f>
        <v>7295.05</v>
      </c>
      <c r="J26" s="177">
        <f>SUMIFS('附表7-扣除项目明细采集底稿'!X:X,'附表7-扣除项目明细采集底稿'!E:E,数据对照表!D8,'附表7-扣除项目明细采集底稿'!V:V,"共同成本费用")</f>
        <v>0</v>
      </c>
      <c r="K26" s="177">
        <f>SUMIFS('附表7-扣除项目明细采集底稿'!Y:Y,'附表7-扣除项目明细采集底稿'!E:E,数据对照表!D8,'附表7-扣除项目明细采集底稿'!V:V,"共同成本费用")</f>
        <v>2707.77</v>
      </c>
      <c r="L26" s="178">
        <f t="shared" si="4"/>
        <v>10002.82</v>
      </c>
      <c r="M26" s="178">
        <f t="shared" si="5"/>
        <v>10002.82</v>
      </c>
    </row>
    <row r="27" s="162" customFormat="1" ht="24" customHeight="1" spans="1:13">
      <c r="A27" s="65">
        <v>22</v>
      </c>
      <c r="B27" s="65"/>
      <c r="C27" s="65"/>
      <c r="D27" s="179" t="str">
        <f>数据对照表!D9</f>
        <v>七通一平支出</v>
      </c>
      <c r="E27" s="177">
        <f>SUMIFS('附表7-扣除项目明细采集底稿'!W:W,'附表7-扣除项目明细采集底稿'!E:E,数据对照表!D9,'附表7-扣除项目明细采集底稿'!V:V,"直接归集成本费用")</f>
        <v>0</v>
      </c>
      <c r="F27" s="177">
        <f>SUMIFS('附表7-扣除项目明细采集底稿'!X:X,'附表7-扣除项目明细采集底稿'!E:E,数据对照表!D9,'附表7-扣除项目明细采集底稿'!V:V,"直接归集成本费用")</f>
        <v>0</v>
      </c>
      <c r="G27" s="177">
        <f>SUMIFS('附表7-扣除项目明细采集底稿'!Y:Y,'附表7-扣除项目明细采集底稿'!E:E,数据对照表!D9,'附表7-扣除项目明细采集底稿'!V:V,"直接归集成本费用")</f>
        <v>0</v>
      </c>
      <c r="H27" s="178">
        <f t="shared" si="3"/>
        <v>0</v>
      </c>
      <c r="I27" s="177">
        <f>SUMIFS('附表7-扣除项目明细采集底稿'!W:W,'附表7-扣除项目明细采集底稿'!E:E,数据对照表!D9,'附表7-扣除项目明细采集底稿'!V:V,"共同成本费用")</f>
        <v>1196753.52</v>
      </c>
      <c r="J27" s="177">
        <f>SUMIFS('附表7-扣除项目明细采集底稿'!X:X,'附表7-扣除项目明细采集底稿'!E:E,数据对照表!D9,'附表7-扣除项目明细采集底稿'!V:V,"共同成本费用")</f>
        <v>0</v>
      </c>
      <c r="K27" s="177">
        <f>SUMIFS('附表7-扣除项目明细采集底稿'!Y:Y,'附表7-扣除项目明细采集底稿'!E:E,数据对照表!D9,'附表7-扣除项目明细采集底稿'!V:V,"共同成本费用")</f>
        <v>444208.68</v>
      </c>
      <c r="L27" s="178">
        <f t="shared" si="4"/>
        <v>1640962.2</v>
      </c>
      <c r="M27" s="178">
        <f t="shared" si="5"/>
        <v>1640962.2</v>
      </c>
    </row>
    <row r="28" s="162" customFormat="1" ht="24" customHeight="1" spans="1:13">
      <c r="A28" s="65">
        <v>23</v>
      </c>
      <c r="B28" s="65"/>
      <c r="C28" s="65"/>
      <c r="D28" s="179" t="str">
        <f>数据对照表!D10</f>
        <v>其他前期工程费</v>
      </c>
      <c r="E28" s="177">
        <f>SUMIFS('附表7-扣除项目明细采集底稿'!W:W,'附表7-扣除项目明细采集底稿'!E:E,数据对照表!D10,'附表7-扣除项目明细采集底稿'!V:V,"直接归集成本费用")</f>
        <v>0</v>
      </c>
      <c r="F28" s="177">
        <f>SUMIFS('附表7-扣除项目明细采集底稿'!X:X,'附表7-扣除项目明细采集底稿'!E:E,数据对照表!D10,'附表7-扣除项目明细采集底稿'!V:V,"直接归集成本费用")</f>
        <v>0</v>
      </c>
      <c r="G28" s="177">
        <f>SUMIFS('附表7-扣除项目明细采集底稿'!Y:Y,'附表7-扣除项目明细采集底稿'!E:E,数据对照表!D10,'附表7-扣除项目明细采集底稿'!V:V,"直接归集成本费用")</f>
        <v>0</v>
      </c>
      <c r="H28" s="178">
        <f t="shared" si="3"/>
        <v>0</v>
      </c>
      <c r="I28" s="177">
        <f>SUMIFS('附表7-扣除项目明细采集底稿'!W:W,'附表7-扣除项目明细采集底稿'!E:E,数据对照表!D10,'附表7-扣除项目明细采集底稿'!V:V,"共同成本费用")</f>
        <v>17503.2</v>
      </c>
      <c r="J28" s="177">
        <f>SUMIFS('附表7-扣除项目明细采集底稿'!X:X,'附表7-扣除项目明细采集底稿'!E:E,数据对照表!D10,'附表7-扣除项目明细采集底稿'!V:V,"共同成本费用")</f>
        <v>0</v>
      </c>
      <c r="K28" s="177">
        <f>SUMIFS('附表7-扣除项目明细采集底稿'!Y:Y,'附表7-扣除项目明细采集底稿'!E:E,数据对照表!D10,'附表7-扣除项目明细采集底稿'!V:V,"共同成本费用")</f>
        <v>6496.8</v>
      </c>
      <c r="L28" s="178">
        <f t="shared" si="4"/>
        <v>24000</v>
      </c>
      <c r="M28" s="178">
        <f t="shared" si="5"/>
        <v>24000</v>
      </c>
    </row>
    <row r="29" s="162" customFormat="1" ht="24" customHeight="1" spans="1:13">
      <c r="A29" s="65">
        <v>24</v>
      </c>
      <c r="B29" s="65"/>
      <c r="C29" s="56" t="str">
        <f>数据对照表!E1</f>
        <v>建筑安装工程费</v>
      </c>
      <c r="D29" s="56"/>
      <c r="E29" s="177">
        <f>SUMIFS('附表7-扣除项目明细采集底稿'!W:W,'附表7-扣除项目明细采集底稿'!D:D,数据对照表!E1,'附表7-扣除项目明细采集底稿'!V:V,"直接归集成本费用")</f>
        <v>0</v>
      </c>
      <c r="F29" s="177">
        <f>SUMIFS('附表7-扣除项目明细采集底稿'!X:X,'附表7-扣除项目明细采集底稿'!D:D,数据对照表!E1,'附表7-扣除项目明细采集底稿'!V:V,"直接归集成本费用")</f>
        <v>0</v>
      </c>
      <c r="G29" s="177">
        <f>SUMIFS('附表7-扣除项目明细采集底稿'!Y:Y,'附表7-扣除项目明细采集底稿'!D:D,数据对照表!E1,'附表7-扣除项目明细采集底稿'!V:V,"直接归集成本费用")</f>
        <v>0</v>
      </c>
      <c r="H29" s="178">
        <f t="shared" si="3"/>
        <v>0</v>
      </c>
      <c r="I29" s="177">
        <f>SUMIFS('附表7-扣除项目明细采集底稿'!W:W,'附表7-扣除项目明细采集底稿'!D:D,数据对照表!E1,'附表7-扣除项目明细采集底稿'!V:V,"共同成本费用")</f>
        <v>35330661.19</v>
      </c>
      <c r="J29" s="177">
        <f>SUMIFS('附表7-扣除项目明细采集底稿'!X:X,'附表7-扣除项目明细采集底稿'!D:D,数据对照表!E1,'附表7-扣除项目明细采集底稿'!V:V,"共同成本费用")</f>
        <v>0</v>
      </c>
      <c r="K29" s="177">
        <f>SUMIFS('附表7-扣除项目明细采集底稿'!Y:Y,'附表7-扣除项目明细采集底稿'!D:D,数据对照表!E1,'附表7-扣除项目明细采集底稿'!V:V,"共同成本费用")</f>
        <v>13113967.26</v>
      </c>
      <c r="L29" s="178">
        <f t="shared" si="4"/>
        <v>48444628.45</v>
      </c>
      <c r="M29" s="178">
        <f t="shared" si="5"/>
        <v>48444628.45</v>
      </c>
    </row>
    <row r="30" s="162" customFormat="1" ht="24" customHeight="1" spans="1:13">
      <c r="A30" s="65">
        <v>25</v>
      </c>
      <c r="B30" s="65"/>
      <c r="C30" s="65" t="s">
        <v>278</v>
      </c>
      <c r="D30" s="179" t="str">
        <f>数据对照表!E2</f>
        <v>桩基础工程费用</v>
      </c>
      <c r="E30" s="177">
        <f>SUMIFS('附表7-扣除项目明细采集底稿'!W:W,'附表7-扣除项目明细采集底稿'!E:E,数据对照表!E2,'附表7-扣除项目明细采集底稿'!V:V,"直接归集成本费用")</f>
        <v>0</v>
      </c>
      <c r="F30" s="177">
        <f>SUMIFS('附表7-扣除项目明细采集底稿'!X:X,'附表7-扣除项目明细采集底稿'!E:E,数据对照表!E2,'附表7-扣除项目明细采集底稿'!V:V,"直接归集成本费用")</f>
        <v>0</v>
      </c>
      <c r="G30" s="177">
        <f>SUMIFS('附表7-扣除项目明细采集底稿'!Y:Y,'附表7-扣除项目明细采集底稿'!E:E,数据对照表!E2,'附表7-扣除项目明细采集底稿'!V:V,"直接归集成本费用")</f>
        <v>0</v>
      </c>
      <c r="H30" s="178">
        <f t="shared" si="3"/>
        <v>0</v>
      </c>
      <c r="I30" s="177">
        <f>SUMIFS('附表7-扣除项目明细采集底稿'!W:W,'附表7-扣除项目明细采集底稿'!E:E,数据对照表!E2,'附表7-扣除项目明细采集底稿'!V:V,"共同成本费用")</f>
        <v>32300420.23</v>
      </c>
      <c r="J30" s="177">
        <f>SUMIFS('附表7-扣除项目明细采集底稿'!X:X,'附表7-扣除项目明细采集底稿'!E:E,数据对照表!E2,'附表7-扣除项目明细采集底稿'!V:V,"共同成本费用")</f>
        <v>0</v>
      </c>
      <c r="K30" s="177">
        <f>SUMIFS('附表7-扣除项目明细采集底稿'!Y:Y,'附表7-扣除项目明细采集底稿'!E:E,数据对照表!E2,'附表7-扣除项目明细采集底稿'!V:V,"共同成本费用")</f>
        <v>11989208.22</v>
      </c>
      <c r="L30" s="178">
        <f t="shared" si="4"/>
        <v>44289628.45</v>
      </c>
      <c r="M30" s="178">
        <f t="shared" si="5"/>
        <v>44289628.45</v>
      </c>
    </row>
    <row r="31" s="162" customFormat="1" ht="24" customHeight="1" spans="1:13">
      <c r="A31" s="65">
        <v>26</v>
      </c>
      <c r="B31" s="65"/>
      <c r="C31" s="65"/>
      <c r="D31" s="179" t="str">
        <f>数据对照表!E3</f>
        <v>地下室工程费用</v>
      </c>
      <c r="E31" s="177">
        <f>SUMIFS('附表7-扣除项目明细采集底稿'!W:W,'附表7-扣除项目明细采集底稿'!E:E,数据对照表!E3,'附表7-扣除项目明细采集底稿'!V:V,"直接归集成本费用")</f>
        <v>0</v>
      </c>
      <c r="F31" s="177">
        <f>SUMIFS('附表7-扣除项目明细采集底稿'!X:X,'附表7-扣除项目明细采集底稿'!E:E,数据对照表!E3,'附表7-扣除项目明细采集底稿'!V:V,"直接归集成本费用")</f>
        <v>0</v>
      </c>
      <c r="G31" s="177">
        <f>SUMIFS('附表7-扣除项目明细采集底稿'!Y:Y,'附表7-扣除项目明细采集底稿'!E:E,数据对照表!E3,'附表7-扣除项目明细采集底稿'!V:V,"直接归集成本费用")</f>
        <v>0</v>
      </c>
      <c r="H31" s="178">
        <f t="shared" si="3"/>
        <v>0</v>
      </c>
      <c r="I31" s="177">
        <f>SUMIFS('附表7-扣除项目明细采集底稿'!W:W,'附表7-扣除项目明细采集底稿'!E:E,数据对照表!E3,'附表7-扣除项目明细采集底稿'!V:V,"共同成本费用")</f>
        <v>1826896.17</v>
      </c>
      <c r="J31" s="177">
        <f>SUMIFS('附表7-扣除项目明细采集底稿'!X:X,'附表7-扣除项目明细采集底稿'!E:E,数据对照表!E3,'附表7-扣除项目明细采集底稿'!V:V,"共同成本费用")</f>
        <v>0</v>
      </c>
      <c r="K31" s="177">
        <f>SUMIFS('附表7-扣除项目明细采集底稿'!Y:Y,'附表7-扣除项目明细采集底稿'!E:E,数据对照表!E3,'附表7-扣除项目明细采集底稿'!V:V,"共同成本费用")</f>
        <v>678103.83</v>
      </c>
      <c r="L31" s="178">
        <f t="shared" si="4"/>
        <v>2505000</v>
      </c>
      <c r="M31" s="178">
        <f t="shared" si="5"/>
        <v>2505000</v>
      </c>
    </row>
    <row r="32" s="162" customFormat="1" ht="24" customHeight="1" spans="1:13">
      <c r="A32" s="65">
        <v>27</v>
      </c>
      <c r="B32" s="65"/>
      <c r="C32" s="65"/>
      <c r="D32" s="179" t="str">
        <f>数据对照表!E4</f>
        <v>地上建筑工程费用</v>
      </c>
      <c r="E32" s="177">
        <f>SUMIFS('附表7-扣除项目明细采集底稿'!W:W,'附表7-扣除项目明细采集底稿'!E:E,数据对照表!E4,'附表7-扣除项目明细采集底稿'!V:V,"直接归集成本费用")</f>
        <v>0</v>
      </c>
      <c r="F32" s="177">
        <f>SUMIFS('附表7-扣除项目明细采集底稿'!X:X,'附表7-扣除项目明细采集底稿'!E:E,数据对照表!E4,'附表7-扣除项目明细采集底稿'!V:V,"直接归集成本费用")</f>
        <v>0</v>
      </c>
      <c r="G32" s="177">
        <f>SUMIFS('附表7-扣除项目明细采集底稿'!Y:Y,'附表7-扣除项目明细采集底稿'!E:E,数据对照表!E4,'附表7-扣除项目明细采集底稿'!V:V,"直接归集成本费用")</f>
        <v>0</v>
      </c>
      <c r="H32" s="178">
        <f t="shared" si="3"/>
        <v>0</v>
      </c>
      <c r="I32" s="177">
        <f>SUMIFS('附表7-扣除项目明细采集底稿'!W:W,'附表7-扣除项目明细采集底稿'!E:E,数据对照表!E4,'附表7-扣除项目明细采集底稿'!V:V,"共同成本费用")</f>
        <v>0</v>
      </c>
      <c r="J32" s="177">
        <f>SUMIFS('附表7-扣除项目明细采集底稿'!X:X,'附表7-扣除项目明细采集底稿'!E:E,数据对照表!E4,'附表7-扣除项目明细采集底稿'!V:V,"共同成本费用")</f>
        <v>0</v>
      </c>
      <c r="K32" s="177">
        <f>SUMIFS('附表7-扣除项目明细采集底稿'!Y:Y,'附表7-扣除项目明细采集底稿'!E:E,数据对照表!E4,'附表7-扣除项目明细采集底稿'!V:V,"共同成本费用")</f>
        <v>0</v>
      </c>
      <c r="L32" s="178">
        <f t="shared" si="4"/>
        <v>0</v>
      </c>
      <c r="M32" s="178">
        <f t="shared" si="5"/>
        <v>0</v>
      </c>
    </row>
    <row r="33" s="162" customFormat="1" ht="24" customHeight="1" spans="1:13">
      <c r="A33" s="65">
        <v>28</v>
      </c>
      <c r="B33" s="65"/>
      <c r="C33" s="65"/>
      <c r="D33" s="179" t="str">
        <f>数据对照表!E5</f>
        <v>户内装修费用</v>
      </c>
      <c r="E33" s="177">
        <f>SUMIFS('附表7-扣除项目明细采集底稿'!W:W,'附表7-扣除项目明细采集底稿'!E:E,数据对照表!E5,'附表7-扣除项目明细采集底稿'!V:V,"直接归集成本费用")</f>
        <v>0</v>
      </c>
      <c r="F33" s="177">
        <f>SUMIFS('附表7-扣除项目明细采集底稿'!X:X,'附表7-扣除项目明细采集底稿'!E:E,数据对照表!E5,'附表7-扣除项目明细采集底稿'!V:V,"直接归集成本费用")</f>
        <v>0</v>
      </c>
      <c r="G33" s="177">
        <f>SUMIFS('附表7-扣除项目明细采集底稿'!Y:Y,'附表7-扣除项目明细采集底稿'!E:E,数据对照表!E5,'附表7-扣除项目明细采集底稿'!V:V,"直接归集成本费用")</f>
        <v>0</v>
      </c>
      <c r="H33" s="178">
        <f t="shared" si="3"/>
        <v>0</v>
      </c>
      <c r="I33" s="177">
        <f>SUMIFS('附表7-扣除项目明细采集底稿'!W:W,'附表7-扣除项目明细采集底稿'!E:E,数据对照表!E5,'附表7-扣除项目明细采集底稿'!V:V,"共同成本费用")</f>
        <v>0</v>
      </c>
      <c r="J33" s="177">
        <f>SUMIFS('附表7-扣除项目明细采集底稿'!X:X,'附表7-扣除项目明细采集底稿'!E:E,数据对照表!E5,'附表7-扣除项目明细采集底稿'!V:V,"共同成本费用")</f>
        <v>0</v>
      </c>
      <c r="K33" s="177">
        <f>SUMIFS('附表7-扣除项目明细采集底稿'!Y:Y,'附表7-扣除项目明细采集底稿'!E:E,数据对照表!E5,'附表7-扣除项目明细采集底稿'!V:V,"共同成本费用")</f>
        <v>0</v>
      </c>
      <c r="L33" s="178">
        <f t="shared" si="4"/>
        <v>0</v>
      </c>
      <c r="M33" s="178">
        <f t="shared" si="5"/>
        <v>0</v>
      </c>
    </row>
    <row r="34" s="162" customFormat="1" ht="24" customHeight="1" spans="1:13">
      <c r="A34" s="65">
        <v>29</v>
      </c>
      <c r="B34" s="65"/>
      <c r="C34" s="65"/>
      <c r="D34" s="179" t="str">
        <f>数据对照表!E6</f>
        <v>高档外立面工程费用</v>
      </c>
      <c r="E34" s="177">
        <f>SUMIFS('附表7-扣除项目明细采集底稿'!W:W,'附表7-扣除项目明细采集底稿'!E:E,数据对照表!E6,'附表7-扣除项目明细采集底稿'!V:V,"直接归集成本费用")</f>
        <v>0</v>
      </c>
      <c r="F34" s="177">
        <f>SUMIFS('附表7-扣除项目明细采集底稿'!X:X,'附表7-扣除项目明细采集底稿'!E:E,数据对照表!E6,'附表7-扣除项目明细采集底稿'!V:V,"直接归集成本费用")</f>
        <v>0</v>
      </c>
      <c r="G34" s="177">
        <f>SUMIFS('附表7-扣除项目明细采集底稿'!Y:Y,'附表7-扣除项目明细采集底稿'!E:E,数据对照表!E6,'附表7-扣除项目明细采集底稿'!V:V,"直接归集成本费用")</f>
        <v>0</v>
      </c>
      <c r="H34" s="178">
        <f t="shared" si="3"/>
        <v>0</v>
      </c>
      <c r="I34" s="177">
        <f>SUMIFS('附表7-扣除项目明细采集底稿'!W:W,'附表7-扣除项目明细采集底稿'!E:E,数据对照表!E6,'附表7-扣除项目明细采集底稿'!V:V,"共同成本费用")</f>
        <v>0</v>
      </c>
      <c r="J34" s="177">
        <f>SUMIFS('附表7-扣除项目明细采集底稿'!X:X,'附表7-扣除项目明细采集底稿'!E:E,数据对照表!E6,'附表7-扣除项目明细采集底稿'!V:V,"共同成本费用")</f>
        <v>0</v>
      </c>
      <c r="K34" s="177">
        <f>SUMIFS('附表7-扣除项目明细采集底稿'!Y:Y,'附表7-扣除项目明细采集底稿'!E:E,数据对照表!E6,'附表7-扣除项目明细采集底稿'!V:V,"共同成本费用")</f>
        <v>0</v>
      </c>
      <c r="L34" s="178">
        <f t="shared" si="4"/>
        <v>0</v>
      </c>
      <c r="M34" s="178">
        <f t="shared" si="5"/>
        <v>0</v>
      </c>
    </row>
    <row r="35" s="162" customFormat="1" ht="24" customHeight="1" spans="1:13">
      <c r="A35" s="65">
        <v>30</v>
      </c>
      <c r="B35" s="65"/>
      <c r="C35" s="65"/>
      <c r="D35" s="179" t="str">
        <f>数据对照表!E7</f>
        <v>其他建筑安装工程费</v>
      </c>
      <c r="E35" s="177">
        <f>SUMIFS('附表7-扣除项目明细采集底稿'!W:W,'附表7-扣除项目明细采集底稿'!E:E,数据对照表!E7,'附表7-扣除项目明细采集底稿'!V:V,"直接归集成本费用")</f>
        <v>0</v>
      </c>
      <c r="F35" s="177">
        <f>SUMIFS('附表7-扣除项目明细采集底稿'!X:X,'附表7-扣除项目明细采集底稿'!E:E,数据对照表!E7,'附表7-扣除项目明细采集底稿'!V:V,"直接归集成本费用")</f>
        <v>0</v>
      </c>
      <c r="G35" s="177">
        <f>SUMIFS('附表7-扣除项目明细采集底稿'!Y:Y,'附表7-扣除项目明细采集底稿'!E:E,数据对照表!E7,'附表7-扣除项目明细采集底稿'!V:V,"直接归集成本费用")</f>
        <v>0</v>
      </c>
      <c r="H35" s="178">
        <f t="shared" si="3"/>
        <v>0</v>
      </c>
      <c r="I35" s="177">
        <f>SUMIFS('附表7-扣除项目明细采集底稿'!W:W,'附表7-扣除项目明细采集底稿'!E:E,数据对照表!E7,'附表7-扣除项目明细采集底稿'!V:V,"共同成本费用")</f>
        <v>1203344.79</v>
      </c>
      <c r="J35" s="177">
        <f>SUMIFS('附表7-扣除项目明细采集底稿'!X:X,'附表7-扣除项目明细采集底稿'!E:E,数据对照表!E7,'附表7-扣除项目明细采集底稿'!V:V,"共同成本费用")</f>
        <v>0</v>
      </c>
      <c r="K35" s="177">
        <f>SUMIFS('附表7-扣除项目明细采集底稿'!Y:Y,'附表7-扣除项目明细采集底稿'!E:E,数据对照表!E7,'附表7-扣除项目明细采集底稿'!V:V,"共同成本费用")</f>
        <v>446655.21</v>
      </c>
      <c r="L35" s="178">
        <f t="shared" si="4"/>
        <v>1650000</v>
      </c>
      <c r="M35" s="178">
        <f t="shared" si="5"/>
        <v>1650000</v>
      </c>
    </row>
    <row r="36" s="162" customFormat="1" ht="24" customHeight="1" spans="1:13">
      <c r="A36" s="65">
        <v>31</v>
      </c>
      <c r="B36" s="65"/>
      <c r="C36" s="179" t="str">
        <f>数据对照表!F1</f>
        <v>基础设施费</v>
      </c>
      <c r="D36" s="179"/>
      <c r="E36" s="177">
        <f>SUMIFS('附表7-扣除项目明细采集底稿'!W:W,'附表7-扣除项目明细采集底稿'!D:D,数据对照表!F1,'附表7-扣除项目明细采集底稿'!V:V,"直接归集成本费用")</f>
        <v>0</v>
      </c>
      <c r="F36" s="177">
        <f>SUMIFS('附表7-扣除项目明细采集底稿'!X:X,'附表7-扣除项目明细采集底稿'!D:D,数据对照表!F1,'附表7-扣除项目明细采集底稿'!V:V,"直接归集成本费用")</f>
        <v>0</v>
      </c>
      <c r="G36" s="177">
        <f>SUMIFS('附表7-扣除项目明细采集底稿'!Y:Y,'附表7-扣除项目明细采集底稿'!D:D,数据对照表!F1,'附表7-扣除项目明细采集底稿'!V:V,"直接归集成本费用")</f>
        <v>0</v>
      </c>
      <c r="H36" s="178">
        <f t="shared" si="3"/>
        <v>0</v>
      </c>
      <c r="I36" s="177">
        <f>SUMIFS('附表7-扣除项目明细采集底稿'!W:W,'附表7-扣除项目明细采集底稿'!D:D,数据对照表!F1,'附表7-扣除项目明细采集底稿'!V:V,"共同成本费用")</f>
        <v>1639937.79</v>
      </c>
      <c r="J36" s="177">
        <f>SUMIFS('附表7-扣除项目明细采集底稿'!X:X,'附表7-扣除项目明细采集底稿'!D:D,数据对照表!F1,'附表7-扣除项目明细采集底稿'!V:V,"共同成本费用")</f>
        <v>0</v>
      </c>
      <c r="K36" s="177">
        <f>SUMIFS('附表7-扣除项目明细采集底稿'!Y:Y,'附表7-扣除项目明细采集底稿'!D:D,数据对照表!F1,'附表7-扣除项目明细采集底稿'!V:V,"共同成本费用")</f>
        <v>608709</v>
      </c>
      <c r="L36" s="178">
        <f t="shared" si="4"/>
        <v>2248646.79</v>
      </c>
      <c r="M36" s="178">
        <f t="shared" si="5"/>
        <v>2248646.79</v>
      </c>
    </row>
    <row r="37" s="162" customFormat="1" ht="27.95" customHeight="1" spans="1:13">
      <c r="A37" s="65">
        <v>32</v>
      </c>
      <c r="B37" s="65"/>
      <c r="C37" s="65" t="s">
        <v>278</v>
      </c>
      <c r="D37" s="179" t="str">
        <f>数据对照表!F2</f>
        <v>开发小区内道路工程支出</v>
      </c>
      <c r="E37" s="177">
        <f>SUMIFS('附表7-扣除项目明细采集底稿'!W:W,'附表7-扣除项目明细采集底稿'!E:E,数据对照表!F2,'附表7-扣除项目明细采集底稿'!V:V,"直接归集成本费用")</f>
        <v>0</v>
      </c>
      <c r="F37" s="177">
        <f>SUMIFS('附表7-扣除项目明细采集底稿'!X:X,'附表7-扣除项目明细采集底稿'!E:E,数据对照表!F2,'附表7-扣除项目明细采集底稿'!V:V,"直接归集成本费用")</f>
        <v>0</v>
      </c>
      <c r="G37" s="177">
        <f>SUMIFS('附表7-扣除项目明细采集底稿'!Y:Y,'附表7-扣除项目明细采集底稿'!E:E,数据对照表!F2,'附表7-扣除项目明细采集底稿'!V:V,"直接归集成本费用")</f>
        <v>0</v>
      </c>
      <c r="H37" s="178">
        <f t="shared" si="3"/>
        <v>0</v>
      </c>
      <c r="I37" s="177">
        <f>SUMIFS('附表7-扣除项目明细采集底稿'!W:W,'附表7-扣除项目明细采集底稿'!E:E,数据对照表!F2,'附表7-扣除项目明细采集底稿'!V:V,"共同成本费用")</f>
        <v>0</v>
      </c>
      <c r="J37" s="177">
        <f>SUMIFS('附表7-扣除项目明细采集底稿'!X:X,'附表7-扣除项目明细采集底稿'!E:E,数据对照表!F2,'附表7-扣除项目明细采集底稿'!V:V,"共同成本费用")</f>
        <v>0</v>
      </c>
      <c r="K37" s="177">
        <f>SUMIFS('附表7-扣除项目明细采集底稿'!Y:Y,'附表7-扣除项目明细采集底稿'!E:E,数据对照表!F2,'附表7-扣除项目明细采集底稿'!V:V,"共同成本费用")</f>
        <v>0</v>
      </c>
      <c r="L37" s="178">
        <f t="shared" si="4"/>
        <v>0</v>
      </c>
      <c r="M37" s="178">
        <f t="shared" si="5"/>
        <v>0</v>
      </c>
    </row>
    <row r="38" s="162" customFormat="1" ht="24" customHeight="1" spans="1:13">
      <c r="A38" s="65">
        <v>33</v>
      </c>
      <c r="B38" s="65"/>
      <c r="C38" s="65"/>
      <c r="D38" s="179" t="str">
        <f>数据对照表!F3</f>
        <v>供水工程支出</v>
      </c>
      <c r="E38" s="177">
        <f>SUMIFS('附表7-扣除项目明细采集底稿'!W:W,'附表7-扣除项目明细采集底稿'!E:E,数据对照表!F3,'附表7-扣除项目明细采集底稿'!V:V,"直接归集成本费用")</f>
        <v>0</v>
      </c>
      <c r="F38" s="177">
        <f>SUMIFS('附表7-扣除项目明细采集底稿'!X:X,'附表7-扣除项目明细采集底稿'!E:E,数据对照表!F3,'附表7-扣除项目明细采集底稿'!V:V,"直接归集成本费用")</f>
        <v>0</v>
      </c>
      <c r="G38" s="177">
        <f>SUMIFS('附表7-扣除项目明细采集底稿'!Y:Y,'附表7-扣除项目明细采集底稿'!E:E,数据对照表!F3,'附表7-扣除项目明细采集底稿'!V:V,"直接归集成本费用")</f>
        <v>0</v>
      </c>
      <c r="H38" s="178">
        <f t="shared" ref="H38:H49" si="6">SUM(E38:G38)</f>
        <v>0</v>
      </c>
      <c r="I38" s="177">
        <f>SUMIFS('附表7-扣除项目明细采集底稿'!W:W,'附表7-扣除项目明细采集底稿'!E:E,数据对照表!F3,'附表7-扣除项目明细采集底稿'!V:V,"共同成本费用")</f>
        <v>238001.9</v>
      </c>
      <c r="J38" s="177">
        <f>SUMIFS('附表7-扣除项目明细采集底稿'!X:X,'附表7-扣除项目明细采集底稿'!E:E,数据对照表!F3,'附表7-扣除项目明细采集底稿'!V:V,"共同成本费用")</f>
        <v>0</v>
      </c>
      <c r="K38" s="177">
        <f>SUMIFS('附表7-扣除项目明细采集底稿'!Y:Y,'附表7-扣除项目明细采集底稿'!E:E,数据对照表!F3,'附表7-扣除项目明细采集底稿'!V:V,"共同成本费用")</f>
        <v>88341.11</v>
      </c>
      <c r="L38" s="178">
        <f t="shared" ref="L38:L49" si="7">SUM(I38:K38)</f>
        <v>326343.01</v>
      </c>
      <c r="M38" s="178">
        <f t="shared" ref="M38:M49" si="8">H38+L38</f>
        <v>326343.01</v>
      </c>
    </row>
    <row r="39" s="162" customFormat="1" ht="24" customHeight="1" spans="1:13">
      <c r="A39" s="65">
        <v>34</v>
      </c>
      <c r="B39" s="65"/>
      <c r="C39" s="65"/>
      <c r="D39" s="179" t="str">
        <f>数据对照表!F4</f>
        <v>供电工程支出</v>
      </c>
      <c r="E39" s="177">
        <f>SUMIFS('附表7-扣除项目明细采集底稿'!W:W,'附表7-扣除项目明细采集底稿'!E:E,数据对照表!F4,'附表7-扣除项目明细采集底稿'!V:V,"直接归集成本费用")</f>
        <v>0</v>
      </c>
      <c r="F39" s="177">
        <f>SUMIFS('附表7-扣除项目明细采集底稿'!X:X,'附表7-扣除项目明细采集底稿'!E:E,数据对照表!F4,'附表7-扣除项目明细采集底稿'!V:V,"直接归集成本费用")</f>
        <v>0</v>
      </c>
      <c r="G39" s="177">
        <f>SUMIFS('附表7-扣除项目明细采集底稿'!Y:Y,'附表7-扣除项目明细采集底稿'!E:E,数据对照表!F4,'附表7-扣除项目明细采集底稿'!V:V,"直接归集成本费用")</f>
        <v>0</v>
      </c>
      <c r="H39" s="178">
        <f t="shared" si="6"/>
        <v>0</v>
      </c>
      <c r="I39" s="177">
        <f>SUMIFS('附表7-扣除项目明细采集底稿'!W:W,'附表7-扣除项目明细采集底稿'!E:E,数据对照表!F4,'附表7-扣除项目明细采集底稿'!V:V,"共同成本费用")</f>
        <v>301200.84</v>
      </c>
      <c r="J39" s="177">
        <f>SUMIFS('附表7-扣除项目明细采集底稿'!X:X,'附表7-扣除项目明细采集底稿'!E:E,数据对照表!F4,'附表7-扣除项目明细采集底稿'!V:V,"共同成本费用")</f>
        <v>0</v>
      </c>
      <c r="K39" s="177">
        <f>SUMIFS('附表7-扣除项目明细采集底稿'!Y:Y,'附表7-扣除项目明细采集底稿'!E:E,数据对照表!F4,'附表7-扣除项目明细采集底稿'!V:V,"共同成本费用")</f>
        <v>111799.16</v>
      </c>
      <c r="L39" s="178">
        <f t="shared" si="7"/>
        <v>413000</v>
      </c>
      <c r="M39" s="178">
        <f t="shared" si="8"/>
        <v>413000</v>
      </c>
    </row>
    <row r="40" s="162" customFormat="1" ht="24" customHeight="1" spans="1:13">
      <c r="A40" s="65">
        <v>35</v>
      </c>
      <c r="B40" s="65"/>
      <c r="C40" s="65"/>
      <c r="D40" s="179" t="str">
        <f>数据对照表!F5</f>
        <v>供气工程支出</v>
      </c>
      <c r="E40" s="177">
        <f>SUMIFS('附表7-扣除项目明细采集底稿'!W:W,'附表7-扣除项目明细采集底稿'!E:E,数据对照表!F5,'附表7-扣除项目明细采集底稿'!V:V,"直接归集成本费用")</f>
        <v>0</v>
      </c>
      <c r="F40" s="177">
        <f>SUMIFS('附表7-扣除项目明细采集底稿'!X:X,'附表7-扣除项目明细采集底稿'!E:E,数据对照表!F5,'附表7-扣除项目明细采集底稿'!V:V,"直接归集成本费用")</f>
        <v>0</v>
      </c>
      <c r="G40" s="177">
        <f>SUMIFS('附表7-扣除项目明细采集底稿'!Y:Y,'附表7-扣除项目明细采集底稿'!E:E,数据对照表!F5,'附表7-扣除项目明细采集底稿'!V:V,"直接归集成本费用")</f>
        <v>0</v>
      </c>
      <c r="H40" s="178">
        <f t="shared" si="6"/>
        <v>0</v>
      </c>
      <c r="I40" s="177">
        <f>SUMIFS('附表7-扣除项目明细采集底稿'!W:W,'附表7-扣除项目明细采集底稿'!E:E,数据对照表!F5,'附表7-扣除项目明细采集底稿'!V:V,"共同成本费用")</f>
        <v>0</v>
      </c>
      <c r="J40" s="177">
        <f>SUMIFS('附表7-扣除项目明细采集底稿'!X:X,'附表7-扣除项目明细采集底稿'!E:E,数据对照表!F5,'附表7-扣除项目明细采集底稿'!V:V,"共同成本费用")</f>
        <v>0</v>
      </c>
      <c r="K40" s="177">
        <f>SUMIFS('附表7-扣除项目明细采集底稿'!Y:Y,'附表7-扣除项目明细采集底稿'!E:E,数据对照表!F5,'附表7-扣除项目明细采集底稿'!V:V,"共同成本费用")</f>
        <v>0</v>
      </c>
      <c r="L40" s="178">
        <f t="shared" si="7"/>
        <v>0</v>
      </c>
      <c r="M40" s="178">
        <f t="shared" si="8"/>
        <v>0</v>
      </c>
    </row>
    <row r="41" s="162" customFormat="1" ht="24" customHeight="1" spans="1:13">
      <c r="A41" s="65">
        <v>36</v>
      </c>
      <c r="B41" s="65"/>
      <c r="C41" s="65"/>
      <c r="D41" s="179" t="str">
        <f>数据对照表!F6</f>
        <v>排污工程支出</v>
      </c>
      <c r="E41" s="177">
        <f>SUMIFS('附表7-扣除项目明细采集底稿'!W:W,'附表7-扣除项目明细采集底稿'!E:E,数据对照表!F6,'附表7-扣除项目明细采集底稿'!V:V,"直接归集成本费用")</f>
        <v>0</v>
      </c>
      <c r="F41" s="177">
        <f>SUMIFS('附表7-扣除项目明细采集底稿'!X:X,'附表7-扣除项目明细采集底稿'!E:E,数据对照表!F6,'附表7-扣除项目明细采集底稿'!V:V,"直接归集成本费用")</f>
        <v>0</v>
      </c>
      <c r="G41" s="177">
        <f>SUMIFS('附表7-扣除项目明细采集底稿'!Y:Y,'附表7-扣除项目明细采集底稿'!E:E,数据对照表!F6,'附表7-扣除项目明细采集底稿'!V:V,"直接归集成本费用")</f>
        <v>0</v>
      </c>
      <c r="H41" s="178">
        <f t="shared" si="6"/>
        <v>0</v>
      </c>
      <c r="I41" s="177">
        <f>SUMIFS('附表7-扣除项目明细采集底稿'!W:W,'附表7-扣除项目明细采集底稿'!E:E,数据对照表!F6,'附表7-扣除项目明细采集底稿'!V:V,"共同成本费用")</f>
        <v>0</v>
      </c>
      <c r="J41" s="177">
        <f>SUMIFS('附表7-扣除项目明细采集底稿'!X:X,'附表7-扣除项目明细采集底稿'!E:E,数据对照表!F6,'附表7-扣除项目明细采集底稿'!V:V,"共同成本费用")</f>
        <v>0</v>
      </c>
      <c r="K41" s="177">
        <f>SUMIFS('附表7-扣除项目明细采集底稿'!Y:Y,'附表7-扣除项目明细采集底稿'!E:E,数据对照表!F6,'附表7-扣除项目明细采集底稿'!V:V,"共同成本费用")</f>
        <v>0</v>
      </c>
      <c r="L41" s="178">
        <f t="shared" si="7"/>
        <v>0</v>
      </c>
      <c r="M41" s="178">
        <f t="shared" si="8"/>
        <v>0</v>
      </c>
    </row>
    <row r="42" s="162" customFormat="1" ht="24" customHeight="1" spans="1:13">
      <c r="A42" s="65">
        <v>37</v>
      </c>
      <c r="B42" s="65"/>
      <c r="C42" s="65"/>
      <c r="D42" s="179" t="str">
        <f>数据对照表!F7</f>
        <v>排洪工程支出</v>
      </c>
      <c r="E42" s="177">
        <f>SUMIFS('附表7-扣除项目明细采集底稿'!W:W,'附表7-扣除项目明细采集底稿'!E:E,数据对照表!F7,'附表7-扣除项目明细采集底稿'!V:V,"直接归集成本费用")</f>
        <v>0</v>
      </c>
      <c r="F42" s="177">
        <f>SUMIFS('附表7-扣除项目明细采集底稿'!X:X,'附表7-扣除项目明细采集底稿'!E:E,数据对照表!F7,'附表7-扣除项目明细采集底稿'!V:V,"直接归集成本费用")</f>
        <v>0</v>
      </c>
      <c r="G42" s="177">
        <f>SUMIFS('附表7-扣除项目明细采集底稿'!Y:Y,'附表7-扣除项目明细采集底稿'!E:E,数据对照表!F7,'附表7-扣除项目明细采集底稿'!V:V,"直接归集成本费用")</f>
        <v>0</v>
      </c>
      <c r="H42" s="178">
        <f t="shared" si="6"/>
        <v>0</v>
      </c>
      <c r="I42" s="177">
        <f>SUMIFS('附表7-扣除项目明细采集底稿'!W:W,'附表7-扣除项目明细采集底稿'!E:E,数据对照表!F7,'附表7-扣除项目明细采集底稿'!V:V,"共同成本费用")</f>
        <v>0</v>
      </c>
      <c r="J42" s="177">
        <f>SUMIFS('附表7-扣除项目明细采集底稿'!X:X,'附表7-扣除项目明细采集底稿'!E:E,数据对照表!F7,'附表7-扣除项目明细采集底稿'!V:V,"共同成本费用")</f>
        <v>0</v>
      </c>
      <c r="K42" s="177">
        <f>SUMIFS('附表7-扣除项目明细采集底稿'!Y:Y,'附表7-扣除项目明细采集底稿'!E:E,数据对照表!F7,'附表7-扣除项目明细采集底稿'!V:V,"共同成本费用")</f>
        <v>0</v>
      </c>
      <c r="L42" s="178">
        <f t="shared" si="7"/>
        <v>0</v>
      </c>
      <c r="M42" s="178">
        <f t="shared" si="8"/>
        <v>0</v>
      </c>
    </row>
    <row r="43" s="162" customFormat="1" ht="24" customHeight="1" spans="1:13">
      <c r="A43" s="65">
        <v>38</v>
      </c>
      <c r="B43" s="65"/>
      <c r="C43" s="65"/>
      <c r="D43" s="179" t="str">
        <f>数据对照表!F8</f>
        <v>通讯工程支出</v>
      </c>
      <c r="E43" s="177">
        <f>SUMIFS('附表7-扣除项目明细采集底稿'!W:W,'附表7-扣除项目明细采集底稿'!E:E,数据对照表!F8,'附表7-扣除项目明细采集底稿'!V:V,"直接归集成本费用")</f>
        <v>0</v>
      </c>
      <c r="F43" s="177">
        <f>SUMIFS('附表7-扣除项目明细采集底稿'!X:X,'附表7-扣除项目明细采集底稿'!E:E,数据对照表!F8,'附表7-扣除项目明细采集底稿'!V:V,"直接归集成本费用")</f>
        <v>0</v>
      </c>
      <c r="G43" s="177">
        <f>SUMIFS('附表7-扣除项目明细采集底稿'!Y:Y,'附表7-扣除项目明细采集底稿'!E:E,数据对照表!F8,'附表7-扣除项目明细采集底稿'!V:V,"直接归集成本费用")</f>
        <v>0</v>
      </c>
      <c r="H43" s="178">
        <f t="shared" si="6"/>
        <v>0</v>
      </c>
      <c r="I43" s="177">
        <f>SUMIFS('附表7-扣除项目明细采集底稿'!W:W,'附表7-扣除项目明细采集底稿'!E:E,数据对照表!F8,'附表7-扣除项目明细采集底稿'!V:V,"共同成本费用")</f>
        <v>0</v>
      </c>
      <c r="J43" s="177">
        <f>SUMIFS('附表7-扣除项目明细采集底稿'!X:X,'附表7-扣除项目明细采集底稿'!E:E,数据对照表!F8,'附表7-扣除项目明细采集底稿'!V:V,"共同成本费用")</f>
        <v>0</v>
      </c>
      <c r="K43" s="177">
        <f>SUMIFS('附表7-扣除项目明细采集底稿'!Y:Y,'附表7-扣除项目明细采集底稿'!E:E,数据对照表!F8,'附表7-扣除项目明细采集底稿'!V:V,"共同成本费用")</f>
        <v>0</v>
      </c>
      <c r="L43" s="178">
        <f t="shared" si="7"/>
        <v>0</v>
      </c>
      <c r="M43" s="178">
        <f t="shared" si="8"/>
        <v>0</v>
      </c>
    </row>
    <row r="44" s="162" customFormat="1" ht="24" customHeight="1" spans="1:13">
      <c r="A44" s="65">
        <v>39</v>
      </c>
      <c r="B44" s="65"/>
      <c r="C44" s="65"/>
      <c r="D44" s="179" t="str">
        <f>数据对照表!F9</f>
        <v>照明工程支出</v>
      </c>
      <c r="E44" s="177">
        <f>SUMIFS('附表7-扣除项目明细采集底稿'!W:W,'附表7-扣除项目明细采集底稿'!E:E,数据对照表!F9,'附表7-扣除项目明细采集底稿'!V:V,"直接归集成本费用")</f>
        <v>0</v>
      </c>
      <c r="F44" s="177">
        <f>SUMIFS('附表7-扣除项目明细采集底稿'!X:X,'附表7-扣除项目明细采集底稿'!E:E,数据对照表!F9,'附表7-扣除项目明细采集底稿'!V:V,"直接归集成本费用")</f>
        <v>0</v>
      </c>
      <c r="G44" s="177">
        <f>SUMIFS('附表7-扣除项目明细采集底稿'!Y:Y,'附表7-扣除项目明细采集底稿'!E:E,数据对照表!F9,'附表7-扣除项目明细采集底稿'!V:V,"直接归集成本费用")</f>
        <v>0</v>
      </c>
      <c r="H44" s="178">
        <f t="shared" si="6"/>
        <v>0</v>
      </c>
      <c r="I44" s="177">
        <f>SUMIFS('附表7-扣除项目明细采集底稿'!W:W,'附表7-扣除项目明细采集底稿'!E:E,数据对照表!F9,'附表7-扣除项目明细采集底稿'!V:V,"共同成本费用")</f>
        <v>0</v>
      </c>
      <c r="J44" s="177">
        <f>SUMIFS('附表7-扣除项目明细采集底稿'!X:X,'附表7-扣除项目明细采集底稿'!E:E,数据对照表!F9,'附表7-扣除项目明细采集底稿'!V:V,"共同成本费用")</f>
        <v>0</v>
      </c>
      <c r="K44" s="177">
        <f>SUMIFS('附表7-扣除项目明细采集底稿'!Y:Y,'附表7-扣除项目明细采集底稿'!E:E,数据对照表!F9,'附表7-扣除项目明细采集底稿'!V:V,"共同成本费用")</f>
        <v>0</v>
      </c>
      <c r="L44" s="178">
        <f t="shared" si="7"/>
        <v>0</v>
      </c>
      <c r="M44" s="178">
        <f t="shared" si="8"/>
        <v>0</v>
      </c>
    </row>
    <row r="45" s="162" customFormat="1" ht="24" customHeight="1" spans="1:13">
      <c r="A45" s="65">
        <v>40</v>
      </c>
      <c r="B45" s="65"/>
      <c r="C45" s="65"/>
      <c r="D45" s="179" t="str">
        <f>数据对照表!F10</f>
        <v>环卫工程支出</v>
      </c>
      <c r="E45" s="177">
        <f>SUMIFS('附表7-扣除项目明细采集底稿'!W:W,'附表7-扣除项目明细采集底稿'!E:E,数据对照表!F10,'附表7-扣除项目明细采集底稿'!V:V,"直接归集成本费用")</f>
        <v>0</v>
      </c>
      <c r="F45" s="177">
        <f>SUMIFS('附表7-扣除项目明细采集底稿'!X:X,'附表7-扣除项目明细采集底稿'!E:E,数据对照表!F10,'附表7-扣除项目明细采集底稿'!V:V,"直接归集成本费用")</f>
        <v>0</v>
      </c>
      <c r="G45" s="177">
        <f>SUMIFS('附表7-扣除项目明细采集底稿'!Y:Y,'附表7-扣除项目明细采集底稿'!E:E,数据对照表!F10,'附表7-扣除项目明细采集底稿'!V:V,"直接归集成本费用")</f>
        <v>0</v>
      </c>
      <c r="H45" s="178">
        <f t="shared" si="6"/>
        <v>0</v>
      </c>
      <c r="I45" s="177">
        <f>SUMIFS('附表7-扣除项目明细采集底稿'!W:W,'附表7-扣除项目明细采集底稿'!E:E,数据对照表!F10,'附表7-扣除项目明细采集底稿'!V:V,"共同成本费用")</f>
        <v>0</v>
      </c>
      <c r="J45" s="177">
        <f>SUMIFS('附表7-扣除项目明细采集底稿'!X:X,'附表7-扣除项目明细采集底稿'!E:E,数据对照表!F10,'附表7-扣除项目明细采集底稿'!V:V,"共同成本费用")</f>
        <v>0</v>
      </c>
      <c r="K45" s="177">
        <f>SUMIFS('附表7-扣除项目明细采集底稿'!Y:Y,'附表7-扣除项目明细采集底稿'!E:E,数据对照表!F10,'附表7-扣除项目明细采集底稿'!V:V,"共同成本费用")</f>
        <v>0</v>
      </c>
      <c r="L45" s="178">
        <f t="shared" si="7"/>
        <v>0</v>
      </c>
      <c r="M45" s="178">
        <f t="shared" si="8"/>
        <v>0</v>
      </c>
    </row>
    <row r="46" s="162" customFormat="1" ht="24" customHeight="1" spans="1:13">
      <c r="A46" s="65">
        <v>41</v>
      </c>
      <c r="B46" s="65"/>
      <c r="C46" s="65"/>
      <c r="D46" s="179" t="str">
        <f>数据对照表!F11</f>
        <v>绿化费用</v>
      </c>
      <c r="E46" s="177">
        <f>SUMIFS('附表7-扣除项目明细采集底稿'!W:W,'附表7-扣除项目明细采集底稿'!E:E,数据对照表!F11,'附表7-扣除项目明细采集底稿'!V:V,"直接归集成本费用")</f>
        <v>0</v>
      </c>
      <c r="F46" s="177">
        <f>SUMIFS('附表7-扣除项目明细采集底稿'!X:X,'附表7-扣除项目明细采集底稿'!E:E,数据对照表!F11,'附表7-扣除项目明细采集底稿'!V:V,"直接归集成本费用")</f>
        <v>0</v>
      </c>
      <c r="G46" s="177">
        <f>SUMIFS('附表7-扣除项目明细采集底稿'!Y:Y,'附表7-扣除项目明细采集底稿'!E:E,数据对照表!F11,'附表7-扣除项目明细采集底稿'!V:V,"直接归集成本费用")</f>
        <v>0</v>
      </c>
      <c r="H46" s="178">
        <f t="shared" si="6"/>
        <v>0</v>
      </c>
      <c r="I46" s="177">
        <f>SUMIFS('附表7-扣除项目明细采集底稿'!W:W,'附表7-扣除项目明细采集底稿'!E:E,数据对照表!F11,'附表7-扣除项目明细采集底稿'!V:V,"共同成本费用")</f>
        <v>0</v>
      </c>
      <c r="J46" s="177">
        <f>SUMIFS('附表7-扣除项目明细采集底稿'!X:X,'附表7-扣除项目明细采集底稿'!E:E,数据对照表!F11,'附表7-扣除项目明细采集底稿'!V:V,"共同成本费用")</f>
        <v>0</v>
      </c>
      <c r="K46" s="177">
        <f>SUMIFS('附表7-扣除项目明细采集底稿'!Y:Y,'附表7-扣除项目明细采集底稿'!E:E,数据对照表!F11,'附表7-扣除项目明细采集底稿'!V:V,"共同成本费用")</f>
        <v>0</v>
      </c>
      <c r="L46" s="178">
        <f t="shared" si="7"/>
        <v>0</v>
      </c>
      <c r="M46" s="178">
        <f t="shared" si="8"/>
        <v>0</v>
      </c>
    </row>
    <row r="47" s="162" customFormat="1" ht="27.95" customHeight="1" spans="1:13">
      <c r="A47" s="65">
        <v>42</v>
      </c>
      <c r="B47" s="65"/>
      <c r="C47" s="65"/>
      <c r="D47" s="179" t="str">
        <f>数据对照表!F12</f>
        <v>其他设施工程发生的支出</v>
      </c>
      <c r="E47" s="177">
        <f>SUMIFS('附表7-扣除项目明细采集底稿'!W:W,'附表7-扣除项目明细采集底稿'!E:E,数据对照表!F12,'附表7-扣除项目明细采集底稿'!V:V,"直接归集成本费用")</f>
        <v>0</v>
      </c>
      <c r="F47" s="177">
        <f>SUMIFS('附表7-扣除项目明细采集底稿'!X:X,'附表7-扣除项目明细采集底稿'!E:E,数据对照表!F12,'附表7-扣除项目明细采集底稿'!V:V,"直接归集成本费用")</f>
        <v>0</v>
      </c>
      <c r="G47" s="177">
        <f>SUMIFS('附表7-扣除项目明细采集底稿'!Y:Y,'附表7-扣除项目明细采集底稿'!E:E,数据对照表!F12,'附表7-扣除项目明细采集底稿'!V:V,"直接归集成本费用")</f>
        <v>0</v>
      </c>
      <c r="H47" s="178">
        <f t="shared" si="6"/>
        <v>0</v>
      </c>
      <c r="I47" s="177">
        <f>SUMIFS('附表7-扣除项目明细采集底稿'!W:W,'附表7-扣除项目明细采集底稿'!E:E,数据对照表!F12,'附表7-扣除项目明细采集底稿'!V:V,"共同成本费用")</f>
        <v>1100735.05</v>
      </c>
      <c r="J47" s="177">
        <f>SUMIFS('附表7-扣除项目明细采集底稿'!X:X,'附表7-扣除项目明细采集底稿'!E:E,数据对照表!F12,'附表7-扣除项目明细采集底稿'!V:V,"共同成本费用")</f>
        <v>0</v>
      </c>
      <c r="K47" s="177">
        <f>SUMIFS('附表7-扣除项目明细采集底稿'!Y:Y,'附表7-扣除项目明细采集底稿'!E:E,数据对照表!F12,'附表7-扣除项目明细采集底稿'!V:V,"共同成本费用")</f>
        <v>408568.73</v>
      </c>
      <c r="L47" s="178">
        <f t="shared" si="7"/>
        <v>1509303.78</v>
      </c>
      <c r="M47" s="178">
        <f t="shared" si="8"/>
        <v>1509303.78</v>
      </c>
    </row>
    <row r="48" s="162" customFormat="1" ht="24" customHeight="1" spans="1:13">
      <c r="A48" s="65">
        <v>43</v>
      </c>
      <c r="B48" s="65"/>
      <c r="C48" s="179" t="str">
        <f>数据对照表!G1</f>
        <v>公共配套设施费</v>
      </c>
      <c r="D48" s="179"/>
      <c r="E48" s="177">
        <f>SUMIFS('附表7-扣除项目明细采集底稿'!W:W,'附表7-扣除项目明细采集底稿'!D:D,数据对照表!G1,'附表7-扣除项目明细采集底稿'!V:V,"直接归集成本费用")</f>
        <v>0</v>
      </c>
      <c r="F48" s="177">
        <f>SUMIFS('附表7-扣除项目明细采集底稿'!X:X,'附表7-扣除项目明细采集底稿'!D:D,数据对照表!G1,'附表7-扣除项目明细采集底稿'!V:V,"直接归集成本费用")</f>
        <v>0</v>
      </c>
      <c r="G48" s="177">
        <f>SUMIFS('附表7-扣除项目明细采集底稿'!Y:Y,'附表7-扣除项目明细采集底稿'!D:D,数据对照表!G1,'附表7-扣除项目明细采集底稿'!V:V,"直接归集成本费用")</f>
        <v>0</v>
      </c>
      <c r="H48" s="178">
        <f t="shared" si="6"/>
        <v>0</v>
      </c>
      <c r="I48" s="177">
        <f>SUMIFS('附表7-扣除项目明细采集底稿'!W:W,'附表7-扣除项目明细采集底稿'!D:D,数据对照表!G1,'附表7-扣除项目明细采集底稿'!V:V,"共同成本费用")</f>
        <v>0</v>
      </c>
      <c r="J48" s="177">
        <f>SUMIFS('附表7-扣除项目明细采集底稿'!X:X,'附表7-扣除项目明细采集底稿'!D:D,数据对照表!G1,'附表7-扣除项目明细采集底稿'!V:V,"共同成本费用")</f>
        <v>0</v>
      </c>
      <c r="K48" s="177">
        <f>SUMIFS('附表7-扣除项目明细采集底稿'!Y:Y,'附表7-扣除项目明细采集底稿'!D:D,数据对照表!G1,'附表7-扣除项目明细采集底稿'!V:V,"共同成本费用")</f>
        <v>0</v>
      </c>
      <c r="L48" s="178">
        <f t="shared" si="7"/>
        <v>0</v>
      </c>
      <c r="M48" s="178">
        <f t="shared" si="8"/>
        <v>0</v>
      </c>
    </row>
    <row r="49" s="162" customFormat="1" ht="24" customHeight="1" spans="1:13">
      <c r="A49" s="65">
        <v>44</v>
      </c>
      <c r="B49" s="65"/>
      <c r="C49" s="65" t="s">
        <v>278</v>
      </c>
      <c r="D49" s="179" t="str">
        <f>数据对照表!G2</f>
        <v>居委会用房费用</v>
      </c>
      <c r="E49" s="177">
        <f>SUMIFS('附表7-扣除项目明细采集底稿'!W:W,'附表7-扣除项目明细采集底稿'!E:E,数据对照表!G2,'附表7-扣除项目明细采集底稿'!V:V,"直接归集成本费用")</f>
        <v>0</v>
      </c>
      <c r="F49" s="177">
        <f>SUMIFS('附表7-扣除项目明细采集底稿'!X:X,'附表7-扣除项目明细采集底稿'!E:E,数据对照表!G2,'附表7-扣除项目明细采集底稿'!V:V,"直接归集成本费用")</f>
        <v>0</v>
      </c>
      <c r="G49" s="177">
        <f>SUMIFS('附表7-扣除项目明细采集底稿'!Y:Y,'附表7-扣除项目明细采集底稿'!E:E,数据对照表!G2,'附表7-扣除项目明细采集底稿'!V:V,"直接归集成本费用")</f>
        <v>0</v>
      </c>
      <c r="H49" s="178">
        <f t="shared" si="6"/>
        <v>0</v>
      </c>
      <c r="I49" s="177">
        <f>SUMIFS('附表7-扣除项目明细采集底稿'!W:W,'附表7-扣除项目明细采集底稿'!E:E,数据对照表!G2,'附表7-扣除项目明细采集底稿'!V:V,"共同成本费用")</f>
        <v>0</v>
      </c>
      <c r="J49" s="177">
        <f>SUMIFS('附表7-扣除项目明细采集底稿'!X:X,'附表7-扣除项目明细采集底稿'!E:E,数据对照表!G2,'附表7-扣除项目明细采集底稿'!V:V,"共同成本费用")</f>
        <v>0</v>
      </c>
      <c r="K49" s="177">
        <f>SUMIFS('附表7-扣除项目明细采集底稿'!Y:Y,'附表7-扣除项目明细采集底稿'!E:E,数据对照表!G2,'附表7-扣除项目明细采集底稿'!V:V,"共同成本费用")</f>
        <v>0</v>
      </c>
      <c r="L49" s="178">
        <f t="shared" si="7"/>
        <v>0</v>
      </c>
      <c r="M49" s="178">
        <f t="shared" si="8"/>
        <v>0</v>
      </c>
    </row>
    <row r="50" s="162" customFormat="1" ht="24" customHeight="1" spans="1:13">
      <c r="A50" s="65">
        <v>45</v>
      </c>
      <c r="B50" s="65"/>
      <c r="C50" s="65"/>
      <c r="D50" s="179" t="str">
        <f>数据对照表!G3</f>
        <v>派出所用房费用</v>
      </c>
      <c r="E50" s="177">
        <f>SUMIFS('附表7-扣除项目明细采集底稿'!W:W,'附表7-扣除项目明细采集底稿'!E:E,数据对照表!G3,'附表7-扣除项目明细采集底稿'!V:V,"直接归集成本费用")</f>
        <v>0</v>
      </c>
      <c r="F50" s="177">
        <f>SUMIFS('附表7-扣除项目明细采集底稿'!X:X,'附表7-扣除项目明细采集底稿'!E:E,数据对照表!G3,'附表7-扣除项目明细采集底稿'!V:V,"直接归集成本费用")</f>
        <v>0</v>
      </c>
      <c r="G50" s="177">
        <f>SUMIFS('附表7-扣除项目明细采集底稿'!Y:Y,'附表7-扣除项目明细采集底稿'!E:E,数据对照表!G3,'附表7-扣除项目明细采集底稿'!V:V,"直接归集成本费用")</f>
        <v>0</v>
      </c>
      <c r="H50" s="178">
        <f t="shared" ref="H50:H66" si="9">SUM(E50:G50)</f>
        <v>0</v>
      </c>
      <c r="I50" s="177">
        <f>SUMIFS('附表7-扣除项目明细采集底稿'!W:W,'附表7-扣除项目明细采集底稿'!E:E,数据对照表!G3,'附表7-扣除项目明细采集底稿'!V:V,"共同成本费用")</f>
        <v>0</v>
      </c>
      <c r="J50" s="177">
        <f>SUMIFS('附表7-扣除项目明细采集底稿'!X:X,'附表7-扣除项目明细采集底稿'!E:E,数据对照表!G3,'附表7-扣除项目明细采集底稿'!V:V,"共同成本费用")</f>
        <v>0</v>
      </c>
      <c r="K50" s="177">
        <f>SUMIFS('附表7-扣除项目明细采集底稿'!Y:Y,'附表7-扣除项目明细采集底稿'!E:E,数据对照表!G3,'附表7-扣除项目明细采集底稿'!V:V,"共同成本费用")</f>
        <v>0</v>
      </c>
      <c r="L50" s="178">
        <f t="shared" ref="L50:L66" si="10">SUM(I50:K50)</f>
        <v>0</v>
      </c>
      <c r="M50" s="178">
        <f t="shared" ref="M50:M66" si="11">H50+L50</f>
        <v>0</v>
      </c>
    </row>
    <row r="51" s="162" customFormat="1" ht="24" customHeight="1" spans="1:13">
      <c r="A51" s="65">
        <v>46</v>
      </c>
      <c r="B51" s="65"/>
      <c r="C51" s="65"/>
      <c r="D51" s="179" t="str">
        <f>数据对照表!G4</f>
        <v>会所费用</v>
      </c>
      <c r="E51" s="177">
        <f>SUMIFS('附表7-扣除项目明细采集底稿'!W:W,'附表7-扣除项目明细采集底稿'!E:E,数据对照表!G4,'附表7-扣除项目明细采集底稿'!V:V,"直接归集成本费用")</f>
        <v>0</v>
      </c>
      <c r="F51" s="177">
        <f>SUMIFS('附表7-扣除项目明细采集底稿'!X:X,'附表7-扣除项目明细采集底稿'!E:E,数据对照表!G4,'附表7-扣除项目明细采集底稿'!V:V,"直接归集成本费用")</f>
        <v>0</v>
      </c>
      <c r="G51" s="177">
        <f>SUMIFS('附表7-扣除项目明细采集底稿'!Y:Y,'附表7-扣除项目明细采集底稿'!E:E,数据对照表!G4,'附表7-扣除项目明细采集底稿'!V:V,"直接归集成本费用")</f>
        <v>0</v>
      </c>
      <c r="H51" s="178">
        <f t="shared" si="9"/>
        <v>0</v>
      </c>
      <c r="I51" s="177">
        <f>SUMIFS('附表7-扣除项目明细采集底稿'!W:W,'附表7-扣除项目明细采集底稿'!E:E,数据对照表!G4,'附表7-扣除项目明细采集底稿'!V:V,"共同成本费用")</f>
        <v>0</v>
      </c>
      <c r="J51" s="177">
        <f>SUMIFS('附表7-扣除项目明细采集底稿'!X:X,'附表7-扣除项目明细采集底稿'!E:E,数据对照表!G4,'附表7-扣除项目明细采集底稿'!V:V,"共同成本费用")</f>
        <v>0</v>
      </c>
      <c r="K51" s="177">
        <f>SUMIFS('附表7-扣除项目明细采集底稿'!Y:Y,'附表7-扣除项目明细采集底稿'!E:E,数据对照表!G4,'附表7-扣除项目明细采集底稿'!V:V,"共同成本费用")</f>
        <v>0</v>
      </c>
      <c r="L51" s="178">
        <f t="shared" si="10"/>
        <v>0</v>
      </c>
      <c r="M51" s="178">
        <f t="shared" si="11"/>
        <v>0</v>
      </c>
    </row>
    <row r="52" s="162" customFormat="1" ht="24" customHeight="1" spans="1:13">
      <c r="A52" s="65">
        <v>47</v>
      </c>
      <c r="B52" s="65"/>
      <c r="C52" s="65"/>
      <c r="D52" s="179" t="str">
        <f>数据对照表!G5</f>
        <v>非机动车库（场）费用</v>
      </c>
      <c r="E52" s="177">
        <f>SUMIFS('附表7-扣除项目明细采集底稿'!W:W,'附表7-扣除项目明细采集底稿'!E:E,数据对照表!G5,'附表7-扣除项目明细采集底稿'!V:V,"直接归集成本费用")</f>
        <v>0</v>
      </c>
      <c r="F52" s="177">
        <f>SUMIFS('附表7-扣除项目明细采集底稿'!X:X,'附表7-扣除项目明细采集底稿'!E:E,数据对照表!G5,'附表7-扣除项目明细采集底稿'!V:V,"直接归集成本费用")</f>
        <v>0</v>
      </c>
      <c r="G52" s="177">
        <f>SUMIFS('附表7-扣除项目明细采集底稿'!Y:Y,'附表7-扣除项目明细采集底稿'!E:E,数据对照表!G5,'附表7-扣除项目明细采集底稿'!V:V,"直接归集成本费用")</f>
        <v>0</v>
      </c>
      <c r="H52" s="178">
        <f t="shared" si="9"/>
        <v>0</v>
      </c>
      <c r="I52" s="177">
        <f>SUMIFS('附表7-扣除项目明细采集底稿'!W:W,'附表7-扣除项目明细采集底稿'!E:E,数据对照表!G5,'附表7-扣除项目明细采集底稿'!V:V,"共同成本费用")</f>
        <v>0</v>
      </c>
      <c r="J52" s="177">
        <f>SUMIFS('附表7-扣除项目明细采集底稿'!X:X,'附表7-扣除项目明细采集底稿'!E:E,数据对照表!G5,'附表7-扣除项目明细采集底稿'!V:V,"共同成本费用")</f>
        <v>0</v>
      </c>
      <c r="K52" s="177">
        <f>SUMIFS('附表7-扣除项目明细采集底稿'!Y:Y,'附表7-扣除项目明细采集底稿'!E:E,数据对照表!G5,'附表7-扣除项目明细采集底稿'!V:V,"共同成本费用")</f>
        <v>0</v>
      </c>
      <c r="L52" s="178">
        <f t="shared" si="10"/>
        <v>0</v>
      </c>
      <c r="M52" s="178">
        <f t="shared" si="11"/>
        <v>0</v>
      </c>
    </row>
    <row r="53" s="162" customFormat="1" ht="24" customHeight="1" spans="1:13">
      <c r="A53" s="65">
        <v>48</v>
      </c>
      <c r="B53" s="65"/>
      <c r="C53" s="65"/>
      <c r="D53" s="179" t="str">
        <f>数据对照表!G6</f>
        <v>地下人防设施费用</v>
      </c>
      <c r="E53" s="177">
        <f>SUMIFS('附表7-扣除项目明细采集底稿'!W:W,'附表7-扣除项目明细采集底稿'!E:E,数据对照表!G6,'附表7-扣除项目明细采集底稿'!V:V,"直接归集成本费用")</f>
        <v>0</v>
      </c>
      <c r="F53" s="177">
        <f>SUMIFS('附表7-扣除项目明细采集底稿'!X:X,'附表7-扣除项目明细采集底稿'!E:E,数据对照表!G6,'附表7-扣除项目明细采集底稿'!V:V,"直接归集成本费用")</f>
        <v>0</v>
      </c>
      <c r="G53" s="177">
        <f>SUMIFS('附表7-扣除项目明细采集底稿'!Y:Y,'附表7-扣除项目明细采集底稿'!E:E,数据对照表!G6,'附表7-扣除项目明细采集底稿'!V:V,"直接归集成本费用")</f>
        <v>0</v>
      </c>
      <c r="H53" s="178">
        <f t="shared" si="9"/>
        <v>0</v>
      </c>
      <c r="I53" s="177">
        <f>SUMIFS('附表7-扣除项目明细采集底稿'!W:W,'附表7-扣除项目明细采集底稿'!E:E,数据对照表!G6,'附表7-扣除项目明细采集底稿'!V:V,"共同成本费用")</f>
        <v>0</v>
      </c>
      <c r="J53" s="177">
        <f>SUMIFS('附表7-扣除项目明细采集底稿'!X:X,'附表7-扣除项目明细采集底稿'!E:E,数据对照表!G6,'附表7-扣除项目明细采集底稿'!V:V,"共同成本费用")</f>
        <v>0</v>
      </c>
      <c r="K53" s="177">
        <f>SUMIFS('附表7-扣除项目明细采集底稿'!Y:Y,'附表7-扣除项目明细采集底稿'!E:E,数据对照表!G6,'附表7-扣除项目明细采集底稿'!V:V,"共同成本费用")</f>
        <v>0</v>
      </c>
      <c r="L53" s="178">
        <f t="shared" si="10"/>
        <v>0</v>
      </c>
      <c r="M53" s="178">
        <f t="shared" si="11"/>
        <v>0</v>
      </c>
    </row>
    <row r="54" s="162" customFormat="1" ht="24" customHeight="1" spans="1:13">
      <c r="A54" s="65">
        <v>49</v>
      </c>
      <c r="B54" s="65"/>
      <c r="C54" s="65"/>
      <c r="D54" s="179" t="str">
        <f>数据对照表!G7</f>
        <v>物业管理场所费用</v>
      </c>
      <c r="E54" s="177">
        <f>SUMIFS('附表7-扣除项目明细采集底稿'!W:W,'附表7-扣除项目明细采集底稿'!E:E,数据对照表!G7,'附表7-扣除项目明细采集底稿'!V:V,"直接归集成本费用")</f>
        <v>0</v>
      </c>
      <c r="F54" s="177">
        <f>SUMIFS('附表7-扣除项目明细采集底稿'!X:X,'附表7-扣除项目明细采集底稿'!E:E,数据对照表!G7,'附表7-扣除项目明细采集底稿'!V:V,"直接归集成本费用")</f>
        <v>0</v>
      </c>
      <c r="G54" s="177">
        <f>SUMIFS('附表7-扣除项目明细采集底稿'!Y:Y,'附表7-扣除项目明细采集底稿'!E:E,数据对照表!G7,'附表7-扣除项目明细采集底稿'!V:V,"直接归集成本费用")</f>
        <v>0</v>
      </c>
      <c r="H54" s="178">
        <f t="shared" si="9"/>
        <v>0</v>
      </c>
      <c r="I54" s="177">
        <f>SUMIFS('附表7-扣除项目明细采集底稿'!W:W,'附表7-扣除项目明细采集底稿'!E:E,数据对照表!G7,'附表7-扣除项目明细采集底稿'!V:V,"共同成本费用")</f>
        <v>0</v>
      </c>
      <c r="J54" s="177">
        <f>SUMIFS('附表7-扣除项目明细采集底稿'!X:X,'附表7-扣除项目明细采集底稿'!E:E,数据对照表!G7,'附表7-扣除项目明细采集底稿'!V:V,"共同成本费用")</f>
        <v>0</v>
      </c>
      <c r="K54" s="177">
        <f>SUMIFS('附表7-扣除项目明细采集底稿'!Y:Y,'附表7-扣除项目明细采集底稿'!E:E,数据对照表!G7,'附表7-扣除项目明细采集底稿'!V:V,"共同成本费用")</f>
        <v>0</v>
      </c>
      <c r="L54" s="178">
        <f t="shared" si="10"/>
        <v>0</v>
      </c>
      <c r="M54" s="178">
        <f t="shared" si="11"/>
        <v>0</v>
      </c>
    </row>
    <row r="55" s="162" customFormat="1" ht="24" customHeight="1" spans="1:13">
      <c r="A55" s="65">
        <v>50</v>
      </c>
      <c r="B55" s="65"/>
      <c r="C55" s="65"/>
      <c r="D55" s="179" t="str">
        <f>数据对照表!G8</f>
        <v>变电站费用</v>
      </c>
      <c r="E55" s="177">
        <f>SUMIFS('附表7-扣除项目明细采集底稿'!W:W,'附表7-扣除项目明细采集底稿'!E:E,数据对照表!G8,'附表7-扣除项目明细采集底稿'!V:V,"直接归集成本费用")</f>
        <v>0</v>
      </c>
      <c r="F55" s="177">
        <f>SUMIFS('附表7-扣除项目明细采集底稿'!X:X,'附表7-扣除项目明细采集底稿'!E:E,数据对照表!G8,'附表7-扣除项目明细采集底稿'!V:V,"直接归集成本费用")</f>
        <v>0</v>
      </c>
      <c r="G55" s="177">
        <f>SUMIFS('附表7-扣除项目明细采集底稿'!Y:Y,'附表7-扣除项目明细采集底稿'!E:E,数据对照表!G8,'附表7-扣除项目明细采集底稿'!V:V,"直接归集成本费用")</f>
        <v>0</v>
      </c>
      <c r="H55" s="178">
        <f t="shared" si="9"/>
        <v>0</v>
      </c>
      <c r="I55" s="177">
        <f>SUMIFS('附表7-扣除项目明细采集底稿'!W:W,'附表7-扣除项目明细采集底稿'!E:E,数据对照表!G8,'附表7-扣除项目明细采集底稿'!V:V,"共同成本费用")</f>
        <v>0</v>
      </c>
      <c r="J55" s="177">
        <f>SUMIFS('附表7-扣除项目明细采集底稿'!X:X,'附表7-扣除项目明细采集底稿'!E:E,数据对照表!G8,'附表7-扣除项目明细采集底稿'!V:V,"共同成本费用")</f>
        <v>0</v>
      </c>
      <c r="K55" s="177">
        <f>SUMIFS('附表7-扣除项目明细采集底稿'!Y:Y,'附表7-扣除项目明细采集底稿'!E:E,数据对照表!G8,'附表7-扣除项目明细采集底稿'!V:V,"共同成本费用")</f>
        <v>0</v>
      </c>
      <c r="L55" s="178">
        <f t="shared" si="10"/>
        <v>0</v>
      </c>
      <c r="M55" s="178">
        <f t="shared" si="11"/>
        <v>0</v>
      </c>
    </row>
    <row r="56" s="162" customFormat="1" ht="24" customHeight="1" spans="1:13">
      <c r="A56" s="65">
        <v>51</v>
      </c>
      <c r="B56" s="65"/>
      <c r="C56" s="65"/>
      <c r="D56" s="179" t="str">
        <f>数据对照表!G9</f>
        <v>热力站费用</v>
      </c>
      <c r="E56" s="177">
        <f>SUMIFS('附表7-扣除项目明细采集底稿'!W:W,'附表7-扣除项目明细采集底稿'!E:E,数据对照表!G9,'附表7-扣除项目明细采集底稿'!V:V,"直接归集成本费用")</f>
        <v>0</v>
      </c>
      <c r="F56" s="177">
        <f>SUMIFS('附表7-扣除项目明细采集底稿'!X:X,'附表7-扣除项目明细采集底稿'!E:E,数据对照表!G9,'附表7-扣除项目明细采集底稿'!V:V,"直接归集成本费用")</f>
        <v>0</v>
      </c>
      <c r="G56" s="177">
        <f>SUMIFS('附表7-扣除项目明细采集底稿'!Y:Y,'附表7-扣除项目明细采集底稿'!E:E,数据对照表!G9,'附表7-扣除项目明细采集底稿'!V:V,"直接归集成本费用")</f>
        <v>0</v>
      </c>
      <c r="H56" s="178">
        <f t="shared" si="9"/>
        <v>0</v>
      </c>
      <c r="I56" s="177">
        <f>SUMIFS('附表7-扣除项目明细采集底稿'!W:W,'附表7-扣除项目明细采集底稿'!E:E,数据对照表!G9,'附表7-扣除项目明细采集底稿'!V:V,"共同成本费用")</f>
        <v>0</v>
      </c>
      <c r="J56" s="177">
        <f>SUMIFS('附表7-扣除项目明细采集底稿'!X:X,'附表7-扣除项目明细采集底稿'!E:E,数据对照表!G9,'附表7-扣除项目明细采集底稿'!V:V,"共同成本费用")</f>
        <v>0</v>
      </c>
      <c r="K56" s="177">
        <f>SUMIFS('附表7-扣除项目明细采集底稿'!Y:Y,'附表7-扣除项目明细采集底稿'!E:E,数据对照表!G9,'附表7-扣除项目明细采集底稿'!V:V,"共同成本费用")</f>
        <v>0</v>
      </c>
      <c r="L56" s="178">
        <f t="shared" si="10"/>
        <v>0</v>
      </c>
      <c r="M56" s="178">
        <f t="shared" si="11"/>
        <v>0</v>
      </c>
    </row>
    <row r="57" s="162" customFormat="1" ht="24" customHeight="1" spans="1:13">
      <c r="A57" s="65">
        <v>52</v>
      </c>
      <c r="B57" s="65"/>
      <c r="C57" s="65"/>
      <c r="D57" s="179" t="str">
        <f>数据对照表!G10</f>
        <v>水厂费用</v>
      </c>
      <c r="E57" s="177">
        <f>SUMIFS('附表7-扣除项目明细采集底稿'!W:W,'附表7-扣除项目明细采集底稿'!E:E,数据对照表!G10,'附表7-扣除项目明细采集底稿'!V:V,"直接归集成本费用")</f>
        <v>0</v>
      </c>
      <c r="F57" s="177">
        <f>SUMIFS('附表7-扣除项目明细采集底稿'!X:X,'附表7-扣除项目明细采集底稿'!E:E,数据对照表!G10,'附表7-扣除项目明细采集底稿'!V:V,"直接归集成本费用")</f>
        <v>0</v>
      </c>
      <c r="G57" s="177">
        <f>SUMIFS('附表7-扣除项目明细采集底稿'!Y:Y,'附表7-扣除项目明细采集底稿'!E:E,数据对照表!G10,'附表7-扣除项目明细采集底稿'!V:V,"直接归集成本费用")</f>
        <v>0</v>
      </c>
      <c r="H57" s="178">
        <f t="shared" si="9"/>
        <v>0</v>
      </c>
      <c r="I57" s="177">
        <f>SUMIFS('附表7-扣除项目明细采集底稿'!W:W,'附表7-扣除项目明细采集底稿'!E:E,数据对照表!G10,'附表7-扣除项目明细采集底稿'!V:V,"共同成本费用")</f>
        <v>0</v>
      </c>
      <c r="J57" s="177">
        <f>SUMIFS('附表7-扣除项目明细采集底稿'!X:X,'附表7-扣除项目明细采集底稿'!E:E,数据对照表!G10,'附表7-扣除项目明细采集底稿'!V:V,"共同成本费用")</f>
        <v>0</v>
      </c>
      <c r="K57" s="177">
        <f>SUMIFS('附表7-扣除项目明细采集底稿'!Y:Y,'附表7-扣除项目明细采集底稿'!E:E,数据对照表!G10,'附表7-扣除项目明细采集底稿'!V:V,"共同成本费用")</f>
        <v>0</v>
      </c>
      <c r="L57" s="178">
        <f t="shared" si="10"/>
        <v>0</v>
      </c>
      <c r="M57" s="178">
        <f t="shared" si="11"/>
        <v>0</v>
      </c>
    </row>
    <row r="58" s="162" customFormat="1" ht="24" customHeight="1" spans="1:13">
      <c r="A58" s="65">
        <v>53</v>
      </c>
      <c r="B58" s="65"/>
      <c r="C58" s="65"/>
      <c r="D58" s="179" t="str">
        <f>数据对照表!G11</f>
        <v>文体场馆费用</v>
      </c>
      <c r="E58" s="177">
        <f>SUMIFS('附表7-扣除项目明细采集底稿'!W:W,'附表7-扣除项目明细采集底稿'!E:E,数据对照表!G11,'附表7-扣除项目明细采集底稿'!V:V,"直接归集成本费用")</f>
        <v>0</v>
      </c>
      <c r="F58" s="177">
        <f>SUMIFS('附表7-扣除项目明细采集底稿'!X:X,'附表7-扣除项目明细采集底稿'!E:E,数据对照表!G11,'附表7-扣除项目明细采集底稿'!V:V,"直接归集成本费用")</f>
        <v>0</v>
      </c>
      <c r="G58" s="177">
        <f>SUMIFS('附表7-扣除项目明细采集底稿'!Y:Y,'附表7-扣除项目明细采集底稿'!E:E,数据对照表!G11,'附表7-扣除项目明细采集底稿'!V:V,"直接归集成本费用")</f>
        <v>0</v>
      </c>
      <c r="H58" s="178">
        <f t="shared" si="9"/>
        <v>0</v>
      </c>
      <c r="I58" s="177">
        <f>SUMIFS('附表7-扣除项目明细采集底稿'!W:W,'附表7-扣除项目明细采集底稿'!E:E,数据对照表!G11,'附表7-扣除项目明细采集底稿'!V:V,"共同成本费用")</f>
        <v>0</v>
      </c>
      <c r="J58" s="177">
        <f>SUMIFS('附表7-扣除项目明细采集底稿'!X:X,'附表7-扣除项目明细采集底稿'!E:E,数据对照表!G11,'附表7-扣除项目明细采集底稿'!V:V,"共同成本费用")</f>
        <v>0</v>
      </c>
      <c r="K58" s="177">
        <f>SUMIFS('附表7-扣除项目明细采集底稿'!Y:Y,'附表7-扣除项目明细采集底稿'!E:E,数据对照表!G11,'附表7-扣除项目明细采集底稿'!V:V,"共同成本费用")</f>
        <v>0</v>
      </c>
      <c r="L58" s="178">
        <f t="shared" si="10"/>
        <v>0</v>
      </c>
      <c r="M58" s="178">
        <f t="shared" si="11"/>
        <v>0</v>
      </c>
    </row>
    <row r="59" s="162" customFormat="1" ht="24" customHeight="1" spans="1:13">
      <c r="A59" s="65">
        <v>54</v>
      </c>
      <c r="B59" s="65"/>
      <c r="C59" s="65"/>
      <c r="D59" s="179" t="str">
        <f>数据对照表!G12</f>
        <v>学校费用</v>
      </c>
      <c r="E59" s="177">
        <f>SUMIFS('附表7-扣除项目明细采集底稿'!W:W,'附表7-扣除项目明细采集底稿'!E:E,数据对照表!G12,'附表7-扣除项目明细采集底稿'!V:V,"直接归集成本费用")</f>
        <v>0</v>
      </c>
      <c r="F59" s="177">
        <f>SUMIFS('附表7-扣除项目明细采集底稿'!X:X,'附表7-扣除项目明细采集底稿'!E:E,数据对照表!G12,'附表7-扣除项目明细采集底稿'!V:V,"直接归集成本费用")</f>
        <v>0</v>
      </c>
      <c r="G59" s="177">
        <f>SUMIFS('附表7-扣除项目明细采集底稿'!Y:Y,'附表7-扣除项目明细采集底稿'!E:E,数据对照表!G12,'附表7-扣除项目明细采集底稿'!V:V,"直接归集成本费用")</f>
        <v>0</v>
      </c>
      <c r="H59" s="178">
        <f t="shared" si="9"/>
        <v>0</v>
      </c>
      <c r="I59" s="177">
        <f>SUMIFS('附表7-扣除项目明细采集底稿'!W:W,'附表7-扣除项目明细采集底稿'!E:E,数据对照表!G12,'附表7-扣除项目明细采集底稿'!V:V,"共同成本费用")</f>
        <v>0</v>
      </c>
      <c r="J59" s="177">
        <f>SUMIFS('附表7-扣除项目明细采集底稿'!X:X,'附表7-扣除项目明细采集底稿'!E:E,数据对照表!G12,'附表7-扣除项目明细采集底稿'!V:V,"共同成本费用")</f>
        <v>0</v>
      </c>
      <c r="K59" s="177">
        <f>SUMIFS('附表7-扣除项目明细采集底稿'!Y:Y,'附表7-扣除项目明细采集底稿'!E:E,数据对照表!G12,'附表7-扣除项目明细采集底稿'!V:V,"共同成本费用")</f>
        <v>0</v>
      </c>
      <c r="L59" s="178">
        <f t="shared" si="10"/>
        <v>0</v>
      </c>
      <c r="M59" s="178">
        <f t="shared" si="11"/>
        <v>0</v>
      </c>
    </row>
    <row r="60" s="162" customFormat="1" ht="24" customHeight="1" spans="1:13">
      <c r="A60" s="65">
        <v>55</v>
      </c>
      <c r="B60" s="65"/>
      <c r="C60" s="65"/>
      <c r="D60" s="179" t="str">
        <f>数据对照表!G13</f>
        <v>幼儿园费用</v>
      </c>
      <c r="E60" s="177">
        <f>SUMIFS('附表7-扣除项目明细采集底稿'!W:W,'附表7-扣除项目明细采集底稿'!E:E,数据对照表!G13,'附表7-扣除项目明细采集底稿'!V:V,"直接归集成本费用")</f>
        <v>0</v>
      </c>
      <c r="F60" s="177">
        <f>SUMIFS('附表7-扣除项目明细采集底稿'!X:X,'附表7-扣除项目明细采集底稿'!E:E,数据对照表!G13,'附表7-扣除项目明细采集底稿'!V:V,"直接归集成本费用")</f>
        <v>0</v>
      </c>
      <c r="G60" s="177">
        <f>SUMIFS('附表7-扣除项目明细采集底稿'!Y:Y,'附表7-扣除项目明细采集底稿'!E:E,数据对照表!G13,'附表7-扣除项目明细采集底稿'!V:V,"直接归集成本费用")</f>
        <v>0</v>
      </c>
      <c r="H60" s="178">
        <f t="shared" si="9"/>
        <v>0</v>
      </c>
      <c r="I60" s="177">
        <f>SUMIFS('附表7-扣除项目明细采集底稿'!W:W,'附表7-扣除项目明细采集底稿'!E:E,数据对照表!G13,'附表7-扣除项目明细采集底稿'!V:V,"共同成本费用")</f>
        <v>0</v>
      </c>
      <c r="J60" s="177">
        <f>SUMIFS('附表7-扣除项目明细采集底稿'!X:X,'附表7-扣除项目明细采集底稿'!E:E,数据对照表!G13,'附表7-扣除项目明细采集底稿'!V:V,"共同成本费用")</f>
        <v>0</v>
      </c>
      <c r="K60" s="177">
        <f>SUMIFS('附表7-扣除项目明细采集底稿'!Y:Y,'附表7-扣除项目明细采集底稿'!E:E,数据对照表!G13,'附表7-扣除项目明细采集底稿'!V:V,"共同成本费用")</f>
        <v>0</v>
      </c>
      <c r="L60" s="178">
        <f t="shared" si="10"/>
        <v>0</v>
      </c>
      <c r="M60" s="178">
        <f t="shared" si="11"/>
        <v>0</v>
      </c>
    </row>
    <row r="61" s="162" customFormat="1" ht="24" customHeight="1" spans="1:13">
      <c r="A61" s="65">
        <v>56</v>
      </c>
      <c r="B61" s="65"/>
      <c r="C61" s="65"/>
      <c r="D61" s="179" t="str">
        <f>数据对照表!G14</f>
        <v>托儿所费用</v>
      </c>
      <c r="E61" s="177">
        <f>SUMIFS('附表7-扣除项目明细采集底稿'!W:W,'附表7-扣除项目明细采集底稿'!E:E,数据对照表!G14,'附表7-扣除项目明细采集底稿'!V:V,"直接归集成本费用")</f>
        <v>0</v>
      </c>
      <c r="F61" s="177">
        <f>SUMIFS('附表7-扣除项目明细采集底稿'!X:X,'附表7-扣除项目明细采集底稿'!E:E,数据对照表!G14,'附表7-扣除项目明细采集底稿'!V:V,"直接归集成本费用")</f>
        <v>0</v>
      </c>
      <c r="G61" s="177">
        <f>SUMIFS('附表7-扣除项目明细采集底稿'!Y:Y,'附表7-扣除项目明细采集底稿'!E:E,数据对照表!G14,'附表7-扣除项目明细采集底稿'!V:V,"直接归集成本费用")</f>
        <v>0</v>
      </c>
      <c r="H61" s="178">
        <f t="shared" si="9"/>
        <v>0</v>
      </c>
      <c r="I61" s="177">
        <f>SUMIFS('附表7-扣除项目明细采集底稿'!W:W,'附表7-扣除项目明细采集底稿'!E:E,数据对照表!G14,'附表7-扣除项目明细采集底稿'!V:V,"共同成本费用")</f>
        <v>0</v>
      </c>
      <c r="J61" s="177">
        <f>SUMIFS('附表7-扣除项目明细采集底稿'!X:X,'附表7-扣除项目明细采集底稿'!E:E,数据对照表!G14,'附表7-扣除项目明细采集底稿'!V:V,"共同成本费用")</f>
        <v>0</v>
      </c>
      <c r="K61" s="177">
        <f>SUMIFS('附表7-扣除项目明细采集底稿'!Y:Y,'附表7-扣除项目明细采集底稿'!E:E,数据对照表!G14,'附表7-扣除项目明细采集底稿'!V:V,"共同成本费用")</f>
        <v>0</v>
      </c>
      <c r="L61" s="178">
        <f t="shared" si="10"/>
        <v>0</v>
      </c>
      <c r="M61" s="178">
        <f t="shared" si="11"/>
        <v>0</v>
      </c>
    </row>
    <row r="62" s="162" customFormat="1" ht="24" customHeight="1" spans="1:13">
      <c r="A62" s="65">
        <v>57</v>
      </c>
      <c r="B62" s="65"/>
      <c r="C62" s="65"/>
      <c r="D62" s="179" t="str">
        <f>数据对照表!G15</f>
        <v>医院费用</v>
      </c>
      <c r="E62" s="177">
        <f>SUMIFS('附表7-扣除项目明细采集底稿'!W:W,'附表7-扣除项目明细采集底稿'!E:E,数据对照表!G15,'附表7-扣除项目明细采集底稿'!V:V,"直接归集成本费用")</f>
        <v>0</v>
      </c>
      <c r="F62" s="177">
        <f>SUMIFS('附表7-扣除项目明细采集底稿'!X:X,'附表7-扣除项目明细采集底稿'!E:E,数据对照表!G15,'附表7-扣除项目明细采集底稿'!V:V,"直接归集成本费用")</f>
        <v>0</v>
      </c>
      <c r="G62" s="177">
        <f>SUMIFS('附表7-扣除项目明细采集底稿'!Y:Y,'附表7-扣除项目明细采集底稿'!E:E,数据对照表!G15,'附表7-扣除项目明细采集底稿'!V:V,"直接归集成本费用")</f>
        <v>0</v>
      </c>
      <c r="H62" s="178">
        <f t="shared" si="9"/>
        <v>0</v>
      </c>
      <c r="I62" s="177">
        <f>SUMIFS('附表7-扣除项目明细采集底稿'!W:W,'附表7-扣除项目明细采集底稿'!E:E,数据对照表!G15,'附表7-扣除项目明细采集底稿'!V:V,"共同成本费用")</f>
        <v>0</v>
      </c>
      <c r="J62" s="177">
        <f>SUMIFS('附表7-扣除项目明细采集底稿'!X:X,'附表7-扣除项目明细采集底稿'!E:E,数据对照表!G15,'附表7-扣除项目明细采集底稿'!V:V,"共同成本费用")</f>
        <v>0</v>
      </c>
      <c r="K62" s="177">
        <f>SUMIFS('附表7-扣除项目明细采集底稿'!Y:Y,'附表7-扣除项目明细采集底稿'!E:E,数据对照表!G15,'附表7-扣除项目明细采集底稿'!V:V,"共同成本费用")</f>
        <v>0</v>
      </c>
      <c r="L62" s="178">
        <f t="shared" si="10"/>
        <v>0</v>
      </c>
      <c r="M62" s="178">
        <f t="shared" si="11"/>
        <v>0</v>
      </c>
    </row>
    <row r="63" s="162" customFormat="1" ht="24" customHeight="1" spans="1:13">
      <c r="A63" s="65">
        <v>58</v>
      </c>
      <c r="B63" s="65"/>
      <c r="C63" s="65"/>
      <c r="D63" s="179" t="str">
        <f>数据对照表!G16</f>
        <v>邮电通讯费用</v>
      </c>
      <c r="E63" s="177">
        <f>SUMIFS('附表7-扣除项目明细采集底稿'!W:W,'附表7-扣除项目明细采集底稿'!E:E,数据对照表!G16,'附表7-扣除项目明细采集底稿'!V:V,"直接归集成本费用")</f>
        <v>0</v>
      </c>
      <c r="F63" s="177">
        <f>SUMIFS('附表7-扣除项目明细采集底稿'!X:X,'附表7-扣除项目明细采集底稿'!E:E,数据对照表!G16,'附表7-扣除项目明细采集底稿'!V:V,"直接归集成本费用")</f>
        <v>0</v>
      </c>
      <c r="G63" s="177">
        <f>SUMIFS('附表7-扣除项目明细采集底稿'!Y:Y,'附表7-扣除项目明细采集底稿'!E:E,数据对照表!G16,'附表7-扣除项目明细采集底稿'!V:V,"直接归集成本费用")</f>
        <v>0</v>
      </c>
      <c r="H63" s="178">
        <f t="shared" si="9"/>
        <v>0</v>
      </c>
      <c r="I63" s="177">
        <f>SUMIFS('附表7-扣除项目明细采集底稿'!W:W,'附表7-扣除项目明细采集底稿'!E:E,数据对照表!G16,'附表7-扣除项目明细采集底稿'!V:V,"共同成本费用")</f>
        <v>0</v>
      </c>
      <c r="J63" s="177">
        <f>SUMIFS('附表7-扣除项目明细采集底稿'!X:X,'附表7-扣除项目明细采集底稿'!E:E,数据对照表!G16,'附表7-扣除项目明细采集底稿'!V:V,"共同成本费用")</f>
        <v>0</v>
      </c>
      <c r="K63" s="177">
        <f>SUMIFS('附表7-扣除项目明细采集底稿'!Y:Y,'附表7-扣除项目明细采集底稿'!E:E,数据对照表!G16,'附表7-扣除项目明细采集底稿'!V:V,"共同成本费用")</f>
        <v>0</v>
      </c>
      <c r="L63" s="178">
        <f t="shared" si="10"/>
        <v>0</v>
      </c>
      <c r="M63" s="178">
        <f t="shared" si="11"/>
        <v>0</v>
      </c>
    </row>
    <row r="64" s="162" customFormat="1" ht="27.95" customHeight="1" spans="1:13">
      <c r="A64" s="65">
        <v>59</v>
      </c>
      <c r="B64" s="65"/>
      <c r="C64" s="65"/>
      <c r="D64" s="179" t="str">
        <f>数据对照表!G17</f>
        <v>其他非营业性房产费用</v>
      </c>
      <c r="E64" s="177">
        <f>SUMIFS('附表7-扣除项目明细采集底稿'!W:W,'附表7-扣除项目明细采集底稿'!E:E,数据对照表!G17,'附表7-扣除项目明细采集底稿'!V:V,"直接归集成本费用")</f>
        <v>0</v>
      </c>
      <c r="F64" s="177">
        <f>SUMIFS('附表7-扣除项目明细采集底稿'!X:X,'附表7-扣除项目明细采集底稿'!E:E,数据对照表!G17,'附表7-扣除项目明细采集底稿'!V:V,"直接归集成本费用")</f>
        <v>0</v>
      </c>
      <c r="G64" s="177">
        <f>SUMIFS('附表7-扣除项目明细采集底稿'!Y:Y,'附表7-扣除项目明细采集底稿'!E:E,数据对照表!G17,'附表7-扣除项目明细采集底稿'!V:V,"直接归集成本费用")</f>
        <v>0</v>
      </c>
      <c r="H64" s="178">
        <f t="shared" si="9"/>
        <v>0</v>
      </c>
      <c r="I64" s="177">
        <f>SUMIFS('附表7-扣除项目明细采集底稿'!W:W,'附表7-扣除项目明细采集底稿'!E:E,数据对照表!G17,'附表7-扣除项目明细采集底稿'!V:V,"共同成本费用")</f>
        <v>0</v>
      </c>
      <c r="J64" s="177">
        <f>SUMIFS('附表7-扣除项目明细采集底稿'!X:X,'附表7-扣除项目明细采集底稿'!E:E,数据对照表!G17,'附表7-扣除项目明细采集底稿'!V:V,"共同成本费用")</f>
        <v>0</v>
      </c>
      <c r="K64" s="177">
        <f>SUMIFS('附表7-扣除项目明细采集底稿'!Y:Y,'附表7-扣除项目明细采集底稿'!E:E,数据对照表!G17,'附表7-扣除项目明细采集底稿'!V:V,"共同成本费用")</f>
        <v>0</v>
      </c>
      <c r="L64" s="178">
        <f t="shared" si="10"/>
        <v>0</v>
      </c>
      <c r="M64" s="178">
        <f t="shared" si="11"/>
        <v>0</v>
      </c>
    </row>
    <row r="65" s="162" customFormat="1" ht="24" customHeight="1" spans="1:13">
      <c r="A65" s="65">
        <v>60</v>
      </c>
      <c r="B65" s="65"/>
      <c r="C65" s="56" t="str">
        <f>数据对照表!H1</f>
        <v>开发间接费用</v>
      </c>
      <c r="D65" s="56"/>
      <c r="E65" s="177">
        <f>SUMIFS('附表7-扣除项目明细采集底稿'!W:W,'附表7-扣除项目明细采集底稿'!D:D,数据对照表!H1,'附表7-扣除项目明细采集底稿'!V:V,"直接归集成本费用")</f>
        <v>0</v>
      </c>
      <c r="F65" s="177">
        <f>SUMIFS('附表7-扣除项目明细采集底稿'!X:X,'附表7-扣除项目明细采集底稿'!D:D,数据对照表!H1,'附表7-扣除项目明细采集底稿'!V:V,"直接归集成本费用")</f>
        <v>0</v>
      </c>
      <c r="G65" s="177">
        <f>SUMIFS('附表7-扣除项目明细采集底稿'!Y:Y,'附表7-扣除项目明细采集底稿'!D:D,数据对照表!H1,'附表7-扣除项目明细采集底稿'!V:V,"直接归集成本费用")</f>
        <v>0</v>
      </c>
      <c r="H65" s="178">
        <f t="shared" si="9"/>
        <v>0</v>
      </c>
      <c r="I65" s="177">
        <f>SUMIFS('附表7-扣除项目明细采集底稿'!W:W,'附表7-扣除项目明细采集底稿'!D:D,数据对照表!H1,'附表7-扣除项目明细采集底稿'!V:V,"共同成本费用")</f>
        <v>199164.5</v>
      </c>
      <c r="J65" s="177">
        <f>SUMIFS('附表7-扣除项目明细采集底稿'!X:X,'附表7-扣除项目明细采集底稿'!D:D,数据对照表!H1,'附表7-扣除项目明细采集底稿'!V:V,"共同成本费用")</f>
        <v>0</v>
      </c>
      <c r="K65" s="177">
        <f>SUMIFS('附表7-扣除项目明细采集底稿'!Y:Y,'附表7-扣除项目明细采集底稿'!D:D,数据对照表!H1,'附表7-扣除项目明细采集底稿'!V:V,"共同成本费用")</f>
        <v>73925.5</v>
      </c>
      <c r="L65" s="178">
        <f t="shared" si="10"/>
        <v>273090</v>
      </c>
      <c r="M65" s="178">
        <f t="shared" si="11"/>
        <v>273090</v>
      </c>
    </row>
    <row r="66" s="162" customFormat="1" ht="24" customHeight="1" spans="1:13">
      <c r="A66" s="65">
        <v>61</v>
      </c>
      <c r="B66" s="65"/>
      <c r="C66" s="65" t="s">
        <v>278</v>
      </c>
      <c r="D66" s="179" t="str">
        <f>数据对照表!H2</f>
        <v>管理人员工资</v>
      </c>
      <c r="E66" s="177">
        <f>SUMIFS('附表7-扣除项目明细采集底稿'!W:W,'附表7-扣除项目明细采集底稿'!E:E,数据对照表!H2,'附表7-扣除项目明细采集底稿'!V:V,"直接归集成本费用")</f>
        <v>0</v>
      </c>
      <c r="F66" s="177">
        <f>SUMIFS('附表7-扣除项目明细采集底稿'!X:X,'附表7-扣除项目明细采集底稿'!E:E,数据对照表!H2,'附表7-扣除项目明细采集底稿'!V:V,"直接归集成本费用")</f>
        <v>0</v>
      </c>
      <c r="G66" s="177">
        <f>SUMIFS('附表7-扣除项目明细采集底稿'!Y:Y,'附表7-扣除项目明细采集底稿'!E:E,数据对照表!H2,'附表7-扣除项目明细采集底稿'!V:V,"直接归集成本费用")</f>
        <v>0</v>
      </c>
      <c r="H66" s="178">
        <f t="shared" si="9"/>
        <v>0</v>
      </c>
      <c r="I66" s="177">
        <f>SUMIFS('附表7-扣除项目明细采集底稿'!W:W,'附表7-扣除项目明细采集底稿'!E:E,数据对照表!H2,'附表7-扣除项目明细采集底稿'!V:V,"共同成本费用")</f>
        <v>0</v>
      </c>
      <c r="J66" s="177">
        <f>SUMIFS('附表7-扣除项目明细采集底稿'!X:X,'附表7-扣除项目明细采集底稿'!E:E,数据对照表!H2,'附表7-扣除项目明细采集底稿'!V:V,"共同成本费用")</f>
        <v>0</v>
      </c>
      <c r="K66" s="177">
        <f>SUMIFS('附表7-扣除项目明细采集底稿'!Y:Y,'附表7-扣除项目明细采集底稿'!E:E,数据对照表!H2,'附表7-扣除项目明细采集底稿'!V:V,"共同成本费用")</f>
        <v>0</v>
      </c>
      <c r="L66" s="178">
        <f t="shared" si="10"/>
        <v>0</v>
      </c>
      <c r="M66" s="178">
        <f t="shared" si="11"/>
        <v>0</v>
      </c>
    </row>
    <row r="67" s="162" customFormat="1" ht="24" customHeight="1" spans="1:13">
      <c r="A67" s="65">
        <v>62</v>
      </c>
      <c r="B67" s="65"/>
      <c r="C67" s="65"/>
      <c r="D67" s="179" t="str">
        <f>数据对照表!H3</f>
        <v>职工福利费</v>
      </c>
      <c r="E67" s="177">
        <f>SUMIFS('附表7-扣除项目明细采集底稿'!W:W,'附表7-扣除项目明细采集底稿'!E:E,数据对照表!H3,'附表7-扣除项目明细采集底稿'!V:V,"直接归集成本费用")</f>
        <v>0</v>
      </c>
      <c r="F67" s="177">
        <f>SUMIFS('附表7-扣除项目明细采集底稿'!X:X,'附表7-扣除项目明细采集底稿'!E:E,数据对照表!H3,'附表7-扣除项目明细采集底稿'!V:V,"直接归集成本费用")</f>
        <v>0</v>
      </c>
      <c r="G67" s="177">
        <f>SUMIFS('附表7-扣除项目明细采集底稿'!Y:Y,'附表7-扣除项目明细采集底稿'!E:E,数据对照表!H3,'附表7-扣除项目明细采集底稿'!V:V,"直接归集成本费用")</f>
        <v>0</v>
      </c>
      <c r="H67" s="178">
        <f t="shared" ref="H67:H74" si="12">SUM(E67:G67)</f>
        <v>0</v>
      </c>
      <c r="I67" s="177">
        <f>SUMIFS('附表7-扣除项目明细采集底稿'!W:W,'附表7-扣除项目明细采集底稿'!E:E,数据对照表!H3,'附表7-扣除项目明细采集底稿'!V:V,"共同成本费用")</f>
        <v>0</v>
      </c>
      <c r="J67" s="177">
        <f>SUMIFS('附表7-扣除项目明细采集底稿'!X:X,'附表7-扣除项目明细采集底稿'!E:E,数据对照表!H3,'附表7-扣除项目明细采集底稿'!V:V,"共同成本费用")</f>
        <v>0</v>
      </c>
      <c r="K67" s="177">
        <f>SUMIFS('附表7-扣除项目明细采集底稿'!Y:Y,'附表7-扣除项目明细采集底稿'!E:E,数据对照表!H3,'附表7-扣除项目明细采集底稿'!V:V,"共同成本费用")</f>
        <v>0</v>
      </c>
      <c r="L67" s="178">
        <f t="shared" ref="L67:L78" si="13">SUM(I67:K67)</f>
        <v>0</v>
      </c>
      <c r="M67" s="178">
        <f t="shared" ref="M67:M74" si="14">H67+L67</f>
        <v>0</v>
      </c>
    </row>
    <row r="68" s="162" customFormat="1" ht="24" customHeight="1" spans="1:13">
      <c r="A68" s="65">
        <v>63</v>
      </c>
      <c r="B68" s="65"/>
      <c r="C68" s="65"/>
      <c r="D68" s="179" t="str">
        <f>数据对照表!H4</f>
        <v>折旧费</v>
      </c>
      <c r="E68" s="177">
        <f>SUMIFS('附表7-扣除项目明细采集底稿'!W:W,'附表7-扣除项目明细采集底稿'!E:E,数据对照表!H4,'附表7-扣除项目明细采集底稿'!V:V,"直接归集成本费用")</f>
        <v>0</v>
      </c>
      <c r="F68" s="177">
        <f>SUMIFS('附表7-扣除项目明细采集底稿'!X:X,'附表7-扣除项目明细采集底稿'!E:E,数据对照表!H4,'附表7-扣除项目明细采集底稿'!V:V,"直接归集成本费用")</f>
        <v>0</v>
      </c>
      <c r="G68" s="177">
        <f>SUMIFS('附表7-扣除项目明细采集底稿'!Y:Y,'附表7-扣除项目明细采集底稿'!E:E,数据对照表!H4,'附表7-扣除项目明细采集底稿'!V:V,"直接归集成本费用")</f>
        <v>0</v>
      </c>
      <c r="H68" s="178">
        <f t="shared" si="12"/>
        <v>0</v>
      </c>
      <c r="I68" s="177">
        <f>SUMIFS('附表7-扣除项目明细采集底稿'!W:W,'附表7-扣除项目明细采集底稿'!E:E,数据对照表!H4,'附表7-扣除项目明细采集底稿'!V:V,"共同成本费用")</f>
        <v>0</v>
      </c>
      <c r="J68" s="177">
        <f>SUMIFS('附表7-扣除项目明细采集底稿'!X:X,'附表7-扣除项目明细采集底稿'!E:E,数据对照表!H4,'附表7-扣除项目明细采集底稿'!V:V,"共同成本费用")</f>
        <v>0</v>
      </c>
      <c r="K68" s="177">
        <f>SUMIFS('附表7-扣除项目明细采集底稿'!Y:Y,'附表7-扣除项目明细采集底稿'!E:E,数据对照表!H4,'附表7-扣除项目明细采集底稿'!V:V,"共同成本费用")</f>
        <v>0</v>
      </c>
      <c r="L68" s="178">
        <f t="shared" si="13"/>
        <v>0</v>
      </c>
      <c r="M68" s="178">
        <f t="shared" si="14"/>
        <v>0</v>
      </c>
    </row>
    <row r="69" s="162" customFormat="1" ht="24" customHeight="1" spans="1:13">
      <c r="A69" s="65">
        <v>64</v>
      </c>
      <c r="B69" s="65"/>
      <c r="C69" s="65"/>
      <c r="D69" s="179" t="str">
        <f>数据对照表!H5</f>
        <v>修理费</v>
      </c>
      <c r="E69" s="177">
        <f>SUMIFS('附表7-扣除项目明细采集底稿'!W:W,'附表7-扣除项目明细采集底稿'!E:E,数据对照表!H5,'附表7-扣除项目明细采集底稿'!V:V,"直接归集成本费用")</f>
        <v>0</v>
      </c>
      <c r="F69" s="177">
        <f>SUMIFS('附表7-扣除项目明细采集底稿'!X:X,'附表7-扣除项目明细采集底稿'!E:E,数据对照表!H5,'附表7-扣除项目明细采集底稿'!V:V,"直接归集成本费用")</f>
        <v>0</v>
      </c>
      <c r="G69" s="177">
        <f>SUMIFS('附表7-扣除项目明细采集底稿'!Y:Y,'附表7-扣除项目明细采集底稿'!E:E,数据对照表!H5,'附表7-扣除项目明细采集底稿'!V:V,"直接归集成本费用")</f>
        <v>0</v>
      </c>
      <c r="H69" s="178">
        <f t="shared" si="12"/>
        <v>0</v>
      </c>
      <c r="I69" s="177">
        <f>SUMIFS('附表7-扣除项目明细采集底稿'!W:W,'附表7-扣除项目明细采集底稿'!E:E,数据对照表!H5,'附表7-扣除项目明细采集底稿'!V:V,"共同成本费用")</f>
        <v>0</v>
      </c>
      <c r="J69" s="177">
        <f>SUMIFS('附表7-扣除项目明细采集底稿'!X:X,'附表7-扣除项目明细采集底稿'!E:E,数据对照表!H5,'附表7-扣除项目明细采集底稿'!V:V,"共同成本费用")</f>
        <v>0</v>
      </c>
      <c r="K69" s="177">
        <f>SUMIFS('附表7-扣除项目明细采集底稿'!Y:Y,'附表7-扣除项目明细采集底稿'!E:E,数据对照表!H5,'附表7-扣除项目明细采集底稿'!V:V,"共同成本费用")</f>
        <v>0</v>
      </c>
      <c r="L69" s="178">
        <f t="shared" si="13"/>
        <v>0</v>
      </c>
      <c r="M69" s="178">
        <f t="shared" si="14"/>
        <v>0</v>
      </c>
    </row>
    <row r="70" s="162" customFormat="1" ht="24" customHeight="1" spans="1:13">
      <c r="A70" s="65">
        <v>65</v>
      </c>
      <c r="B70" s="65"/>
      <c r="C70" s="65"/>
      <c r="D70" s="179" t="str">
        <f>数据对照表!H6</f>
        <v>办公费</v>
      </c>
      <c r="E70" s="177">
        <f>SUMIFS('附表7-扣除项目明细采集底稿'!W:W,'附表7-扣除项目明细采集底稿'!E:E,数据对照表!H6,'附表7-扣除项目明细采集底稿'!V:V,"直接归集成本费用")</f>
        <v>0</v>
      </c>
      <c r="F70" s="177">
        <f>SUMIFS('附表7-扣除项目明细采集底稿'!X:X,'附表7-扣除项目明细采集底稿'!E:E,数据对照表!H6,'附表7-扣除项目明细采集底稿'!V:V,"直接归集成本费用")</f>
        <v>0</v>
      </c>
      <c r="G70" s="177">
        <f>SUMIFS('附表7-扣除项目明细采集底稿'!Y:Y,'附表7-扣除项目明细采集底稿'!E:E,数据对照表!H6,'附表7-扣除项目明细采集底稿'!V:V,"直接归集成本费用")</f>
        <v>0</v>
      </c>
      <c r="H70" s="178">
        <f t="shared" si="12"/>
        <v>0</v>
      </c>
      <c r="I70" s="177">
        <f>SUMIFS('附表7-扣除项目明细采集底稿'!W:W,'附表7-扣除项目明细采集底稿'!E:E,数据对照表!H6,'附表7-扣除项目明细采集底稿'!V:V,"共同成本费用")</f>
        <v>0</v>
      </c>
      <c r="J70" s="177">
        <f>SUMIFS('附表7-扣除项目明细采集底稿'!X:X,'附表7-扣除项目明细采集底稿'!E:E,数据对照表!H6,'附表7-扣除项目明细采集底稿'!V:V,"共同成本费用")</f>
        <v>0</v>
      </c>
      <c r="K70" s="177">
        <f>SUMIFS('附表7-扣除项目明细采集底稿'!Y:Y,'附表7-扣除项目明细采集底稿'!E:E,数据对照表!H6,'附表7-扣除项目明细采集底稿'!V:V,"共同成本费用")</f>
        <v>0</v>
      </c>
      <c r="L70" s="178">
        <f t="shared" si="13"/>
        <v>0</v>
      </c>
      <c r="M70" s="178">
        <f t="shared" si="14"/>
        <v>0</v>
      </c>
    </row>
    <row r="71" s="162" customFormat="1" ht="24" customHeight="1" spans="1:13">
      <c r="A71" s="65">
        <v>66</v>
      </c>
      <c r="B71" s="65"/>
      <c r="C71" s="65"/>
      <c r="D71" s="179" t="str">
        <f>数据对照表!H7</f>
        <v>水电费</v>
      </c>
      <c r="E71" s="177">
        <f>SUMIFS('附表7-扣除项目明细采集底稿'!W:W,'附表7-扣除项目明细采集底稿'!E:E,数据对照表!H7,'附表7-扣除项目明细采集底稿'!V:V,"直接归集成本费用")</f>
        <v>0</v>
      </c>
      <c r="F71" s="177">
        <f>SUMIFS('附表7-扣除项目明细采集底稿'!X:X,'附表7-扣除项目明细采集底稿'!E:E,数据对照表!H7,'附表7-扣除项目明细采集底稿'!V:V,"直接归集成本费用")</f>
        <v>0</v>
      </c>
      <c r="G71" s="177">
        <f>SUMIFS('附表7-扣除项目明细采集底稿'!Y:Y,'附表7-扣除项目明细采集底稿'!E:E,数据对照表!H7,'附表7-扣除项目明细采集底稿'!V:V,"直接归集成本费用")</f>
        <v>0</v>
      </c>
      <c r="H71" s="178">
        <f t="shared" si="12"/>
        <v>0</v>
      </c>
      <c r="I71" s="177">
        <f>SUMIFS('附表7-扣除项目明细采集底稿'!W:W,'附表7-扣除项目明细采集底稿'!E:E,数据对照表!H7,'附表7-扣除项目明细采集底稿'!V:V,"共同成本费用")</f>
        <v>0</v>
      </c>
      <c r="J71" s="177">
        <f>SUMIFS('附表7-扣除项目明细采集底稿'!X:X,'附表7-扣除项目明细采集底稿'!E:E,数据对照表!H7,'附表7-扣除项目明细采集底稿'!V:V,"共同成本费用")</f>
        <v>0</v>
      </c>
      <c r="K71" s="177">
        <f>SUMIFS('附表7-扣除项目明细采集底稿'!Y:Y,'附表7-扣除项目明细采集底稿'!E:E,数据对照表!H7,'附表7-扣除项目明细采集底稿'!V:V,"共同成本费用")</f>
        <v>0</v>
      </c>
      <c r="L71" s="178">
        <f t="shared" si="13"/>
        <v>0</v>
      </c>
      <c r="M71" s="178">
        <f t="shared" si="14"/>
        <v>0</v>
      </c>
    </row>
    <row r="72" s="162" customFormat="1" ht="24" customHeight="1" spans="1:13">
      <c r="A72" s="65">
        <v>67</v>
      </c>
      <c r="B72" s="65"/>
      <c r="C72" s="65"/>
      <c r="D72" s="179" t="str">
        <f>数据对照表!H8</f>
        <v>劳动保护费</v>
      </c>
      <c r="E72" s="177">
        <f>SUMIFS('附表7-扣除项目明细采集底稿'!W:W,'附表7-扣除项目明细采集底稿'!E:E,数据对照表!H8,'附表7-扣除项目明细采集底稿'!V:V,"直接归集成本费用")</f>
        <v>0</v>
      </c>
      <c r="F72" s="177">
        <f>SUMIFS('附表7-扣除项目明细采集底稿'!X:X,'附表7-扣除项目明细采集底稿'!E:E,数据对照表!H8,'附表7-扣除项目明细采集底稿'!V:V,"直接归集成本费用")</f>
        <v>0</v>
      </c>
      <c r="G72" s="177">
        <f>SUMIFS('附表7-扣除项目明细采集底稿'!Y:Y,'附表7-扣除项目明细采集底稿'!E:E,数据对照表!H8,'附表7-扣除项目明细采集底稿'!V:V,"直接归集成本费用")</f>
        <v>0</v>
      </c>
      <c r="H72" s="178">
        <f t="shared" si="12"/>
        <v>0</v>
      </c>
      <c r="I72" s="177">
        <f>SUMIFS('附表7-扣除项目明细采集底稿'!W:W,'附表7-扣除项目明细采集底稿'!E:E,数据对照表!H8,'附表7-扣除项目明细采集底稿'!V:V,"共同成本费用")</f>
        <v>0</v>
      </c>
      <c r="J72" s="177">
        <f>SUMIFS('附表7-扣除项目明细采集底稿'!X:X,'附表7-扣除项目明细采集底稿'!E:E,数据对照表!H8,'附表7-扣除项目明细采集底稿'!V:V,"共同成本费用")</f>
        <v>0</v>
      </c>
      <c r="K72" s="177">
        <f>SUMIFS('附表7-扣除项目明细采集底稿'!Y:Y,'附表7-扣除项目明细采集底稿'!E:E,数据对照表!H8,'附表7-扣除项目明细采集底稿'!V:V,"共同成本费用")</f>
        <v>0</v>
      </c>
      <c r="L72" s="178">
        <f t="shared" si="13"/>
        <v>0</v>
      </c>
      <c r="M72" s="178">
        <f t="shared" si="14"/>
        <v>0</v>
      </c>
    </row>
    <row r="73" s="162" customFormat="1" ht="24" customHeight="1" spans="1:13">
      <c r="A73" s="65">
        <v>68</v>
      </c>
      <c r="B73" s="65"/>
      <c r="C73" s="65"/>
      <c r="D73" s="179" t="str">
        <f>数据对照表!H9</f>
        <v>周转房摊销费</v>
      </c>
      <c r="E73" s="177">
        <f>SUMIFS('附表7-扣除项目明细采集底稿'!W:W,'附表7-扣除项目明细采集底稿'!E:E,数据对照表!H9,'附表7-扣除项目明细采集底稿'!V:V,"直接归集成本费用")</f>
        <v>0</v>
      </c>
      <c r="F73" s="177">
        <f>SUMIFS('附表7-扣除项目明细采集底稿'!X:X,'附表7-扣除项目明细采集底稿'!E:E,数据对照表!H9,'附表7-扣除项目明细采集底稿'!V:V,"直接归集成本费用")</f>
        <v>0</v>
      </c>
      <c r="G73" s="177">
        <f>SUMIFS('附表7-扣除项目明细采集底稿'!Y:Y,'附表7-扣除项目明细采集底稿'!E:E,数据对照表!H9,'附表7-扣除项目明细采集底稿'!V:V,"直接归集成本费用")</f>
        <v>0</v>
      </c>
      <c r="H73" s="178">
        <f t="shared" si="12"/>
        <v>0</v>
      </c>
      <c r="I73" s="177">
        <f>SUMIFS('附表7-扣除项目明细采集底稿'!W:W,'附表7-扣除项目明细采集底稿'!E:E,数据对照表!H9,'附表7-扣除项目明细采集底稿'!V:V,"共同成本费用")</f>
        <v>0</v>
      </c>
      <c r="J73" s="177">
        <f>SUMIFS('附表7-扣除项目明细采集底稿'!X:X,'附表7-扣除项目明细采集底稿'!E:E,数据对照表!H9,'附表7-扣除项目明细采集底稿'!V:V,"共同成本费用")</f>
        <v>0</v>
      </c>
      <c r="K73" s="177">
        <f>SUMIFS('附表7-扣除项目明细采集底稿'!Y:Y,'附表7-扣除项目明细采集底稿'!E:E,数据对照表!H9,'附表7-扣除项目明细采集底稿'!V:V,"共同成本费用")</f>
        <v>0</v>
      </c>
      <c r="L73" s="178">
        <f t="shared" si="13"/>
        <v>0</v>
      </c>
      <c r="M73" s="178">
        <f t="shared" si="14"/>
        <v>0</v>
      </c>
    </row>
    <row r="74" s="162" customFormat="1" ht="24" customHeight="1" spans="1:13">
      <c r="A74" s="65">
        <v>69</v>
      </c>
      <c r="B74" s="65"/>
      <c r="C74" s="65"/>
      <c r="D74" s="179" t="str">
        <f>数据对照表!H10</f>
        <v>其他发生的间接费用</v>
      </c>
      <c r="E74" s="177">
        <f>SUMIFS('附表7-扣除项目明细采集底稿'!W:W,'附表7-扣除项目明细采集底稿'!E:E,数据对照表!H10,'附表7-扣除项目明细采集底稿'!V:V,"直接归集成本费用")</f>
        <v>0</v>
      </c>
      <c r="F74" s="177">
        <f>SUMIFS('附表7-扣除项目明细采集底稿'!X:X,'附表7-扣除项目明细采集底稿'!E:E,数据对照表!H10,'附表7-扣除项目明细采集底稿'!V:V,"直接归集成本费用")</f>
        <v>0</v>
      </c>
      <c r="G74" s="177">
        <f>SUMIFS('附表7-扣除项目明细采集底稿'!Y:Y,'附表7-扣除项目明细采集底稿'!E:E,数据对照表!H10,'附表7-扣除项目明细采集底稿'!V:V,"直接归集成本费用")</f>
        <v>0</v>
      </c>
      <c r="H74" s="178">
        <f t="shared" si="12"/>
        <v>0</v>
      </c>
      <c r="I74" s="177">
        <f>SUMIFS('附表7-扣除项目明细采集底稿'!W:W,'附表7-扣除项目明细采集底稿'!E:E,数据对照表!H10,'附表7-扣除项目明细采集底稿'!V:V,"共同成本费用")</f>
        <v>199164.5</v>
      </c>
      <c r="J74" s="177">
        <f>SUMIFS('附表7-扣除项目明细采集底稿'!X:X,'附表7-扣除项目明细采集底稿'!E:E,数据对照表!H10,'附表7-扣除项目明细采集底稿'!V:V,"共同成本费用")</f>
        <v>0</v>
      </c>
      <c r="K74" s="177">
        <f>SUMIFS('附表7-扣除项目明细采集底稿'!Y:Y,'附表7-扣除项目明细采集底稿'!E:E,数据对照表!H10,'附表7-扣除项目明细采集底稿'!V:V,"共同成本费用")</f>
        <v>73925.5</v>
      </c>
      <c r="L74" s="178">
        <f t="shared" si="13"/>
        <v>273090</v>
      </c>
      <c r="M74" s="178">
        <f t="shared" si="14"/>
        <v>273090</v>
      </c>
    </row>
    <row r="75" s="162" customFormat="1" ht="24" customHeight="1" spans="1:13">
      <c r="A75" s="65">
        <v>70</v>
      </c>
      <c r="B75" s="185" t="s">
        <v>154</v>
      </c>
      <c r="C75" s="186"/>
      <c r="D75" s="187"/>
      <c r="E75" s="177">
        <f>SUM(SUMIFS('附表7-扣除项目明细采集底稿'!W:W,'附表7-扣除项目明细采集底稿'!D:D,"土地征用及拆迁补偿费",'附表7-扣除项目明细采集底稿'!V:V,"直接归集成本费用",'附表7-扣除项目明细采集底稿'!AB:AB,"不可加计"),SUMIFS('附表7-扣除项目明细采集底稿'!W:W,'附表7-扣除项目明细采集底稿'!D:D,"前期工程费",'附表7-扣除项目明细采集底稿'!V:V,"直接归集成本费用",'附表7-扣除项目明细采集底稿'!AB:AB,"不可加计"),SUMIFS('附表7-扣除项目明细采集底稿'!W:W,'附表7-扣除项目明细采集底稿'!D:D,"建筑安装工程费",'附表7-扣除项目明细采集底稿'!V:V,"直接归集成本费用",'附表7-扣除项目明细采集底稿'!AB:AB,"不可加计"),SUMIFS('附表7-扣除项目明细采集底稿'!W:W,'附表7-扣除项目明细采集底稿'!D:D,"基础设施费",'附表7-扣除项目明细采集底稿'!V:V,"直接归集成本费用",'附表7-扣除项目明细采集底稿'!AB:AB,"不可加计"),SUMIFS('附表7-扣除项目明细采集底稿'!W:W,'附表7-扣除项目明细采集底稿'!D:D,"公共配套设施费",'附表7-扣除项目明细采集底稿'!V:V,"直接归集成本费用",'附表7-扣除项目明细采集底稿'!AB:AB,"不可加计"),SUMIFS('附表7-扣除项目明细采集底稿'!W:W,'附表7-扣除项目明细采集底稿'!D:D,"开发间接费用",'附表7-扣除项目明细采集底稿'!V:V,"直接归集成本费用",'附表7-扣除项目明细采集底稿'!AB:AB,"不可加计"))</f>
        <v>0</v>
      </c>
      <c r="F75" s="177">
        <f>SUM(SUMIFS('附表7-扣除项目明细采集底稿'!X:X,'附表7-扣除项目明细采集底稿'!D:D,"土地征用及拆迁补偿费",'附表7-扣除项目明细采集底稿'!V:V,"直接归集成本费用",'附表7-扣除项目明细采集底稿'!AB:AB,"不可加计"),SUMIFS('附表7-扣除项目明细采集底稿'!X:X,'附表7-扣除项目明细采集底稿'!D:D,"前期工程费",'附表7-扣除项目明细采集底稿'!V:V,"直接归集成本费用",'附表7-扣除项目明细采集底稿'!AB:AB,"不可加计"),SUMIFS('附表7-扣除项目明细采集底稿'!X:X,'附表7-扣除项目明细采集底稿'!D:D,"建筑安装工程费",'附表7-扣除项目明细采集底稿'!V:V,"直接归集成本费用",'附表7-扣除项目明细采集底稿'!AB:AB,"不可加计"),SUMIFS('附表7-扣除项目明细采集底稿'!X:X,'附表7-扣除项目明细采集底稿'!D:D,"基础设施费",'附表7-扣除项目明细采集底稿'!V:V,"直接归集成本费用",'附表7-扣除项目明细采集底稿'!AB:AB,"不可加计"),SUMIFS('附表7-扣除项目明细采集底稿'!X:X,'附表7-扣除项目明细采集底稿'!D:D,"公共配套设施费",'附表7-扣除项目明细采集底稿'!V:V,"直接归集成本费用",'附表7-扣除项目明细采集底稿'!AB:AB,"不可加计"),SUMIFS('附表7-扣除项目明细采集底稿'!X:X,'附表7-扣除项目明细采集底稿'!D:D,"开发间接费用",'附表7-扣除项目明细采集底稿'!V:V,"直接归集成本费用",'附表7-扣除项目明细采集底稿'!AB:AB,"不可加计"))</f>
        <v>0</v>
      </c>
      <c r="G75" s="177">
        <f>SUM(SUMIFS('附表7-扣除项目明细采集底稿'!Y:Y,'附表7-扣除项目明细采集底稿'!D:D,"土地征用及拆迁补偿费",'附表7-扣除项目明细采集底稿'!V:V,"直接归集成本费用",'附表7-扣除项目明细采集底稿'!AB:AB,"不可加计"),SUMIFS('附表7-扣除项目明细采集底稿'!Y:Y,'附表7-扣除项目明细采集底稿'!D:D,"前期工程费",'附表7-扣除项目明细采集底稿'!V:V,"直接归集成本费用",'附表7-扣除项目明细采集底稿'!AB:AB,"不可加计"),SUMIFS('附表7-扣除项目明细采集底稿'!Y:Y,'附表7-扣除项目明细采集底稿'!D:D,"建筑安装工程费",'附表7-扣除项目明细采集底稿'!V:V,"直接归集成本费用",'附表7-扣除项目明细采集底稿'!AB:AB,"不可加计"),SUMIFS('附表7-扣除项目明细采集底稿'!Y:Y,'附表7-扣除项目明细采集底稿'!D:D,"基础设施费",'附表7-扣除项目明细采集底稿'!V:V,"直接归集成本费用",'附表7-扣除项目明细采集底稿'!AB:AB,"不可加计"),SUMIFS('附表7-扣除项目明细采集底稿'!Y:Y,'附表7-扣除项目明细采集底稿'!D:D,"公共配套设施费",'附表7-扣除项目明细采集底稿'!V:V,"直接归集成本费用",'附表7-扣除项目明细采集底稿'!AB:AB,"不可加计"),SUMIFS('附表7-扣除项目明细采集底稿'!Y:Y,'附表7-扣除项目明细采集底稿'!D:D,"开发间接费用",'附表7-扣除项目明细采集底稿'!V:V,"直接归集成本费用",'附表7-扣除项目明细采集底稿'!AB:AB,"不可加计"))</f>
        <v>0</v>
      </c>
      <c r="H75" s="178">
        <f t="shared" ref="H75:H87" si="15">SUM(E75:G75)</f>
        <v>0</v>
      </c>
      <c r="I75" s="177">
        <f>SUM(SUMIFS('附表7-扣除项目明细采集底稿'!W:W,'附表7-扣除项目明细采集底稿'!D:D,"土地征用及拆迁补偿费",'附表7-扣除项目明细采集底稿'!V:V,"共同成本费用",'附表7-扣除项目明细采集底稿'!AB:AB,"不可加计"),SUMIFS('附表7-扣除项目明细采集底稿'!W:W,'附表7-扣除项目明细采集底稿'!D:D,"前期工程费",'附表7-扣除项目明细采集底稿'!V:V,"共同成本费用",'附表7-扣除项目明细采集底稿'!AB:AB,"不可加计"),SUMIFS('附表7-扣除项目明细采集底稿'!W:W,'附表7-扣除项目明细采集底稿'!D:D,"建筑安装工程费",'附表7-扣除项目明细采集底稿'!V:V,"共同成本费用",'附表7-扣除项目明细采集底稿'!AB:AB,"不可加计"),SUMIFS('附表7-扣除项目明细采集底稿'!W:W,'附表7-扣除项目明细采集底稿'!D:D,"基础设施费",'附表7-扣除项目明细采集底稿'!V:V,"共同成本费用",'附表7-扣除项目明细采集底稿'!AB:AB,"不可加计"),SUMIFS('附表7-扣除项目明细采集底稿'!W:W,'附表7-扣除项目明细采集底稿'!D:D,"公共配套设施费",'附表7-扣除项目明细采集底稿'!V:V,"共同成本费用",'附表7-扣除项目明细采集底稿'!AB:AB,"不可加计"),SUMIFS('附表7-扣除项目明细采集底稿'!W:W,'附表7-扣除项目明细采集底稿'!D:D,"开发间接费用",'附表7-扣除项目明细采集底稿'!V:V,"共同成本费用",'附表7-扣除项目明细采集底稿'!AB:AB,"不可加计"))</f>
        <v>0</v>
      </c>
      <c r="J75" s="177">
        <f>SUM(SUMIFS('附表7-扣除项目明细采集底稿'!X:X,'附表7-扣除项目明细采集底稿'!D:D,"土地征用及拆迁补偿费",'附表7-扣除项目明细采集底稿'!V:V,"共同成本费用",'附表7-扣除项目明细采集底稿'!AB:AB,"不可加计"),SUMIFS('附表7-扣除项目明细采集底稿'!X:X,'附表7-扣除项目明细采集底稿'!D:D,"前期工程费",'附表7-扣除项目明细采集底稿'!V:V,"共同成本费用",'附表7-扣除项目明细采集底稿'!AB:AB,"不可加计"),SUMIFS('附表7-扣除项目明细采集底稿'!X:X,'附表7-扣除项目明细采集底稿'!D:D,"建筑安装工程费",'附表7-扣除项目明细采集底稿'!V:V,"共同成本费用",'附表7-扣除项目明细采集底稿'!AB:AB,"不可加计"),SUMIFS('附表7-扣除项目明细采集底稿'!X:X,'附表7-扣除项目明细采集底稿'!D:D,"基础设施费",'附表7-扣除项目明细采集底稿'!V:V,"共同成本费用",'附表7-扣除项目明细采集底稿'!AB:AB,"不可加计"),SUMIFS('附表7-扣除项目明细采集底稿'!X:X,'附表7-扣除项目明细采集底稿'!D:D,"公共配套设施费",'附表7-扣除项目明细采集底稿'!V:V,"共同成本费用",'附表7-扣除项目明细采集底稿'!AB:AB,"不可加计"),SUMIFS('附表7-扣除项目明细采集底稿'!X:X,'附表7-扣除项目明细采集底稿'!D:D,"开发间接费用",'附表7-扣除项目明细采集底稿'!V:V,"共同成本费用",'附表7-扣除项目明细采集底稿'!AB:AB,"不可加计"))</f>
        <v>0</v>
      </c>
      <c r="K75" s="177">
        <f>SUM(SUMIFS('附表7-扣除项目明细采集底稿'!Y:Y,'附表7-扣除项目明细采集底稿'!D:D,"土地征用及拆迁补偿费",'附表7-扣除项目明细采集底稿'!V:V,"共同成本费用",'附表7-扣除项目明细采集底稿'!AB:AB,"不可加计"),SUMIFS('附表7-扣除项目明细采集底稿'!Y:Y,'附表7-扣除项目明细采集底稿'!D:D,"前期工程费",'附表7-扣除项目明细采集底稿'!V:V,"共同成本费用",'附表7-扣除项目明细采集底稿'!AB:AB,"不可加计"),SUMIFS('附表7-扣除项目明细采集底稿'!Y:Y,'附表7-扣除项目明细采集底稿'!D:D,"建筑安装工程费",'附表7-扣除项目明细采集底稿'!V:V,"共同成本费用",'附表7-扣除项目明细采集底稿'!AB:AB,"不可加计"),SUMIFS('附表7-扣除项目明细采集底稿'!Y:Y,'附表7-扣除项目明细采集底稿'!D:D,"基础设施费",'附表7-扣除项目明细采集底稿'!V:V,"共同成本费用",'附表7-扣除项目明细采集底稿'!AB:AB,"不可加计"),SUMIFS('附表7-扣除项目明细采集底稿'!Y:Y,'附表7-扣除项目明细采集底稿'!D:D,"公共配套设施费",'附表7-扣除项目明细采集底稿'!V:V,"共同成本费用",'附表7-扣除项目明细采集底稿'!AB:AB,"不可加计"),SUMIFS('附表7-扣除项目明细采集底稿'!Y:Y,'附表7-扣除项目明细采集底稿'!D:D,"开发间接费用",'附表7-扣除项目明细采集底稿'!V:V,"共同成本费用",'附表7-扣除项目明细采集底稿'!AB:AB,"不可加计"))</f>
        <v>0</v>
      </c>
      <c r="L75" s="178">
        <f t="shared" si="13"/>
        <v>0</v>
      </c>
      <c r="M75" s="178">
        <f t="shared" ref="M75:M87" si="16">H75+L75</f>
        <v>0</v>
      </c>
    </row>
    <row r="76" s="162" customFormat="1" ht="24" customHeight="1" spans="1:13">
      <c r="A76" s="65">
        <v>71</v>
      </c>
      <c r="B76" s="179" t="str">
        <f>数据对照表!I1</f>
        <v>房地产开发费用</v>
      </c>
      <c r="C76" s="179"/>
      <c r="D76" s="179"/>
      <c r="E76" s="177">
        <f>SUM(E77:E78)</f>
        <v>0</v>
      </c>
      <c r="F76" s="177">
        <f>SUM(F77:F78)</f>
        <v>0</v>
      </c>
      <c r="G76" s="177">
        <f>SUM(G77:G78)</f>
        <v>0</v>
      </c>
      <c r="H76" s="178">
        <f t="shared" si="15"/>
        <v>0</v>
      </c>
      <c r="I76" s="177">
        <f>SUM(I77:I78)</f>
        <v>4668547.78271456</v>
      </c>
      <c r="J76" s="177">
        <f>SUM(J77:J78)</f>
        <v>0</v>
      </c>
      <c r="K76" s="177">
        <f>SUM(K77:K78)</f>
        <v>1549670.53028544</v>
      </c>
      <c r="L76" s="178">
        <f t="shared" si="13"/>
        <v>6218218.313</v>
      </c>
      <c r="M76" s="178">
        <f t="shared" si="16"/>
        <v>6218218.313</v>
      </c>
    </row>
    <row r="77" s="162" customFormat="1" ht="24" customHeight="1" spans="1:13">
      <c r="A77" s="65">
        <v>72</v>
      </c>
      <c r="B77" s="65" t="s">
        <v>278</v>
      </c>
      <c r="C77" s="179" t="str">
        <f>数据对照表!I2</f>
        <v>利息支出</v>
      </c>
      <c r="D77" s="179" t="s">
        <v>280</v>
      </c>
      <c r="E77" s="177">
        <f>IF(D77="计算扣除",0,SUMIFS('附表7-扣除项目明细采集底稿'!W:W,'附表7-扣除项目明细采集底稿'!E:E,数据对照表!I2,'附表7-扣除项目明细采集底稿'!V:V,"直接归集成本费用"))</f>
        <v>0</v>
      </c>
      <c r="F77" s="177">
        <f>IF(D77="计算扣除",0,SUMIFS('附表7-扣除项目明细采集底稿'!X:X,'附表7-扣除项目明细采集底稿'!E:E,数据对照表!I2,'附表7-扣除项目明细采集底稿'!V:V,"直接归集成本费用"))</f>
        <v>0</v>
      </c>
      <c r="G77" s="177">
        <f>IF(D77="计算扣除",0,SUMIFS('附表7-扣除项目明细采集底稿'!Y:Y,'附表7-扣除项目明细采集底稿'!E:E,数据对照表!I2,'附表7-扣除项目明细采集底稿'!V:V,"直接归集成本费用"))</f>
        <v>0</v>
      </c>
      <c r="H77" s="178">
        <f t="shared" si="15"/>
        <v>0</v>
      </c>
      <c r="I77" s="177">
        <f>IF(D77="计算扣除",0,SUMIFS('附表7-扣除项目明细采集底稿'!W:W,'附表7-扣除项目明细采集底稿'!E:E,数据对照表!I2,'附表7-扣除项目明细采集底稿'!V:V,"共同成本费用"))</f>
        <v>0</v>
      </c>
      <c r="J77" s="177">
        <f>IF(D77="计算扣除",0,SUMIFS('附表7-扣除项目明细采集底稿'!X:X,'附表7-扣除项目明细采集底稿'!E:E,数据对照表!I2,'附表7-扣除项目明细采集底稿'!V:V,"共同成本费用"))</f>
        <v>0</v>
      </c>
      <c r="K77" s="177">
        <f>IF(D77="计算扣除",0,SUMIFS('附表7-扣除项目明细采集底稿'!Y:Y,'附表7-扣除项目明细采集底稿'!E:E,数据对照表!I2,'附表7-扣除项目明细采集底稿'!V:V,"共同成本费用"))</f>
        <v>0</v>
      </c>
      <c r="L77" s="178">
        <f t="shared" si="13"/>
        <v>0</v>
      </c>
      <c r="M77" s="178">
        <f t="shared" si="16"/>
        <v>0</v>
      </c>
    </row>
    <row r="78" s="162" customFormat="1" ht="24" customHeight="1" spans="1:13">
      <c r="A78" s="65">
        <v>73</v>
      </c>
      <c r="B78" s="65"/>
      <c r="C78" s="179" t="s">
        <v>281</v>
      </c>
      <c r="D78" s="179"/>
      <c r="E78" s="177">
        <f>IF($D$77="计算扣除",((E6-E10)+(E11-E75))*10%,((E6-E10)+(E11-E75))*5%)</f>
        <v>0</v>
      </c>
      <c r="F78" s="177">
        <f>IF($D$77="计算扣除",((F6-F10)+(F11-F75))*10%,((F6-F10)+(F11-F75))*5%)</f>
        <v>0</v>
      </c>
      <c r="G78" s="177">
        <f>IF($D$77="计算扣除",((G6-G10)+(G11-G75))*10%,((G6-G10)+(G11-G75))*5%)</f>
        <v>0</v>
      </c>
      <c r="H78" s="178">
        <f t="shared" si="15"/>
        <v>0</v>
      </c>
      <c r="I78" s="177">
        <f>IF($D$77="计算扣除",((I6-I10)+(I11-I75))*10%,((I6-I10)+(I11-I75))*5%)</f>
        <v>4668547.78271456</v>
      </c>
      <c r="J78" s="177">
        <f>IF($D$77="计算扣除",((J6-J10)+(J11-J75))*10%,((J6-J10)+(J11-J75))*5%)</f>
        <v>0</v>
      </c>
      <c r="K78" s="177">
        <f>IF($D$77="计算扣除",((K6-K10)+(K11-K75))*10%,((K6-K10)+(K11-K75))*5%)</f>
        <v>1549670.53028544</v>
      </c>
      <c r="L78" s="178">
        <f t="shared" si="13"/>
        <v>6218218.313</v>
      </c>
      <c r="M78" s="178">
        <f t="shared" si="16"/>
        <v>6218218.313</v>
      </c>
    </row>
    <row r="79" s="162" customFormat="1" ht="24" customHeight="1" spans="1:13">
      <c r="A79" s="65">
        <v>74</v>
      </c>
      <c r="B79" s="179" t="s">
        <v>282</v>
      </c>
      <c r="C79" s="179"/>
      <c r="D79" s="179"/>
      <c r="E79" s="177">
        <f>SUM(E80:E84)</f>
        <v>817686.54</v>
      </c>
      <c r="F79" s="177">
        <f>SUM(F80:F84)</f>
        <v>0</v>
      </c>
      <c r="G79" s="177">
        <f>SUM(G80:G84)</f>
        <v>7769.09</v>
      </c>
      <c r="H79" s="178">
        <f t="shared" si="15"/>
        <v>825455.63</v>
      </c>
      <c r="I79" s="188"/>
      <c r="J79" s="188"/>
      <c r="K79" s="188"/>
      <c r="L79" s="188"/>
      <c r="M79" s="178">
        <f t="shared" si="16"/>
        <v>825455.63</v>
      </c>
    </row>
    <row r="80" s="162" customFormat="1" ht="24" customHeight="1" spans="1:13">
      <c r="A80" s="65">
        <v>75</v>
      </c>
      <c r="B80" s="65" t="s">
        <v>278</v>
      </c>
      <c r="C80" s="179" t="s">
        <v>283</v>
      </c>
      <c r="D80" s="179"/>
      <c r="E80" s="178">
        <v>406653.2</v>
      </c>
      <c r="F80" s="178">
        <v>0</v>
      </c>
      <c r="G80" s="178">
        <v>0</v>
      </c>
      <c r="H80" s="178">
        <f t="shared" si="15"/>
        <v>406653.2</v>
      </c>
      <c r="I80" s="188"/>
      <c r="J80" s="188"/>
      <c r="K80" s="188"/>
      <c r="L80" s="188"/>
      <c r="M80" s="178">
        <f t="shared" si="16"/>
        <v>406653.2</v>
      </c>
    </row>
    <row r="81" s="162" customFormat="1" ht="24" customHeight="1" spans="1:13">
      <c r="A81" s="65">
        <v>76</v>
      </c>
      <c r="B81" s="65"/>
      <c r="C81" s="179" t="s">
        <v>284</v>
      </c>
      <c r="D81" s="179"/>
      <c r="E81" s="178">
        <v>239769.45</v>
      </c>
      <c r="F81" s="178">
        <v>0</v>
      </c>
      <c r="G81" s="178">
        <v>4531.97</v>
      </c>
      <c r="H81" s="178">
        <f t="shared" si="15"/>
        <v>244301.42</v>
      </c>
      <c r="I81" s="188"/>
      <c r="J81" s="188"/>
      <c r="K81" s="188"/>
      <c r="L81" s="188"/>
      <c r="M81" s="178">
        <f t="shared" si="16"/>
        <v>244301.42</v>
      </c>
    </row>
    <row r="82" s="162" customFormat="1" ht="24" customHeight="1" spans="1:13">
      <c r="A82" s="65">
        <v>77</v>
      </c>
      <c r="B82" s="65"/>
      <c r="C82" s="179" t="s">
        <v>285</v>
      </c>
      <c r="D82" s="179"/>
      <c r="E82" s="178">
        <v>102758.33</v>
      </c>
      <c r="F82" s="178">
        <v>0</v>
      </c>
      <c r="G82" s="178">
        <v>1942.27</v>
      </c>
      <c r="H82" s="178">
        <f t="shared" si="15"/>
        <v>104700.6</v>
      </c>
      <c r="I82" s="188"/>
      <c r="J82" s="188"/>
      <c r="K82" s="188"/>
      <c r="L82" s="188"/>
      <c r="M82" s="178">
        <f t="shared" si="16"/>
        <v>104700.6</v>
      </c>
    </row>
    <row r="83" s="162" customFormat="1" ht="24" customHeight="1" spans="1:13">
      <c r="A83" s="65">
        <v>78</v>
      </c>
      <c r="B83" s="65"/>
      <c r="C83" s="179" t="s">
        <v>286</v>
      </c>
      <c r="D83" s="179"/>
      <c r="E83" s="178">
        <v>68505.56</v>
      </c>
      <c r="F83" s="178">
        <v>0</v>
      </c>
      <c r="G83" s="178">
        <v>1294.85</v>
      </c>
      <c r="H83" s="178">
        <f t="shared" si="15"/>
        <v>69800.41</v>
      </c>
      <c r="I83" s="188"/>
      <c r="J83" s="188"/>
      <c r="K83" s="188"/>
      <c r="L83" s="188"/>
      <c r="M83" s="178">
        <f t="shared" si="16"/>
        <v>69800.41</v>
      </c>
    </row>
    <row r="84" s="162" customFormat="1" ht="24" customHeight="1" spans="1:13">
      <c r="A84" s="65">
        <v>79</v>
      </c>
      <c r="B84" s="65"/>
      <c r="C84" s="179" t="s">
        <v>287</v>
      </c>
      <c r="D84" s="179"/>
      <c r="E84" s="178">
        <v>0</v>
      </c>
      <c r="F84" s="178">
        <v>0</v>
      </c>
      <c r="G84" s="178">
        <v>0</v>
      </c>
      <c r="H84" s="178">
        <f t="shared" si="15"/>
        <v>0</v>
      </c>
      <c r="I84" s="188"/>
      <c r="J84" s="188"/>
      <c r="K84" s="188"/>
      <c r="L84" s="188"/>
      <c r="M84" s="178">
        <f t="shared" si="16"/>
        <v>0</v>
      </c>
    </row>
    <row r="85" s="162" customFormat="1" ht="24" customHeight="1" spans="1:13">
      <c r="A85" s="65">
        <v>80</v>
      </c>
      <c r="B85" s="179" t="s">
        <v>288</v>
      </c>
      <c r="C85" s="179"/>
      <c r="D85" s="179"/>
      <c r="E85" s="177">
        <f>((E6-E10)+(E11-E75))*20%</f>
        <v>0</v>
      </c>
      <c r="F85" s="177">
        <f>((F6-F10)+(F11-F75))*20%</f>
        <v>0</v>
      </c>
      <c r="G85" s="177">
        <f>((G6-G10)+(G11-G75))*20%</f>
        <v>0</v>
      </c>
      <c r="H85" s="178">
        <f t="shared" si="15"/>
        <v>0</v>
      </c>
      <c r="I85" s="177">
        <f>((I6-I10)+(I11-I75))*20%</f>
        <v>9337095.56542911</v>
      </c>
      <c r="J85" s="177">
        <f>((J6-J10)+(J11-J75))*20%</f>
        <v>0</v>
      </c>
      <c r="K85" s="177">
        <f>((K6-K10)+(K11-K75))*20%</f>
        <v>3099341.06057089</v>
      </c>
      <c r="L85" s="178">
        <f t="shared" ref="L85:L87" si="17">SUM(I85:K85)</f>
        <v>12436436.626</v>
      </c>
      <c r="M85" s="178">
        <f t="shared" si="16"/>
        <v>12436436.626</v>
      </c>
    </row>
    <row r="86" s="162" customFormat="1" ht="24" customHeight="1" spans="1:13">
      <c r="A86" s="65">
        <v>81</v>
      </c>
      <c r="B86" s="179" t="s">
        <v>289</v>
      </c>
      <c r="C86" s="179"/>
      <c r="D86" s="179"/>
      <c r="E86" s="178">
        <v>0</v>
      </c>
      <c r="F86" s="178">
        <v>0</v>
      </c>
      <c r="G86" s="178">
        <v>0</v>
      </c>
      <c r="H86" s="178">
        <f t="shared" si="15"/>
        <v>0</v>
      </c>
      <c r="I86" s="178">
        <v>0</v>
      </c>
      <c r="J86" s="178">
        <v>0</v>
      </c>
      <c r="K86" s="178">
        <v>0</v>
      </c>
      <c r="L86" s="178">
        <f t="shared" si="17"/>
        <v>0</v>
      </c>
      <c r="M86" s="178">
        <f t="shared" si="16"/>
        <v>0</v>
      </c>
    </row>
    <row r="87" s="162" customFormat="1" ht="24" customHeight="1" spans="1:13">
      <c r="A87" s="65">
        <v>82</v>
      </c>
      <c r="B87" s="179" t="s">
        <v>105</v>
      </c>
      <c r="C87" s="179"/>
      <c r="D87" s="179"/>
      <c r="E87" s="177">
        <f>E6+E11+E76+E79+E85+SUM(E86)</f>
        <v>817686.54</v>
      </c>
      <c r="F87" s="177">
        <f>F6+F11+F76+F79+F85+SUM(F86)</f>
        <v>0</v>
      </c>
      <c r="G87" s="177">
        <f>G6+G11+G76+G79+G85+SUM(G86)</f>
        <v>7769.09</v>
      </c>
      <c r="H87" s="178">
        <f t="shared" si="15"/>
        <v>825455.63</v>
      </c>
      <c r="I87" s="177">
        <f>I6+I11+I76+I79+I85+SUM(I86)</f>
        <v>60691121.1752892</v>
      </c>
      <c r="J87" s="177">
        <f>J6+J11+J76+J79+J85+SUM(J86)</f>
        <v>0</v>
      </c>
      <c r="K87" s="177">
        <f>K6+K11+K76+K79+K85+SUM(K86)</f>
        <v>20145716.8937108</v>
      </c>
      <c r="L87" s="178">
        <f t="shared" si="17"/>
        <v>80836838.069</v>
      </c>
      <c r="M87" s="178">
        <f t="shared" si="16"/>
        <v>81662293.699</v>
      </c>
    </row>
  </sheetData>
  <mergeCells count="41">
    <mergeCell ref="A1:M1"/>
    <mergeCell ref="A2:M2"/>
    <mergeCell ref="E3:H3"/>
    <mergeCell ref="I3:L3"/>
    <mergeCell ref="B6:D6"/>
    <mergeCell ref="C7:D7"/>
    <mergeCell ref="C8:D8"/>
    <mergeCell ref="C9:D9"/>
    <mergeCell ref="B10:D10"/>
    <mergeCell ref="B11:D11"/>
    <mergeCell ref="C12:D12"/>
    <mergeCell ref="C19:D19"/>
    <mergeCell ref="C29:D29"/>
    <mergeCell ref="C36:D36"/>
    <mergeCell ref="C48:D48"/>
    <mergeCell ref="C65:D65"/>
    <mergeCell ref="B75:D75"/>
    <mergeCell ref="B76:D76"/>
    <mergeCell ref="C78:D78"/>
    <mergeCell ref="B79:D79"/>
    <mergeCell ref="C80:D80"/>
    <mergeCell ref="C81:D81"/>
    <mergeCell ref="C82:D82"/>
    <mergeCell ref="C83:D83"/>
    <mergeCell ref="C84:D84"/>
    <mergeCell ref="B85:D85"/>
    <mergeCell ref="B86:D86"/>
    <mergeCell ref="B87:D87"/>
    <mergeCell ref="A3:A5"/>
    <mergeCell ref="B7:B9"/>
    <mergeCell ref="B12:B74"/>
    <mergeCell ref="B77:B78"/>
    <mergeCell ref="B80:B84"/>
    <mergeCell ref="C13:C18"/>
    <mergeCell ref="C20:C28"/>
    <mergeCell ref="C30:C35"/>
    <mergeCell ref="C37:C47"/>
    <mergeCell ref="C49:C64"/>
    <mergeCell ref="C66:C74"/>
    <mergeCell ref="M3:M4"/>
    <mergeCell ref="B3:D5"/>
  </mergeCells>
  <dataValidations count="2">
    <dataValidation allowBlank="1" showInputMessage="1" showErrorMessage="1" sqref="C77"/>
    <dataValidation type="list" allowBlank="1" showInputMessage="1" showErrorMessage="1" sqref="D77">
      <formula1>"据实扣除, 计算扣除"</formula1>
    </dataValidation>
  </dataValidations>
  <printOptions horizontalCentered="1"/>
  <pageMargins left="0.707638888888889" right="0.707638888888889" top="0.747916666666667" bottom="0.747916666666667" header="0.313888888888889" footer="0.313888888888889"/>
  <pageSetup paperSize="9" scale="58" fitToHeight="0" orientation="landscape"/>
  <headerFooter>
    <oddFooter>&amp;C第 &amp;P 页，共 &amp;N 页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fitToPage="1"/>
  </sheetPr>
  <dimension ref="A1:Z201"/>
  <sheetViews>
    <sheetView tabSelected="1" workbookViewId="0">
      <pane xSplit="5" ySplit="2" topLeftCell="O175" activePane="bottomRight" state="frozen"/>
      <selection/>
      <selection pane="topRight"/>
      <selection pane="bottomLeft"/>
      <selection pane="bottomRight" activeCell="A93" sqref="$A93:$XFD93"/>
    </sheetView>
  </sheetViews>
  <sheetFormatPr defaultColWidth="5.624" defaultRowHeight="15"/>
  <cols>
    <col min="1" max="1" width="9.752" style="125" customWidth="1"/>
    <col min="2" max="2" width="9.248" style="125" customWidth="1"/>
    <col min="3" max="3" width="8.752" style="126" customWidth="1"/>
    <col min="4" max="5" width="8.128" style="125" customWidth="1"/>
    <col min="6" max="6" width="9.624" style="125" customWidth="1"/>
    <col min="7" max="7" width="11" style="125" customWidth="1"/>
    <col min="8" max="8" width="6.128" style="125" customWidth="1"/>
    <col min="9" max="9" width="8.128" style="125" customWidth="1"/>
    <col min="10" max="10" width="11.92" style="125" customWidth="1"/>
    <col min="11" max="11" width="10.208" style="125" customWidth="1"/>
    <col min="12" max="12" width="15.824" style="127" customWidth="1"/>
    <col min="13" max="13" width="8.128" style="125" customWidth="1"/>
    <col min="14" max="17" width="12" style="127" customWidth="1"/>
    <col min="18" max="18" width="5.624" style="125" customWidth="1"/>
    <col min="19" max="19" width="6.128" style="125" customWidth="1"/>
    <col min="20" max="20" width="8.808" style="125" customWidth="1"/>
    <col min="21" max="21" width="14.016" style="127" customWidth="1"/>
    <col min="22" max="22" width="13.216" style="127" customWidth="1"/>
    <col min="23" max="23" width="16.824" style="127" customWidth="1"/>
    <col min="24" max="24" width="13.712" style="127" customWidth="1"/>
    <col min="25" max="25" width="10.112" style="127" customWidth="1"/>
    <col min="26" max="26" width="6.504" style="125" customWidth="1"/>
    <col min="27" max="27" width="5.624" style="128" customWidth="1"/>
    <col min="28" max="16384" width="5.624" style="128"/>
  </cols>
  <sheetData>
    <row r="1" ht="23.8" spans="1:26">
      <c r="A1" s="129" t="s">
        <v>290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40"/>
      <c r="M1" s="129"/>
      <c r="N1" s="140"/>
      <c r="O1" s="140"/>
      <c r="P1" s="140"/>
      <c r="Q1" s="140"/>
      <c r="R1" s="129"/>
      <c r="S1" s="129"/>
      <c r="T1" s="129"/>
      <c r="U1" s="140"/>
      <c r="V1" s="140"/>
      <c r="W1" s="140"/>
      <c r="X1" s="140"/>
      <c r="Y1" s="140"/>
      <c r="Z1" s="129"/>
    </row>
    <row r="2" s="121" customFormat="1" ht="14.4" spans="1:26">
      <c r="A2" s="53" t="str">
        <f>土地增值税税源明细表!F5&amp;"："&amp;土地增值税税源明细表!H5&amp;"          "&amp;土地增值税税源明细表!A5&amp;"："&amp;土地增值税税源明细表!B5&amp;"          "&amp;"金额单位:人民币元(列至角分)"</f>
        <v>项目编码：Z65280120160100          项目名称：通力华庭          金额单位:人民币元(列至角分)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141"/>
      <c r="M2" s="53"/>
      <c r="N2" s="141"/>
      <c r="O2" s="141"/>
      <c r="P2" s="141"/>
      <c r="Q2" s="141"/>
      <c r="R2" s="53"/>
      <c r="S2" s="53"/>
      <c r="T2" s="53"/>
      <c r="U2" s="141"/>
      <c r="V2" s="141"/>
      <c r="W2" s="141"/>
      <c r="X2" s="141"/>
      <c r="Y2" s="141"/>
      <c r="Z2" s="53"/>
    </row>
    <row r="3" s="122" customFormat="1" ht="23.8" spans="1:26">
      <c r="A3" s="130" t="s">
        <v>37</v>
      </c>
      <c r="B3" s="131" t="s">
        <v>291</v>
      </c>
      <c r="C3" s="131" t="s">
        <v>292</v>
      </c>
      <c r="D3" s="131" t="s">
        <v>293</v>
      </c>
      <c r="E3" s="131" t="s">
        <v>294</v>
      </c>
      <c r="F3" s="131" t="s">
        <v>47</v>
      </c>
      <c r="G3" s="131" t="s">
        <v>295</v>
      </c>
      <c r="H3" s="131" t="s">
        <v>296</v>
      </c>
      <c r="I3" s="142" t="s">
        <v>297</v>
      </c>
      <c r="J3" s="131" t="s">
        <v>298</v>
      </c>
      <c r="K3" s="142" t="s">
        <v>299</v>
      </c>
      <c r="L3" s="143" t="s">
        <v>300</v>
      </c>
      <c r="M3" s="131" t="s">
        <v>301</v>
      </c>
      <c r="N3" s="143" t="s">
        <v>302</v>
      </c>
      <c r="O3" s="143" t="s">
        <v>303</v>
      </c>
      <c r="P3" s="143" t="s">
        <v>304</v>
      </c>
      <c r="Q3" s="143" t="s">
        <v>305</v>
      </c>
      <c r="R3" s="131" t="s">
        <v>306</v>
      </c>
      <c r="S3" s="131" t="s">
        <v>307</v>
      </c>
      <c r="T3" s="131" t="s">
        <v>308</v>
      </c>
      <c r="U3" s="143" t="s">
        <v>309</v>
      </c>
      <c r="V3" s="143" t="s">
        <v>310</v>
      </c>
      <c r="W3" s="143" t="s">
        <v>311</v>
      </c>
      <c r="X3" s="149" t="s">
        <v>312</v>
      </c>
      <c r="Y3" s="143" t="s">
        <v>313</v>
      </c>
      <c r="Z3" s="131" t="s">
        <v>314</v>
      </c>
    </row>
    <row r="4" s="123" customFormat="1" ht="18" customHeight="1" spans="1:26">
      <c r="A4" s="132" t="s">
        <v>315</v>
      </c>
      <c r="B4" s="88" t="s">
        <v>316</v>
      </c>
      <c r="C4" s="88" t="s">
        <v>316</v>
      </c>
      <c r="D4" s="88" t="s">
        <v>316</v>
      </c>
      <c r="E4" s="88" t="s">
        <v>316</v>
      </c>
      <c r="F4" s="88" t="s">
        <v>316</v>
      </c>
      <c r="G4" s="88" t="s">
        <v>316</v>
      </c>
      <c r="H4" s="88" t="s">
        <v>316</v>
      </c>
      <c r="I4" s="88" t="s">
        <v>316</v>
      </c>
      <c r="J4" s="88" t="s">
        <v>316</v>
      </c>
      <c r="K4" s="88" t="s">
        <v>316</v>
      </c>
      <c r="L4" s="101">
        <f>SUM(L$7:L$1048576)</f>
        <v>72313848</v>
      </c>
      <c r="M4" s="88" t="s">
        <v>316</v>
      </c>
      <c r="N4" s="101">
        <f>SUM(N$7:N$1048576)</f>
        <v>18795.2</v>
      </c>
      <c r="O4" s="101">
        <f t="shared" ref="O4:Q4" si="0">SUM(O$7:O$1048576)</f>
        <v>0</v>
      </c>
      <c r="P4" s="101">
        <f t="shared" si="0"/>
        <v>26212.41</v>
      </c>
      <c r="Q4" s="101">
        <f t="shared" si="0"/>
        <v>0</v>
      </c>
      <c r="R4" s="88" t="s">
        <v>316</v>
      </c>
      <c r="S4" s="88" t="s">
        <v>316</v>
      </c>
      <c r="T4" s="88" t="s">
        <v>316</v>
      </c>
      <c r="U4" s="101">
        <f t="shared" ref="U4:X4" si="1">SUM(U$7:U$1048576)</f>
        <v>69800404.8180952</v>
      </c>
      <c r="V4" s="101">
        <f t="shared" si="1"/>
        <v>3083367.04999999</v>
      </c>
      <c r="W4" s="101">
        <f t="shared" si="1"/>
        <v>72883771.8680952</v>
      </c>
      <c r="X4" s="101">
        <f t="shared" si="1"/>
        <v>69800404.8180952</v>
      </c>
      <c r="Y4" s="153">
        <f>IF(SUMIFS(X$7:X$1048576,H$7:H$1048576,"已售")=0,"*",ROUND(SUMIFS(X$7:X$1048576,H$7:H$1048576,"已售")/SUMIFS(P$7:P$1048576,H$7:H$1048576,"已售"),2))</f>
        <v>3713.74</v>
      </c>
      <c r="Z4" s="88" t="s">
        <v>316</v>
      </c>
    </row>
    <row r="5" s="124" customFormat="1" ht="18" customHeight="1" spans="1:26">
      <c r="A5" s="132" t="s">
        <v>317</v>
      </c>
      <c r="B5" s="88" t="s">
        <v>316</v>
      </c>
      <c r="C5" s="88" t="s">
        <v>316</v>
      </c>
      <c r="D5" s="88" t="s">
        <v>316</v>
      </c>
      <c r="E5" s="88" t="s">
        <v>316</v>
      </c>
      <c r="F5" s="88" t="s">
        <v>316</v>
      </c>
      <c r="G5" s="88" t="s">
        <v>316</v>
      </c>
      <c r="H5" s="88" t="s">
        <v>316</v>
      </c>
      <c r="I5" s="88" t="s">
        <v>316</v>
      </c>
      <c r="J5" s="88" t="s">
        <v>316</v>
      </c>
      <c r="K5" s="88" t="s">
        <v>316</v>
      </c>
      <c r="L5" s="101">
        <f>SUBTOTAL(9,L$7:L$1048576)</f>
        <v>70954257</v>
      </c>
      <c r="M5" s="88" t="s">
        <v>316</v>
      </c>
      <c r="N5" s="101">
        <f t="shared" ref="N5:Q5" si="2">SUBTOTAL(9,N$7:N$1048576)</f>
        <v>18738.13</v>
      </c>
      <c r="O5" s="101">
        <f t="shared" si="2"/>
        <v>0</v>
      </c>
      <c r="P5" s="101">
        <f t="shared" si="2"/>
        <v>19054.6</v>
      </c>
      <c r="Q5" s="101">
        <f t="shared" si="2"/>
        <v>0</v>
      </c>
      <c r="R5" s="88" t="s">
        <v>316</v>
      </c>
      <c r="S5" s="88" t="s">
        <v>316</v>
      </c>
      <c r="T5" s="88" t="s">
        <v>316</v>
      </c>
      <c r="U5" s="101">
        <f t="shared" ref="U5:X5" si="3">SUBTOTAL(9,U$7:U$1048576)</f>
        <v>68505556.2433333</v>
      </c>
      <c r="V5" s="101">
        <f t="shared" si="3"/>
        <v>3018624.61666666</v>
      </c>
      <c r="W5" s="101">
        <f t="shared" si="3"/>
        <v>71524180.86</v>
      </c>
      <c r="X5" s="101">
        <f t="shared" si="3"/>
        <v>68505556.2433333</v>
      </c>
      <c r="Y5" s="153" t="str">
        <f>IF(AND(SUBTOTAL(3,K$7:K$1048576)=SUBTOTAL(3,P$7:P$1048576),SUBTOTAL(9,P$7:P$1048576)&lt;&gt;0),ROUND(SUBTOTAL(9,X$7:X$1048576)/SUBTOTAL(9,P$7:P$1048576),2),"*")</f>
        <v>*</v>
      </c>
      <c r="Z5" s="88" t="s">
        <v>316</v>
      </c>
    </row>
    <row r="6" s="124" customFormat="1" ht="11.9" spans="1:26">
      <c r="A6" s="133" t="s">
        <v>318</v>
      </c>
      <c r="B6" s="364" t="s">
        <v>42</v>
      </c>
      <c r="C6" s="364" t="s">
        <v>210</v>
      </c>
      <c r="D6" s="364" t="s">
        <v>211</v>
      </c>
      <c r="E6" s="364" t="s">
        <v>212</v>
      </c>
      <c r="F6" s="364" t="s">
        <v>243</v>
      </c>
      <c r="G6" s="364" t="s">
        <v>214</v>
      </c>
      <c r="H6" s="364" t="s">
        <v>215</v>
      </c>
      <c r="I6" s="364" t="s">
        <v>216</v>
      </c>
      <c r="J6" s="364" t="s">
        <v>223</v>
      </c>
      <c r="K6" s="364" t="s">
        <v>224</v>
      </c>
      <c r="L6" s="363" t="s">
        <v>253</v>
      </c>
      <c r="M6" s="364" t="s">
        <v>226</v>
      </c>
      <c r="N6" s="363" t="s">
        <v>319</v>
      </c>
      <c r="O6" s="363" t="s">
        <v>228</v>
      </c>
      <c r="P6" s="363" t="s">
        <v>320</v>
      </c>
      <c r="Q6" s="363" t="s">
        <v>257</v>
      </c>
      <c r="R6" s="364" t="s">
        <v>258</v>
      </c>
      <c r="S6" s="364" t="s">
        <v>259</v>
      </c>
      <c r="T6" s="364" t="s">
        <v>261</v>
      </c>
      <c r="U6" s="363" t="s">
        <v>263</v>
      </c>
      <c r="V6" s="363" t="s">
        <v>321</v>
      </c>
      <c r="W6" s="363" t="s">
        <v>322</v>
      </c>
      <c r="X6" s="363" t="s">
        <v>323</v>
      </c>
      <c r="Y6" s="363" t="s">
        <v>324</v>
      </c>
      <c r="Z6" s="364" t="s">
        <v>325</v>
      </c>
    </row>
    <row r="7" s="121" customFormat="1" ht="23.8" hidden="1" spans="1:26">
      <c r="A7" s="135" t="s">
        <v>42</v>
      </c>
      <c r="B7" s="136" t="s">
        <v>42</v>
      </c>
      <c r="C7" s="136">
        <v>1</v>
      </c>
      <c r="D7" s="135" t="s">
        <v>326</v>
      </c>
      <c r="E7" s="136" t="s">
        <v>327</v>
      </c>
      <c r="F7" s="136" t="s">
        <v>109</v>
      </c>
      <c r="G7" s="135" t="s">
        <v>328</v>
      </c>
      <c r="H7" s="135" t="s">
        <v>329</v>
      </c>
      <c r="I7" s="135"/>
      <c r="J7" s="136"/>
      <c r="K7" s="144"/>
      <c r="L7" s="145"/>
      <c r="M7" s="135"/>
      <c r="N7" s="145"/>
      <c r="O7" s="145" t="s">
        <v>109</v>
      </c>
      <c r="P7" s="146">
        <v>105.17</v>
      </c>
      <c r="Q7" s="146" t="s">
        <v>109</v>
      </c>
      <c r="R7" s="137" t="s">
        <v>109</v>
      </c>
      <c r="S7" s="138" t="s">
        <v>109</v>
      </c>
      <c r="T7" s="150" t="s">
        <v>109</v>
      </c>
      <c r="U7" s="146" t="s">
        <v>109</v>
      </c>
      <c r="V7" s="146" t="s">
        <v>109</v>
      </c>
      <c r="W7" s="146">
        <f>SUM(U7)+SUM(V7)</f>
        <v>0</v>
      </c>
      <c r="X7" s="146">
        <v>0</v>
      </c>
      <c r="Y7" s="146">
        <f>IF(SUM(P7)=0,"",ROUND(SUM(X7)/SUM(P7),2))</f>
        <v>0</v>
      </c>
      <c r="Z7" s="137"/>
    </row>
    <row r="8" s="121" customFormat="1" ht="23.8" hidden="1" spans="1:26">
      <c r="A8" s="135" t="s">
        <v>210</v>
      </c>
      <c r="B8" s="136" t="s">
        <v>42</v>
      </c>
      <c r="C8" s="136">
        <v>1</v>
      </c>
      <c r="D8" s="135" t="s">
        <v>326</v>
      </c>
      <c r="E8" s="136" t="s">
        <v>330</v>
      </c>
      <c r="F8" s="136" t="s">
        <v>109</v>
      </c>
      <c r="G8" s="135" t="s">
        <v>328</v>
      </c>
      <c r="H8" s="135" t="s">
        <v>329</v>
      </c>
      <c r="I8" s="135"/>
      <c r="J8" s="136"/>
      <c r="K8" s="144"/>
      <c r="L8" s="145"/>
      <c r="M8" s="135"/>
      <c r="N8" s="145"/>
      <c r="O8" s="145" t="s">
        <v>109</v>
      </c>
      <c r="P8" s="146">
        <v>188.02</v>
      </c>
      <c r="Q8" s="146" t="s">
        <v>109</v>
      </c>
      <c r="R8" s="137" t="s">
        <v>109</v>
      </c>
      <c r="S8" s="138" t="s">
        <v>109</v>
      </c>
      <c r="T8" s="150" t="s">
        <v>109</v>
      </c>
      <c r="U8" s="146" t="s">
        <v>109</v>
      </c>
      <c r="V8" s="146" t="s">
        <v>109</v>
      </c>
      <c r="W8" s="146">
        <f t="shared" ref="W8:W71" si="4">SUM(U8)+SUM(V8)</f>
        <v>0</v>
      </c>
      <c r="X8" s="146">
        <v>0</v>
      </c>
      <c r="Y8" s="146">
        <f t="shared" ref="Y8:Y71" si="5">IF(SUM(P8)=0,"",ROUND(SUM(X8)/SUM(P8),2))</f>
        <v>0</v>
      </c>
      <c r="Z8" s="137"/>
    </row>
    <row r="9" s="121" customFormat="1" ht="11.9" hidden="1" spans="1:26">
      <c r="A9" s="135" t="s">
        <v>211</v>
      </c>
      <c r="B9" s="136" t="s">
        <v>42</v>
      </c>
      <c r="C9" s="136">
        <v>1</v>
      </c>
      <c r="D9" s="135" t="s">
        <v>326</v>
      </c>
      <c r="E9" s="136" t="s">
        <v>331</v>
      </c>
      <c r="F9" s="136" t="s">
        <v>109</v>
      </c>
      <c r="G9" s="135" t="s">
        <v>103</v>
      </c>
      <c r="H9" s="135" t="s">
        <v>329</v>
      </c>
      <c r="I9" s="135"/>
      <c r="J9" s="136"/>
      <c r="K9" s="144"/>
      <c r="L9" s="145"/>
      <c r="M9" s="135"/>
      <c r="N9" s="145"/>
      <c r="O9" s="145" t="s">
        <v>109</v>
      </c>
      <c r="P9" s="146">
        <v>1766.86</v>
      </c>
      <c r="Q9" s="146" t="s">
        <v>109</v>
      </c>
      <c r="R9" s="137" t="s">
        <v>109</v>
      </c>
      <c r="S9" s="138" t="s">
        <v>109</v>
      </c>
      <c r="T9" s="150" t="s">
        <v>109</v>
      </c>
      <c r="U9" s="146" t="s">
        <v>109</v>
      </c>
      <c r="V9" s="146" t="s">
        <v>109</v>
      </c>
      <c r="W9" s="146">
        <f t="shared" si="4"/>
        <v>0</v>
      </c>
      <c r="X9" s="146">
        <v>0</v>
      </c>
      <c r="Y9" s="146">
        <f t="shared" si="5"/>
        <v>0</v>
      </c>
      <c r="Z9" s="137"/>
    </row>
    <row r="10" s="121" customFormat="1" ht="23.8" hidden="1" spans="1:26">
      <c r="A10" s="135" t="s">
        <v>212</v>
      </c>
      <c r="B10" s="136" t="s">
        <v>42</v>
      </c>
      <c r="C10" s="136">
        <v>1</v>
      </c>
      <c r="D10" s="135" t="s">
        <v>332</v>
      </c>
      <c r="E10" s="136" t="s">
        <v>333</v>
      </c>
      <c r="F10" s="136" t="s">
        <v>109</v>
      </c>
      <c r="G10" s="135" t="s">
        <v>328</v>
      </c>
      <c r="H10" s="135" t="s">
        <v>329</v>
      </c>
      <c r="I10" s="135"/>
      <c r="J10" s="136"/>
      <c r="K10" s="144"/>
      <c r="L10" s="145"/>
      <c r="M10" s="135"/>
      <c r="N10" s="145"/>
      <c r="O10" s="145" t="s">
        <v>109</v>
      </c>
      <c r="P10" s="146">
        <v>875.59</v>
      </c>
      <c r="Q10" s="146" t="s">
        <v>109</v>
      </c>
      <c r="R10" s="137" t="s">
        <v>109</v>
      </c>
      <c r="S10" s="138" t="s">
        <v>109</v>
      </c>
      <c r="T10" s="150" t="s">
        <v>109</v>
      </c>
      <c r="U10" s="146" t="s">
        <v>109</v>
      </c>
      <c r="V10" s="146" t="s">
        <v>109</v>
      </c>
      <c r="W10" s="146">
        <f t="shared" si="4"/>
        <v>0</v>
      </c>
      <c r="X10" s="146">
        <v>0</v>
      </c>
      <c r="Y10" s="146">
        <f t="shared" si="5"/>
        <v>0</v>
      </c>
      <c r="Z10" s="137"/>
    </row>
    <row r="11" s="121" customFormat="1" ht="11.9" hidden="1" spans="1:26">
      <c r="A11" s="135" t="s">
        <v>243</v>
      </c>
      <c r="B11" s="136" t="s">
        <v>42</v>
      </c>
      <c r="C11" s="136">
        <v>1</v>
      </c>
      <c r="D11" s="135" t="s">
        <v>332</v>
      </c>
      <c r="E11" s="136" t="s">
        <v>334</v>
      </c>
      <c r="F11" s="136" t="s">
        <v>109</v>
      </c>
      <c r="G11" s="135" t="s">
        <v>103</v>
      </c>
      <c r="H11" s="135" t="s">
        <v>329</v>
      </c>
      <c r="I11" s="135"/>
      <c r="J11" s="136"/>
      <c r="K11" s="144"/>
      <c r="L11" s="145"/>
      <c r="M11" s="135"/>
      <c r="N11" s="145"/>
      <c r="O11" s="145" t="s">
        <v>109</v>
      </c>
      <c r="P11" s="146">
        <v>1518.01</v>
      </c>
      <c r="Q11" s="146" t="s">
        <v>109</v>
      </c>
      <c r="R11" s="137" t="s">
        <v>109</v>
      </c>
      <c r="S11" s="138" t="s">
        <v>109</v>
      </c>
      <c r="T11" s="150" t="s">
        <v>109</v>
      </c>
      <c r="U11" s="146" t="s">
        <v>109</v>
      </c>
      <c r="V11" s="146" t="s">
        <v>109</v>
      </c>
      <c r="W11" s="146">
        <f t="shared" si="4"/>
        <v>0</v>
      </c>
      <c r="X11" s="146">
        <v>0</v>
      </c>
      <c r="Y11" s="146">
        <f t="shared" si="5"/>
        <v>0</v>
      </c>
      <c r="Z11" s="137"/>
    </row>
    <row r="12" s="121" customFormat="1" ht="23.8" hidden="1" spans="1:26">
      <c r="A12" s="135" t="s">
        <v>214</v>
      </c>
      <c r="B12" s="136" t="s">
        <v>42</v>
      </c>
      <c r="C12" s="136" t="s">
        <v>42</v>
      </c>
      <c r="D12" s="135" t="s">
        <v>42</v>
      </c>
      <c r="E12" s="136">
        <v>109</v>
      </c>
      <c r="F12" s="136" t="s">
        <v>109</v>
      </c>
      <c r="G12" s="135" t="s">
        <v>328</v>
      </c>
      <c r="H12" s="135" t="s">
        <v>335</v>
      </c>
      <c r="I12" s="135"/>
      <c r="J12" s="136"/>
      <c r="K12" s="144"/>
      <c r="L12" s="145"/>
      <c r="M12" s="135"/>
      <c r="N12" s="145"/>
      <c r="O12" s="145" t="s">
        <v>109</v>
      </c>
      <c r="P12" s="146">
        <v>85.16</v>
      </c>
      <c r="Q12" s="146" t="s">
        <v>109</v>
      </c>
      <c r="R12" s="137" t="s">
        <v>109</v>
      </c>
      <c r="S12" s="138" t="s">
        <v>109</v>
      </c>
      <c r="T12" s="150" t="s">
        <v>109</v>
      </c>
      <c r="U12" s="146" t="s">
        <v>109</v>
      </c>
      <c r="V12" s="146" t="s">
        <v>109</v>
      </c>
      <c r="W12" s="146">
        <f t="shared" si="4"/>
        <v>0</v>
      </c>
      <c r="X12" s="146">
        <v>0</v>
      </c>
      <c r="Y12" s="146">
        <f t="shared" si="5"/>
        <v>0</v>
      </c>
      <c r="Z12" s="137"/>
    </row>
    <row r="13" s="121" customFormat="1" ht="11.9" hidden="1" spans="1:26">
      <c r="A13" s="135" t="s">
        <v>215</v>
      </c>
      <c r="B13" s="136" t="s">
        <v>42</v>
      </c>
      <c r="C13" s="136" t="s">
        <v>42</v>
      </c>
      <c r="D13" s="135" t="s">
        <v>42</v>
      </c>
      <c r="E13" s="136" t="s">
        <v>336</v>
      </c>
      <c r="F13" s="136" t="s">
        <v>109</v>
      </c>
      <c r="G13" s="135" t="s">
        <v>101</v>
      </c>
      <c r="H13" s="135" t="s">
        <v>329</v>
      </c>
      <c r="I13" s="135"/>
      <c r="J13" s="136"/>
      <c r="K13" s="144"/>
      <c r="L13" s="145"/>
      <c r="M13" s="135"/>
      <c r="N13" s="145"/>
      <c r="O13" s="145" t="s">
        <v>109</v>
      </c>
      <c r="P13" s="146">
        <v>55.47</v>
      </c>
      <c r="Q13" s="146" t="s">
        <v>109</v>
      </c>
      <c r="R13" s="137" t="s">
        <v>109</v>
      </c>
      <c r="S13" s="138" t="s">
        <v>109</v>
      </c>
      <c r="T13" s="150" t="s">
        <v>109</v>
      </c>
      <c r="U13" s="146" t="s">
        <v>109</v>
      </c>
      <c r="V13" s="146" t="s">
        <v>109</v>
      </c>
      <c r="W13" s="146">
        <f t="shared" si="4"/>
        <v>0</v>
      </c>
      <c r="X13" s="146">
        <v>0</v>
      </c>
      <c r="Y13" s="146">
        <f t="shared" si="5"/>
        <v>0</v>
      </c>
      <c r="Z13" s="137"/>
    </row>
    <row r="14" s="121" customFormat="1" ht="11.9" hidden="1" spans="1:26">
      <c r="A14" s="135" t="s">
        <v>216</v>
      </c>
      <c r="B14" s="136" t="s">
        <v>42</v>
      </c>
      <c r="C14" s="136" t="s">
        <v>42</v>
      </c>
      <c r="D14" s="135" t="s">
        <v>42</v>
      </c>
      <c r="E14" s="136" t="s">
        <v>337</v>
      </c>
      <c r="F14" s="136" t="s">
        <v>109</v>
      </c>
      <c r="G14" s="135" t="s">
        <v>101</v>
      </c>
      <c r="H14" s="135" t="s">
        <v>329</v>
      </c>
      <c r="I14" s="135"/>
      <c r="J14" s="136"/>
      <c r="K14" s="144"/>
      <c r="L14" s="145"/>
      <c r="M14" s="135"/>
      <c r="N14" s="145"/>
      <c r="O14" s="145" t="s">
        <v>109</v>
      </c>
      <c r="P14" s="146">
        <v>58.09</v>
      </c>
      <c r="Q14" s="146" t="s">
        <v>109</v>
      </c>
      <c r="R14" s="137" t="s">
        <v>109</v>
      </c>
      <c r="S14" s="138" t="s">
        <v>109</v>
      </c>
      <c r="T14" s="138" t="s">
        <v>109</v>
      </c>
      <c r="U14" s="151" t="s">
        <v>109</v>
      </c>
      <c r="V14" s="152" t="s">
        <v>109</v>
      </c>
      <c r="W14" s="146">
        <f t="shared" si="4"/>
        <v>0</v>
      </c>
      <c r="X14" s="146">
        <v>0</v>
      </c>
      <c r="Y14" s="146">
        <f t="shared" si="5"/>
        <v>0</v>
      </c>
      <c r="Z14" s="137"/>
    </row>
    <row r="15" s="121" customFormat="1" ht="11.9" hidden="1" spans="1:26">
      <c r="A15" s="135" t="s">
        <v>223</v>
      </c>
      <c r="B15" s="136" t="s">
        <v>42</v>
      </c>
      <c r="C15" s="136" t="s">
        <v>42</v>
      </c>
      <c r="D15" s="135" t="s">
        <v>42</v>
      </c>
      <c r="E15" s="136" t="s">
        <v>338</v>
      </c>
      <c r="F15" s="136" t="s">
        <v>109</v>
      </c>
      <c r="G15" s="135" t="s">
        <v>101</v>
      </c>
      <c r="H15" s="135" t="s">
        <v>329</v>
      </c>
      <c r="I15" s="135"/>
      <c r="J15" s="136"/>
      <c r="K15" s="144"/>
      <c r="L15" s="145"/>
      <c r="M15" s="135"/>
      <c r="N15" s="145"/>
      <c r="O15" s="145" t="s">
        <v>109</v>
      </c>
      <c r="P15" s="146">
        <v>49.26</v>
      </c>
      <c r="Q15" s="146" t="s">
        <v>109</v>
      </c>
      <c r="R15" s="137" t="s">
        <v>109</v>
      </c>
      <c r="S15" s="138" t="s">
        <v>109</v>
      </c>
      <c r="T15" s="138" t="s">
        <v>109</v>
      </c>
      <c r="U15" s="146" t="s">
        <v>109</v>
      </c>
      <c r="V15" s="146" t="s">
        <v>109</v>
      </c>
      <c r="W15" s="146">
        <f t="shared" si="4"/>
        <v>0</v>
      </c>
      <c r="X15" s="146">
        <v>0</v>
      </c>
      <c r="Y15" s="146">
        <f t="shared" si="5"/>
        <v>0</v>
      </c>
      <c r="Z15" s="137"/>
    </row>
    <row r="16" s="121" customFormat="1" ht="11.9" hidden="1" spans="1:26">
      <c r="A16" s="135" t="s">
        <v>224</v>
      </c>
      <c r="B16" s="136" t="s">
        <v>42</v>
      </c>
      <c r="C16" s="136" t="s">
        <v>42</v>
      </c>
      <c r="D16" s="135" t="s">
        <v>42</v>
      </c>
      <c r="E16" s="136" t="s">
        <v>339</v>
      </c>
      <c r="F16" s="136" t="s">
        <v>109</v>
      </c>
      <c r="G16" s="135" t="s">
        <v>101</v>
      </c>
      <c r="H16" s="135" t="s">
        <v>329</v>
      </c>
      <c r="I16" s="135"/>
      <c r="J16" s="136"/>
      <c r="K16" s="144"/>
      <c r="L16" s="145"/>
      <c r="M16" s="135"/>
      <c r="N16" s="145"/>
      <c r="O16" s="145" t="s">
        <v>109</v>
      </c>
      <c r="P16" s="146">
        <v>63.27</v>
      </c>
      <c r="Q16" s="146" t="s">
        <v>109</v>
      </c>
      <c r="R16" s="137" t="s">
        <v>109</v>
      </c>
      <c r="S16" s="138" t="s">
        <v>109</v>
      </c>
      <c r="T16" s="138" t="s">
        <v>109</v>
      </c>
      <c r="U16" s="146" t="s">
        <v>109</v>
      </c>
      <c r="V16" s="146" t="s">
        <v>109</v>
      </c>
      <c r="W16" s="146">
        <f t="shared" si="4"/>
        <v>0</v>
      </c>
      <c r="X16" s="146">
        <v>0</v>
      </c>
      <c r="Y16" s="146">
        <f t="shared" si="5"/>
        <v>0</v>
      </c>
      <c r="Z16" s="137"/>
    </row>
    <row r="17" s="121" customFormat="1" ht="11.9" hidden="1" spans="1:26">
      <c r="A17" s="135" t="s">
        <v>253</v>
      </c>
      <c r="B17" s="136" t="s">
        <v>42</v>
      </c>
      <c r="C17" s="136" t="s">
        <v>42</v>
      </c>
      <c r="D17" s="135" t="s">
        <v>42</v>
      </c>
      <c r="E17" s="136" t="s">
        <v>340</v>
      </c>
      <c r="F17" s="136" t="s">
        <v>109</v>
      </c>
      <c r="G17" s="135" t="s">
        <v>101</v>
      </c>
      <c r="H17" s="135" t="s">
        <v>341</v>
      </c>
      <c r="I17" s="135" t="s">
        <v>232</v>
      </c>
      <c r="J17" s="136" t="s">
        <v>342</v>
      </c>
      <c r="K17" s="144">
        <v>43605</v>
      </c>
      <c r="L17" s="145">
        <v>550391</v>
      </c>
      <c r="M17" s="135" t="s">
        <v>343</v>
      </c>
      <c r="N17" s="145">
        <v>28.17</v>
      </c>
      <c r="O17" s="145" t="s">
        <v>109</v>
      </c>
      <c r="P17" s="146">
        <v>28.17</v>
      </c>
      <c r="Q17" s="146" t="s">
        <v>109</v>
      </c>
      <c r="R17" s="137" t="s">
        <v>109</v>
      </c>
      <c r="S17" s="138" t="s">
        <v>109</v>
      </c>
      <c r="T17" s="369" t="s">
        <v>344</v>
      </c>
      <c r="U17" s="146">
        <v>524181.904761905</v>
      </c>
      <c r="V17" s="146">
        <v>26209.1</v>
      </c>
      <c r="W17" s="146">
        <f t="shared" si="4"/>
        <v>550391.004761905</v>
      </c>
      <c r="X17" s="146">
        <v>524181.904761905</v>
      </c>
      <c r="Y17" s="146">
        <f t="shared" si="5"/>
        <v>18607.81</v>
      </c>
      <c r="Z17" s="137"/>
    </row>
    <row r="18" s="121" customFormat="1" ht="11.9" hidden="1" spans="1:26">
      <c r="A18" s="137" t="s">
        <v>226</v>
      </c>
      <c r="B18" s="138" t="s">
        <v>42</v>
      </c>
      <c r="C18" s="138" t="s">
        <v>42</v>
      </c>
      <c r="D18" s="137" t="s">
        <v>42</v>
      </c>
      <c r="E18" s="138" t="s">
        <v>345</v>
      </c>
      <c r="F18" s="138" t="s">
        <v>109</v>
      </c>
      <c r="G18" s="135" t="s">
        <v>101</v>
      </c>
      <c r="H18" s="137" t="s">
        <v>341</v>
      </c>
      <c r="I18" s="137" t="s">
        <v>232</v>
      </c>
      <c r="J18" s="138" t="s">
        <v>346</v>
      </c>
      <c r="K18" s="147">
        <v>43774</v>
      </c>
      <c r="L18" s="146">
        <v>809200</v>
      </c>
      <c r="M18" s="137" t="s">
        <v>347</v>
      </c>
      <c r="N18" s="146">
        <v>28.9</v>
      </c>
      <c r="O18" s="146" t="s">
        <v>109</v>
      </c>
      <c r="P18" s="146">
        <v>28.9</v>
      </c>
      <c r="Q18" s="146" t="s">
        <v>109</v>
      </c>
      <c r="R18" s="137" t="s">
        <v>109</v>
      </c>
      <c r="S18" s="138" t="s">
        <v>109</v>
      </c>
      <c r="T18" s="369" t="s">
        <v>348</v>
      </c>
      <c r="U18" s="146">
        <v>770666.67</v>
      </c>
      <c r="V18" s="146">
        <v>38533.3333333333</v>
      </c>
      <c r="W18" s="146">
        <f t="shared" si="4"/>
        <v>809200.003333333</v>
      </c>
      <c r="X18" s="146">
        <v>770666.67</v>
      </c>
      <c r="Y18" s="146">
        <f t="shared" si="5"/>
        <v>26666.67</v>
      </c>
      <c r="Z18" s="137"/>
    </row>
    <row r="19" s="121" customFormat="1" ht="11.9" hidden="1" spans="1:26">
      <c r="A19" s="137" t="s">
        <v>227</v>
      </c>
      <c r="B19" s="138" t="s">
        <v>42</v>
      </c>
      <c r="C19" s="138" t="s">
        <v>42</v>
      </c>
      <c r="D19" s="137" t="s">
        <v>42</v>
      </c>
      <c r="E19" s="138" t="s">
        <v>349</v>
      </c>
      <c r="F19" s="138" t="s">
        <v>109</v>
      </c>
      <c r="G19" s="135" t="s">
        <v>101</v>
      </c>
      <c r="H19" s="137" t="s">
        <v>350</v>
      </c>
      <c r="I19" s="137"/>
      <c r="J19" s="138"/>
      <c r="K19" s="147"/>
      <c r="L19" s="146"/>
      <c r="M19" s="137"/>
      <c r="N19" s="146"/>
      <c r="O19" s="146" t="s">
        <v>109</v>
      </c>
      <c r="P19" s="146">
        <v>404.85</v>
      </c>
      <c r="Q19" s="146" t="s">
        <v>109</v>
      </c>
      <c r="R19" s="137" t="s">
        <v>109</v>
      </c>
      <c r="S19" s="138" t="s">
        <v>109</v>
      </c>
      <c r="T19" s="138" t="s">
        <v>109</v>
      </c>
      <c r="U19" s="146" t="s">
        <v>109</v>
      </c>
      <c r="V19" s="146" t="s">
        <v>109</v>
      </c>
      <c r="W19" s="146">
        <f t="shared" si="4"/>
        <v>0</v>
      </c>
      <c r="X19" s="146">
        <v>0</v>
      </c>
      <c r="Y19" s="146">
        <f t="shared" si="5"/>
        <v>0</v>
      </c>
      <c r="Z19" s="137"/>
    </row>
    <row r="20" s="121" customFormat="1" ht="11.9" hidden="1" spans="1:26">
      <c r="A20" s="137" t="s">
        <v>228</v>
      </c>
      <c r="B20" s="138" t="s">
        <v>42</v>
      </c>
      <c r="C20" s="138" t="s">
        <v>42</v>
      </c>
      <c r="D20" s="137" t="s">
        <v>42</v>
      </c>
      <c r="E20" s="138" t="s">
        <v>351</v>
      </c>
      <c r="F20" s="138" t="s">
        <v>109</v>
      </c>
      <c r="G20" s="135" t="s">
        <v>101</v>
      </c>
      <c r="H20" s="137" t="s">
        <v>350</v>
      </c>
      <c r="I20" s="137"/>
      <c r="J20" s="138"/>
      <c r="K20" s="147"/>
      <c r="L20" s="146"/>
      <c r="M20" s="137"/>
      <c r="N20" s="146"/>
      <c r="O20" s="146" t="s">
        <v>109</v>
      </c>
      <c r="P20" s="146">
        <v>922.72</v>
      </c>
      <c r="Q20" s="146" t="s">
        <v>109</v>
      </c>
      <c r="R20" s="137" t="s">
        <v>109</v>
      </c>
      <c r="S20" s="138" t="s">
        <v>109</v>
      </c>
      <c r="T20" s="138" t="s">
        <v>109</v>
      </c>
      <c r="U20" s="146" t="s">
        <v>109</v>
      </c>
      <c r="V20" s="146" t="s">
        <v>109</v>
      </c>
      <c r="W20" s="146">
        <f t="shared" si="4"/>
        <v>0</v>
      </c>
      <c r="X20" s="146">
        <v>0</v>
      </c>
      <c r="Y20" s="146">
        <f t="shared" si="5"/>
        <v>0</v>
      </c>
      <c r="Z20" s="137"/>
    </row>
    <row r="21" s="121" customFormat="1" ht="11.9" hidden="1" spans="1:26">
      <c r="A21" s="137" t="s">
        <v>229</v>
      </c>
      <c r="B21" s="138" t="s">
        <v>42</v>
      </c>
      <c r="C21" s="138" t="s">
        <v>42</v>
      </c>
      <c r="D21" s="137" t="s">
        <v>210</v>
      </c>
      <c r="E21" s="138" t="s">
        <v>352</v>
      </c>
      <c r="F21" s="138" t="s">
        <v>109</v>
      </c>
      <c r="G21" s="135" t="s">
        <v>101</v>
      </c>
      <c r="H21" s="137" t="s">
        <v>350</v>
      </c>
      <c r="I21" s="137"/>
      <c r="J21" s="138"/>
      <c r="K21" s="147"/>
      <c r="L21" s="146"/>
      <c r="M21" s="137"/>
      <c r="N21" s="146"/>
      <c r="O21" s="146" t="s">
        <v>109</v>
      </c>
      <c r="P21" s="146">
        <v>1008.27</v>
      </c>
      <c r="Q21" s="146" t="s">
        <v>109</v>
      </c>
      <c r="R21" s="137" t="s">
        <v>109</v>
      </c>
      <c r="S21" s="138" t="s">
        <v>109</v>
      </c>
      <c r="T21" s="138" t="s">
        <v>109</v>
      </c>
      <c r="U21" s="146" t="s">
        <v>109</v>
      </c>
      <c r="V21" s="146" t="s">
        <v>109</v>
      </c>
      <c r="W21" s="146">
        <f t="shared" si="4"/>
        <v>0</v>
      </c>
      <c r="X21" s="146">
        <v>0</v>
      </c>
      <c r="Y21" s="146">
        <f t="shared" si="5"/>
        <v>0</v>
      </c>
      <c r="Z21" s="137"/>
    </row>
    <row r="22" s="121" customFormat="1" ht="11.9" spans="1:26">
      <c r="A22" s="137" t="s">
        <v>257</v>
      </c>
      <c r="B22" s="138" t="s">
        <v>42</v>
      </c>
      <c r="C22" s="138" t="s">
        <v>42</v>
      </c>
      <c r="D22" s="137" t="s">
        <v>211</v>
      </c>
      <c r="E22" s="138" t="s">
        <v>353</v>
      </c>
      <c r="F22" s="138" t="s">
        <v>109</v>
      </c>
      <c r="G22" s="135" t="s">
        <v>142</v>
      </c>
      <c r="H22" s="137" t="s">
        <v>341</v>
      </c>
      <c r="I22" s="137" t="s">
        <v>232</v>
      </c>
      <c r="J22" s="138" t="s">
        <v>354</v>
      </c>
      <c r="K22" s="147">
        <v>43274</v>
      </c>
      <c r="L22" s="146">
        <v>290255</v>
      </c>
      <c r="M22" s="137" t="s">
        <v>355</v>
      </c>
      <c r="N22" s="146">
        <v>82.93</v>
      </c>
      <c r="O22" s="146" t="s">
        <v>109</v>
      </c>
      <c r="P22" s="146">
        <v>82.93</v>
      </c>
      <c r="Q22" s="146" t="s">
        <v>109</v>
      </c>
      <c r="R22" s="137" t="s">
        <v>109</v>
      </c>
      <c r="S22" s="138" t="s">
        <v>109</v>
      </c>
      <c r="T22" s="369" t="s">
        <v>356</v>
      </c>
      <c r="U22" s="146">
        <v>276433.333333333</v>
      </c>
      <c r="V22" s="146">
        <v>13821.666666667</v>
      </c>
      <c r="W22" s="146">
        <f t="shared" si="4"/>
        <v>290255</v>
      </c>
      <c r="X22" s="146">
        <v>276433.333333333</v>
      </c>
      <c r="Y22" s="146">
        <f t="shared" si="5"/>
        <v>3333.33</v>
      </c>
      <c r="Z22" s="137"/>
    </row>
    <row r="23" s="121" customFormat="1" ht="11.9" spans="1:26">
      <c r="A23" s="137" t="s">
        <v>258</v>
      </c>
      <c r="B23" s="138" t="s">
        <v>42</v>
      </c>
      <c r="C23" s="138" t="s">
        <v>42</v>
      </c>
      <c r="D23" s="137" t="s">
        <v>211</v>
      </c>
      <c r="E23" s="138" t="s">
        <v>357</v>
      </c>
      <c r="F23" s="138" t="s">
        <v>109</v>
      </c>
      <c r="G23" s="135" t="s">
        <v>142</v>
      </c>
      <c r="H23" s="137" t="s">
        <v>341</v>
      </c>
      <c r="I23" s="137" t="s">
        <v>232</v>
      </c>
      <c r="J23" s="138" t="s">
        <v>358</v>
      </c>
      <c r="K23" s="147">
        <v>43274</v>
      </c>
      <c r="L23" s="146">
        <v>448884</v>
      </c>
      <c r="M23" s="137" t="s">
        <v>359</v>
      </c>
      <c r="N23" s="146">
        <v>124.69</v>
      </c>
      <c r="O23" s="146" t="s">
        <v>109</v>
      </c>
      <c r="P23" s="146">
        <v>124.69</v>
      </c>
      <c r="Q23" s="146" t="s">
        <v>109</v>
      </c>
      <c r="R23" s="137" t="s">
        <v>109</v>
      </c>
      <c r="S23" s="138" t="s">
        <v>109</v>
      </c>
      <c r="T23" s="369" t="s">
        <v>360</v>
      </c>
      <c r="U23" s="146">
        <v>427508.571428571</v>
      </c>
      <c r="V23" s="146">
        <v>21375.428571429</v>
      </c>
      <c r="W23" s="146">
        <f t="shared" si="4"/>
        <v>448884</v>
      </c>
      <c r="X23" s="146">
        <v>427508.571428571</v>
      </c>
      <c r="Y23" s="146">
        <f t="shared" si="5"/>
        <v>3428.57</v>
      </c>
      <c r="Z23" s="137"/>
    </row>
    <row r="24" s="121" customFormat="1" ht="11.9" spans="1:26">
      <c r="A24" s="137" t="s">
        <v>259</v>
      </c>
      <c r="B24" s="138" t="s">
        <v>42</v>
      </c>
      <c r="C24" s="138" t="s">
        <v>42</v>
      </c>
      <c r="D24" s="137" t="s">
        <v>211</v>
      </c>
      <c r="E24" s="138" t="s">
        <v>361</v>
      </c>
      <c r="F24" s="138" t="s">
        <v>109</v>
      </c>
      <c r="G24" s="135" t="s">
        <v>142</v>
      </c>
      <c r="H24" s="137" t="s">
        <v>341</v>
      </c>
      <c r="I24" s="137" t="s">
        <v>232</v>
      </c>
      <c r="J24" s="138" t="s">
        <v>362</v>
      </c>
      <c r="K24" s="147">
        <v>43250</v>
      </c>
      <c r="L24" s="146">
        <v>436500</v>
      </c>
      <c r="M24" s="137" t="s">
        <v>363</v>
      </c>
      <c r="N24" s="146">
        <v>121.25</v>
      </c>
      <c r="O24" s="146" t="s">
        <v>109</v>
      </c>
      <c r="P24" s="146">
        <v>121.25</v>
      </c>
      <c r="Q24" s="146" t="s">
        <v>109</v>
      </c>
      <c r="R24" s="137" t="s">
        <v>109</v>
      </c>
      <c r="S24" s="138" t="s">
        <v>109</v>
      </c>
      <c r="T24" s="138" t="s">
        <v>364</v>
      </c>
      <c r="U24" s="146">
        <v>415714.285714286</v>
      </c>
      <c r="V24" s="146">
        <v>20785.714285714</v>
      </c>
      <c r="W24" s="146">
        <f t="shared" si="4"/>
        <v>436500</v>
      </c>
      <c r="X24" s="146">
        <v>415714.285714286</v>
      </c>
      <c r="Y24" s="146">
        <f t="shared" si="5"/>
        <v>3428.57</v>
      </c>
      <c r="Z24" s="137"/>
    </row>
    <row r="25" s="121" customFormat="1" ht="11.9" spans="1:26">
      <c r="A25" s="137" t="s">
        <v>261</v>
      </c>
      <c r="B25" s="138" t="s">
        <v>42</v>
      </c>
      <c r="C25" s="138" t="s">
        <v>42</v>
      </c>
      <c r="D25" s="137" t="s">
        <v>211</v>
      </c>
      <c r="E25" s="138" t="s">
        <v>365</v>
      </c>
      <c r="F25" s="138" t="s">
        <v>109</v>
      </c>
      <c r="G25" s="135" t="s">
        <v>142</v>
      </c>
      <c r="H25" s="137" t="s">
        <v>341</v>
      </c>
      <c r="I25" s="137" t="s">
        <v>232</v>
      </c>
      <c r="J25" s="138" t="s">
        <v>366</v>
      </c>
      <c r="K25" s="147">
        <v>43264</v>
      </c>
      <c r="L25" s="146">
        <v>360325</v>
      </c>
      <c r="M25" s="137" t="s">
        <v>367</v>
      </c>
      <c r="N25" s="146">
        <v>102.95</v>
      </c>
      <c r="O25" s="146" t="s">
        <v>109</v>
      </c>
      <c r="P25" s="146">
        <v>102.95</v>
      </c>
      <c r="Q25" s="146" t="s">
        <v>109</v>
      </c>
      <c r="R25" s="137" t="s">
        <v>109</v>
      </c>
      <c r="S25" s="138" t="s">
        <v>109</v>
      </c>
      <c r="T25" s="138" t="s">
        <v>368</v>
      </c>
      <c r="U25" s="146">
        <v>343166.666666667</v>
      </c>
      <c r="V25" s="146">
        <v>17158.333333333</v>
      </c>
      <c r="W25" s="146">
        <f t="shared" si="4"/>
        <v>360325</v>
      </c>
      <c r="X25" s="146">
        <v>343166.666666667</v>
      </c>
      <c r="Y25" s="146">
        <f t="shared" si="5"/>
        <v>3333.33</v>
      </c>
      <c r="Z25" s="137"/>
    </row>
    <row r="26" s="121" customFormat="1" ht="11.9" spans="1:26">
      <c r="A26" s="137" t="s">
        <v>263</v>
      </c>
      <c r="B26" s="138" t="s">
        <v>42</v>
      </c>
      <c r="C26" s="138" t="s">
        <v>42</v>
      </c>
      <c r="D26" s="137" t="s">
        <v>211</v>
      </c>
      <c r="E26" s="138" t="s">
        <v>369</v>
      </c>
      <c r="F26" s="138" t="s">
        <v>109</v>
      </c>
      <c r="G26" s="135" t="s">
        <v>142</v>
      </c>
      <c r="H26" s="137" t="s">
        <v>341</v>
      </c>
      <c r="I26" s="137" t="s">
        <v>232</v>
      </c>
      <c r="J26" s="138" t="s">
        <v>370</v>
      </c>
      <c r="K26" s="147">
        <v>43398</v>
      </c>
      <c r="L26" s="146">
        <v>303310</v>
      </c>
      <c r="M26" s="137" t="s">
        <v>371</v>
      </c>
      <c r="N26" s="146">
        <v>86.66</v>
      </c>
      <c r="O26" s="146" t="s">
        <v>109</v>
      </c>
      <c r="P26" s="146">
        <v>86.66</v>
      </c>
      <c r="Q26" s="146" t="s">
        <v>109</v>
      </c>
      <c r="R26" s="137" t="s">
        <v>109</v>
      </c>
      <c r="S26" s="138" t="s">
        <v>109</v>
      </c>
      <c r="T26" s="369" t="s">
        <v>372</v>
      </c>
      <c r="U26" s="146">
        <v>288866.666666667</v>
      </c>
      <c r="V26" s="146">
        <v>14443.333333333</v>
      </c>
      <c r="W26" s="146">
        <f t="shared" si="4"/>
        <v>303310</v>
      </c>
      <c r="X26" s="146">
        <v>288866.666666667</v>
      </c>
      <c r="Y26" s="146">
        <f t="shared" si="5"/>
        <v>3333.33</v>
      </c>
      <c r="Z26" s="137"/>
    </row>
    <row r="27" s="121" customFormat="1" ht="11.9" spans="1:26">
      <c r="A27" s="137" t="s">
        <v>321</v>
      </c>
      <c r="B27" s="138" t="s">
        <v>42</v>
      </c>
      <c r="C27" s="138" t="s">
        <v>42</v>
      </c>
      <c r="D27" s="137" t="s">
        <v>211</v>
      </c>
      <c r="E27" s="138" t="s">
        <v>373</v>
      </c>
      <c r="F27" s="138" t="s">
        <v>109</v>
      </c>
      <c r="G27" s="135" t="s">
        <v>142</v>
      </c>
      <c r="H27" s="137" t="s">
        <v>341</v>
      </c>
      <c r="I27" s="137" t="s">
        <v>232</v>
      </c>
      <c r="J27" s="138" t="s">
        <v>374</v>
      </c>
      <c r="K27" s="147">
        <v>43223</v>
      </c>
      <c r="L27" s="146">
        <v>485000</v>
      </c>
      <c r="M27" s="137" t="s">
        <v>375</v>
      </c>
      <c r="N27" s="146">
        <v>121.25</v>
      </c>
      <c r="O27" s="146" t="s">
        <v>109</v>
      </c>
      <c r="P27" s="146">
        <v>121.25</v>
      </c>
      <c r="Q27" s="146" t="s">
        <v>109</v>
      </c>
      <c r="R27" s="137" t="s">
        <v>109</v>
      </c>
      <c r="S27" s="138" t="s">
        <v>109</v>
      </c>
      <c r="T27" s="369" t="s">
        <v>376</v>
      </c>
      <c r="U27" s="146">
        <v>461904.761904762</v>
      </c>
      <c r="V27" s="146">
        <v>23095.238095238</v>
      </c>
      <c r="W27" s="146">
        <f t="shared" si="4"/>
        <v>485000</v>
      </c>
      <c r="X27" s="146">
        <v>461904.761904762</v>
      </c>
      <c r="Y27" s="146">
        <f t="shared" si="5"/>
        <v>3809.52</v>
      </c>
      <c r="Z27" s="137"/>
    </row>
    <row r="28" s="121" customFormat="1" ht="11.9" spans="1:26">
      <c r="A28" s="137" t="s">
        <v>265</v>
      </c>
      <c r="B28" s="138" t="s">
        <v>42</v>
      </c>
      <c r="C28" s="138" t="s">
        <v>42</v>
      </c>
      <c r="D28" s="137" t="s">
        <v>211</v>
      </c>
      <c r="E28" s="138" t="s">
        <v>377</v>
      </c>
      <c r="F28" s="138" t="s">
        <v>109</v>
      </c>
      <c r="G28" s="135" t="s">
        <v>142</v>
      </c>
      <c r="H28" s="137" t="s">
        <v>341</v>
      </c>
      <c r="I28" s="137" t="s">
        <v>232</v>
      </c>
      <c r="J28" s="138" t="s">
        <v>378</v>
      </c>
      <c r="K28" s="147">
        <v>43706</v>
      </c>
      <c r="L28" s="146">
        <v>466859</v>
      </c>
      <c r="M28" s="137" t="s">
        <v>379</v>
      </c>
      <c r="N28" s="146">
        <v>126.52</v>
      </c>
      <c r="O28" s="146" t="s">
        <v>109</v>
      </c>
      <c r="P28" s="146">
        <v>126.52</v>
      </c>
      <c r="Q28" s="146" t="s">
        <v>109</v>
      </c>
      <c r="R28" s="137" t="s">
        <v>109</v>
      </c>
      <c r="S28" s="138" t="s">
        <v>109</v>
      </c>
      <c r="T28" s="369" t="s">
        <v>380</v>
      </c>
      <c r="U28" s="146">
        <v>444627.619047619</v>
      </c>
      <c r="V28" s="146">
        <v>22231.380952381</v>
      </c>
      <c r="W28" s="146">
        <f t="shared" si="4"/>
        <v>466859</v>
      </c>
      <c r="X28" s="146">
        <v>444627.619047619</v>
      </c>
      <c r="Y28" s="146">
        <f t="shared" si="5"/>
        <v>3514.29</v>
      </c>
      <c r="Z28" s="137"/>
    </row>
    <row r="29" s="121" customFormat="1" ht="11.9" spans="1:26">
      <c r="A29" s="137" t="s">
        <v>323</v>
      </c>
      <c r="B29" s="138" t="s">
        <v>42</v>
      </c>
      <c r="C29" s="138" t="s">
        <v>42</v>
      </c>
      <c r="D29" s="137" t="s">
        <v>211</v>
      </c>
      <c r="E29" s="138" t="s">
        <v>381</v>
      </c>
      <c r="F29" s="138" t="s">
        <v>109</v>
      </c>
      <c r="G29" s="135" t="s">
        <v>142</v>
      </c>
      <c r="H29" s="137" t="s">
        <v>341</v>
      </c>
      <c r="I29" s="137" t="s">
        <v>232</v>
      </c>
      <c r="J29" s="138" t="s">
        <v>382</v>
      </c>
      <c r="K29" s="147">
        <v>43319</v>
      </c>
      <c r="L29" s="146">
        <v>299975</v>
      </c>
      <c r="M29" s="137" t="s">
        <v>383</v>
      </c>
      <c r="N29" s="146">
        <v>84.5</v>
      </c>
      <c r="O29" s="146" t="s">
        <v>109</v>
      </c>
      <c r="P29" s="146">
        <v>84.5</v>
      </c>
      <c r="Q29" s="146" t="s">
        <v>109</v>
      </c>
      <c r="R29" s="137" t="s">
        <v>109</v>
      </c>
      <c r="S29" s="138" t="s">
        <v>109</v>
      </c>
      <c r="T29" s="369" t="s">
        <v>384</v>
      </c>
      <c r="U29" s="146">
        <v>285657.142857143</v>
      </c>
      <c r="V29" s="146">
        <v>14282.857142857</v>
      </c>
      <c r="W29" s="146">
        <f t="shared" si="4"/>
        <v>299940</v>
      </c>
      <c r="X29" s="146">
        <v>285657.142857143</v>
      </c>
      <c r="Y29" s="146">
        <f t="shared" si="5"/>
        <v>3380.56</v>
      </c>
      <c r="Z29" s="137"/>
    </row>
    <row r="30" s="121" customFormat="1" ht="11.9" spans="1:26">
      <c r="A30" s="137" t="s">
        <v>385</v>
      </c>
      <c r="B30" s="138" t="s">
        <v>42</v>
      </c>
      <c r="C30" s="138" t="s">
        <v>42</v>
      </c>
      <c r="D30" s="137" t="s">
        <v>211</v>
      </c>
      <c r="E30" s="138" t="s">
        <v>386</v>
      </c>
      <c r="F30" s="138" t="s">
        <v>109</v>
      </c>
      <c r="G30" s="135" t="s">
        <v>142</v>
      </c>
      <c r="H30" s="137" t="s">
        <v>341</v>
      </c>
      <c r="I30" s="137" t="s">
        <v>232</v>
      </c>
      <c r="J30" s="138" t="s">
        <v>387</v>
      </c>
      <c r="K30" s="147">
        <v>43291</v>
      </c>
      <c r="L30" s="146">
        <v>313775</v>
      </c>
      <c r="M30" s="137" t="s">
        <v>388</v>
      </c>
      <c r="N30" s="146">
        <v>89.65</v>
      </c>
      <c r="O30" s="146" t="s">
        <v>109</v>
      </c>
      <c r="P30" s="146">
        <v>89.65</v>
      </c>
      <c r="Q30" s="146" t="s">
        <v>109</v>
      </c>
      <c r="R30" s="137" t="s">
        <v>109</v>
      </c>
      <c r="S30" s="138" t="s">
        <v>109</v>
      </c>
      <c r="T30" s="138" t="s">
        <v>389</v>
      </c>
      <c r="U30" s="146">
        <v>298833.333333333</v>
      </c>
      <c r="V30" s="146">
        <v>14941.666666667</v>
      </c>
      <c r="W30" s="146">
        <f t="shared" si="4"/>
        <v>313775</v>
      </c>
      <c r="X30" s="146">
        <v>298833.333333333</v>
      </c>
      <c r="Y30" s="146">
        <f t="shared" si="5"/>
        <v>3333.33</v>
      </c>
      <c r="Z30" s="137"/>
    </row>
    <row r="31" s="121" customFormat="1" ht="11.9" spans="1:26">
      <c r="A31" s="137" t="s">
        <v>325</v>
      </c>
      <c r="B31" s="138" t="s">
        <v>42</v>
      </c>
      <c r="C31" s="138" t="s">
        <v>42</v>
      </c>
      <c r="D31" s="137" t="s">
        <v>212</v>
      </c>
      <c r="E31" s="138" t="s">
        <v>390</v>
      </c>
      <c r="F31" s="138" t="s">
        <v>109</v>
      </c>
      <c r="G31" s="135" t="s">
        <v>142</v>
      </c>
      <c r="H31" s="137" t="s">
        <v>341</v>
      </c>
      <c r="I31" s="137" t="s">
        <v>232</v>
      </c>
      <c r="J31" s="138" t="s">
        <v>391</v>
      </c>
      <c r="K31" s="147">
        <v>43234</v>
      </c>
      <c r="L31" s="146">
        <v>281962</v>
      </c>
      <c r="M31" s="137" t="s">
        <v>392</v>
      </c>
      <c r="N31" s="146">
        <v>82.93</v>
      </c>
      <c r="O31" s="146" t="s">
        <v>109</v>
      </c>
      <c r="P31" s="146">
        <v>82.93</v>
      </c>
      <c r="Q31" s="146" t="s">
        <v>109</v>
      </c>
      <c r="R31" s="137" t="s">
        <v>109</v>
      </c>
      <c r="S31" s="138" t="s">
        <v>109</v>
      </c>
      <c r="T31" s="369" t="s">
        <v>393</v>
      </c>
      <c r="U31" s="146">
        <v>268535.238095238</v>
      </c>
      <c r="V31" s="146">
        <v>13426.761904762</v>
      </c>
      <c r="W31" s="146">
        <f t="shared" si="4"/>
        <v>281962</v>
      </c>
      <c r="X31" s="146">
        <v>268535.238095238</v>
      </c>
      <c r="Y31" s="146">
        <f t="shared" si="5"/>
        <v>3238.1</v>
      </c>
      <c r="Z31" s="137"/>
    </row>
    <row r="32" s="121" customFormat="1" ht="11.9" spans="1:26">
      <c r="A32" s="137" t="s">
        <v>394</v>
      </c>
      <c r="B32" s="138" t="s">
        <v>42</v>
      </c>
      <c r="C32" s="138" t="s">
        <v>42</v>
      </c>
      <c r="D32" s="137" t="s">
        <v>212</v>
      </c>
      <c r="E32" s="138" t="s">
        <v>395</v>
      </c>
      <c r="F32" s="138" t="s">
        <v>109</v>
      </c>
      <c r="G32" s="135" t="s">
        <v>142</v>
      </c>
      <c r="H32" s="137" t="s">
        <v>341</v>
      </c>
      <c r="I32" s="137" t="s">
        <v>232</v>
      </c>
      <c r="J32" s="138" t="s">
        <v>396</v>
      </c>
      <c r="K32" s="147">
        <v>43338</v>
      </c>
      <c r="L32" s="146">
        <v>473076</v>
      </c>
      <c r="M32" s="137" t="s">
        <v>397</v>
      </c>
      <c r="N32" s="146">
        <v>131.41</v>
      </c>
      <c r="O32" s="146" t="s">
        <v>109</v>
      </c>
      <c r="P32" s="146">
        <v>131.41</v>
      </c>
      <c r="Q32" s="146" t="s">
        <v>109</v>
      </c>
      <c r="R32" s="137" t="s">
        <v>109</v>
      </c>
      <c r="S32" s="138" t="s">
        <v>109</v>
      </c>
      <c r="T32" s="369" t="s">
        <v>398</v>
      </c>
      <c r="U32" s="146">
        <v>463063.80952381</v>
      </c>
      <c r="V32" s="146">
        <v>23153.19047619</v>
      </c>
      <c r="W32" s="146">
        <f t="shared" si="4"/>
        <v>486217</v>
      </c>
      <c r="X32" s="146">
        <v>463063.80952381</v>
      </c>
      <c r="Y32" s="146">
        <f t="shared" si="5"/>
        <v>3523.81</v>
      </c>
      <c r="Z32" s="137"/>
    </row>
    <row r="33" s="121" customFormat="1" ht="11.9" spans="1:26">
      <c r="A33" s="137" t="s">
        <v>399</v>
      </c>
      <c r="B33" s="138" t="s">
        <v>42</v>
      </c>
      <c r="C33" s="138" t="s">
        <v>42</v>
      </c>
      <c r="D33" s="137" t="s">
        <v>212</v>
      </c>
      <c r="E33" s="138" t="s">
        <v>400</v>
      </c>
      <c r="F33" s="138" t="s">
        <v>109</v>
      </c>
      <c r="G33" s="135" t="s">
        <v>142</v>
      </c>
      <c r="H33" s="137" t="s">
        <v>341</v>
      </c>
      <c r="I33" s="137" t="s">
        <v>232</v>
      </c>
      <c r="J33" s="138" t="s">
        <v>401</v>
      </c>
      <c r="K33" s="147">
        <v>43236</v>
      </c>
      <c r="L33" s="146">
        <v>504903</v>
      </c>
      <c r="M33" s="137" t="s">
        <v>402</v>
      </c>
      <c r="N33" s="146">
        <v>126.86</v>
      </c>
      <c r="O33" s="146" t="s">
        <v>109</v>
      </c>
      <c r="P33" s="146">
        <v>126.86</v>
      </c>
      <c r="Q33" s="146" t="s">
        <v>109</v>
      </c>
      <c r="R33" s="137" t="s">
        <v>109</v>
      </c>
      <c r="S33" s="138" t="s">
        <v>109</v>
      </c>
      <c r="T33" s="369" t="s">
        <v>403</v>
      </c>
      <c r="U33" s="146">
        <v>480821.904761905</v>
      </c>
      <c r="V33" s="146">
        <v>24041.095238095</v>
      </c>
      <c r="W33" s="146">
        <f t="shared" si="4"/>
        <v>504863</v>
      </c>
      <c r="X33" s="146">
        <v>480821.904761905</v>
      </c>
      <c r="Y33" s="146">
        <f t="shared" si="5"/>
        <v>3790.18</v>
      </c>
      <c r="Z33" s="137"/>
    </row>
    <row r="34" s="121" customFormat="1" ht="11.9" spans="1:26">
      <c r="A34" s="137" t="s">
        <v>404</v>
      </c>
      <c r="B34" s="138" t="s">
        <v>42</v>
      </c>
      <c r="C34" s="138" t="s">
        <v>42</v>
      </c>
      <c r="D34" s="137" t="s">
        <v>212</v>
      </c>
      <c r="E34" s="138" t="s">
        <v>405</v>
      </c>
      <c r="F34" s="138" t="s">
        <v>109</v>
      </c>
      <c r="G34" s="135" t="s">
        <v>142</v>
      </c>
      <c r="H34" s="137" t="s">
        <v>341</v>
      </c>
      <c r="I34" s="137" t="s">
        <v>232</v>
      </c>
      <c r="J34" s="138" t="s">
        <v>406</v>
      </c>
      <c r="K34" s="147">
        <v>43276</v>
      </c>
      <c r="L34" s="146">
        <v>365473</v>
      </c>
      <c r="M34" s="137" t="s">
        <v>407</v>
      </c>
      <c r="N34" s="146">
        <v>102.95</v>
      </c>
      <c r="O34" s="146" t="s">
        <v>109</v>
      </c>
      <c r="P34" s="146">
        <v>102.95</v>
      </c>
      <c r="Q34" s="146" t="s">
        <v>109</v>
      </c>
      <c r="R34" s="137" t="s">
        <v>109</v>
      </c>
      <c r="S34" s="138" t="s">
        <v>109</v>
      </c>
      <c r="T34" s="369" t="s">
        <v>408</v>
      </c>
      <c r="U34" s="146">
        <v>348069.523809524</v>
      </c>
      <c r="V34" s="146">
        <v>17403.476190476</v>
      </c>
      <c r="W34" s="146">
        <f t="shared" si="4"/>
        <v>365473</v>
      </c>
      <c r="X34" s="146">
        <v>348069.523809524</v>
      </c>
      <c r="Y34" s="146">
        <f t="shared" si="5"/>
        <v>3380.96</v>
      </c>
      <c r="Z34" s="137"/>
    </row>
    <row r="35" s="121" customFormat="1" ht="11.9" spans="1:26">
      <c r="A35" s="137" t="s">
        <v>409</v>
      </c>
      <c r="B35" s="138" t="s">
        <v>42</v>
      </c>
      <c r="C35" s="138" t="s">
        <v>42</v>
      </c>
      <c r="D35" s="137" t="s">
        <v>212</v>
      </c>
      <c r="E35" s="138" t="s">
        <v>410</v>
      </c>
      <c r="F35" s="138" t="s">
        <v>109</v>
      </c>
      <c r="G35" s="135" t="s">
        <v>142</v>
      </c>
      <c r="H35" s="137" t="s">
        <v>341</v>
      </c>
      <c r="I35" s="137" t="s">
        <v>232</v>
      </c>
      <c r="J35" s="138" t="s">
        <v>411</v>
      </c>
      <c r="K35" s="147">
        <v>43278</v>
      </c>
      <c r="L35" s="146">
        <v>307643</v>
      </c>
      <c r="M35" s="137" t="s">
        <v>412</v>
      </c>
      <c r="N35" s="146">
        <v>86.66</v>
      </c>
      <c r="O35" s="146" t="s">
        <v>109</v>
      </c>
      <c r="P35" s="146">
        <v>86.66</v>
      </c>
      <c r="Q35" s="146" t="s">
        <v>109</v>
      </c>
      <c r="R35" s="137" t="s">
        <v>109</v>
      </c>
      <c r="S35" s="138" t="s">
        <v>109</v>
      </c>
      <c r="T35" s="369" t="s">
        <v>413</v>
      </c>
      <c r="U35" s="146">
        <v>292993.333333333</v>
      </c>
      <c r="V35" s="146">
        <v>14649.666666667</v>
      </c>
      <c r="W35" s="146">
        <f t="shared" si="4"/>
        <v>307643</v>
      </c>
      <c r="X35" s="146">
        <v>292993.333333333</v>
      </c>
      <c r="Y35" s="146">
        <f t="shared" si="5"/>
        <v>3380.95</v>
      </c>
      <c r="Z35" s="137"/>
    </row>
    <row r="36" s="121" customFormat="1" ht="11.9" spans="1:26">
      <c r="A36" s="137" t="s">
        <v>414</v>
      </c>
      <c r="B36" s="138" t="s">
        <v>42</v>
      </c>
      <c r="C36" s="138" t="s">
        <v>42</v>
      </c>
      <c r="D36" s="137" t="s">
        <v>212</v>
      </c>
      <c r="E36" s="138" t="s">
        <v>415</v>
      </c>
      <c r="F36" s="138" t="s">
        <v>109</v>
      </c>
      <c r="G36" s="135" t="s">
        <v>142</v>
      </c>
      <c r="H36" s="137" t="s">
        <v>341</v>
      </c>
      <c r="I36" s="137" t="s">
        <v>232</v>
      </c>
      <c r="J36" s="138" t="s">
        <v>416</v>
      </c>
      <c r="K36" s="147">
        <v>43971</v>
      </c>
      <c r="L36" s="146">
        <v>593658</v>
      </c>
      <c r="M36" s="137" t="s">
        <v>417</v>
      </c>
      <c r="N36" s="146">
        <v>126.86</v>
      </c>
      <c r="O36" s="146" t="s">
        <v>109</v>
      </c>
      <c r="P36" s="146">
        <v>126.86</v>
      </c>
      <c r="Q36" s="146" t="s">
        <v>109</v>
      </c>
      <c r="R36" s="137" t="s">
        <v>109</v>
      </c>
      <c r="S36" s="138" t="s">
        <v>109</v>
      </c>
      <c r="T36" s="369" t="s">
        <v>418</v>
      </c>
      <c r="U36" s="146">
        <v>565388.571428571</v>
      </c>
      <c r="V36" s="146">
        <v>28269.428571429</v>
      </c>
      <c r="W36" s="146">
        <f t="shared" si="4"/>
        <v>593658</v>
      </c>
      <c r="X36" s="146">
        <v>565388.571428571</v>
      </c>
      <c r="Y36" s="146">
        <f t="shared" si="5"/>
        <v>4456.79</v>
      </c>
      <c r="Z36" s="137"/>
    </row>
    <row r="37" s="121" customFormat="1" ht="11.9" spans="1:26">
      <c r="A37" s="137" t="s">
        <v>419</v>
      </c>
      <c r="B37" s="138" t="s">
        <v>42</v>
      </c>
      <c r="C37" s="138" t="s">
        <v>42</v>
      </c>
      <c r="D37" s="137" t="s">
        <v>212</v>
      </c>
      <c r="E37" s="138" t="s">
        <v>420</v>
      </c>
      <c r="F37" s="138" t="s">
        <v>109</v>
      </c>
      <c r="G37" s="135" t="s">
        <v>142</v>
      </c>
      <c r="H37" s="137" t="s">
        <v>341</v>
      </c>
      <c r="I37" s="137" t="s">
        <v>232</v>
      </c>
      <c r="J37" s="138" t="s">
        <v>421</v>
      </c>
      <c r="K37" s="147">
        <v>43322</v>
      </c>
      <c r="L37" s="146">
        <v>486326</v>
      </c>
      <c r="M37" s="137" t="s">
        <v>422</v>
      </c>
      <c r="N37" s="146">
        <v>133.24</v>
      </c>
      <c r="O37" s="146" t="s">
        <v>109</v>
      </c>
      <c r="P37" s="146">
        <v>133.24</v>
      </c>
      <c r="Q37" s="146" t="s">
        <v>109</v>
      </c>
      <c r="R37" s="137" t="s">
        <v>109</v>
      </c>
      <c r="S37" s="138" t="s">
        <v>109</v>
      </c>
      <c r="T37" s="369" t="s">
        <v>423</v>
      </c>
      <c r="U37" s="146">
        <v>463167.619047619</v>
      </c>
      <c r="V37" s="146">
        <v>23158.380952381</v>
      </c>
      <c r="W37" s="146">
        <f t="shared" si="4"/>
        <v>486326</v>
      </c>
      <c r="X37" s="146">
        <v>463167.619047619</v>
      </c>
      <c r="Y37" s="146">
        <f t="shared" si="5"/>
        <v>3476.19</v>
      </c>
      <c r="Z37" s="137"/>
    </row>
    <row r="38" s="121" customFormat="1" ht="21.3" spans="1:26">
      <c r="A38" s="137" t="s">
        <v>424</v>
      </c>
      <c r="B38" s="138" t="s">
        <v>42</v>
      </c>
      <c r="C38" s="138" t="s">
        <v>42</v>
      </c>
      <c r="D38" s="137" t="s">
        <v>212</v>
      </c>
      <c r="E38" s="139" t="s">
        <v>425</v>
      </c>
      <c r="F38" s="138" t="s">
        <v>109</v>
      </c>
      <c r="G38" s="135" t="s">
        <v>142</v>
      </c>
      <c r="H38" s="137" t="s">
        <v>341</v>
      </c>
      <c r="I38" s="137" t="s">
        <v>232</v>
      </c>
      <c r="J38" s="148">
        <v>20220002913</v>
      </c>
      <c r="K38" s="147">
        <v>44673</v>
      </c>
      <c r="L38" s="146">
        <v>422550</v>
      </c>
      <c r="M38" s="137" t="s">
        <v>426</v>
      </c>
      <c r="N38" s="146">
        <v>84.5</v>
      </c>
      <c r="O38" s="146" t="s">
        <v>109</v>
      </c>
      <c r="P38" s="146">
        <v>84.5</v>
      </c>
      <c r="Q38" s="146" t="s">
        <v>109</v>
      </c>
      <c r="R38" s="137" t="s">
        <v>109</v>
      </c>
      <c r="S38" s="138" t="s">
        <v>109</v>
      </c>
      <c r="T38" s="370" t="s">
        <v>427</v>
      </c>
      <c r="U38" s="146">
        <v>402380.95</v>
      </c>
      <c r="V38" s="146">
        <v>20119.05</v>
      </c>
      <c r="W38" s="146">
        <f t="shared" si="4"/>
        <v>422500</v>
      </c>
      <c r="X38" s="146">
        <v>402380.95</v>
      </c>
      <c r="Y38" s="146">
        <f t="shared" si="5"/>
        <v>4761.9</v>
      </c>
      <c r="Z38" s="137"/>
    </row>
    <row r="39" s="121" customFormat="1" ht="11.9" spans="1:26">
      <c r="A39" s="137" t="s">
        <v>428</v>
      </c>
      <c r="B39" s="138" t="s">
        <v>42</v>
      </c>
      <c r="C39" s="138" t="s">
        <v>42</v>
      </c>
      <c r="D39" s="137" t="s">
        <v>212</v>
      </c>
      <c r="E39" s="138" t="s">
        <v>429</v>
      </c>
      <c r="F39" s="138" t="s">
        <v>109</v>
      </c>
      <c r="G39" s="135" t="s">
        <v>142</v>
      </c>
      <c r="H39" s="137" t="s">
        <v>341</v>
      </c>
      <c r="I39" s="137" t="s">
        <v>232</v>
      </c>
      <c r="J39" s="138" t="s">
        <v>430</v>
      </c>
      <c r="K39" s="147">
        <v>43209</v>
      </c>
      <c r="L39" s="146">
        <v>318258</v>
      </c>
      <c r="M39" s="137" t="s">
        <v>431</v>
      </c>
      <c r="N39" s="146">
        <v>89.65</v>
      </c>
      <c r="O39" s="146" t="s">
        <v>109</v>
      </c>
      <c r="P39" s="146">
        <v>89.65</v>
      </c>
      <c r="Q39" s="146" t="s">
        <v>109</v>
      </c>
      <c r="R39" s="137" t="s">
        <v>109</v>
      </c>
      <c r="S39" s="138" t="s">
        <v>109</v>
      </c>
      <c r="T39" s="138" t="s">
        <v>432</v>
      </c>
      <c r="U39" s="146">
        <v>303102.857142857</v>
      </c>
      <c r="V39" s="146">
        <v>15155.142857143</v>
      </c>
      <c r="W39" s="146">
        <f t="shared" si="4"/>
        <v>318258</v>
      </c>
      <c r="X39" s="146">
        <v>303102.857142857</v>
      </c>
      <c r="Y39" s="146">
        <f t="shared" si="5"/>
        <v>3380.96</v>
      </c>
      <c r="Z39" s="137"/>
    </row>
    <row r="40" s="121" customFormat="1" ht="11.9" spans="1:26">
      <c r="A40" s="137" t="s">
        <v>433</v>
      </c>
      <c r="B40" s="138" t="s">
        <v>42</v>
      </c>
      <c r="C40" s="138" t="s">
        <v>42</v>
      </c>
      <c r="D40" s="137" t="s">
        <v>243</v>
      </c>
      <c r="E40" s="138" t="s">
        <v>434</v>
      </c>
      <c r="F40" s="138" t="s">
        <v>109</v>
      </c>
      <c r="G40" s="135" t="s">
        <v>142</v>
      </c>
      <c r="H40" s="137" t="s">
        <v>341</v>
      </c>
      <c r="I40" s="137" t="s">
        <v>232</v>
      </c>
      <c r="J40" s="138" t="s">
        <v>435</v>
      </c>
      <c r="K40" s="147">
        <v>43805</v>
      </c>
      <c r="L40" s="146">
        <v>281962</v>
      </c>
      <c r="M40" s="137" t="s">
        <v>436</v>
      </c>
      <c r="N40" s="146">
        <v>82.93</v>
      </c>
      <c r="O40" s="146" t="s">
        <v>109</v>
      </c>
      <c r="P40" s="146">
        <v>82.93</v>
      </c>
      <c r="Q40" s="146" t="s">
        <v>109</v>
      </c>
      <c r="R40" s="137" t="s">
        <v>109</v>
      </c>
      <c r="S40" s="138" t="s">
        <v>109</v>
      </c>
      <c r="T40" s="138" t="s">
        <v>437</v>
      </c>
      <c r="U40" s="146">
        <v>268535.238095238</v>
      </c>
      <c r="V40" s="146">
        <v>13426.761904762</v>
      </c>
      <c r="W40" s="146">
        <f t="shared" si="4"/>
        <v>281962</v>
      </c>
      <c r="X40" s="146">
        <v>268535.238095238</v>
      </c>
      <c r="Y40" s="146">
        <f t="shared" si="5"/>
        <v>3238.1</v>
      </c>
      <c r="Z40" s="137"/>
    </row>
    <row r="41" s="121" customFormat="1" ht="11.9" spans="1:26">
      <c r="A41" s="137" t="s">
        <v>438</v>
      </c>
      <c r="B41" s="138" t="s">
        <v>42</v>
      </c>
      <c r="C41" s="138" t="s">
        <v>42</v>
      </c>
      <c r="D41" s="137" t="s">
        <v>243</v>
      </c>
      <c r="E41" s="138" t="s">
        <v>439</v>
      </c>
      <c r="F41" s="138" t="s">
        <v>109</v>
      </c>
      <c r="G41" s="135" t="s">
        <v>142</v>
      </c>
      <c r="H41" s="137" t="s">
        <v>341</v>
      </c>
      <c r="I41" s="137" t="s">
        <v>232</v>
      </c>
      <c r="J41" s="138" t="s">
        <v>440</v>
      </c>
      <c r="K41" s="147">
        <v>43103</v>
      </c>
      <c r="L41" s="146">
        <v>511229</v>
      </c>
      <c r="M41" s="137" t="s">
        <v>441</v>
      </c>
      <c r="N41" s="146">
        <v>124.69</v>
      </c>
      <c r="O41" s="146" t="s">
        <v>109</v>
      </c>
      <c r="P41" s="146">
        <v>124.69</v>
      </c>
      <c r="Q41" s="146" t="s">
        <v>109</v>
      </c>
      <c r="R41" s="137" t="s">
        <v>109</v>
      </c>
      <c r="S41" s="138" t="s">
        <v>109</v>
      </c>
      <c r="T41" s="369" t="s">
        <v>442</v>
      </c>
      <c r="U41" s="146">
        <v>486884.761904762</v>
      </c>
      <c r="V41" s="146">
        <v>24344.238095238</v>
      </c>
      <c r="W41" s="146">
        <f t="shared" si="4"/>
        <v>511229</v>
      </c>
      <c r="X41" s="146">
        <v>486884.761904762</v>
      </c>
      <c r="Y41" s="146">
        <f t="shared" si="5"/>
        <v>3904.76</v>
      </c>
      <c r="Z41" s="137"/>
    </row>
    <row r="42" spans="1:26">
      <c r="A42" s="135" t="s">
        <v>443</v>
      </c>
      <c r="B42" s="136" t="s">
        <v>42</v>
      </c>
      <c r="C42" s="136" t="s">
        <v>42</v>
      </c>
      <c r="D42" s="135" t="s">
        <v>243</v>
      </c>
      <c r="E42" s="136" t="s">
        <v>444</v>
      </c>
      <c r="F42" s="136" t="s">
        <v>109</v>
      </c>
      <c r="G42" s="135" t="s">
        <v>142</v>
      </c>
      <c r="H42" s="135" t="s">
        <v>341</v>
      </c>
      <c r="I42" s="135" t="s">
        <v>232</v>
      </c>
      <c r="J42" s="136" t="s">
        <v>445</v>
      </c>
      <c r="K42" s="144">
        <v>42990</v>
      </c>
      <c r="L42" s="145">
        <v>527801</v>
      </c>
      <c r="M42" s="135" t="s">
        <v>446</v>
      </c>
      <c r="N42" s="145">
        <v>121.25</v>
      </c>
      <c r="O42" s="145" t="s">
        <v>109</v>
      </c>
      <c r="P42" s="146">
        <v>121.25</v>
      </c>
      <c r="Q42" s="146" t="s">
        <v>109</v>
      </c>
      <c r="R42" s="137" t="s">
        <v>109</v>
      </c>
      <c r="S42" s="138" t="s">
        <v>109</v>
      </c>
      <c r="T42" s="138" t="s">
        <v>447</v>
      </c>
      <c r="U42" s="146">
        <v>502667.619047619</v>
      </c>
      <c r="V42" s="146">
        <v>25133.380952381</v>
      </c>
      <c r="W42" s="146">
        <f t="shared" si="4"/>
        <v>527801</v>
      </c>
      <c r="X42" s="146">
        <v>502667.619047619</v>
      </c>
      <c r="Y42" s="146">
        <f t="shared" si="5"/>
        <v>4145.71</v>
      </c>
      <c r="Z42" s="137"/>
    </row>
    <row r="43" ht="23.8" spans="1:26">
      <c r="A43" s="135" t="s">
        <v>448</v>
      </c>
      <c r="B43" s="136" t="s">
        <v>42</v>
      </c>
      <c r="C43" s="136" t="s">
        <v>42</v>
      </c>
      <c r="D43" s="135" t="s">
        <v>243</v>
      </c>
      <c r="E43" s="136" t="s">
        <v>449</v>
      </c>
      <c r="F43" s="136" t="s">
        <v>109</v>
      </c>
      <c r="G43" s="135" t="s">
        <v>142</v>
      </c>
      <c r="H43" s="135" t="s">
        <v>341</v>
      </c>
      <c r="I43" s="135" t="s">
        <v>232</v>
      </c>
      <c r="J43" s="136" t="s">
        <v>450</v>
      </c>
      <c r="K43" s="144">
        <v>43172</v>
      </c>
      <c r="L43" s="145">
        <v>391210</v>
      </c>
      <c r="M43" s="135" t="s">
        <v>451</v>
      </c>
      <c r="N43" s="145">
        <v>102.95</v>
      </c>
      <c r="O43" s="145" t="s">
        <v>109</v>
      </c>
      <c r="P43" s="146">
        <v>102.95</v>
      </c>
      <c r="Q43" s="146" t="s">
        <v>109</v>
      </c>
      <c r="R43" s="137" t="s">
        <v>109</v>
      </c>
      <c r="S43" s="138" t="s">
        <v>109</v>
      </c>
      <c r="T43" s="138" t="s">
        <v>452</v>
      </c>
      <c r="U43" s="146">
        <v>372580.952380952</v>
      </c>
      <c r="V43" s="146">
        <v>18629.047619048</v>
      </c>
      <c r="W43" s="146">
        <f t="shared" si="4"/>
        <v>391210</v>
      </c>
      <c r="X43" s="146">
        <v>372580.952380952</v>
      </c>
      <c r="Y43" s="146">
        <f t="shared" si="5"/>
        <v>3619.05</v>
      </c>
      <c r="Z43" s="137"/>
    </row>
    <row r="44" spans="1:26">
      <c r="A44" s="135" t="s">
        <v>453</v>
      </c>
      <c r="B44" s="136" t="s">
        <v>42</v>
      </c>
      <c r="C44" s="136" t="s">
        <v>42</v>
      </c>
      <c r="D44" s="135" t="s">
        <v>243</v>
      </c>
      <c r="E44" s="136" t="s">
        <v>454</v>
      </c>
      <c r="F44" s="136" t="s">
        <v>109</v>
      </c>
      <c r="G44" s="135" t="s">
        <v>142</v>
      </c>
      <c r="H44" s="135" t="s">
        <v>341</v>
      </c>
      <c r="I44" s="135" t="s">
        <v>232</v>
      </c>
      <c r="J44" s="136" t="s">
        <v>455</v>
      </c>
      <c r="K44" s="144">
        <v>42990</v>
      </c>
      <c r="L44" s="145">
        <v>319429</v>
      </c>
      <c r="M44" s="135" t="s">
        <v>456</v>
      </c>
      <c r="N44" s="145">
        <v>86.66</v>
      </c>
      <c r="O44" s="145" t="s">
        <v>109</v>
      </c>
      <c r="P44" s="146">
        <v>86.66</v>
      </c>
      <c r="Q44" s="146" t="s">
        <v>109</v>
      </c>
      <c r="R44" s="137" t="s">
        <v>109</v>
      </c>
      <c r="S44" s="138" t="s">
        <v>109</v>
      </c>
      <c r="T44" s="138" t="s">
        <v>457</v>
      </c>
      <c r="U44" s="146">
        <v>304218.095238095</v>
      </c>
      <c r="V44" s="146">
        <v>15210.904761905</v>
      </c>
      <c r="W44" s="146">
        <f t="shared" si="4"/>
        <v>319429</v>
      </c>
      <c r="X44" s="146">
        <v>304218.095238095</v>
      </c>
      <c r="Y44" s="146">
        <f t="shared" si="5"/>
        <v>3510.48</v>
      </c>
      <c r="Z44" s="137"/>
    </row>
    <row r="45" spans="1:26">
      <c r="A45" s="135" t="s">
        <v>458</v>
      </c>
      <c r="B45" s="136" t="s">
        <v>42</v>
      </c>
      <c r="C45" s="136" t="s">
        <v>42</v>
      </c>
      <c r="D45" s="135" t="s">
        <v>243</v>
      </c>
      <c r="E45" s="136" t="s">
        <v>459</v>
      </c>
      <c r="F45" s="136" t="s">
        <v>109</v>
      </c>
      <c r="G45" s="135" t="s">
        <v>142</v>
      </c>
      <c r="H45" s="135" t="s">
        <v>341</v>
      </c>
      <c r="I45" s="135" t="s">
        <v>232</v>
      </c>
      <c r="J45" s="136" t="s">
        <v>460</v>
      </c>
      <c r="K45" s="144">
        <v>43230</v>
      </c>
      <c r="L45" s="145">
        <v>485000</v>
      </c>
      <c r="M45" s="135" t="s">
        <v>461</v>
      </c>
      <c r="N45" s="145">
        <v>121.25</v>
      </c>
      <c r="O45" s="145" t="s">
        <v>109</v>
      </c>
      <c r="P45" s="146">
        <v>121.25</v>
      </c>
      <c r="Q45" s="146" t="s">
        <v>109</v>
      </c>
      <c r="R45" s="137" t="s">
        <v>109</v>
      </c>
      <c r="S45" s="138" t="s">
        <v>109</v>
      </c>
      <c r="T45" s="138" t="s">
        <v>462</v>
      </c>
      <c r="U45" s="146">
        <v>461904.761904762</v>
      </c>
      <c r="V45" s="146">
        <v>23095.238095238</v>
      </c>
      <c r="W45" s="146">
        <f t="shared" si="4"/>
        <v>485000</v>
      </c>
      <c r="X45" s="146">
        <v>461904.761904762</v>
      </c>
      <c r="Y45" s="146">
        <f t="shared" si="5"/>
        <v>3809.52</v>
      </c>
      <c r="Z45" s="137"/>
    </row>
    <row r="46" spans="1:26">
      <c r="A46" s="135" t="s">
        <v>463</v>
      </c>
      <c r="B46" s="136" t="s">
        <v>42</v>
      </c>
      <c r="C46" s="136" t="s">
        <v>42</v>
      </c>
      <c r="D46" s="135" t="s">
        <v>243</v>
      </c>
      <c r="E46" s="136" t="s">
        <v>464</v>
      </c>
      <c r="F46" s="136" t="s">
        <v>109</v>
      </c>
      <c r="G46" s="135" t="s">
        <v>142</v>
      </c>
      <c r="H46" s="135" t="s">
        <v>341</v>
      </c>
      <c r="I46" s="135" t="s">
        <v>232</v>
      </c>
      <c r="J46" s="136" t="s">
        <v>465</v>
      </c>
      <c r="K46" s="144">
        <v>43104</v>
      </c>
      <c r="L46" s="145">
        <v>455472</v>
      </c>
      <c r="M46" s="135" t="s">
        <v>466</v>
      </c>
      <c r="N46" s="145">
        <v>126.52</v>
      </c>
      <c r="O46" s="145" t="s">
        <v>109</v>
      </c>
      <c r="P46" s="146">
        <v>126.52</v>
      </c>
      <c r="Q46" s="146" t="s">
        <v>109</v>
      </c>
      <c r="R46" s="137" t="s">
        <v>109</v>
      </c>
      <c r="S46" s="138" t="s">
        <v>109</v>
      </c>
      <c r="T46" s="369" t="s">
        <v>467</v>
      </c>
      <c r="U46" s="146">
        <v>433782.857142857</v>
      </c>
      <c r="V46" s="146">
        <v>21689.142857143</v>
      </c>
      <c r="W46" s="146">
        <f t="shared" si="4"/>
        <v>455472</v>
      </c>
      <c r="X46" s="146">
        <v>433782.857142857</v>
      </c>
      <c r="Y46" s="146">
        <f t="shared" si="5"/>
        <v>3428.57</v>
      </c>
      <c r="Z46" s="137"/>
    </row>
    <row r="47" spans="1:26">
      <c r="A47" s="135" t="s">
        <v>468</v>
      </c>
      <c r="B47" s="136" t="s">
        <v>42</v>
      </c>
      <c r="C47" s="136" t="s">
        <v>42</v>
      </c>
      <c r="D47" s="135" t="s">
        <v>243</v>
      </c>
      <c r="E47" s="136" t="s">
        <v>469</v>
      </c>
      <c r="F47" s="136" t="s">
        <v>109</v>
      </c>
      <c r="G47" s="135" t="s">
        <v>142</v>
      </c>
      <c r="H47" s="135" t="s">
        <v>341</v>
      </c>
      <c r="I47" s="135" t="s">
        <v>232</v>
      </c>
      <c r="J47" s="136" t="s">
        <v>470</v>
      </c>
      <c r="K47" s="144">
        <v>43393</v>
      </c>
      <c r="L47" s="145">
        <v>304200</v>
      </c>
      <c r="M47" s="135" t="s">
        <v>471</v>
      </c>
      <c r="N47" s="145">
        <v>84.5</v>
      </c>
      <c r="O47" s="145" t="s">
        <v>109</v>
      </c>
      <c r="P47" s="146">
        <v>84.5</v>
      </c>
      <c r="Q47" s="146" t="s">
        <v>109</v>
      </c>
      <c r="R47" s="137" t="s">
        <v>109</v>
      </c>
      <c r="S47" s="138" t="s">
        <v>109</v>
      </c>
      <c r="T47" s="369" t="s">
        <v>472</v>
      </c>
      <c r="U47" s="146">
        <v>290476.19047619</v>
      </c>
      <c r="V47" s="146">
        <v>14523.80952381</v>
      </c>
      <c r="W47" s="146">
        <f t="shared" si="4"/>
        <v>305000</v>
      </c>
      <c r="X47" s="146">
        <v>290476.19047619</v>
      </c>
      <c r="Y47" s="146">
        <f t="shared" si="5"/>
        <v>3437.59</v>
      </c>
      <c r="Z47" s="137"/>
    </row>
    <row r="48" spans="1:26">
      <c r="A48" s="135" t="s">
        <v>473</v>
      </c>
      <c r="B48" s="136" t="s">
        <v>42</v>
      </c>
      <c r="C48" s="136" t="s">
        <v>42</v>
      </c>
      <c r="D48" s="135" t="s">
        <v>243</v>
      </c>
      <c r="E48" s="136" t="s">
        <v>474</v>
      </c>
      <c r="F48" s="136" t="s">
        <v>109</v>
      </c>
      <c r="G48" s="135" t="s">
        <v>142</v>
      </c>
      <c r="H48" s="135" t="s">
        <v>341</v>
      </c>
      <c r="I48" s="135" t="s">
        <v>232</v>
      </c>
      <c r="J48" s="136" t="s">
        <v>475</v>
      </c>
      <c r="K48" s="144">
        <v>43201</v>
      </c>
      <c r="L48" s="145">
        <v>313775</v>
      </c>
      <c r="M48" s="135" t="s">
        <v>476</v>
      </c>
      <c r="N48" s="145">
        <v>89.65</v>
      </c>
      <c r="O48" s="145" t="s">
        <v>109</v>
      </c>
      <c r="P48" s="146">
        <v>89.65</v>
      </c>
      <c r="Q48" s="146" t="s">
        <v>109</v>
      </c>
      <c r="R48" s="137" t="s">
        <v>109</v>
      </c>
      <c r="S48" s="138" t="s">
        <v>109</v>
      </c>
      <c r="T48" s="138" t="s">
        <v>477</v>
      </c>
      <c r="U48" s="146">
        <v>298833.333333333</v>
      </c>
      <c r="V48" s="146">
        <v>14941.666666667</v>
      </c>
      <c r="W48" s="146">
        <f t="shared" si="4"/>
        <v>313775</v>
      </c>
      <c r="X48" s="146">
        <v>298833.333333333</v>
      </c>
      <c r="Y48" s="146">
        <f t="shared" si="5"/>
        <v>3333.33</v>
      </c>
      <c r="Z48" s="137"/>
    </row>
    <row r="49" spans="1:26">
      <c r="A49" s="135" t="s">
        <v>478</v>
      </c>
      <c r="B49" s="136" t="s">
        <v>42</v>
      </c>
      <c r="C49" s="136" t="s">
        <v>42</v>
      </c>
      <c r="D49" s="135" t="s">
        <v>214</v>
      </c>
      <c r="E49" s="136" t="s">
        <v>479</v>
      </c>
      <c r="F49" s="136" t="s">
        <v>109</v>
      </c>
      <c r="G49" s="135" t="s">
        <v>142</v>
      </c>
      <c r="H49" s="135" t="s">
        <v>341</v>
      </c>
      <c r="I49" s="135" t="s">
        <v>232</v>
      </c>
      <c r="J49" s="136" t="s">
        <v>480</v>
      </c>
      <c r="K49" s="144">
        <v>41850</v>
      </c>
      <c r="L49" s="145">
        <v>276820</v>
      </c>
      <c r="M49" s="135" t="s">
        <v>481</v>
      </c>
      <c r="N49" s="145">
        <v>82.93</v>
      </c>
      <c r="O49" s="145" t="s">
        <v>109</v>
      </c>
      <c r="P49" s="146">
        <v>82.93</v>
      </c>
      <c r="Q49" s="146" t="s">
        <v>109</v>
      </c>
      <c r="R49" s="137" t="s">
        <v>109</v>
      </c>
      <c r="S49" s="138" t="s">
        <v>109</v>
      </c>
      <c r="T49" s="369" t="s">
        <v>482</v>
      </c>
      <c r="U49" s="146">
        <v>341040</v>
      </c>
      <c r="V49" s="146">
        <v>17052</v>
      </c>
      <c r="W49" s="146">
        <f t="shared" si="4"/>
        <v>358092</v>
      </c>
      <c r="X49" s="146">
        <v>341040</v>
      </c>
      <c r="Y49" s="146">
        <f t="shared" si="5"/>
        <v>4112.38</v>
      </c>
      <c r="Z49" s="137"/>
    </row>
    <row r="50" ht="23.8" spans="1:26">
      <c r="A50" s="135" t="s">
        <v>483</v>
      </c>
      <c r="B50" s="136" t="s">
        <v>42</v>
      </c>
      <c r="C50" s="136" t="s">
        <v>42</v>
      </c>
      <c r="D50" s="135" t="s">
        <v>214</v>
      </c>
      <c r="E50" s="136" t="s">
        <v>484</v>
      </c>
      <c r="F50" s="136" t="s">
        <v>109</v>
      </c>
      <c r="G50" s="135" t="s">
        <v>142</v>
      </c>
      <c r="H50" s="135" t="s">
        <v>341</v>
      </c>
      <c r="I50" s="135" t="s">
        <v>232</v>
      </c>
      <c r="J50" s="136" t="s">
        <v>485</v>
      </c>
      <c r="K50" s="144">
        <v>42362</v>
      </c>
      <c r="L50" s="145">
        <v>420512</v>
      </c>
      <c r="M50" s="135" t="s">
        <v>486</v>
      </c>
      <c r="N50" s="145">
        <v>131.41</v>
      </c>
      <c r="O50" s="145" t="s">
        <v>109</v>
      </c>
      <c r="P50" s="146">
        <v>131.41</v>
      </c>
      <c r="Q50" s="146" t="s">
        <v>109</v>
      </c>
      <c r="R50" s="137" t="s">
        <v>109</v>
      </c>
      <c r="S50" s="138" t="s">
        <v>109</v>
      </c>
      <c r="T50" s="138" t="s">
        <v>487</v>
      </c>
      <c r="U50" s="146">
        <v>400487.619047619</v>
      </c>
      <c r="V50" s="146">
        <v>20024.380952381</v>
      </c>
      <c r="W50" s="146">
        <f t="shared" si="4"/>
        <v>420512</v>
      </c>
      <c r="X50" s="146">
        <v>400487.619047619</v>
      </c>
      <c r="Y50" s="146">
        <f t="shared" si="5"/>
        <v>3047.62</v>
      </c>
      <c r="Z50" s="137"/>
    </row>
    <row r="51" spans="1:26">
      <c r="A51" s="135" t="s">
        <v>488</v>
      </c>
      <c r="B51" s="136" t="s">
        <v>42</v>
      </c>
      <c r="C51" s="136" t="s">
        <v>42</v>
      </c>
      <c r="D51" s="135" t="s">
        <v>214</v>
      </c>
      <c r="E51" s="136" t="s">
        <v>489</v>
      </c>
      <c r="F51" s="136" t="s">
        <v>109</v>
      </c>
      <c r="G51" s="135" t="s">
        <v>142</v>
      </c>
      <c r="H51" s="135" t="s">
        <v>341</v>
      </c>
      <c r="I51" s="135" t="s">
        <v>232</v>
      </c>
      <c r="J51" s="136" t="s">
        <v>490</v>
      </c>
      <c r="K51" s="144">
        <v>42888</v>
      </c>
      <c r="L51" s="145">
        <v>431324</v>
      </c>
      <c r="M51" s="135" t="s">
        <v>491</v>
      </c>
      <c r="N51" s="145">
        <v>126.86</v>
      </c>
      <c r="O51" s="145" t="s">
        <v>109</v>
      </c>
      <c r="P51" s="146">
        <v>126.86</v>
      </c>
      <c r="Q51" s="146" t="s">
        <v>109</v>
      </c>
      <c r="R51" s="137" t="s">
        <v>109</v>
      </c>
      <c r="S51" s="138" t="s">
        <v>109</v>
      </c>
      <c r="T51" s="369" t="s">
        <v>492</v>
      </c>
      <c r="U51" s="146">
        <v>410752.380952381</v>
      </c>
      <c r="V51" s="146">
        <v>20537.619047619</v>
      </c>
      <c r="W51" s="146">
        <f t="shared" si="4"/>
        <v>431290</v>
      </c>
      <c r="X51" s="146">
        <v>410752.380952381</v>
      </c>
      <c r="Y51" s="146">
        <f t="shared" si="5"/>
        <v>3237.84</v>
      </c>
      <c r="Z51" s="137"/>
    </row>
    <row r="52" spans="1:26">
      <c r="A52" s="135" t="s">
        <v>493</v>
      </c>
      <c r="B52" s="136" t="s">
        <v>42</v>
      </c>
      <c r="C52" s="136" t="s">
        <v>42</v>
      </c>
      <c r="D52" s="135" t="s">
        <v>214</v>
      </c>
      <c r="E52" s="136" t="s">
        <v>494</v>
      </c>
      <c r="F52" s="136" t="s">
        <v>109</v>
      </c>
      <c r="G52" s="135" t="s">
        <v>142</v>
      </c>
      <c r="H52" s="135" t="s">
        <v>341</v>
      </c>
      <c r="I52" s="135" t="s">
        <v>232</v>
      </c>
      <c r="J52" s="136" t="s">
        <v>495</v>
      </c>
      <c r="K52" s="144">
        <v>42821</v>
      </c>
      <c r="L52" s="145">
        <v>384004</v>
      </c>
      <c r="M52" s="135" t="s">
        <v>496</v>
      </c>
      <c r="N52" s="145">
        <v>102.95</v>
      </c>
      <c r="O52" s="145" t="s">
        <v>109</v>
      </c>
      <c r="P52" s="146">
        <v>102.95</v>
      </c>
      <c r="Q52" s="146" t="s">
        <v>109</v>
      </c>
      <c r="R52" s="137" t="s">
        <v>109</v>
      </c>
      <c r="S52" s="138" t="s">
        <v>109</v>
      </c>
      <c r="T52" s="138" t="s">
        <v>497</v>
      </c>
      <c r="U52" s="146">
        <v>365718.095238095</v>
      </c>
      <c r="V52" s="146">
        <v>18285.904761905</v>
      </c>
      <c r="W52" s="146">
        <f t="shared" si="4"/>
        <v>384004</v>
      </c>
      <c r="X52" s="146">
        <v>365718.095238095</v>
      </c>
      <c r="Y52" s="146">
        <f t="shared" si="5"/>
        <v>3552.39</v>
      </c>
      <c r="Z52" s="137"/>
    </row>
    <row r="53" spans="1:26">
      <c r="A53" s="135" t="s">
        <v>498</v>
      </c>
      <c r="B53" s="136" t="s">
        <v>42</v>
      </c>
      <c r="C53" s="136" t="s">
        <v>42</v>
      </c>
      <c r="D53" s="135" t="s">
        <v>214</v>
      </c>
      <c r="E53" s="136" t="s">
        <v>499</v>
      </c>
      <c r="F53" s="136" t="s">
        <v>109</v>
      </c>
      <c r="G53" s="135" t="s">
        <v>142</v>
      </c>
      <c r="H53" s="135" t="s">
        <v>341</v>
      </c>
      <c r="I53" s="135" t="s">
        <v>232</v>
      </c>
      <c r="J53" s="136" t="s">
        <v>500</v>
      </c>
      <c r="K53" s="144">
        <v>42945</v>
      </c>
      <c r="L53" s="145">
        <v>375931</v>
      </c>
      <c r="M53" s="135" t="s">
        <v>501</v>
      </c>
      <c r="N53" s="145">
        <v>86.66</v>
      </c>
      <c r="O53" s="145" t="s">
        <v>109</v>
      </c>
      <c r="P53" s="146">
        <v>86.66</v>
      </c>
      <c r="Q53" s="146" t="s">
        <v>109</v>
      </c>
      <c r="R53" s="137" t="s">
        <v>109</v>
      </c>
      <c r="S53" s="138" t="s">
        <v>109</v>
      </c>
      <c r="T53" s="138" t="s">
        <v>502</v>
      </c>
      <c r="U53" s="146">
        <v>358029.523809524</v>
      </c>
      <c r="V53" s="146">
        <v>17901.476190476</v>
      </c>
      <c r="W53" s="146">
        <f t="shared" si="4"/>
        <v>375931</v>
      </c>
      <c r="X53" s="146">
        <v>358029.523809524</v>
      </c>
      <c r="Y53" s="146">
        <f t="shared" si="5"/>
        <v>4131.43</v>
      </c>
      <c r="Z53" s="137"/>
    </row>
    <row r="54" spans="1:26">
      <c r="A54" s="135" t="s">
        <v>503</v>
      </c>
      <c r="B54" s="136" t="s">
        <v>42</v>
      </c>
      <c r="C54" s="136" t="s">
        <v>42</v>
      </c>
      <c r="D54" s="135" t="s">
        <v>214</v>
      </c>
      <c r="E54" s="136" t="s">
        <v>504</v>
      </c>
      <c r="F54" s="136" t="s">
        <v>109</v>
      </c>
      <c r="G54" s="135" t="s">
        <v>142</v>
      </c>
      <c r="H54" s="135" t="s">
        <v>341</v>
      </c>
      <c r="I54" s="135" t="s">
        <v>232</v>
      </c>
      <c r="J54" s="136" t="s">
        <v>505</v>
      </c>
      <c r="K54" s="144">
        <v>42234</v>
      </c>
      <c r="L54" s="145">
        <v>582436</v>
      </c>
      <c r="M54" s="135" t="s">
        <v>506</v>
      </c>
      <c r="N54" s="145">
        <v>126.86</v>
      </c>
      <c r="O54" s="145" t="s">
        <v>109</v>
      </c>
      <c r="P54" s="146">
        <v>126.86</v>
      </c>
      <c r="Q54" s="146" t="s">
        <v>109</v>
      </c>
      <c r="R54" s="137" t="s">
        <v>109</v>
      </c>
      <c r="S54" s="138" t="s">
        <v>109</v>
      </c>
      <c r="T54" s="369" t="s">
        <v>507</v>
      </c>
      <c r="U54" s="146">
        <v>554657.142857143</v>
      </c>
      <c r="V54" s="146">
        <v>27732.857142857</v>
      </c>
      <c r="W54" s="146">
        <f t="shared" si="4"/>
        <v>582390</v>
      </c>
      <c r="X54" s="146">
        <v>554657.142857143</v>
      </c>
      <c r="Y54" s="146">
        <f t="shared" si="5"/>
        <v>4372.2</v>
      </c>
      <c r="Z54" s="137"/>
    </row>
    <row r="55" spans="1:26">
      <c r="A55" s="135" t="s">
        <v>508</v>
      </c>
      <c r="B55" s="136" t="s">
        <v>42</v>
      </c>
      <c r="C55" s="136" t="s">
        <v>42</v>
      </c>
      <c r="D55" s="135" t="s">
        <v>214</v>
      </c>
      <c r="E55" s="136" t="s">
        <v>509</v>
      </c>
      <c r="F55" s="136" t="s">
        <v>109</v>
      </c>
      <c r="G55" s="135" t="s">
        <v>142</v>
      </c>
      <c r="H55" s="135" t="s">
        <v>341</v>
      </c>
      <c r="I55" s="135" t="s">
        <v>232</v>
      </c>
      <c r="J55" s="136" t="s">
        <v>510</v>
      </c>
      <c r="K55" s="144">
        <v>42691</v>
      </c>
      <c r="L55" s="145">
        <v>426368</v>
      </c>
      <c r="M55" s="135" t="s">
        <v>511</v>
      </c>
      <c r="N55" s="145">
        <v>133.24</v>
      </c>
      <c r="O55" s="145" t="s">
        <v>109</v>
      </c>
      <c r="P55" s="146">
        <v>133.24</v>
      </c>
      <c r="Q55" s="146" t="s">
        <v>109</v>
      </c>
      <c r="R55" s="137" t="s">
        <v>109</v>
      </c>
      <c r="S55" s="138" t="s">
        <v>109</v>
      </c>
      <c r="T55" s="138" t="s">
        <v>512</v>
      </c>
      <c r="U55" s="146">
        <v>426368</v>
      </c>
      <c r="V55" s="146">
        <v>0</v>
      </c>
      <c r="W55" s="146">
        <f t="shared" si="4"/>
        <v>426368</v>
      </c>
      <c r="X55" s="146">
        <v>426368</v>
      </c>
      <c r="Y55" s="146">
        <f t="shared" si="5"/>
        <v>3200</v>
      </c>
      <c r="Z55" s="137"/>
    </row>
    <row r="56" spans="1:26">
      <c r="A56" s="135" t="s">
        <v>513</v>
      </c>
      <c r="B56" s="136" t="s">
        <v>42</v>
      </c>
      <c r="C56" s="136" t="s">
        <v>42</v>
      </c>
      <c r="D56" s="135" t="s">
        <v>214</v>
      </c>
      <c r="E56" s="136" t="s">
        <v>514</v>
      </c>
      <c r="F56" s="136" t="s">
        <v>109</v>
      </c>
      <c r="G56" s="135" t="s">
        <v>142</v>
      </c>
      <c r="H56" s="135" t="s">
        <v>341</v>
      </c>
      <c r="I56" s="135" t="s">
        <v>232</v>
      </c>
      <c r="J56" s="136" t="s">
        <v>515</v>
      </c>
      <c r="K56" s="144">
        <v>43370</v>
      </c>
      <c r="L56" s="145">
        <v>295750</v>
      </c>
      <c r="M56" s="135" t="s">
        <v>516</v>
      </c>
      <c r="N56" s="145">
        <v>84.5</v>
      </c>
      <c r="O56" s="145" t="s">
        <v>109</v>
      </c>
      <c r="P56" s="146">
        <v>84.5</v>
      </c>
      <c r="Q56" s="146" t="s">
        <v>109</v>
      </c>
      <c r="R56" s="137" t="s">
        <v>109</v>
      </c>
      <c r="S56" s="138" t="s">
        <v>109</v>
      </c>
      <c r="T56" s="369" t="s">
        <v>517</v>
      </c>
      <c r="U56" s="146">
        <v>281633.333333333</v>
      </c>
      <c r="V56" s="146">
        <v>14081.666666667</v>
      </c>
      <c r="W56" s="146">
        <f t="shared" si="4"/>
        <v>295715</v>
      </c>
      <c r="X56" s="146">
        <v>281633.333333333</v>
      </c>
      <c r="Y56" s="146">
        <f t="shared" si="5"/>
        <v>3332.94</v>
      </c>
      <c r="Z56" s="137"/>
    </row>
    <row r="57" spans="1:26">
      <c r="A57" s="135" t="s">
        <v>518</v>
      </c>
      <c r="B57" s="136" t="s">
        <v>42</v>
      </c>
      <c r="C57" s="136" t="s">
        <v>42</v>
      </c>
      <c r="D57" s="135" t="s">
        <v>214</v>
      </c>
      <c r="E57" s="136" t="s">
        <v>519</v>
      </c>
      <c r="F57" s="136" t="s">
        <v>109</v>
      </c>
      <c r="G57" s="135" t="s">
        <v>142</v>
      </c>
      <c r="H57" s="135" t="s">
        <v>341</v>
      </c>
      <c r="I57" s="135" t="s">
        <v>232</v>
      </c>
      <c r="J57" s="136" t="s">
        <v>520</v>
      </c>
      <c r="K57" s="144">
        <v>42660</v>
      </c>
      <c r="L57" s="145">
        <v>299252</v>
      </c>
      <c r="M57" s="135" t="s">
        <v>521</v>
      </c>
      <c r="N57" s="145">
        <v>89.65</v>
      </c>
      <c r="O57" s="145" t="s">
        <v>109</v>
      </c>
      <c r="P57" s="146">
        <v>89.65</v>
      </c>
      <c r="Q57" s="146" t="s">
        <v>109</v>
      </c>
      <c r="R57" s="137" t="s">
        <v>109</v>
      </c>
      <c r="S57" s="138" t="s">
        <v>109</v>
      </c>
      <c r="T57" s="138" t="s">
        <v>522</v>
      </c>
      <c r="U57" s="146">
        <v>299252</v>
      </c>
      <c r="V57" s="146">
        <v>0</v>
      </c>
      <c r="W57" s="146">
        <f t="shared" si="4"/>
        <v>299252</v>
      </c>
      <c r="X57" s="146">
        <v>299252</v>
      </c>
      <c r="Y57" s="146">
        <f t="shared" si="5"/>
        <v>3338</v>
      </c>
      <c r="Z57" s="137"/>
    </row>
    <row r="58" spans="1:26">
      <c r="A58" s="135" t="s">
        <v>523</v>
      </c>
      <c r="B58" s="136" t="s">
        <v>42</v>
      </c>
      <c r="C58" s="136" t="s">
        <v>42</v>
      </c>
      <c r="D58" s="135" t="s">
        <v>215</v>
      </c>
      <c r="E58" s="136" t="s">
        <v>524</v>
      </c>
      <c r="F58" s="136" t="s">
        <v>109</v>
      </c>
      <c r="G58" s="135" t="s">
        <v>142</v>
      </c>
      <c r="H58" s="135" t="s">
        <v>341</v>
      </c>
      <c r="I58" s="135" t="s">
        <v>232</v>
      </c>
      <c r="J58" s="136" t="s">
        <v>525</v>
      </c>
      <c r="K58" s="144">
        <v>41886</v>
      </c>
      <c r="L58" s="145">
        <v>375854</v>
      </c>
      <c r="M58" s="135" t="s">
        <v>526</v>
      </c>
      <c r="N58" s="145">
        <v>82.93</v>
      </c>
      <c r="O58" s="145" t="s">
        <v>109</v>
      </c>
      <c r="P58" s="146">
        <v>82.93</v>
      </c>
      <c r="Q58" s="146" t="s">
        <v>109</v>
      </c>
      <c r="R58" s="137" t="s">
        <v>109</v>
      </c>
      <c r="S58" s="138" t="s">
        <v>109</v>
      </c>
      <c r="T58" s="369" t="s">
        <v>527</v>
      </c>
      <c r="U58" s="146">
        <v>357956.19047619</v>
      </c>
      <c r="V58" s="146">
        <v>17897.80952381</v>
      </c>
      <c r="W58" s="146">
        <f t="shared" si="4"/>
        <v>375854</v>
      </c>
      <c r="X58" s="146">
        <v>357956.19047619</v>
      </c>
      <c r="Y58" s="146">
        <f t="shared" si="5"/>
        <v>4316.37</v>
      </c>
      <c r="Z58" s="137"/>
    </row>
    <row r="59" spans="1:26">
      <c r="A59" s="135" t="s">
        <v>528</v>
      </c>
      <c r="B59" s="136" t="s">
        <v>42</v>
      </c>
      <c r="C59" s="136" t="s">
        <v>42</v>
      </c>
      <c r="D59" s="135" t="s">
        <v>215</v>
      </c>
      <c r="E59" s="136" t="s">
        <v>529</v>
      </c>
      <c r="F59" s="136" t="s">
        <v>109</v>
      </c>
      <c r="G59" s="135" t="s">
        <v>142</v>
      </c>
      <c r="H59" s="135" t="s">
        <v>341</v>
      </c>
      <c r="I59" s="135" t="s">
        <v>232</v>
      </c>
      <c r="J59" s="136" t="s">
        <v>530</v>
      </c>
      <c r="K59" s="144">
        <v>43159</v>
      </c>
      <c r="L59" s="145">
        <v>399008</v>
      </c>
      <c r="M59" s="135" t="s">
        <v>531</v>
      </c>
      <c r="N59" s="145">
        <v>124.69</v>
      </c>
      <c r="O59" s="145" t="s">
        <v>109</v>
      </c>
      <c r="P59" s="146">
        <v>124.69</v>
      </c>
      <c r="Q59" s="146" t="s">
        <v>109</v>
      </c>
      <c r="R59" s="137" t="s">
        <v>109</v>
      </c>
      <c r="S59" s="138" t="s">
        <v>109</v>
      </c>
      <c r="T59" s="369" t="s">
        <v>532</v>
      </c>
      <c r="U59" s="146">
        <v>380007.619047619</v>
      </c>
      <c r="V59" s="146">
        <v>19000.380952381</v>
      </c>
      <c r="W59" s="146">
        <f t="shared" si="4"/>
        <v>399008</v>
      </c>
      <c r="X59" s="146">
        <v>380007.619047619</v>
      </c>
      <c r="Y59" s="146">
        <f t="shared" si="5"/>
        <v>3047.62</v>
      </c>
      <c r="Z59" s="137"/>
    </row>
    <row r="60" spans="1:26">
      <c r="A60" s="135" t="s">
        <v>533</v>
      </c>
      <c r="B60" s="136" t="s">
        <v>42</v>
      </c>
      <c r="C60" s="136" t="s">
        <v>42</v>
      </c>
      <c r="D60" s="135" t="s">
        <v>215</v>
      </c>
      <c r="E60" s="136" t="s">
        <v>534</v>
      </c>
      <c r="F60" s="136" t="s">
        <v>109</v>
      </c>
      <c r="G60" s="135" t="s">
        <v>142</v>
      </c>
      <c r="H60" s="135" t="s">
        <v>341</v>
      </c>
      <c r="I60" s="135" t="s">
        <v>232</v>
      </c>
      <c r="J60" s="136" t="s">
        <v>535</v>
      </c>
      <c r="K60" s="144">
        <v>42641</v>
      </c>
      <c r="L60" s="145">
        <v>412250</v>
      </c>
      <c r="M60" s="135" t="s">
        <v>536</v>
      </c>
      <c r="N60" s="145">
        <v>121.25</v>
      </c>
      <c r="O60" s="145" t="s">
        <v>109</v>
      </c>
      <c r="P60" s="146">
        <v>121.25</v>
      </c>
      <c r="Q60" s="146" t="s">
        <v>109</v>
      </c>
      <c r="R60" s="137" t="s">
        <v>109</v>
      </c>
      <c r="S60" s="138" t="s">
        <v>109</v>
      </c>
      <c r="T60" s="138" t="s">
        <v>537</v>
      </c>
      <c r="U60" s="146">
        <v>412250</v>
      </c>
      <c r="V60" s="146">
        <v>0</v>
      </c>
      <c r="W60" s="146">
        <f t="shared" si="4"/>
        <v>412250</v>
      </c>
      <c r="X60" s="146">
        <v>412250</v>
      </c>
      <c r="Y60" s="146">
        <f t="shared" si="5"/>
        <v>3400</v>
      </c>
      <c r="Z60" s="137"/>
    </row>
    <row r="61" spans="1:26">
      <c r="A61" s="135" t="s">
        <v>538</v>
      </c>
      <c r="B61" s="136" t="s">
        <v>42</v>
      </c>
      <c r="C61" s="136" t="s">
        <v>42</v>
      </c>
      <c r="D61" s="135" t="s">
        <v>215</v>
      </c>
      <c r="E61" s="136" t="s">
        <v>539</v>
      </c>
      <c r="F61" s="136" t="s">
        <v>109</v>
      </c>
      <c r="G61" s="135" t="s">
        <v>142</v>
      </c>
      <c r="H61" s="135" t="s">
        <v>341</v>
      </c>
      <c r="I61" s="135" t="s">
        <v>232</v>
      </c>
      <c r="J61" s="136"/>
      <c r="K61" s="144">
        <v>43687</v>
      </c>
      <c r="L61" s="145"/>
      <c r="M61" s="135" t="s">
        <v>540</v>
      </c>
      <c r="N61" s="145">
        <v>102.95</v>
      </c>
      <c r="O61" s="145" t="s">
        <v>109</v>
      </c>
      <c r="P61" s="146">
        <v>102.95</v>
      </c>
      <c r="Q61" s="146" t="s">
        <v>109</v>
      </c>
      <c r="R61" s="137" t="s">
        <v>109</v>
      </c>
      <c r="S61" s="138" t="s">
        <v>109</v>
      </c>
      <c r="T61" s="369" t="s">
        <v>541</v>
      </c>
      <c r="U61" s="146">
        <v>391210</v>
      </c>
      <c r="V61" s="146">
        <v>0</v>
      </c>
      <c r="W61" s="146">
        <f t="shared" si="4"/>
        <v>391210</v>
      </c>
      <c r="X61" s="146">
        <v>391210</v>
      </c>
      <c r="Y61" s="146">
        <f t="shared" si="5"/>
        <v>3800</v>
      </c>
      <c r="Z61" s="137"/>
    </row>
    <row r="62" ht="23.8" spans="1:26">
      <c r="A62" s="135" t="s">
        <v>542</v>
      </c>
      <c r="B62" s="136" t="s">
        <v>42</v>
      </c>
      <c r="C62" s="136" t="s">
        <v>42</v>
      </c>
      <c r="D62" s="135" t="s">
        <v>215</v>
      </c>
      <c r="E62" s="136" t="s">
        <v>543</v>
      </c>
      <c r="F62" s="136" t="s">
        <v>109</v>
      </c>
      <c r="G62" s="135" t="s">
        <v>142</v>
      </c>
      <c r="H62" s="135" t="s">
        <v>341</v>
      </c>
      <c r="I62" s="135" t="s">
        <v>232</v>
      </c>
      <c r="J62" s="136" t="s">
        <v>544</v>
      </c>
      <c r="K62" s="144">
        <v>42173</v>
      </c>
      <c r="L62" s="145">
        <v>398636</v>
      </c>
      <c r="M62" s="135" t="s">
        <v>545</v>
      </c>
      <c r="N62" s="145">
        <v>86.66</v>
      </c>
      <c r="O62" s="145" t="s">
        <v>109</v>
      </c>
      <c r="P62" s="146">
        <v>86.66</v>
      </c>
      <c r="Q62" s="146" t="s">
        <v>109</v>
      </c>
      <c r="R62" s="137" t="s">
        <v>109</v>
      </c>
      <c r="S62" s="138" t="s">
        <v>109</v>
      </c>
      <c r="T62" s="369" t="s">
        <v>546</v>
      </c>
      <c r="U62" s="146">
        <v>379653.333333333</v>
      </c>
      <c r="V62" s="146">
        <v>18982.666666667</v>
      </c>
      <c r="W62" s="146">
        <f t="shared" si="4"/>
        <v>398636</v>
      </c>
      <c r="X62" s="146">
        <v>379653.333333333</v>
      </c>
      <c r="Y62" s="146">
        <f t="shared" si="5"/>
        <v>4380.95</v>
      </c>
      <c r="Z62" s="137"/>
    </row>
    <row r="63" spans="1:26">
      <c r="A63" s="135" t="s">
        <v>547</v>
      </c>
      <c r="B63" s="136" t="s">
        <v>42</v>
      </c>
      <c r="C63" s="136" t="s">
        <v>42</v>
      </c>
      <c r="D63" s="135" t="s">
        <v>215</v>
      </c>
      <c r="E63" s="136" t="s">
        <v>548</v>
      </c>
      <c r="F63" s="136" t="s">
        <v>109</v>
      </c>
      <c r="G63" s="135" t="s">
        <v>142</v>
      </c>
      <c r="H63" s="135" t="s">
        <v>341</v>
      </c>
      <c r="I63" s="135" t="s">
        <v>232</v>
      </c>
      <c r="J63" s="136" t="s">
        <v>549</v>
      </c>
      <c r="K63" s="144">
        <v>42294</v>
      </c>
      <c r="L63" s="145">
        <v>504400</v>
      </c>
      <c r="M63" s="135" t="s">
        <v>550</v>
      </c>
      <c r="N63" s="145">
        <v>121.25</v>
      </c>
      <c r="O63" s="145" t="s">
        <v>109</v>
      </c>
      <c r="P63" s="146">
        <v>121.25</v>
      </c>
      <c r="Q63" s="146" t="s">
        <v>109</v>
      </c>
      <c r="R63" s="137" t="s">
        <v>109</v>
      </c>
      <c r="S63" s="138" t="s">
        <v>109</v>
      </c>
      <c r="T63" s="138" t="s">
        <v>551</v>
      </c>
      <c r="U63" s="146">
        <v>480380.952380952</v>
      </c>
      <c r="V63" s="146">
        <v>24019.047619048</v>
      </c>
      <c r="W63" s="146">
        <f t="shared" si="4"/>
        <v>504400</v>
      </c>
      <c r="X63" s="146">
        <v>480380.952380952</v>
      </c>
      <c r="Y63" s="146">
        <f t="shared" si="5"/>
        <v>3961.9</v>
      </c>
      <c r="Z63" s="137"/>
    </row>
    <row r="64" spans="1:26">
      <c r="A64" s="135" t="s">
        <v>552</v>
      </c>
      <c r="B64" s="136" t="s">
        <v>42</v>
      </c>
      <c r="C64" s="136" t="s">
        <v>42</v>
      </c>
      <c r="D64" s="135" t="s">
        <v>215</v>
      </c>
      <c r="E64" s="136" t="s">
        <v>553</v>
      </c>
      <c r="F64" s="136" t="s">
        <v>109</v>
      </c>
      <c r="G64" s="135" t="s">
        <v>142</v>
      </c>
      <c r="H64" s="135" t="s">
        <v>341</v>
      </c>
      <c r="I64" s="135" t="s">
        <v>232</v>
      </c>
      <c r="J64" s="136" t="s">
        <v>554</v>
      </c>
      <c r="K64" s="144">
        <v>42709</v>
      </c>
      <c r="L64" s="145">
        <v>430168</v>
      </c>
      <c r="M64" s="135" t="s">
        <v>555</v>
      </c>
      <c r="N64" s="145">
        <v>126.52</v>
      </c>
      <c r="O64" s="145" t="s">
        <v>109</v>
      </c>
      <c r="P64" s="146">
        <v>126.52</v>
      </c>
      <c r="Q64" s="146" t="s">
        <v>109</v>
      </c>
      <c r="R64" s="137" t="s">
        <v>109</v>
      </c>
      <c r="S64" s="138" t="s">
        <v>109</v>
      </c>
      <c r="T64" s="138" t="s">
        <v>556</v>
      </c>
      <c r="U64" s="146">
        <v>409683.80952381</v>
      </c>
      <c r="V64" s="146">
        <v>20484.19047619</v>
      </c>
      <c r="W64" s="146">
        <f t="shared" si="4"/>
        <v>430168</v>
      </c>
      <c r="X64" s="146">
        <v>409683.80952381</v>
      </c>
      <c r="Y64" s="146">
        <f t="shared" si="5"/>
        <v>3238.1</v>
      </c>
      <c r="Z64" s="137"/>
    </row>
    <row r="65" ht="23.8" spans="1:26">
      <c r="A65" s="135" t="s">
        <v>557</v>
      </c>
      <c r="B65" s="136" t="s">
        <v>42</v>
      </c>
      <c r="C65" s="136" t="s">
        <v>42</v>
      </c>
      <c r="D65" s="135" t="s">
        <v>215</v>
      </c>
      <c r="E65" s="136" t="s">
        <v>558</v>
      </c>
      <c r="F65" s="136" t="s">
        <v>109</v>
      </c>
      <c r="G65" s="135" t="s">
        <v>142</v>
      </c>
      <c r="H65" s="135" t="s">
        <v>341</v>
      </c>
      <c r="I65" s="135" t="s">
        <v>232</v>
      </c>
      <c r="J65" s="136" t="s">
        <v>559</v>
      </c>
      <c r="K65" s="144">
        <v>43496</v>
      </c>
      <c r="L65" s="145">
        <v>300000</v>
      </c>
      <c r="M65" s="135" t="s">
        <v>560</v>
      </c>
      <c r="N65" s="145">
        <v>84.5</v>
      </c>
      <c r="O65" s="145" t="s">
        <v>109</v>
      </c>
      <c r="P65" s="146">
        <v>84.5</v>
      </c>
      <c r="Q65" s="146" t="s">
        <v>109</v>
      </c>
      <c r="R65" s="137" t="s">
        <v>109</v>
      </c>
      <c r="S65" s="138" t="s">
        <v>109</v>
      </c>
      <c r="T65" s="369" t="s">
        <v>561</v>
      </c>
      <c r="U65" s="146">
        <v>285714.285714286</v>
      </c>
      <c r="V65" s="146">
        <v>14285.714285714</v>
      </c>
      <c r="W65" s="146">
        <f t="shared" si="4"/>
        <v>300000</v>
      </c>
      <c r="X65" s="146">
        <v>285714.285714286</v>
      </c>
      <c r="Y65" s="146">
        <f t="shared" si="5"/>
        <v>3381.23</v>
      </c>
      <c r="Z65" s="137"/>
    </row>
    <row r="66" spans="1:26">
      <c r="A66" s="135" t="s">
        <v>562</v>
      </c>
      <c r="B66" s="136" t="s">
        <v>42</v>
      </c>
      <c r="C66" s="136" t="s">
        <v>42</v>
      </c>
      <c r="D66" s="135" t="s">
        <v>215</v>
      </c>
      <c r="E66" s="136" t="s">
        <v>563</v>
      </c>
      <c r="F66" s="136" t="s">
        <v>109</v>
      </c>
      <c r="G66" s="135" t="s">
        <v>142</v>
      </c>
      <c r="H66" s="135" t="s">
        <v>341</v>
      </c>
      <c r="I66" s="135" t="s">
        <v>232</v>
      </c>
      <c r="J66" s="136" t="s">
        <v>564</v>
      </c>
      <c r="K66" s="144">
        <v>42555</v>
      </c>
      <c r="L66" s="145">
        <v>340670</v>
      </c>
      <c r="M66" s="135" t="s">
        <v>565</v>
      </c>
      <c r="N66" s="145">
        <v>89.65</v>
      </c>
      <c r="O66" s="145" t="s">
        <v>109</v>
      </c>
      <c r="P66" s="146">
        <v>89.65</v>
      </c>
      <c r="Q66" s="146" t="s">
        <v>109</v>
      </c>
      <c r="R66" s="137" t="s">
        <v>109</v>
      </c>
      <c r="S66" s="138" t="s">
        <v>109</v>
      </c>
      <c r="T66" s="138" t="s">
        <v>566</v>
      </c>
      <c r="U66" s="146">
        <v>340670</v>
      </c>
      <c r="V66" s="146">
        <v>0</v>
      </c>
      <c r="W66" s="146">
        <f t="shared" si="4"/>
        <v>340670</v>
      </c>
      <c r="X66" s="146">
        <v>340670</v>
      </c>
      <c r="Y66" s="146">
        <f t="shared" si="5"/>
        <v>3800</v>
      </c>
      <c r="Z66" s="137"/>
    </row>
    <row r="67" spans="1:26">
      <c r="A67" s="135" t="s">
        <v>567</v>
      </c>
      <c r="B67" s="136" t="s">
        <v>42</v>
      </c>
      <c r="C67" s="136" t="s">
        <v>42</v>
      </c>
      <c r="D67" s="135" t="s">
        <v>216</v>
      </c>
      <c r="E67" s="136" t="s">
        <v>568</v>
      </c>
      <c r="F67" s="136" t="s">
        <v>109</v>
      </c>
      <c r="G67" s="135" t="s">
        <v>142</v>
      </c>
      <c r="H67" s="135" t="s">
        <v>341</v>
      </c>
      <c r="I67" s="135" t="s">
        <v>232</v>
      </c>
      <c r="J67" s="136" t="s">
        <v>569</v>
      </c>
      <c r="K67" s="144">
        <v>42888</v>
      </c>
      <c r="L67" s="145">
        <v>384000</v>
      </c>
      <c r="M67" s="135" t="s">
        <v>570</v>
      </c>
      <c r="N67" s="145">
        <v>82.93</v>
      </c>
      <c r="O67" s="145" t="s">
        <v>109</v>
      </c>
      <c r="P67" s="146">
        <v>82.93</v>
      </c>
      <c r="Q67" s="146" t="s">
        <v>109</v>
      </c>
      <c r="R67" s="137" t="s">
        <v>109</v>
      </c>
      <c r="S67" s="138" t="s">
        <v>109</v>
      </c>
      <c r="T67" s="369" t="s">
        <v>571</v>
      </c>
      <c r="U67" s="146">
        <v>365714.285714286</v>
      </c>
      <c r="V67" s="146">
        <v>18285.714285714</v>
      </c>
      <c r="W67" s="146">
        <f t="shared" si="4"/>
        <v>384000</v>
      </c>
      <c r="X67" s="146">
        <v>365714.285714286</v>
      </c>
      <c r="Y67" s="146">
        <f t="shared" si="5"/>
        <v>4409.92</v>
      </c>
      <c r="Z67" s="137"/>
    </row>
    <row r="68" spans="1:26">
      <c r="A68" s="135" t="s">
        <v>572</v>
      </c>
      <c r="B68" s="136" t="s">
        <v>42</v>
      </c>
      <c r="C68" s="136" t="s">
        <v>42</v>
      </c>
      <c r="D68" s="135" t="s">
        <v>216</v>
      </c>
      <c r="E68" s="136" t="s">
        <v>573</v>
      </c>
      <c r="F68" s="136" t="s">
        <v>109</v>
      </c>
      <c r="G68" s="135" t="s">
        <v>142</v>
      </c>
      <c r="H68" s="135" t="s">
        <v>341</v>
      </c>
      <c r="I68" s="135" t="s">
        <v>232</v>
      </c>
      <c r="J68" s="136" t="s">
        <v>574</v>
      </c>
      <c r="K68" s="144">
        <v>42622</v>
      </c>
      <c r="L68" s="145">
        <v>420512</v>
      </c>
      <c r="M68" s="135" t="s">
        <v>575</v>
      </c>
      <c r="N68" s="145">
        <v>131.41</v>
      </c>
      <c r="O68" s="145" t="s">
        <v>109</v>
      </c>
      <c r="P68" s="146">
        <v>131.41</v>
      </c>
      <c r="Q68" s="146" t="s">
        <v>109</v>
      </c>
      <c r="R68" s="137" t="s">
        <v>109</v>
      </c>
      <c r="S68" s="138" t="s">
        <v>109</v>
      </c>
      <c r="T68" s="138" t="s">
        <v>576</v>
      </c>
      <c r="U68" s="146">
        <v>420512</v>
      </c>
      <c r="V68" s="146">
        <v>0</v>
      </c>
      <c r="W68" s="146">
        <f t="shared" si="4"/>
        <v>420512</v>
      </c>
      <c r="X68" s="146">
        <v>420512</v>
      </c>
      <c r="Y68" s="146">
        <f t="shared" si="5"/>
        <v>3200</v>
      </c>
      <c r="Z68" s="137"/>
    </row>
    <row r="69" spans="1:26">
      <c r="A69" s="135" t="s">
        <v>577</v>
      </c>
      <c r="B69" s="136" t="s">
        <v>42</v>
      </c>
      <c r="C69" s="136" t="s">
        <v>42</v>
      </c>
      <c r="D69" s="135" t="s">
        <v>216</v>
      </c>
      <c r="E69" s="136" t="s">
        <v>578</v>
      </c>
      <c r="F69" s="136" t="s">
        <v>109</v>
      </c>
      <c r="G69" s="135" t="s">
        <v>142</v>
      </c>
      <c r="H69" s="135" t="s">
        <v>341</v>
      </c>
      <c r="I69" s="135" t="s">
        <v>232</v>
      </c>
      <c r="J69" s="136" t="s">
        <v>579</v>
      </c>
      <c r="K69" s="144">
        <v>42384</v>
      </c>
      <c r="L69" s="145">
        <v>532812</v>
      </c>
      <c r="M69" s="135" t="s">
        <v>580</v>
      </c>
      <c r="N69" s="145">
        <v>126.86</v>
      </c>
      <c r="O69" s="145" t="s">
        <v>109</v>
      </c>
      <c r="P69" s="146">
        <v>126.86</v>
      </c>
      <c r="Q69" s="146" t="s">
        <v>109</v>
      </c>
      <c r="R69" s="137" t="s">
        <v>109</v>
      </c>
      <c r="S69" s="138" t="s">
        <v>109</v>
      </c>
      <c r="T69" s="138" t="s">
        <v>581</v>
      </c>
      <c r="U69" s="146">
        <v>507400</v>
      </c>
      <c r="V69" s="146">
        <v>25370</v>
      </c>
      <c r="W69" s="146">
        <f t="shared" si="4"/>
        <v>532770</v>
      </c>
      <c r="X69" s="146">
        <v>507400</v>
      </c>
      <c r="Y69" s="146">
        <f t="shared" si="5"/>
        <v>3999.68</v>
      </c>
      <c r="Z69" s="137"/>
    </row>
    <row r="70" spans="1:26">
      <c r="A70" s="135" t="s">
        <v>582</v>
      </c>
      <c r="B70" s="136" t="s">
        <v>42</v>
      </c>
      <c r="C70" s="136" t="s">
        <v>42</v>
      </c>
      <c r="D70" s="135" t="s">
        <v>216</v>
      </c>
      <c r="E70" s="136" t="s">
        <v>583</v>
      </c>
      <c r="F70" s="136" t="s">
        <v>109</v>
      </c>
      <c r="G70" s="135" t="s">
        <v>142</v>
      </c>
      <c r="H70" s="135" t="s">
        <v>341</v>
      </c>
      <c r="I70" s="135" t="s">
        <v>232</v>
      </c>
      <c r="J70" s="136" t="s">
        <v>584</v>
      </c>
      <c r="K70" s="144">
        <v>42584</v>
      </c>
      <c r="L70" s="145">
        <v>376797</v>
      </c>
      <c r="M70" s="135" t="s">
        <v>585</v>
      </c>
      <c r="N70" s="145">
        <v>102.95</v>
      </c>
      <c r="O70" s="145" t="s">
        <v>109</v>
      </c>
      <c r="P70" s="146">
        <v>102.95</v>
      </c>
      <c r="Q70" s="146" t="s">
        <v>109</v>
      </c>
      <c r="R70" s="137" t="s">
        <v>109</v>
      </c>
      <c r="S70" s="138" t="s">
        <v>109</v>
      </c>
      <c r="T70" s="369" t="s">
        <v>586</v>
      </c>
      <c r="U70" s="146">
        <v>376797</v>
      </c>
      <c r="V70" s="146">
        <v>0</v>
      </c>
      <c r="W70" s="146">
        <f t="shared" si="4"/>
        <v>376797</v>
      </c>
      <c r="X70" s="146">
        <v>376797</v>
      </c>
      <c r="Y70" s="146">
        <f t="shared" si="5"/>
        <v>3660</v>
      </c>
      <c r="Z70" s="137"/>
    </row>
    <row r="71" spans="1:26">
      <c r="A71" s="135" t="s">
        <v>587</v>
      </c>
      <c r="B71" s="136" t="s">
        <v>42</v>
      </c>
      <c r="C71" s="136" t="s">
        <v>42</v>
      </c>
      <c r="D71" s="135" t="s">
        <v>216</v>
      </c>
      <c r="E71" s="136" t="s">
        <v>588</v>
      </c>
      <c r="F71" s="136" t="s">
        <v>109</v>
      </c>
      <c r="G71" s="135" t="s">
        <v>142</v>
      </c>
      <c r="H71" s="135" t="s">
        <v>341</v>
      </c>
      <c r="I71" s="135" t="s">
        <v>232</v>
      </c>
      <c r="J71" s="136" t="s">
        <v>589</v>
      </c>
      <c r="K71" s="144">
        <v>43283</v>
      </c>
      <c r="L71" s="145">
        <v>311976</v>
      </c>
      <c r="M71" s="135" t="s">
        <v>590</v>
      </c>
      <c r="N71" s="145">
        <v>86.66</v>
      </c>
      <c r="O71" s="145" t="s">
        <v>109</v>
      </c>
      <c r="P71" s="146">
        <v>86.66</v>
      </c>
      <c r="Q71" s="146" t="s">
        <v>109</v>
      </c>
      <c r="R71" s="137" t="s">
        <v>109</v>
      </c>
      <c r="S71" s="138" t="s">
        <v>109</v>
      </c>
      <c r="T71" s="138" t="s">
        <v>591</v>
      </c>
      <c r="U71" s="146">
        <v>297120</v>
      </c>
      <c r="V71" s="146">
        <v>14856</v>
      </c>
      <c r="W71" s="146">
        <f t="shared" si="4"/>
        <v>311976</v>
      </c>
      <c r="X71" s="146">
        <v>297120</v>
      </c>
      <c r="Y71" s="146">
        <f t="shared" si="5"/>
        <v>3428.57</v>
      </c>
      <c r="Z71" s="137"/>
    </row>
    <row r="72" spans="1:26">
      <c r="A72" s="135" t="s">
        <v>592</v>
      </c>
      <c r="B72" s="136" t="s">
        <v>42</v>
      </c>
      <c r="C72" s="136" t="s">
        <v>42</v>
      </c>
      <c r="D72" s="135" t="s">
        <v>216</v>
      </c>
      <c r="E72" s="136" t="s">
        <v>593</v>
      </c>
      <c r="F72" s="136" t="s">
        <v>109</v>
      </c>
      <c r="G72" s="135" t="s">
        <v>142</v>
      </c>
      <c r="H72" s="135" t="s">
        <v>341</v>
      </c>
      <c r="I72" s="135" t="s">
        <v>232</v>
      </c>
      <c r="J72" s="136" t="s">
        <v>594</v>
      </c>
      <c r="K72" s="144">
        <v>42655</v>
      </c>
      <c r="L72" s="145">
        <v>482068</v>
      </c>
      <c r="M72" s="135" t="s">
        <v>595</v>
      </c>
      <c r="N72" s="145">
        <v>126.86</v>
      </c>
      <c r="O72" s="145" t="s">
        <v>109</v>
      </c>
      <c r="P72" s="146">
        <v>126.86</v>
      </c>
      <c r="Q72" s="146" t="s">
        <v>109</v>
      </c>
      <c r="R72" s="137" t="s">
        <v>109</v>
      </c>
      <c r="S72" s="138" t="s">
        <v>109</v>
      </c>
      <c r="T72" s="138" t="s">
        <v>596</v>
      </c>
      <c r="U72" s="146">
        <v>482030</v>
      </c>
      <c r="V72" s="146">
        <v>0</v>
      </c>
      <c r="W72" s="146">
        <f t="shared" ref="W72:W135" si="6">SUM(U72)+SUM(V72)</f>
        <v>482030</v>
      </c>
      <c r="X72" s="146">
        <v>482030</v>
      </c>
      <c r="Y72" s="146">
        <f t="shared" ref="Y72:Y135" si="7">IF(SUM(P72)=0,"",ROUND(SUM(X72)/SUM(P72),2))</f>
        <v>3799.7</v>
      </c>
      <c r="Z72" s="137"/>
    </row>
    <row r="73" spans="1:26">
      <c r="A73" s="135" t="s">
        <v>597</v>
      </c>
      <c r="B73" s="136" t="s">
        <v>42</v>
      </c>
      <c r="C73" s="136" t="s">
        <v>42</v>
      </c>
      <c r="D73" s="135" t="s">
        <v>216</v>
      </c>
      <c r="E73" s="136" t="s">
        <v>598</v>
      </c>
      <c r="F73" s="136" t="s">
        <v>109</v>
      </c>
      <c r="G73" s="135" t="s">
        <v>142</v>
      </c>
      <c r="H73" s="135" t="s">
        <v>341</v>
      </c>
      <c r="I73" s="135" t="s">
        <v>232</v>
      </c>
      <c r="J73" s="136" t="s">
        <v>599</v>
      </c>
      <c r="K73" s="144">
        <v>43284</v>
      </c>
      <c r="L73" s="145">
        <v>479664</v>
      </c>
      <c r="M73" s="135" t="s">
        <v>600</v>
      </c>
      <c r="N73" s="145">
        <v>133.24</v>
      </c>
      <c r="O73" s="145" t="s">
        <v>109</v>
      </c>
      <c r="P73" s="146">
        <v>133.24</v>
      </c>
      <c r="Q73" s="146" t="s">
        <v>109</v>
      </c>
      <c r="R73" s="137" t="s">
        <v>109</v>
      </c>
      <c r="S73" s="138" t="s">
        <v>109</v>
      </c>
      <c r="T73" s="369" t="s">
        <v>601</v>
      </c>
      <c r="U73" s="146">
        <v>456822.857142857</v>
      </c>
      <c r="V73" s="146">
        <v>22841.142857143</v>
      </c>
      <c r="W73" s="146">
        <f t="shared" si="6"/>
        <v>479664</v>
      </c>
      <c r="X73" s="146">
        <v>456822.857142857</v>
      </c>
      <c r="Y73" s="146">
        <f t="shared" si="7"/>
        <v>3428.57</v>
      </c>
      <c r="Z73" s="137"/>
    </row>
    <row r="74" spans="1:26">
      <c r="A74" s="135" t="s">
        <v>602</v>
      </c>
      <c r="B74" s="136" t="s">
        <v>42</v>
      </c>
      <c r="C74" s="136" t="s">
        <v>42</v>
      </c>
      <c r="D74" s="135" t="s">
        <v>216</v>
      </c>
      <c r="E74" s="136" t="s">
        <v>603</v>
      </c>
      <c r="F74" s="136" t="s">
        <v>109</v>
      </c>
      <c r="G74" s="135" t="s">
        <v>142</v>
      </c>
      <c r="H74" s="135" t="s">
        <v>341</v>
      </c>
      <c r="I74" s="135" t="s">
        <v>232</v>
      </c>
      <c r="J74" s="136" t="s">
        <v>604</v>
      </c>
      <c r="K74" s="144">
        <v>43230</v>
      </c>
      <c r="L74" s="145">
        <v>304200</v>
      </c>
      <c r="M74" s="135" t="s">
        <v>605</v>
      </c>
      <c r="N74" s="145">
        <v>84.5</v>
      </c>
      <c r="O74" s="145" t="s">
        <v>109</v>
      </c>
      <c r="P74" s="146">
        <v>84.5</v>
      </c>
      <c r="Q74" s="146" t="s">
        <v>109</v>
      </c>
      <c r="R74" s="137" t="s">
        <v>109</v>
      </c>
      <c r="S74" s="138" t="s">
        <v>109</v>
      </c>
      <c r="T74" s="138" t="s">
        <v>606</v>
      </c>
      <c r="U74" s="146">
        <v>289680</v>
      </c>
      <c r="V74" s="146">
        <v>14484</v>
      </c>
      <c r="W74" s="146">
        <f t="shared" si="6"/>
        <v>304164</v>
      </c>
      <c r="X74" s="146">
        <v>289680</v>
      </c>
      <c r="Y74" s="146">
        <f t="shared" si="7"/>
        <v>3428.17</v>
      </c>
      <c r="Z74" s="137"/>
    </row>
    <row r="75" spans="1:26">
      <c r="A75" s="135" t="s">
        <v>607</v>
      </c>
      <c r="B75" s="136" t="s">
        <v>42</v>
      </c>
      <c r="C75" s="136" t="s">
        <v>42</v>
      </c>
      <c r="D75" s="135" t="s">
        <v>216</v>
      </c>
      <c r="E75" s="136" t="s">
        <v>608</v>
      </c>
      <c r="F75" s="136" t="s">
        <v>109</v>
      </c>
      <c r="G75" s="135" t="s">
        <v>142</v>
      </c>
      <c r="H75" s="135" t="s">
        <v>341</v>
      </c>
      <c r="I75" s="135" t="s">
        <v>232</v>
      </c>
      <c r="J75" s="136" t="s">
        <v>609</v>
      </c>
      <c r="K75" s="144">
        <v>42103</v>
      </c>
      <c r="L75" s="145">
        <v>358600</v>
      </c>
      <c r="M75" s="135" t="s">
        <v>610</v>
      </c>
      <c r="N75" s="145">
        <v>89.65</v>
      </c>
      <c r="O75" s="145" t="s">
        <v>109</v>
      </c>
      <c r="P75" s="146">
        <v>89.65</v>
      </c>
      <c r="Q75" s="146" t="s">
        <v>109</v>
      </c>
      <c r="R75" s="137" t="s">
        <v>109</v>
      </c>
      <c r="S75" s="138" t="s">
        <v>109</v>
      </c>
      <c r="T75" s="138" t="s">
        <v>611</v>
      </c>
      <c r="U75" s="146">
        <v>341523.80952381</v>
      </c>
      <c r="V75" s="146">
        <v>17076.19047619</v>
      </c>
      <c r="W75" s="146">
        <f t="shared" si="6"/>
        <v>358600</v>
      </c>
      <c r="X75" s="146">
        <v>341523.80952381</v>
      </c>
      <c r="Y75" s="146">
        <f t="shared" si="7"/>
        <v>3809.52</v>
      </c>
      <c r="Z75" s="137"/>
    </row>
    <row r="76" spans="1:26">
      <c r="A76" s="135" t="s">
        <v>612</v>
      </c>
      <c r="B76" s="136" t="s">
        <v>42</v>
      </c>
      <c r="C76" s="136" t="s">
        <v>42</v>
      </c>
      <c r="D76" s="135" t="s">
        <v>223</v>
      </c>
      <c r="E76" s="136" t="s">
        <v>613</v>
      </c>
      <c r="F76" s="136" t="s">
        <v>109</v>
      </c>
      <c r="G76" s="135" t="s">
        <v>142</v>
      </c>
      <c r="H76" s="135" t="s">
        <v>341</v>
      </c>
      <c r="I76" s="135" t="s">
        <v>232</v>
      </c>
      <c r="J76" s="136" t="s">
        <v>614</v>
      </c>
      <c r="K76" s="144">
        <v>42331</v>
      </c>
      <c r="L76" s="145">
        <v>365214</v>
      </c>
      <c r="M76" s="135" t="s">
        <v>615</v>
      </c>
      <c r="N76" s="145">
        <v>82.93</v>
      </c>
      <c r="O76" s="145" t="s">
        <v>109</v>
      </c>
      <c r="P76" s="146">
        <v>82.93</v>
      </c>
      <c r="Q76" s="146" t="s">
        <v>109</v>
      </c>
      <c r="R76" s="137" t="s">
        <v>109</v>
      </c>
      <c r="S76" s="138" t="s">
        <v>109</v>
      </c>
      <c r="T76" s="369" t="s">
        <v>616</v>
      </c>
      <c r="U76" s="146">
        <v>347823.428571429</v>
      </c>
      <c r="V76" s="146">
        <v>17391.171428571</v>
      </c>
      <c r="W76" s="146">
        <f t="shared" si="6"/>
        <v>365214.6</v>
      </c>
      <c r="X76" s="146">
        <v>347823.428571429</v>
      </c>
      <c r="Y76" s="146">
        <f t="shared" si="7"/>
        <v>4194.18</v>
      </c>
      <c r="Z76" s="137"/>
    </row>
    <row r="77" spans="1:26">
      <c r="A77" s="135" t="s">
        <v>617</v>
      </c>
      <c r="B77" s="136" t="s">
        <v>42</v>
      </c>
      <c r="C77" s="136" t="s">
        <v>42</v>
      </c>
      <c r="D77" s="135" t="s">
        <v>223</v>
      </c>
      <c r="E77" s="136" t="s">
        <v>618</v>
      </c>
      <c r="F77" s="136" t="s">
        <v>109</v>
      </c>
      <c r="G77" s="135" t="s">
        <v>142</v>
      </c>
      <c r="H77" s="135" t="s">
        <v>341</v>
      </c>
      <c r="I77" s="135" t="s">
        <v>232</v>
      </c>
      <c r="J77" s="136" t="s">
        <v>619</v>
      </c>
      <c r="K77" s="144">
        <v>42032</v>
      </c>
      <c r="L77" s="145">
        <v>486291</v>
      </c>
      <c r="M77" s="135" t="s">
        <v>620</v>
      </c>
      <c r="N77" s="145">
        <v>124.69</v>
      </c>
      <c r="O77" s="145" t="s">
        <v>109</v>
      </c>
      <c r="P77" s="146">
        <v>124.69</v>
      </c>
      <c r="Q77" s="146" t="s">
        <v>109</v>
      </c>
      <c r="R77" s="137" t="s">
        <v>109</v>
      </c>
      <c r="S77" s="138" t="s">
        <v>109</v>
      </c>
      <c r="T77" s="369" t="s">
        <v>621</v>
      </c>
      <c r="U77" s="146">
        <v>463134.285714286</v>
      </c>
      <c r="V77" s="146">
        <v>23156.714285714</v>
      </c>
      <c r="W77" s="146">
        <f t="shared" si="6"/>
        <v>486291</v>
      </c>
      <c r="X77" s="146">
        <v>463134.285714286</v>
      </c>
      <c r="Y77" s="146">
        <f t="shared" si="7"/>
        <v>3714.29</v>
      </c>
      <c r="Z77" s="137"/>
    </row>
    <row r="78" spans="1:26">
      <c r="A78" s="135" t="s">
        <v>622</v>
      </c>
      <c r="B78" s="136" t="s">
        <v>42</v>
      </c>
      <c r="C78" s="136" t="s">
        <v>42</v>
      </c>
      <c r="D78" s="135" t="s">
        <v>223</v>
      </c>
      <c r="E78" s="136" t="s">
        <v>623</v>
      </c>
      <c r="F78" s="136" t="s">
        <v>109</v>
      </c>
      <c r="G78" s="135" t="s">
        <v>142</v>
      </c>
      <c r="H78" s="135" t="s">
        <v>341</v>
      </c>
      <c r="I78" s="135" t="s">
        <v>232</v>
      </c>
      <c r="J78" s="136" t="s">
        <v>624</v>
      </c>
      <c r="K78" s="144">
        <v>42117</v>
      </c>
      <c r="L78" s="145">
        <v>472875</v>
      </c>
      <c r="M78" s="135" t="s">
        <v>625</v>
      </c>
      <c r="N78" s="145">
        <v>121.25</v>
      </c>
      <c r="O78" s="145" t="s">
        <v>109</v>
      </c>
      <c r="P78" s="146">
        <v>121.25</v>
      </c>
      <c r="Q78" s="146" t="s">
        <v>109</v>
      </c>
      <c r="R78" s="137" t="s">
        <v>109</v>
      </c>
      <c r="S78" s="138" t="s">
        <v>109</v>
      </c>
      <c r="T78" s="369" t="s">
        <v>626</v>
      </c>
      <c r="U78" s="146">
        <v>450357.142857143</v>
      </c>
      <c r="V78" s="146">
        <v>22517.857142857</v>
      </c>
      <c r="W78" s="146">
        <f t="shared" si="6"/>
        <v>472875</v>
      </c>
      <c r="X78" s="146">
        <v>450357.142857143</v>
      </c>
      <c r="Y78" s="146">
        <f t="shared" si="7"/>
        <v>3714.29</v>
      </c>
      <c r="Z78" s="137"/>
    </row>
    <row r="79" spans="1:26">
      <c r="A79" s="135" t="s">
        <v>627</v>
      </c>
      <c r="B79" s="136" t="s">
        <v>42</v>
      </c>
      <c r="C79" s="136" t="s">
        <v>42</v>
      </c>
      <c r="D79" s="135" t="s">
        <v>223</v>
      </c>
      <c r="E79" s="136" t="s">
        <v>628</v>
      </c>
      <c r="F79" s="136" t="s">
        <v>109</v>
      </c>
      <c r="G79" s="135" t="s">
        <v>142</v>
      </c>
      <c r="H79" s="135" t="s">
        <v>341</v>
      </c>
      <c r="I79" s="135" t="s">
        <v>232</v>
      </c>
      <c r="J79" s="136" t="s">
        <v>629</v>
      </c>
      <c r="K79" s="144">
        <v>42543</v>
      </c>
      <c r="L79" s="145">
        <v>374738</v>
      </c>
      <c r="M79" s="135" t="s">
        <v>630</v>
      </c>
      <c r="N79" s="145">
        <v>102.95</v>
      </c>
      <c r="O79" s="145" t="s">
        <v>109</v>
      </c>
      <c r="P79" s="146">
        <v>102.95</v>
      </c>
      <c r="Q79" s="146" t="s">
        <v>109</v>
      </c>
      <c r="R79" s="137" t="s">
        <v>109</v>
      </c>
      <c r="S79" s="138" t="s">
        <v>109</v>
      </c>
      <c r="T79" s="138" t="s">
        <v>631</v>
      </c>
      <c r="U79" s="146">
        <v>356893.333333333</v>
      </c>
      <c r="V79" s="146">
        <v>17844.666666667</v>
      </c>
      <c r="W79" s="146">
        <f t="shared" si="6"/>
        <v>374738</v>
      </c>
      <c r="X79" s="146">
        <v>356893.333333333</v>
      </c>
      <c r="Y79" s="146">
        <f t="shared" si="7"/>
        <v>3466.67</v>
      </c>
      <c r="Z79" s="137"/>
    </row>
    <row r="80" spans="1:26">
      <c r="A80" s="135" t="s">
        <v>632</v>
      </c>
      <c r="B80" s="136" t="s">
        <v>42</v>
      </c>
      <c r="C80" s="136" t="s">
        <v>42</v>
      </c>
      <c r="D80" s="135" t="s">
        <v>223</v>
      </c>
      <c r="E80" s="136" t="s">
        <v>633</v>
      </c>
      <c r="F80" s="136" t="s">
        <v>109</v>
      </c>
      <c r="G80" s="135" t="s">
        <v>142</v>
      </c>
      <c r="H80" s="135" t="s">
        <v>341</v>
      </c>
      <c r="I80" s="135" t="s">
        <v>232</v>
      </c>
      <c r="J80" s="136" t="s">
        <v>634</v>
      </c>
      <c r="K80" s="144">
        <v>42207</v>
      </c>
      <c r="L80" s="145">
        <v>412502</v>
      </c>
      <c r="M80" s="135" t="s">
        <v>635</v>
      </c>
      <c r="N80" s="145">
        <v>86.66</v>
      </c>
      <c r="O80" s="145" t="s">
        <v>109</v>
      </c>
      <c r="P80" s="146">
        <v>86.66</v>
      </c>
      <c r="Q80" s="146" t="s">
        <v>109</v>
      </c>
      <c r="R80" s="137" t="s">
        <v>109</v>
      </c>
      <c r="S80" s="138" t="s">
        <v>109</v>
      </c>
      <c r="T80" s="369" t="s">
        <v>636</v>
      </c>
      <c r="U80" s="146">
        <v>392859.047619048</v>
      </c>
      <c r="V80" s="146">
        <v>19642.952380952</v>
      </c>
      <c r="W80" s="146">
        <f t="shared" si="6"/>
        <v>412502</v>
      </c>
      <c r="X80" s="146">
        <v>392859.047619048</v>
      </c>
      <c r="Y80" s="146">
        <f t="shared" si="7"/>
        <v>4533.34</v>
      </c>
      <c r="Z80" s="137"/>
    </row>
    <row r="81" spans="1:26">
      <c r="A81" s="135" t="s">
        <v>637</v>
      </c>
      <c r="B81" s="136" t="s">
        <v>42</v>
      </c>
      <c r="C81" s="136" t="s">
        <v>42</v>
      </c>
      <c r="D81" s="135" t="s">
        <v>223</v>
      </c>
      <c r="E81" s="136" t="s">
        <v>638</v>
      </c>
      <c r="F81" s="136" t="s">
        <v>109</v>
      </c>
      <c r="G81" s="135" t="s">
        <v>142</v>
      </c>
      <c r="H81" s="135" t="s">
        <v>341</v>
      </c>
      <c r="I81" s="135" t="s">
        <v>232</v>
      </c>
      <c r="J81" s="136" t="s">
        <v>639</v>
      </c>
      <c r="K81" s="144">
        <v>42045</v>
      </c>
      <c r="L81" s="145">
        <v>473145</v>
      </c>
      <c r="M81" s="135" t="s">
        <v>640</v>
      </c>
      <c r="N81" s="145">
        <v>121.25</v>
      </c>
      <c r="O81" s="145" t="s">
        <v>109</v>
      </c>
      <c r="P81" s="146">
        <v>121.25</v>
      </c>
      <c r="Q81" s="146" t="s">
        <v>109</v>
      </c>
      <c r="R81" s="137" t="s">
        <v>109</v>
      </c>
      <c r="S81" s="138" t="s">
        <v>109</v>
      </c>
      <c r="T81" s="369" t="s">
        <v>641</v>
      </c>
      <c r="U81" s="146">
        <v>450614.285714286</v>
      </c>
      <c r="V81" s="146">
        <v>22530.714285714</v>
      </c>
      <c r="W81" s="146">
        <f t="shared" si="6"/>
        <v>473145</v>
      </c>
      <c r="X81" s="146">
        <v>450614.285714286</v>
      </c>
      <c r="Y81" s="146">
        <f t="shared" si="7"/>
        <v>3716.41</v>
      </c>
      <c r="Z81" s="137"/>
    </row>
    <row r="82" spans="1:26">
      <c r="A82" s="135" t="s">
        <v>642</v>
      </c>
      <c r="B82" s="136" t="s">
        <v>42</v>
      </c>
      <c r="C82" s="136" t="s">
        <v>42</v>
      </c>
      <c r="D82" s="135" t="s">
        <v>223</v>
      </c>
      <c r="E82" s="136" t="s">
        <v>643</v>
      </c>
      <c r="F82" s="136" t="s">
        <v>109</v>
      </c>
      <c r="G82" s="135" t="s">
        <v>142</v>
      </c>
      <c r="H82" s="135" t="s">
        <v>341</v>
      </c>
      <c r="I82" s="135" t="s">
        <v>232</v>
      </c>
      <c r="J82" s="136" t="s">
        <v>644</v>
      </c>
      <c r="K82" s="144">
        <v>42514</v>
      </c>
      <c r="L82" s="145">
        <v>468124</v>
      </c>
      <c r="M82" s="135" t="s">
        <v>645</v>
      </c>
      <c r="N82" s="145">
        <v>126.52</v>
      </c>
      <c r="O82" s="145" t="s">
        <v>109</v>
      </c>
      <c r="P82" s="146">
        <v>126.52</v>
      </c>
      <c r="Q82" s="146" t="s">
        <v>109</v>
      </c>
      <c r="R82" s="137" t="s">
        <v>109</v>
      </c>
      <c r="S82" s="138" t="s">
        <v>109</v>
      </c>
      <c r="T82" s="138" t="s">
        <v>646</v>
      </c>
      <c r="U82" s="146">
        <v>445832.380952381</v>
      </c>
      <c r="V82" s="146">
        <v>22291.619047619</v>
      </c>
      <c r="W82" s="146">
        <f t="shared" si="6"/>
        <v>468124</v>
      </c>
      <c r="X82" s="146">
        <v>445832.380952381</v>
      </c>
      <c r="Y82" s="146">
        <f t="shared" si="7"/>
        <v>3523.81</v>
      </c>
      <c r="Z82" s="137"/>
    </row>
    <row r="83" spans="1:26">
      <c r="A83" s="135" t="s">
        <v>647</v>
      </c>
      <c r="B83" s="136" t="s">
        <v>42</v>
      </c>
      <c r="C83" s="136" t="s">
        <v>42</v>
      </c>
      <c r="D83" s="135" t="s">
        <v>223</v>
      </c>
      <c r="E83" s="136" t="s">
        <v>648</v>
      </c>
      <c r="F83" s="136" t="s">
        <v>109</v>
      </c>
      <c r="G83" s="135" t="s">
        <v>142</v>
      </c>
      <c r="H83" s="135" t="s">
        <v>341</v>
      </c>
      <c r="I83" s="135" t="s">
        <v>232</v>
      </c>
      <c r="J83" s="136" t="s">
        <v>649</v>
      </c>
      <c r="K83" s="144">
        <v>42110</v>
      </c>
      <c r="L83" s="145">
        <v>378645</v>
      </c>
      <c r="M83" s="135" t="s">
        <v>650</v>
      </c>
      <c r="N83" s="145">
        <v>84.5</v>
      </c>
      <c r="O83" s="145" t="s">
        <v>109</v>
      </c>
      <c r="P83" s="146">
        <v>84.5</v>
      </c>
      <c r="Q83" s="146" t="s">
        <v>109</v>
      </c>
      <c r="R83" s="137" t="s">
        <v>109</v>
      </c>
      <c r="S83" s="138" t="s">
        <v>109</v>
      </c>
      <c r="T83" s="369" t="s">
        <v>651</v>
      </c>
      <c r="U83" s="146">
        <v>360570.476190476</v>
      </c>
      <c r="V83" s="146">
        <v>18028.523809524</v>
      </c>
      <c r="W83" s="146">
        <f t="shared" si="6"/>
        <v>378599</v>
      </c>
      <c r="X83" s="146">
        <v>360570.476190476</v>
      </c>
      <c r="Y83" s="146">
        <f t="shared" si="7"/>
        <v>4267.11</v>
      </c>
      <c r="Z83" s="137"/>
    </row>
    <row r="84" spans="1:26">
      <c r="A84" s="135" t="s">
        <v>652</v>
      </c>
      <c r="B84" s="136" t="s">
        <v>42</v>
      </c>
      <c r="C84" s="136" t="s">
        <v>42</v>
      </c>
      <c r="D84" s="135" t="s">
        <v>223</v>
      </c>
      <c r="E84" s="136" t="s">
        <v>653</v>
      </c>
      <c r="F84" s="136" t="s">
        <v>109</v>
      </c>
      <c r="G84" s="135" t="s">
        <v>142</v>
      </c>
      <c r="H84" s="135" t="s">
        <v>341</v>
      </c>
      <c r="I84" s="135" t="s">
        <v>232</v>
      </c>
      <c r="J84" s="136" t="s">
        <v>654</v>
      </c>
      <c r="K84" s="144">
        <v>43580</v>
      </c>
      <c r="L84" s="145">
        <v>304810</v>
      </c>
      <c r="M84" s="135" t="s">
        <v>655</v>
      </c>
      <c r="N84" s="145">
        <v>89.65</v>
      </c>
      <c r="O84" s="145" t="s">
        <v>109</v>
      </c>
      <c r="P84" s="146">
        <v>89.65</v>
      </c>
      <c r="Q84" s="146" t="s">
        <v>109</v>
      </c>
      <c r="R84" s="137" t="s">
        <v>109</v>
      </c>
      <c r="S84" s="138" t="s">
        <v>109</v>
      </c>
      <c r="T84" s="369" t="s">
        <v>656</v>
      </c>
      <c r="U84" s="146">
        <v>290295.238095238</v>
      </c>
      <c r="V84" s="146">
        <v>14514.761904762</v>
      </c>
      <c r="W84" s="146">
        <f t="shared" si="6"/>
        <v>304810</v>
      </c>
      <c r="X84" s="146">
        <v>290295.238095238</v>
      </c>
      <c r="Y84" s="146">
        <f t="shared" si="7"/>
        <v>3238.1</v>
      </c>
      <c r="Z84" s="137"/>
    </row>
    <row r="85" spans="1:26">
      <c r="A85" s="135" t="s">
        <v>657</v>
      </c>
      <c r="B85" s="136" t="s">
        <v>42</v>
      </c>
      <c r="C85" s="136" t="s">
        <v>42</v>
      </c>
      <c r="D85" s="135" t="s">
        <v>224</v>
      </c>
      <c r="E85" s="136" t="s">
        <v>658</v>
      </c>
      <c r="F85" s="136" t="s">
        <v>109</v>
      </c>
      <c r="G85" s="135" t="s">
        <v>142</v>
      </c>
      <c r="H85" s="135" t="s">
        <v>341</v>
      </c>
      <c r="I85" s="135" t="s">
        <v>232</v>
      </c>
      <c r="J85" s="136" t="s">
        <v>659</v>
      </c>
      <c r="K85" s="144">
        <v>42395</v>
      </c>
      <c r="L85" s="145">
        <v>379479</v>
      </c>
      <c r="M85" s="135" t="s">
        <v>660</v>
      </c>
      <c r="N85" s="145">
        <v>82.93</v>
      </c>
      <c r="O85" s="145" t="s">
        <v>109</v>
      </c>
      <c r="P85" s="146">
        <v>82.93</v>
      </c>
      <c r="Q85" s="146" t="s">
        <v>109</v>
      </c>
      <c r="R85" s="137" t="s">
        <v>109</v>
      </c>
      <c r="S85" s="138" t="s">
        <v>109</v>
      </c>
      <c r="T85" s="369" t="s">
        <v>661</v>
      </c>
      <c r="U85" s="146">
        <v>361408.571428571</v>
      </c>
      <c r="V85" s="146">
        <v>18070.428571429</v>
      </c>
      <c r="W85" s="146">
        <f t="shared" si="6"/>
        <v>379479</v>
      </c>
      <c r="X85" s="146">
        <v>361408.571428571</v>
      </c>
      <c r="Y85" s="146">
        <f t="shared" si="7"/>
        <v>4358</v>
      </c>
      <c r="Z85" s="137"/>
    </row>
    <row r="86" spans="1:26">
      <c r="A86" s="135" t="s">
        <v>662</v>
      </c>
      <c r="B86" s="136" t="s">
        <v>42</v>
      </c>
      <c r="C86" s="136" t="s">
        <v>42</v>
      </c>
      <c r="D86" s="135" t="s">
        <v>224</v>
      </c>
      <c r="E86" s="136" t="s">
        <v>663</v>
      </c>
      <c r="F86" s="136" t="s">
        <v>109</v>
      </c>
      <c r="G86" s="135" t="s">
        <v>142</v>
      </c>
      <c r="H86" s="135" t="s">
        <v>341</v>
      </c>
      <c r="I86" s="135" t="s">
        <v>232</v>
      </c>
      <c r="J86" s="136" t="s">
        <v>664</v>
      </c>
      <c r="K86" s="144">
        <v>42493</v>
      </c>
      <c r="L86" s="145">
        <v>499358</v>
      </c>
      <c r="M86" s="135" t="s">
        <v>665</v>
      </c>
      <c r="N86" s="145">
        <v>131.41</v>
      </c>
      <c r="O86" s="145" t="s">
        <v>109</v>
      </c>
      <c r="P86" s="146">
        <v>131.41</v>
      </c>
      <c r="Q86" s="146" t="s">
        <v>109</v>
      </c>
      <c r="R86" s="137" t="s">
        <v>109</v>
      </c>
      <c r="S86" s="138" t="s">
        <v>109</v>
      </c>
      <c r="T86" s="369" t="s">
        <v>666</v>
      </c>
      <c r="U86" s="146">
        <v>475579.047619048</v>
      </c>
      <c r="V86" s="146">
        <v>23778.952380952</v>
      </c>
      <c r="W86" s="146">
        <f t="shared" si="6"/>
        <v>499358</v>
      </c>
      <c r="X86" s="146">
        <v>475579.047619048</v>
      </c>
      <c r="Y86" s="146">
        <f t="shared" si="7"/>
        <v>3619.05</v>
      </c>
      <c r="Z86" s="137"/>
    </row>
    <row r="87" spans="1:26">
      <c r="A87" s="135" t="s">
        <v>667</v>
      </c>
      <c r="B87" s="136" t="s">
        <v>42</v>
      </c>
      <c r="C87" s="136" t="s">
        <v>42</v>
      </c>
      <c r="D87" s="135" t="s">
        <v>224</v>
      </c>
      <c r="E87" s="136" t="s">
        <v>668</v>
      </c>
      <c r="F87" s="136" t="s">
        <v>109</v>
      </c>
      <c r="G87" s="135" t="s">
        <v>142</v>
      </c>
      <c r="H87" s="135" t="s">
        <v>341</v>
      </c>
      <c r="I87" s="135" t="s">
        <v>232</v>
      </c>
      <c r="J87" s="136" t="s">
        <v>669</v>
      </c>
      <c r="K87" s="144">
        <v>42657</v>
      </c>
      <c r="L87" s="145">
        <v>482068</v>
      </c>
      <c r="M87" s="135" t="s">
        <v>670</v>
      </c>
      <c r="N87" s="145">
        <v>126.86</v>
      </c>
      <c r="O87" s="145" t="s">
        <v>109</v>
      </c>
      <c r="P87" s="146">
        <v>126.86</v>
      </c>
      <c r="Q87" s="146" t="s">
        <v>109</v>
      </c>
      <c r="R87" s="137" t="s">
        <v>109</v>
      </c>
      <c r="S87" s="138" t="s">
        <v>109</v>
      </c>
      <c r="T87" s="369" t="s">
        <v>671</v>
      </c>
      <c r="U87" s="146">
        <v>459076.19047619</v>
      </c>
      <c r="V87" s="146">
        <v>22953.80952381</v>
      </c>
      <c r="W87" s="146">
        <f t="shared" si="6"/>
        <v>482030</v>
      </c>
      <c r="X87" s="146">
        <v>459076.19047619</v>
      </c>
      <c r="Y87" s="146">
        <f t="shared" si="7"/>
        <v>3618.76</v>
      </c>
      <c r="Z87" s="137"/>
    </row>
    <row r="88" spans="1:26">
      <c r="A88" s="135" t="s">
        <v>672</v>
      </c>
      <c r="B88" s="136" t="s">
        <v>42</v>
      </c>
      <c r="C88" s="136" t="s">
        <v>42</v>
      </c>
      <c r="D88" s="135" t="s">
        <v>224</v>
      </c>
      <c r="E88" s="136" t="s">
        <v>673</v>
      </c>
      <c r="F88" s="136" t="s">
        <v>109</v>
      </c>
      <c r="G88" s="135" t="s">
        <v>142</v>
      </c>
      <c r="H88" s="135" t="s">
        <v>341</v>
      </c>
      <c r="I88" s="135" t="s">
        <v>232</v>
      </c>
      <c r="J88" s="136" t="s">
        <v>674</v>
      </c>
      <c r="K88" s="144">
        <v>42549</v>
      </c>
      <c r="L88" s="145">
        <v>350030</v>
      </c>
      <c r="M88" s="135" t="s">
        <v>675</v>
      </c>
      <c r="N88" s="145">
        <v>102.95</v>
      </c>
      <c r="O88" s="145" t="s">
        <v>109</v>
      </c>
      <c r="P88" s="146">
        <v>102.95</v>
      </c>
      <c r="Q88" s="146" t="s">
        <v>109</v>
      </c>
      <c r="R88" s="137" t="s">
        <v>109</v>
      </c>
      <c r="S88" s="138" t="s">
        <v>109</v>
      </c>
      <c r="T88" s="138" t="s">
        <v>676</v>
      </c>
      <c r="U88" s="146">
        <v>333361.904761905</v>
      </c>
      <c r="V88" s="146">
        <v>16668.095238095</v>
      </c>
      <c r="W88" s="146">
        <f t="shared" si="6"/>
        <v>350030</v>
      </c>
      <c r="X88" s="146">
        <v>333361.904761905</v>
      </c>
      <c r="Y88" s="146">
        <f t="shared" si="7"/>
        <v>3238.1</v>
      </c>
      <c r="Z88" s="137"/>
    </row>
    <row r="89" spans="1:26">
      <c r="A89" s="135" t="s">
        <v>677</v>
      </c>
      <c r="B89" s="136" t="s">
        <v>42</v>
      </c>
      <c r="C89" s="136" t="s">
        <v>42</v>
      </c>
      <c r="D89" s="135" t="s">
        <v>224</v>
      </c>
      <c r="E89" s="136" t="s">
        <v>678</v>
      </c>
      <c r="F89" s="136" t="s">
        <v>109</v>
      </c>
      <c r="G89" s="135" t="s">
        <v>142</v>
      </c>
      <c r="H89" s="135" t="s">
        <v>341</v>
      </c>
      <c r="I89" s="135" t="s">
        <v>232</v>
      </c>
      <c r="J89" s="136" t="s">
        <v>679</v>
      </c>
      <c r="K89" s="144">
        <v>42429</v>
      </c>
      <c r="L89" s="145">
        <v>342307</v>
      </c>
      <c r="M89" s="135" t="s">
        <v>680</v>
      </c>
      <c r="N89" s="145">
        <v>86.66</v>
      </c>
      <c r="O89" s="145" t="s">
        <v>109</v>
      </c>
      <c r="P89" s="146">
        <v>86.66</v>
      </c>
      <c r="Q89" s="146" t="s">
        <v>109</v>
      </c>
      <c r="R89" s="137" t="s">
        <v>109</v>
      </c>
      <c r="S89" s="138" t="s">
        <v>109</v>
      </c>
      <c r="T89" s="369" t="s">
        <v>681</v>
      </c>
      <c r="U89" s="146">
        <v>326006.666666667</v>
      </c>
      <c r="V89" s="146">
        <v>16300.333333333</v>
      </c>
      <c r="W89" s="146">
        <f t="shared" si="6"/>
        <v>342307</v>
      </c>
      <c r="X89" s="146">
        <v>326006.666666667</v>
      </c>
      <c r="Y89" s="146">
        <f t="shared" si="7"/>
        <v>3761.9</v>
      </c>
      <c r="Z89" s="137"/>
    </row>
    <row r="90" ht="23.8" spans="1:26">
      <c r="A90" s="135" t="s">
        <v>682</v>
      </c>
      <c r="B90" s="136" t="s">
        <v>42</v>
      </c>
      <c r="C90" s="136" t="s">
        <v>42</v>
      </c>
      <c r="D90" s="135" t="s">
        <v>224</v>
      </c>
      <c r="E90" s="136" t="s">
        <v>683</v>
      </c>
      <c r="F90" s="136" t="s">
        <v>109</v>
      </c>
      <c r="G90" s="135" t="s">
        <v>142</v>
      </c>
      <c r="H90" s="135" t="s">
        <v>341</v>
      </c>
      <c r="I90" s="135" t="s">
        <v>232</v>
      </c>
      <c r="J90" s="136" t="s">
        <v>684</v>
      </c>
      <c r="K90" s="144">
        <v>42338</v>
      </c>
      <c r="L90" s="145">
        <v>532812</v>
      </c>
      <c r="M90" s="135" t="s">
        <v>685</v>
      </c>
      <c r="N90" s="145">
        <v>126.86</v>
      </c>
      <c r="O90" s="145" t="s">
        <v>109</v>
      </c>
      <c r="P90" s="146">
        <v>126.86</v>
      </c>
      <c r="Q90" s="146" t="s">
        <v>109</v>
      </c>
      <c r="R90" s="137" t="s">
        <v>109</v>
      </c>
      <c r="S90" s="138" t="s">
        <v>109</v>
      </c>
      <c r="T90" s="369" t="s">
        <v>686</v>
      </c>
      <c r="U90" s="146">
        <v>507400</v>
      </c>
      <c r="V90" s="146">
        <v>25370</v>
      </c>
      <c r="W90" s="146">
        <f t="shared" si="6"/>
        <v>532770</v>
      </c>
      <c r="X90" s="146">
        <v>507400</v>
      </c>
      <c r="Y90" s="146">
        <f t="shared" si="7"/>
        <v>3999.68</v>
      </c>
      <c r="Z90" s="137"/>
    </row>
    <row r="91" spans="1:26">
      <c r="A91" s="135" t="s">
        <v>687</v>
      </c>
      <c r="B91" s="136" t="s">
        <v>42</v>
      </c>
      <c r="C91" s="136" t="s">
        <v>42</v>
      </c>
      <c r="D91" s="135" t="s">
        <v>224</v>
      </c>
      <c r="E91" s="136" t="s">
        <v>688</v>
      </c>
      <c r="F91" s="136" t="s">
        <v>109</v>
      </c>
      <c r="G91" s="135" t="s">
        <v>142</v>
      </c>
      <c r="H91" s="135" t="s">
        <v>341</v>
      </c>
      <c r="I91" s="135" t="s">
        <v>232</v>
      </c>
      <c r="J91" s="136" t="s">
        <v>689</v>
      </c>
      <c r="K91" s="144">
        <v>43006</v>
      </c>
      <c r="L91" s="145">
        <v>468000</v>
      </c>
      <c r="M91" s="135" t="s">
        <v>690</v>
      </c>
      <c r="N91" s="145">
        <v>133.24</v>
      </c>
      <c r="O91" s="145" t="s">
        <v>109</v>
      </c>
      <c r="P91" s="146">
        <v>133.24</v>
      </c>
      <c r="Q91" s="146" t="s">
        <v>109</v>
      </c>
      <c r="R91" s="137" t="s">
        <v>109</v>
      </c>
      <c r="S91" s="138" t="s">
        <v>109</v>
      </c>
      <c r="T91" s="138" t="s">
        <v>691</v>
      </c>
      <c r="U91" s="146">
        <v>445714.285714286</v>
      </c>
      <c r="V91" s="146">
        <v>22285.714285714</v>
      </c>
      <c r="W91" s="146">
        <f t="shared" si="6"/>
        <v>468000</v>
      </c>
      <c r="X91" s="146">
        <v>445714.285714286</v>
      </c>
      <c r="Y91" s="146">
        <f t="shared" si="7"/>
        <v>3345.2</v>
      </c>
      <c r="Z91" s="137"/>
    </row>
    <row r="92" spans="1:26">
      <c r="A92" s="135" t="s">
        <v>692</v>
      </c>
      <c r="B92" s="136" t="s">
        <v>42</v>
      </c>
      <c r="C92" s="136" t="s">
        <v>42</v>
      </c>
      <c r="D92" s="135" t="s">
        <v>224</v>
      </c>
      <c r="E92" s="136" t="s">
        <v>693</v>
      </c>
      <c r="F92" s="136" t="s">
        <v>109</v>
      </c>
      <c r="G92" s="135" t="s">
        <v>142</v>
      </c>
      <c r="H92" s="135" t="s">
        <v>341</v>
      </c>
      <c r="I92" s="135" t="s">
        <v>232</v>
      </c>
      <c r="J92" s="136" t="s">
        <v>694</v>
      </c>
      <c r="K92" s="144">
        <v>42307</v>
      </c>
      <c r="L92" s="145">
        <v>351520</v>
      </c>
      <c r="M92" s="135" t="s">
        <v>695</v>
      </c>
      <c r="N92" s="145">
        <v>84.5</v>
      </c>
      <c r="O92" s="145" t="s">
        <v>109</v>
      </c>
      <c r="P92" s="146">
        <v>84.5</v>
      </c>
      <c r="Q92" s="146" t="s">
        <v>109</v>
      </c>
      <c r="R92" s="137" t="s">
        <v>109</v>
      </c>
      <c r="S92" s="138" t="s">
        <v>109</v>
      </c>
      <c r="T92" s="369" t="s">
        <v>696</v>
      </c>
      <c r="U92" s="146">
        <v>334740.952380952</v>
      </c>
      <c r="V92" s="146">
        <v>16737.047619048</v>
      </c>
      <c r="W92" s="146">
        <f t="shared" si="6"/>
        <v>351478</v>
      </c>
      <c r="X92" s="146">
        <v>334740.952380952</v>
      </c>
      <c r="Y92" s="146">
        <f t="shared" si="7"/>
        <v>3961.43</v>
      </c>
      <c r="Z92" s="137"/>
    </row>
    <row r="93" ht="23.8" spans="1:26">
      <c r="A93" s="135" t="s">
        <v>697</v>
      </c>
      <c r="B93" s="136" t="s">
        <v>42</v>
      </c>
      <c r="C93" s="136" t="s">
        <v>42</v>
      </c>
      <c r="D93" s="135" t="s">
        <v>224</v>
      </c>
      <c r="E93" s="136" t="s">
        <v>698</v>
      </c>
      <c r="F93" s="136" t="s">
        <v>109</v>
      </c>
      <c r="G93" s="135" t="s">
        <v>142</v>
      </c>
      <c r="H93" s="135" t="s">
        <v>341</v>
      </c>
      <c r="I93" s="135" t="s">
        <v>232</v>
      </c>
      <c r="J93" s="136" t="s">
        <v>699</v>
      </c>
      <c r="K93" s="144">
        <v>43686</v>
      </c>
      <c r="L93" s="145">
        <v>313775</v>
      </c>
      <c r="M93" s="135" t="s">
        <v>700</v>
      </c>
      <c r="N93" s="145">
        <v>89.65</v>
      </c>
      <c r="O93" s="145" t="s">
        <v>109</v>
      </c>
      <c r="P93" s="146">
        <v>89.65</v>
      </c>
      <c r="Q93" s="146" t="s">
        <v>109</v>
      </c>
      <c r="R93" s="137" t="s">
        <v>109</v>
      </c>
      <c r="S93" s="138" t="s">
        <v>109</v>
      </c>
      <c r="T93" s="369" t="s">
        <v>701</v>
      </c>
      <c r="U93" s="146">
        <v>313775</v>
      </c>
      <c r="V93" s="146">
        <v>0</v>
      </c>
      <c r="W93" s="146">
        <f t="shared" si="6"/>
        <v>313775</v>
      </c>
      <c r="X93" s="146">
        <v>313775</v>
      </c>
      <c r="Y93" s="146">
        <f t="shared" si="7"/>
        <v>3500</v>
      </c>
      <c r="Z93" s="137"/>
    </row>
    <row r="94" spans="1:26">
      <c r="A94" s="135" t="s">
        <v>702</v>
      </c>
      <c r="B94" s="136" t="s">
        <v>42</v>
      </c>
      <c r="C94" s="136" t="s">
        <v>42</v>
      </c>
      <c r="D94" s="135" t="s">
        <v>253</v>
      </c>
      <c r="E94" s="136" t="s">
        <v>703</v>
      </c>
      <c r="F94" s="136" t="s">
        <v>109</v>
      </c>
      <c r="G94" s="135" t="s">
        <v>142</v>
      </c>
      <c r="H94" s="135" t="s">
        <v>341</v>
      </c>
      <c r="I94" s="135" t="s">
        <v>232</v>
      </c>
      <c r="J94" s="136" t="s">
        <v>704</v>
      </c>
      <c r="K94" s="144">
        <v>43276</v>
      </c>
      <c r="L94" s="145">
        <v>298548</v>
      </c>
      <c r="M94" s="135" t="s">
        <v>705</v>
      </c>
      <c r="N94" s="145">
        <v>82.93</v>
      </c>
      <c r="O94" s="145" t="s">
        <v>109</v>
      </c>
      <c r="P94" s="146">
        <v>82.93</v>
      </c>
      <c r="Q94" s="146" t="s">
        <v>109</v>
      </c>
      <c r="R94" s="137" t="s">
        <v>109</v>
      </c>
      <c r="S94" s="138" t="s">
        <v>109</v>
      </c>
      <c r="T94" s="138" t="s">
        <v>706</v>
      </c>
      <c r="U94" s="146">
        <v>284331.428571429</v>
      </c>
      <c r="V94" s="146">
        <v>14216.571428571</v>
      </c>
      <c r="W94" s="146">
        <f t="shared" si="6"/>
        <v>298548</v>
      </c>
      <c r="X94" s="146">
        <v>284331.428571429</v>
      </c>
      <c r="Y94" s="146">
        <f t="shared" si="7"/>
        <v>3428.57</v>
      </c>
      <c r="Z94" s="137"/>
    </row>
    <row r="95" spans="1:26">
      <c r="A95" s="135" t="s">
        <v>707</v>
      </c>
      <c r="B95" s="136" t="s">
        <v>42</v>
      </c>
      <c r="C95" s="136" t="s">
        <v>42</v>
      </c>
      <c r="D95" s="135" t="s">
        <v>253</v>
      </c>
      <c r="E95" s="136" t="s">
        <v>708</v>
      </c>
      <c r="F95" s="136" t="s">
        <v>109</v>
      </c>
      <c r="G95" s="135" t="s">
        <v>142</v>
      </c>
      <c r="H95" s="135" t="s">
        <v>341</v>
      </c>
      <c r="I95" s="135" t="s">
        <v>232</v>
      </c>
      <c r="J95" s="136" t="s">
        <v>709</v>
      </c>
      <c r="K95" s="144">
        <v>42478</v>
      </c>
      <c r="L95" s="145">
        <v>448884</v>
      </c>
      <c r="M95" s="135" t="s">
        <v>710</v>
      </c>
      <c r="N95" s="145">
        <v>124.69</v>
      </c>
      <c r="O95" s="145" t="s">
        <v>109</v>
      </c>
      <c r="P95" s="146">
        <v>124.69</v>
      </c>
      <c r="Q95" s="146" t="s">
        <v>109</v>
      </c>
      <c r="R95" s="137" t="s">
        <v>109</v>
      </c>
      <c r="S95" s="138" t="s">
        <v>109</v>
      </c>
      <c r="T95" s="138" t="s">
        <v>711</v>
      </c>
      <c r="U95" s="146">
        <v>448884</v>
      </c>
      <c r="V95" s="146">
        <v>0</v>
      </c>
      <c r="W95" s="146">
        <f t="shared" si="6"/>
        <v>448884</v>
      </c>
      <c r="X95" s="146">
        <v>448884</v>
      </c>
      <c r="Y95" s="146">
        <f t="shared" si="7"/>
        <v>3600</v>
      </c>
      <c r="Z95" s="137"/>
    </row>
    <row r="96" spans="1:26">
      <c r="A96" s="135" t="s">
        <v>712</v>
      </c>
      <c r="B96" s="136" t="s">
        <v>42</v>
      </c>
      <c r="C96" s="136" t="s">
        <v>42</v>
      </c>
      <c r="D96" s="135" t="s">
        <v>253</v>
      </c>
      <c r="E96" s="136" t="s">
        <v>713</v>
      </c>
      <c r="F96" s="136" t="s">
        <v>109</v>
      </c>
      <c r="G96" s="135" t="s">
        <v>142</v>
      </c>
      <c r="H96" s="135" t="s">
        <v>341</v>
      </c>
      <c r="I96" s="135" t="s">
        <v>232</v>
      </c>
      <c r="J96" s="136" t="s">
        <v>714</v>
      </c>
      <c r="K96" s="144">
        <v>42720</v>
      </c>
      <c r="L96" s="145">
        <v>469806</v>
      </c>
      <c r="M96" s="135" t="s">
        <v>715</v>
      </c>
      <c r="N96" s="145">
        <v>121.25</v>
      </c>
      <c r="O96" s="145" t="s">
        <v>109</v>
      </c>
      <c r="P96" s="146">
        <v>121.25</v>
      </c>
      <c r="Q96" s="146" t="s">
        <v>109</v>
      </c>
      <c r="R96" s="137" t="s">
        <v>109</v>
      </c>
      <c r="S96" s="138" t="s">
        <v>109</v>
      </c>
      <c r="T96" s="138" t="s">
        <v>716</v>
      </c>
      <c r="U96" s="146">
        <v>447619.047619048</v>
      </c>
      <c r="V96" s="146">
        <v>22380.952380952</v>
      </c>
      <c r="W96" s="146">
        <f t="shared" si="6"/>
        <v>470000</v>
      </c>
      <c r="X96" s="146">
        <v>447619.047619048</v>
      </c>
      <c r="Y96" s="146">
        <f t="shared" si="7"/>
        <v>3691.7</v>
      </c>
      <c r="Z96" s="137"/>
    </row>
    <row r="97" spans="1:26">
      <c r="A97" s="135" t="s">
        <v>717</v>
      </c>
      <c r="B97" s="136" t="s">
        <v>42</v>
      </c>
      <c r="C97" s="136" t="s">
        <v>42</v>
      </c>
      <c r="D97" s="135" t="s">
        <v>253</v>
      </c>
      <c r="E97" s="136" t="s">
        <v>718</v>
      </c>
      <c r="F97" s="136" t="s">
        <v>109</v>
      </c>
      <c r="G97" s="135" t="s">
        <v>142</v>
      </c>
      <c r="H97" s="135" t="s">
        <v>341</v>
      </c>
      <c r="I97" s="135" t="s">
        <v>232</v>
      </c>
      <c r="J97" s="136" t="s">
        <v>719</v>
      </c>
      <c r="K97" s="144">
        <v>43319</v>
      </c>
      <c r="L97" s="145">
        <v>380915</v>
      </c>
      <c r="M97" s="135" t="s">
        <v>720</v>
      </c>
      <c r="N97" s="145">
        <v>102.95</v>
      </c>
      <c r="O97" s="145" t="s">
        <v>109</v>
      </c>
      <c r="P97" s="146">
        <v>102.95</v>
      </c>
      <c r="Q97" s="146" t="s">
        <v>109</v>
      </c>
      <c r="R97" s="137" t="s">
        <v>109</v>
      </c>
      <c r="S97" s="138" t="s">
        <v>109</v>
      </c>
      <c r="T97" s="369" t="s">
        <v>721</v>
      </c>
      <c r="U97" s="146">
        <v>362776.19047619</v>
      </c>
      <c r="V97" s="146">
        <v>18138.80952381</v>
      </c>
      <c r="W97" s="146">
        <f t="shared" si="6"/>
        <v>380915</v>
      </c>
      <c r="X97" s="146">
        <v>362776.19047619</v>
      </c>
      <c r="Y97" s="146">
        <f t="shared" si="7"/>
        <v>3523.81</v>
      </c>
      <c r="Z97" s="137"/>
    </row>
    <row r="98" spans="1:26">
      <c r="A98" s="135" t="s">
        <v>722</v>
      </c>
      <c r="B98" s="136" t="s">
        <v>42</v>
      </c>
      <c r="C98" s="136" t="s">
        <v>42</v>
      </c>
      <c r="D98" s="135" t="s">
        <v>253</v>
      </c>
      <c r="E98" s="136" t="s">
        <v>723</v>
      </c>
      <c r="F98" s="136" t="s">
        <v>109</v>
      </c>
      <c r="G98" s="135" t="s">
        <v>142</v>
      </c>
      <c r="H98" s="135" t="s">
        <v>341</v>
      </c>
      <c r="I98" s="135" t="s">
        <v>232</v>
      </c>
      <c r="J98" s="136" t="s">
        <v>724</v>
      </c>
      <c r="K98" s="144">
        <v>42255</v>
      </c>
      <c r="L98" s="145">
        <v>417701</v>
      </c>
      <c r="M98" s="135" t="s">
        <v>725</v>
      </c>
      <c r="N98" s="145">
        <v>86.66</v>
      </c>
      <c r="O98" s="145" t="s">
        <v>109</v>
      </c>
      <c r="P98" s="146">
        <v>86.66</v>
      </c>
      <c r="Q98" s="146" t="s">
        <v>109</v>
      </c>
      <c r="R98" s="137" t="s">
        <v>109</v>
      </c>
      <c r="S98" s="138" t="s">
        <v>109</v>
      </c>
      <c r="T98" s="369" t="s">
        <v>726</v>
      </c>
      <c r="U98" s="146">
        <v>397810.476190476</v>
      </c>
      <c r="V98" s="146">
        <v>19890.523809524</v>
      </c>
      <c r="W98" s="146">
        <f t="shared" si="6"/>
        <v>417701</v>
      </c>
      <c r="X98" s="146">
        <v>397810.476190476</v>
      </c>
      <c r="Y98" s="146">
        <f t="shared" si="7"/>
        <v>4590.47</v>
      </c>
      <c r="Z98" s="137"/>
    </row>
    <row r="99" spans="1:26">
      <c r="A99" s="135" t="s">
        <v>727</v>
      </c>
      <c r="B99" s="136" t="s">
        <v>42</v>
      </c>
      <c r="C99" s="136" t="s">
        <v>42</v>
      </c>
      <c r="D99" s="135" t="s">
        <v>253</v>
      </c>
      <c r="E99" s="136" t="s">
        <v>728</v>
      </c>
      <c r="F99" s="136" t="s">
        <v>109</v>
      </c>
      <c r="G99" s="135" t="s">
        <v>142</v>
      </c>
      <c r="H99" s="135" t="s">
        <v>341</v>
      </c>
      <c r="I99" s="135" t="s">
        <v>232</v>
      </c>
      <c r="J99" s="136" t="s">
        <v>729</v>
      </c>
      <c r="K99" s="144">
        <v>42590</v>
      </c>
      <c r="L99" s="145">
        <v>472875</v>
      </c>
      <c r="M99" s="135" t="s">
        <v>730</v>
      </c>
      <c r="N99" s="145">
        <v>121.25</v>
      </c>
      <c r="O99" s="145" t="s">
        <v>109</v>
      </c>
      <c r="P99" s="146">
        <v>121.25</v>
      </c>
      <c r="Q99" s="146" t="s">
        <v>109</v>
      </c>
      <c r="R99" s="137" t="s">
        <v>109</v>
      </c>
      <c r="S99" s="138" t="s">
        <v>109</v>
      </c>
      <c r="T99" s="138" t="s">
        <v>731</v>
      </c>
      <c r="U99" s="146">
        <v>450357.142857143</v>
      </c>
      <c r="V99" s="146">
        <v>22517.857142857</v>
      </c>
      <c r="W99" s="146">
        <f t="shared" si="6"/>
        <v>472875</v>
      </c>
      <c r="X99" s="146">
        <v>450357.142857143</v>
      </c>
      <c r="Y99" s="146">
        <f t="shared" si="7"/>
        <v>3714.29</v>
      </c>
      <c r="Z99" s="137"/>
    </row>
    <row r="100" spans="1:26">
      <c r="A100" s="135" t="s">
        <v>732</v>
      </c>
      <c r="B100" s="136" t="s">
        <v>42</v>
      </c>
      <c r="C100" s="136" t="s">
        <v>42</v>
      </c>
      <c r="D100" s="135" t="s">
        <v>253</v>
      </c>
      <c r="E100" s="136" t="s">
        <v>733</v>
      </c>
      <c r="F100" s="136" t="s">
        <v>109</v>
      </c>
      <c r="G100" s="135" t="s">
        <v>142</v>
      </c>
      <c r="H100" s="135" t="s">
        <v>341</v>
      </c>
      <c r="I100" s="135" t="s">
        <v>232</v>
      </c>
      <c r="J100" s="136" t="s">
        <v>734</v>
      </c>
      <c r="K100" s="144">
        <v>42324</v>
      </c>
      <c r="L100" s="145">
        <v>544036</v>
      </c>
      <c r="M100" s="135" t="s">
        <v>735</v>
      </c>
      <c r="N100" s="145">
        <v>126.52</v>
      </c>
      <c r="O100" s="145" t="s">
        <v>109</v>
      </c>
      <c r="P100" s="146">
        <v>126.52</v>
      </c>
      <c r="Q100" s="146" t="s">
        <v>109</v>
      </c>
      <c r="R100" s="137" t="s">
        <v>109</v>
      </c>
      <c r="S100" s="138" t="s">
        <v>109</v>
      </c>
      <c r="T100" s="369" t="s">
        <v>736</v>
      </c>
      <c r="U100" s="146">
        <v>518129.523809524</v>
      </c>
      <c r="V100" s="146">
        <v>25906.476190476</v>
      </c>
      <c r="W100" s="146">
        <f t="shared" si="6"/>
        <v>544036</v>
      </c>
      <c r="X100" s="146">
        <v>518129.523809524</v>
      </c>
      <c r="Y100" s="146">
        <f t="shared" si="7"/>
        <v>4095.24</v>
      </c>
      <c r="Z100" s="137"/>
    </row>
    <row r="101" spans="1:26">
      <c r="A101" s="135" t="s">
        <v>737</v>
      </c>
      <c r="B101" s="136" t="s">
        <v>42</v>
      </c>
      <c r="C101" s="136" t="s">
        <v>42</v>
      </c>
      <c r="D101" s="135" t="s">
        <v>253</v>
      </c>
      <c r="E101" s="136" t="s">
        <v>738</v>
      </c>
      <c r="F101" s="136" t="s">
        <v>109</v>
      </c>
      <c r="G101" s="135" t="s">
        <v>142</v>
      </c>
      <c r="H101" s="135" t="s">
        <v>341</v>
      </c>
      <c r="I101" s="135" t="s">
        <v>232</v>
      </c>
      <c r="J101" s="136" t="s">
        <v>739</v>
      </c>
      <c r="K101" s="144">
        <v>42324</v>
      </c>
      <c r="L101" s="145">
        <v>353210</v>
      </c>
      <c r="M101" s="135" t="s">
        <v>740</v>
      </c>
      <c r="N101" s="145">
        <v>84.5</v>
      </c>
      <c r="O101" s="145" t="s">
        <v>109</v>
      </c>
      <c r="P101" s="146">
        <v>84.5</v>
      </c>
      <c r="Q101" s="146" t="s">
        <v>109</v>
      </c>
      <c r="R101" s="137" t="s">
        <v>109</v>
      </c>
      <c r="S101" s="138" t="s">
        <v>109</v>
      </c>
      <c r="T101" s="369" t="s">
        <v>741</v>
      </c>
      <c r="U101" s="146">
        <v>336350.666666667</v>
      </c>
      <c r="V101" s="146">
        <v>16817.533333333</v>
      </c>
      <c r="W101" s="146">
        <f t="shared" si="6"/>
        <v>353168.2</v>
      </c>
      <c r="X101" s="146">
        <v>336350.666666667</v>
      </c>
      <c r="Y101" s="146">
        <f t="shared" si="7"/>
        <v>3980.48</v>
      </c>
      <c r="Z101" s="137"/>
    </row>
    <row r="102" spans="1:26">
      <c r="A102" s="135" t="s">
        <v>742</v>
      </c>
      <c r="B102" s="136" t="s">
        <v>42</v>
      </c>
      <c r="C102" s="136" t="s">
        <v>42</v>
      </c>
      <c r="D102" s="135" t="s">
        <v>253</v>
      </c>
      <c r="E102" s="136" t="s">
        <v>743</v>
      </c>
      <c r="F102" s="136" t="s">
        <v>109</v>
      </c>
      <c r="G102" s="135" t="s">
        <v>142</v>
      </c>
      <c r="H102" s="135" t="s">
        <v>341</v>
      </c>
      <c r="I102" s="135" t="s">
        <v>232</v>
      </c>
      <c r="J102" s="136" t="s">
        <v>744</v>
      </c>
      <c r="K102" s="144">
        <v>43427</v>
      </c>
      <c r="L102" s="145">
        <v>338000</v>
      </c>
      <c r="M102" s="135" t="s">
        <v>745</v>
      </c>
      <c r="N102" s="145">
        <v>89.65</v>
      </c>
      <c r="O102" s="145" t="s">
        <v>109</v>
      </c>
      <c r="P102" s="146">
        <v>89.65</v>
      </c>
      <c r="Q102" s="146" t="s">
        <v>109</v>
      </c>
      <c r="R102" s="137" t="s">
        <v>109</v>
      </c>
      <c r="S102" s="138" t="s">
        <v>109</v>
      </c>
      <c r="T102" s="369" t="s">
        <v>746</v>
      </c>
      <c r="U102" s="146">
        <v>321904.761904762</v>
      </c>
      <c r="V102" s="146">
        <v>16095.238095238</v>
      </c>
      <c r="W102" s="146">
        <f t="shared" si="6"/>
        <v>338000</v>
      </c>
      <c r="X102" s="146">
        <v>321904.761904762</v>
      </c>
      <c r="Y102" s="146">
        <f t="shared" si="7"/>
        <v>3590.68</v>
      </c>
      <c r="Z102" s="137"/>
    </row>
    <row r="103" spans="1:26">
      <c r="A103" s="135" t="s">
        <v>747</v>
      </c>
      <c r="B103" s="136" t="s">
        <v>42</v>
      </c>
      <c r="C103" s="136" t="s">
        <v>42</v>
      </c>
      <c r="D103" s="135" t="s">
        <v>226</v>
      </c>
      <c r="E103" s="136" t="s">
        <v>748</v>
      </c>
      <c r="F103" s="136" t="s">
        <v>109</v>
      </c>
      <c r="G103" s="135" t="s">
        <v>142</v>
      </c>
      <c r="H103" s="135" t="s">
        <v>341</v>
      </c>
      <c r="I103" s="135" t="s">
        <v>232</v>
      </c>
      <c r="J103" s="136" t="s">
        <v>749</v>
      </c>
      <c r="K103" s="144">
        <v>42268</v>
      </c>
      <c r="L103" s="145">
        <v>300000</v>
      </c>
      <c r="M103" s="135" t="s">
        <v>750</v>
      </c>
      <c r="N103" s="145">
        <v>82.93</v>
      </c>
      <c r="O103" s="145" t="s">
        <v>109</v>
      </c>
      <c r="P103" s="146">
        <v>82.93</v>
      </c>
      <c r="Q103" s="146" t="s">
        <v>109</v>
      </c>
      <c r="R103" s="137" t="s">
        <v>109</v>
      </c>
      <c r="S103" s="138" t="s">
        <v>109</v>
      </c>
      <c r="T103" s="369" t="s">
        <v>751</v>
      </c>
      <c r="U103" s="146">
        <v>285714.285714286</v>
      </c>
      <c r="V103" s="146">
        <v>14285.714285714</v>
      </c>
      <c r="W103" s="146">
        <f t="shared" si="6"/>
        <v>300000</v>
      </c>
      <c r="X103" s="146">
        <v>285714.285714286</v>
      </c>
      <c r="Y103" s="146">
        <f t="shared" si="7"/>
        <v>3445.25</v>
      </c>
      <c r="Z103" s="137"/>
    </row>
    <row r="104" spans="1:26">
      <c r="A104" s="135" t="s">
        <v>752</v>
      </c>
      <c r="B104" s="136" t="s">
        <v>42</v>
      </c>
      <c r="C104" s="136" t="s">
        <v>42</v>
      </c>
      <c r="D104" s="135" t="s">
        <v>226</v>
      </c>
      <c r="E104" s="136" t="s">
        <v>753</v>
      </c>
      <c r="F104" s="136" t="s">
        <v>109</v>
      </c>
      <c r="G104" s="135" t="s">
        <v>142</v>
      </c>
      <c r="H104" s="135" t="s">
        <v>341</v>
      </c>
      <c r="I104" s="135" t="s">
        <v>232</v>
      </c>
      <c r="J104" s="136" t="s">
        <v>754</v>
      </c>
      <c r="K104" s="144">
        <v>43185</v>
      </c>
      <c r="L104" s="145">
        <v>473076</v>
      </c>
      <c r="M104" s="135" t="s">
        <v>755</v>
      </c>
      <c r="N104" s="145">
        <v>131.41</v>
      </c>
      <c r="O104" s="145" t="s">
        <v>109</v>
      </c>
      <c r="P104" s="146">
        <v>131.41</v>
      </c>
      <c r="Q104" s="146" t="s">
        <v>109</v>
      </c>
      <c r="R104" s="137" t="s">
        <v>109</v>
      </c>
      <c r="S104" s="138" t="s">
        <v>109</v>
      </c>
      <c r="T104" s="369" t="s">
        <v>756</v>
      </c>
      <c r="U104" s="146">
        <v>450548.571428571</v>
      </c>
      <c r="V104" s="146">
        <v>22527.428571429</v>
      </c>
      <c r="W104" s="146">
        <f t="shared" si="6"/>
        <v>473076</v>
      </c>
      <c r="X104" s="146">
        <v>450548.571428571</v>
      </c>
      <c r="Y104" s="146">
        <f t="shared" si="7"/>
        <v>3428.57</v>
      </c>
      <c r="Z104" s="137"/>
    </row>
    <row r="105" spans="1:26">
      <c r="A105" s="135" t="s">
        <v>757</v>
      </c>
      <c r="B105" s="136" t="s">
        <v>42</v>
      </c>
      <c r="C105" s="136" t="s">
        <v>42</v>
      </c>
      <c r="D105" s="135" t="s">
        <v>226</v>
      </c>
      <c r="E105" s="136" t="s">
        <v>758</v>
      </c>
      <c r="F105" s="136" t="s">
        <v>109</v>
      </c>
      <c r="G105" s="135" t="s">
        <v>142</v>
      </c>
      <c r="H105" s="135" t="s">
        <v>341</v>
      </c>
      <c r="I105" s="135" t="s">
        <v>232</v>
      </c>
      <c r="J105" s="136" t="s">
        <v>759</v>
      </c>
      <c r="K105" s="144">
        <v>41982</v>
      </c>
      <c r="L105" s="145">
        <v>558184</v>
      </c>
      <c r="M105" s="135" t="s">
        <v>760</v>
      </c>
      <c r="N105" s="145">
        <v>126.86</v>
      </c>
      <c r="O105" s="145" t="s">
        <v>109</v>
      </c>
      <c r="P105" s="146">
        <v>126.86</v>
      </c>
      <c r="Q105" s="146" t="s">
        <v>109</v>
      </c>
      <c r="R105" s="137" t="s">
        <v>109</v>
      </c>
      <c r="S105" s="138" t="s">
        <v>109</v>
      </c>
      <c r="T105" s="138" t="s">
        <v>761</v>
      </c>
      <c r="U105" s="146">
        <v>579885.714285714</v>
      </c>
      <c r="V105" s="146">
        <v>28994.285714286</v>
      </c>
      <c r="W105" s="146">
        <f t="shared" si="6"/>
        <v>608880</v>
      </c>
      <c r="X105" s="146">
        <v>579885.714285714</v>
      </c>
      <c r="Y105" s="146">
        <f t="shared" si="7"/>
        <v>4571.07</v>
      </c>
      <c r="Z105" s="137"/>
    </row>
    <row r="106" spans="1:26">
      <c r="A106" s="135" t="s">
        <v>762</v>
      </c>
      <c r="B106" s="136" t="s">
        <v>42</v>
      </c>
      <c r="C106" s="136" t="s">
        <v>42</v>
      </c>
      <c r="D106" s="135" t="s">
        <v>226</v>
      </c>
      <c r="E106" s="136" t="s">
        <v>763</v>
      </c>
      <c r="F106" s="136" t="s">
        <v>109</v>
      </c>
      <c r="G106" s="135" t="s">
        <v>142</v>
      </c>
      <c r="H106" s="135" t="s">
        <v>341</v>
      </c>
      <c r="I106" s="135" t="s">
        <v>232</v>
      </c>
      <c r="J106" s="136" t="s">
        <v>764</v>
      </c>
      <c r="K106" s="144">
        <v>43338</v>
      </c>
      <c r="L106" s="145">
        <v>370620</v>
      </c>
      <c r="M106" s="135" t="s">
        <v>765</v>
      </c>
      <c r="N106" s="145">
        <v>102.95</v>
      </c>
      <c r="O106" s="145" t="s">
        <v>109</v>
      </c>
      <c r="P106" s="146">
        <v>102.95</v>
      </c>
      <c r="Q106" s="146" t="s">
        <v>109</v>
      </c>
      <c r="R106" s="137" t="s">
        <v>109</v>
      </c>
      <c r="S106" s="138" t="s">
        <v>109</v>
      </c>
      <c r="T106" s="369" t="s">
        <v>766</v>
      </c>
      <c r="U106" s="146">
        <v>352971.428571429</v>
      </c>
      <c r="V106" s="146">
        <v>17648.571428571</v>
      </c>
      <c r="W106" s="146">
        <f t="shared" si="6"/>
        <v>370620</v>
      </c>
      <c r="X106" s="146">
        <v>352971.428571429</v>
      </c>
      <c r="Y106" s="146">
        <f t="shared" si="7"/>
        <v>3428.57</v>
      </c>
      <c r="Z106" s="137"/>
    </row>
    <row r="107" spans="1:26">
      <c r="A107" s="135" t="s">
        <v>336</v>
      </c>
      <c r="B107" s="136" t="s">
        <v>42</v>
      </c>
      <c r="C107" s="136" t="s">
        <v>42</v>
      </c>
      <c r="D107" s="135" t="s">
        <v>226</v>
      </c>
      <c r="E107" s="136" t="s">
        <v>767</v>
      </c>
      <c r="F107" s="136" t="s">
        <v>109</v>
      </c>
      <c r="G107" s="135" t="s">
        <v>142</v>
      </c>
      <c r="H107" s="135" t="s">
        <v>341</v>
      </c>
      <c r="I107" s="135" t="s">
        <v>232</v>
      </c>
      <c r="J107" s="136" t="s">
        <v>768</v>
      </c>
      <c r="K107" s="144">
        <v>42257</v>
      </c>
      <c r="L107" s="145">
        <v>372638</v>
      </c>
      <c r="M107" s="135" t="s">
        <v>769</v>
      </c>
      <c r="N107" s="145">
        <v>86.66</v>
      </c>
      <c r="O107" s="145" t="s">
        <v>109</v>
      </c>
      <c r="P107" s="146">
        <v>86.66</v>
      </c>
      <c r="Q107" s="146" t="s">
        <v>109</v>
      </c>
      <c r="R107" s="137" t="s">
        <v>109</v>
      </c>
      <c r="S107" s="138" t="s">
        <v>109</v>
      </c>
      <c r="T107" s="369" t="s">
        <v>770</v>
      </c>
      <c r="U107" s="146">
        <v>354893.333333333</v>
      </c>
      <c r="V107" s="146">
        <v>17744.666666667</v>
      </c>
      <c r="W107" s="146">
        <f t="shared" si="6"/>
        <v>372638</v>
      </c>
      <c r="X107" s="146">
        <v>354893.333333333</v>
      </c>
      <c r="Y107" s="146">
        <f t="shared" si="7"/>
        <v>4095.24</v>
      </c>
      <c r="Z107" s="137"/>
    </row>
    <row r="108" ht="23.8" spans="1:26">
      <c r="A108" s="135" t="s">
        <v>337</v>
      </c>
      <c r="B108" s="136" t="s">
        <v>42</v>
      </c>
      <c r="C108" s="136" t="s">
        <v>42</v>
      </c>
      <c r="D108" s="135" t="s">
        <v>226</v>
      </c>
      <c r="E108" s="136" t="s">
        <v>771</v>
      </c>
      <c r="F108" s="136" t="s">
        <v>109</v>
      </c>
      <c r="G108" s="135" t="s">
        <v>142</v>
      </c>
      <c r="H108" s="135" t="s">
        <v>341</v>
      </c>
      <c r="I108" s="135" t="s">
        <v>232</v>
      </c>
      <c r="J108" s="136" t="s">
        <v>772</v>
      </c>
      <c r="K108" s="144">
        <v>42262</v>
      </c>
      <c r="L108" s="145">
        <v>530811</v>
      </c>
      <c r="M108" s="135" t="s">
        <v>773</v>
      </c>
      <c r="N108" s="145">
        <v>126.86</v>
      </c>
      <c r="O108" s="145" t="s">
        <v>109</v>
      </c>
      <c r="P108" s="146">
        <v>126.86</v>
      </c>
      <c r="Q108" s="146" t="s">
        <v>109</v>
      </c>
      <c r="R108" s="137" t="s">
        <v>109</v>
      </c>
      <c r="S108" s="138" t="s">
        <v>109</v>
      </c>
      <c r="T108" s="369" t="s">
        <v>774</v>
      </c>
      <c r="U108" s="146">
        <v>505495.238095238</v>
      </c>
      <c r="V108" s="146">
        <v>25274.761904762</v>
      </c>
      <c r="W108" s="146">
        <f t="shared" si="6"/>
        <v>530770</v>
      </c>
      <c r="X108" s="146">
        <v>505495.238095238</v>
      </c>
      <c r="Y108" s="146">
        <f t="shared" si="7"/>
        <v>3984.67</v>
      </c>
      <c r="Z108" s="137"/>
    </row>
    <row r="109" spans="1:26">
      <c r="A109" s="135" t="s">
        <v>338</v>
      </c>
      <c r="B109" s="136" t="s">
        <v>42</v>
      </c>
      <c r="C109" s="136" t="s">
        <v>42</v>
      </c>
      <c r="D109" s="135" t="s">
        <v>226</v>
      </c>
      <c r="E109" s="136" t="s">
        <v>775</v>
      </c>
      <c r="F109" s="136" t="s">
        <v>109</v>
      </c>
      <c r="G109" s="135" t="s">
        <v>142</v>
      </c>
      <c r="H109" s="135" t="s">
        <v>341</v>
      </c>
      <c r="I109" s="135" t="s">
        <v>232</v>
      </c>
      <c r="J109" s="136" t="s">
        <v>776</v>
      </c>
      <c r="K109" s="144">
        <v>42009</v>
      </c>
      <c r="L109" s="145">
        <v>624629</v>
      </c>
      <c r="M109" s="135" t="s">
        <v>777</v>
      </c>
      <c r="N109" s="145">
        <v>133.24</v>
      </c>
      <c r="O109" s="145" t="s">
        <v>109</v>
      </c>
      <c r="P109" s="146">
        <v>133.24</v>
      </c>
      <c r="Q109" s="146" t="s">
        <v>109</v>
      </c>
      <c r="R109" s="137" t="s">
        <v>109</v>
      </c>
      <c r="S109" s="138" t="s">
        <v>109</v>
      </c>
      <c r="T109" s="138" t="s">
        <v>778</v>
      </c>
      <c r="U109" s="146">
        <v>619248.571428571</v>
      </c>
      <c r="V109" s="146">
        <v>30962.428571429</v>
      </c>
      <c r="W109" s="146">
        <f t="shared" si="6"/>
        <v>650211</v>
      </c>
      <c r="X109" s="146">
        <v>619248.571428571</v>
      </c>
      <c r="Y109" s="146">
        <f t="shared" si="7"/>
        <v>4647.62</v>
      </c>
      <c r="Z109" s="137"/>
    </row>
    <row r="110" spans="1:26">
      <c r="A110" s="135" t="s">
        <v>339</v>
      </c>
      <c r="B110" s="136" t="s">
        <v>42</v>
      </c>
      <c r="C110" s="136" t="s">
        <v>42</v>
      </c>
      <c r="D110" s="135" t="s">
        <v>226</v>
      </c>
      <c r="E110" s="136" t="s">
        <v>779</v>
      </c>
      <c r="F110" s="136" t="s">
        <v>109</v>
      </c>
      <c r="G110" s="135" t="s">
        <v>142</v>
      </c>
      <c r="H110" s="135" t="s">
        <v>341</v>
      </c>
      <c r="I110" s="135" t="s">
        <v>232</v>
      </c>
      <c r="J110" s="136" t="s">
        <v>780</v>
      </c>
      <c r="K110" s="144">
        <v>42615</v>
      </c>
      <c r="L110" s="145">
        <v>236600</v>
      </c>
      <c r="M110" s="135" t="s">
        <v>781</v>
      </c>
      <c r="N110" s="145">
        <v>84.5</v>
      </c>
      <c r="O110" s="145" t="s">
        <v>109</v>
      </c>
      <c r="P110" s="146">
        <v>84.5</v>
      </c>
      <c r="Q110" s="146" t="s">
        <v>109</v>
      </c>
      <c r="R110" s="137" t="s">
        <v>109</v>
      </c>
      <c r="S110" s="138" t="s">
        <v>109</v>
      </c>
      <c r="T110" s="138" t="s">
        <v>782</v>
      </c>
      <c r="U110" s="146">
        <v>236572</v>
      </c>
      <c r="V110" s="146">
        <v>0</v>
      </c>
      <c r="W110" s="146">
        <f t="shared" si="6"/>
        <v>236572</v>
      </c>
      <c r="X110" s="146">
        <v>236572</v>
      </c>
      <c r="Y110" s="146">
        <f t="shared" si="7"/>
        <v>2799.67</v>
      </c>
      <c r="Z110" s="137"/>
    </row>
    <row r="111" spans="1:26">
      <c r="A111" s="135" t="s">
        <v>340</v>
      </c>
      <c r="B111" s="136" t="s">
        <v>42</v>
      </c>
      <c r="C111" s="136" t="s">
        <v>42</v>
      </c>
      <c r="D111" s="135" t="s">
        <v>226</v>
      </c>
      <c r="E111" s="136" t="s">
        <v>783</v>
      </c>
      <c r="F111" s="136" t="s">
        <v>109</v>
      </c>
      <c r="G111" s="135" t="s">
        <v>142</v>
      </c>
      <c r="H111" s="135" t="s">
        <v>341</v>
      </c>
      <c r="I111" s="135" t="s">
        <v>232</v>
      </c>
      <c r="J111" s="136" t="s">
        <v>784</v>
      </c>
      <c r="K111" s="144">
        <v>42692</v>
      </c>
      <c r="L111" s="145">
        <v>304810</v>
      </c>
      <c r="M111" s="135" t="s">
        <v>785</v>
      </c>
      <c r="N111" s="145">
        <v>89.65</v>
      </c>
      <c r="O111" s="145" t="s">
        <v>109</v>
      </c>
      <c r="P111" s="146">
        <v>89.65</v>
      </c>
      <c r="Q111" s="146" t="s">
        <v>109</v>
      </c>
      <c r="R111" s="137" t="s">
        <v>109</v>
      </c>
      <c r="S111" s="138" t="s">
        <v>109</v>
      </c>
      <c r="T111" s="138" t="s">
        <v>786</v>
      </c>
      <c r="U111" s="146">
        <v>290295.238095238</v>
      </c>
      <c r="V111" s="146">
        <v>14514.761904762</v>
      </c>
      <c r="W111" s="146">
        <f t="shared" si="6"/>
        <v>304810</v>
      </c>
      <c r="X111" s="146">
        <v>290295.238095238</v>
      </c>
      <c r="Y111" s="146">
        <f t="shared" si="7"/>
        <v>3238.1</v>
      </c>
      <c r="Z111" s="137"/>
    </row>
    <row r="112" spans="1:26">
      <c r="A112" s="135" t="s">
        <v>345</v>
      </c>
      <c r="B112" s="136" t="s">
        <v>42</v>
      </c>
      <c r="C112" s="136" t="s">
        <v>42</v>
      </c>
      <c r="D112" s="135" t="s">
        <v>227</v>
      </c>
      <c r="E112" s="136" t="s">
        <v>787</v>
      </c>
      <c r="F112" s="136" t="s">
        <v>109</v>
      </c>
      <c r="G112" s="135" t="s">
        <v>142</v>
      </c>
      <c r="H112" s="135" t="s">
        <v>341</v>
      </c>
      <c r="I112" s="135" t="s">
        <v>232</v>
      </c>
      <c r="J112" s="136" t="s">
        <v>788</v>
      </c>
      <c r="K112" s="144">
        <v>42172</v>
      </c>
      <c r="L112" s="145">
        <v>381478</v>
      </c>
      <c r="M112" s="135" t="s">
        <v>789</v>
      </c>
      <c r="N112" s="145">
        <v>82.93</v>
      </c>
      <c r="O112" s="145" t="s">
        <v>109</v>
      </c>
      <c r="P112" s="146">
        <v>82.93</v>
      </c>
      <c r="Q112" s="146" t="s">
        <v>109</v>
      </c>
      <c r="R112" s="137" t="s">
        <v>109</v>
      </c>
      <c r="S112" s="138" t="s">
        <v>109</v>
      </c>
      <c r="T112" s="369" t="s">
        <v>790</v>
      </c>
      <c r="U112" s="146">
        <v>363312.380952381</v>
      </c>
      <c r="V112" s="146">
        <v>18165.619047619</v>
      </c>
      <c r="W112" s="146">
        <f t="shared" si="6"/>
        <v>381478</v>
      </c>
      <c r="X112" s="146">
        <v>363312.380952381</v>
      </c>
      <c r="Y112" s="146">
        <f t="shared" si="7"/>
        <v>4380.95</v>
      </c>
      <c r="Z112" s="137"/>
    </row>
    <row r="113" spans="1:26">
      <c r="A113" s="135" t="s">
        <v>349</v>
      </c>
      <c r="B113" s="136" t="s">
        <v>42</v>
      </c>
      <c r="C113" s="136" t="s">
        <v>42</v>
      </c>
      <c r="D113" s="135" t="s">
        <v>227</v>
      </c>
      <c r="E113" s="136" t="s">
        <v>791</v>
      </c>
      <c r="F113" s="136" t="s">
        <v>109</v>
      </c>
      <c r="G113" s="135" t="s">
        <v>142</v>
      </c>
      <c r="H113" s="135" t="s">
        <v>341</v>
      </c>
      <c r="I113" s="135" t="s">
        <v>232</v>
      </c>
      <c r="J113" s="136" t="s">
        <v>792</v>
      </c>
      <c r="K113" s="144">
        <v>42414</v>
      </c>
      <c r="L113" s="145">
        <v>504620</v>
      </c>
      <c r="M113" s="135" t="s">
        <v>793</v>
      </c>
      <c r="N113" s="145">
        <v>124.69</v>
      </c>
      <c r="O113" s="145" t="s">
        <v>109</v>
      </c>
      <c r="P113" s="146">
        <v>124.69</v>
      </c>
      <c r="Q113" s="146" t="s">
        <v>109</v>
      </c>
      <c r="R113" s="137" t="s">
        <v>109</v>
      </c>
      <c r="S113" s="138" t="s">
        <v>109</v>
      </c>
      <c r="T113" s="369" t="s">
        <v>794</v>
      </c>
      <c r="U113" s="146">
        <v>479742.857142857</v>
      </c>
      <c r="V113" s="146">
        <v>23987.142857143</v>
      </c>
      <c r="W113" s="146">
        <f t="shared" si="6"/>
        <v>503730</v>
      </c>
      <c r="X113" s="146">
        <v>479742.857142857</v>
      </c>
      <c r="Y113" s="146">
        <f t="shared" si="7"/>
        <v>3847.48</v>
      </c>
      <c r="Z113" s="137"/>
    </row>
    <row r="114" spans="1:26">
      <c r="A114" s="135" t="s">
        <v>351</v>
      </c>
      <c r="B114" s="136" t="s">
        <v>42</v>
      </c>
      <c r="C114" s="136" t="s">
        <v>42</v>
      </c>
      <c r="D114" s="135" t="s">
        <v>227</v>
      </c>
      <c r="E114" s="136" t="s">
        <v>795</v>
      </c>
      <c r="F114" s="136" t="s">
        <v>109</v>
      </c>
      <c r="G114" s="135" t="s">
        <v>142</v>
      </c>
      <c r="H114" s="135" t="s">
        <v>341</v>
      </c>
      <c r="I114" s="135" t="s">
        <v>232</v>
      </c>
      <c r="J114" s="136" t="s">
        <v>796</v>
      </c>
      <c r="K114" s="144">
        <v>42292</v>
      </c>
      <c r="L114" s="145">
        <v>521375</v>
      </c>
      <c r="M114" s="135" t="s">
        <v>797</v>
      </c>
      <c r="N114" s="145">
        <v>121.25</v>
      </c>
      <c r="O114" s="145" t="s">
        <v>109</v>
      </c>
      <c r="P114" s="146">
        <v>121.25</v>
      </c>
      <c r="Q114" s="146" t="s">
        <v>109</v>
      </c>
      <c r="R114" s="137" t="s">
        <v>109</v>
      </c>
      <c r="S114" s="138" t="s">
        <v>109</v>
      </c>
      <c r="T114" s="138" t="s">
        <v>798</v>
      </c>
      <c r="U114" s="146">
        <v>496547.619047619</v>
      </c>
      <c r="V114" s="146">
        <v>24827.380952381</v>
      </c>
      <c r="W114" s="146">
        <f t="shared" si="6"/>
        <v>521375</v>
      </c>
      <c r="X114" s="146">
        <v>496547.619047619</v>
      </c>
      <c r="Y114" s="146">
        <f t="shared" si="7"/>
        <v>4095.24</v>
      </c>
      <c r="Z114" s="137"/>
    </row>
    <row r="115" spans="1:26">
      <c r="A115" s="135" t="s">
        <v>799</v>
      </c>
      <c r="B115" s="136" t="s">
        <v>42</v>
      </c>
      <c r="C115" s="136" t="s">
        <v>42</v>
      </c>
      <c r="D115" s="135" t="s">
        <v>227</v>
      </c>
      <c r="E115" s="136" t="s">
        <v>800</v>
      </c>
      <c r="F115" s="136" t="s">
        <v>109</v>
      </c>
      <c r="G115" s="135" t="s">
        <v>142</v>
      </c>
      <c r="H115" s="135" t="s">
        <v>341</v>
      </c>
      <c r="I115" s="135" t="s">
        <v>232</v>
      </c>
      <c r="J115" s="136" t="s">
        <v>801</v>
      </c>
      <c r="K115" s="144">
        <v>43358</v>
      </c>
      <c r="L115" s="145">
        <v>370620</v>
      </c>
      <c r="M115" s="135" t="s">
        <v>802</v>
      </c>
      <c r="N115" s="145">
        <v>102.95</v>
      </c>
      <c r="O115" s="145" t="s">
        <v>109</v>
      </c>
      <c r="P115" s="146">
        <v>102.95</v>
      </c>
      <c r="Q115" s="146" t="s">
        <v>109</v>
      </c>
      <c r="R115" s="137" t="s">
        <v>109</v>
      </c>
      <c r="S115" s="138" t="s">
        <v>109</v>
      </c>
      <c r="T115" s="369" t="s">
        <v>803</v>
      </c>
      <c r="U115" s="146">
        <v>352971.428571429</v>
      </c>
      <c r="V115" s="146">
        <v>17648.571428571</v>
      </c>
      <c r="W115" s="146">
        <f t="shared" si="6"/>
        <v>370620</v>
      </c>
      <c r="X115" s="146">
        <v>352971.428571429</v>
      </c>
      <c r="Y115" s="146">
        <f t="shared" si="7"/>
        <v>3428.57</v>
      </c>
      <c r="Z115" s="137"/>
    </row>
    <row r="116" spans="1:26">
      <c r="A116" s="135" t="s">
        <v>804</v>
      </c>
      <c r="B116" s="136" t="s">
        <v>42</v>
      </c>
      <c r="C116" s="136" t="s">
        <v>42</v>
      </c>
      <c r="D116" s="135" t="s">
        <v>227</v>
      </c>
      <c r="E116" s="136" t="s">
        <v>805</v>
      </c>
      <c r="F116" s="136" t="s">
        <v>109</v>
      </c>
      <c r="G116" s="135" t="s">
        <v>142</v>
      </c>
      <c r="H116" s="135" t="s">
        <v>341</v>
      </c>
      <c r="I116" s="135" t="s">
        <v>232</v>
      </c>
      <c r="J116" s="136" t="s">
        <v>806</v>
      </c>
      <c r="K116" s="144">
        <v>43272</v>
      </c>
      <c r="L116" s="145">
        <v>303310</v>
      </c>
      <c r="M116" s="135" t="s">
        <v>807</v>
      </c>
      <c r="N116" s="145">
        <v>86.66</v>
      </c>
      <c r="O116" s="145" t="s">
        <v>109</v>
      </c>
      <c r="P116" s="146">
        <v>86.66</v>
      </c>
      <c r="Q116" s="146" t="s">
        <v>109</v>
      </c>
      <c r="R116" s="137" t="s">
        <v>109</v>
      </c>
      <c r="S116" s="138" t="s">
        <v>109</v>
      </c>
      <c r="T116" s="369" t="s">
        <v>808</v>
      </c>
      <c r="U116" s="146">
        <v>288866.666666667</v>
      </c>
      <c r="V116" s="146">
        <v>14443.333333333</v>
      </c>
      <c r="W116" s="146">
        <f t="shared" si="6"/>
        <v>303310</v>
      </c>
      <c r="X116" s="146">
        <v>288866.666666667</v>
      </c>
      <c r="Y116" s="146">
        <f t="shared" si="7"/>
        <v>3333.33</v>
      </c>
      <c r="Z116" s="137"/>
    </row>
    <row r="117" spans="1:26">
      <c r="A117" s="135" t="s">
        <v>809</v>
      </c>
      <c r="B117" s="136" t="s">
        <v>42</v>
      </c>
      <c r="C117" s="136" t="s">
        <v>42</v>
      </c>
      <c r="D117" s="135" t="s">
        <v>227</v>
      </c>
      <c r="E117" s="136" t="s">
        <v>810</v>
      </c>
      <c r="F117" s="136" t="s">
        <v>109</v>
      </c>
      <c r="G117" s="135" t="s">
        <v>142</v>
      </c>
      <c r="H117" s="135" t="s">
        <v>341</v>
      </c>
      <c r="I117" s="135" t="s">
        <v>232</v>
      </c>
      <c r="J117" s="136" t="s">
        <v>811</v>
      </c>
      <c r="K117" s="144">
        <v>41982</v>
      </c>
      <c r="L117" s="145">
        <v>547808</v>
      </c>
      <c r="M117" s="135" t="s">
        <v>812</v>
      </c>
      <c r="N117" s="145">
        <v>121.25</v>
      </c>
      <c r="O117" s="145" t="s">
        <v>109</v>
      </c>
      <c r="P117" s="146">
        <v>121.25</v>
      </c>
      <c r="Q117" s="146" t="s">
        <v>109</v>
      </c>
      <c r="R117" s="137" t="s">
        <v>109</v>
      </c>
      <c r="S117" s="138" t="s">
        <v>109</v>
      </c>
      <c r="T117" s="369" t="s">
        <v>813</v>
      </c>
      <c r="U117" s="146">
        <v>521721.904761905</v>
      </c>
      <c r="V117" s="146">
        <v>26086.095238095</v>
      </c>
      <c r="W117" s="146">
        <f t="shared" si="6"/>
        <v>547808</v>
      </c>
      <c r="X117" s="146">
        <v>521721.904761905</v>
      </c>
      <c r="Y117" s="146">
        <f t="shared" si="7"/>
        <v>4302.86</v>
      </c>
      <c r="Z117" s="137"/>
    </row>
    <row r="118" spans="1:26">
      <c r="A118" s="135" t="s">
        <v>814</v>
      </c>
      <c r="B118" s="136" t="s">
        <v>42</v>
      </c>
      <c r="C118" s="136" t="s">
        <v>42</v>
      </c>
      <c r="D118" s="135" t="s">
        <v>227</v>
      </c>
      <c r="E118" s="136" t="s">
        <v>815</v>
      </c>
      <c r="F118" s="136" t="s">
        <v>109</v>
      </c>
      <c r="G118" s="135" t="s">
        <v>142</v>
      </c>
      <c r="H118" s="135" t="s">
        <v>341</v>
      </c>
      <c r="I118" s="135" t="s">
        <v>232</v>
      </c>
      <c r="J118" s="136" t="s">
        <v>816</v>
      </c>
      <c r="K118" s="144">
        <v>42584</v>
      </c>
      <c r="L118" s="145">
        <v>487102</v>
      </c>
      <c r="M118" s="135" t="s">
        <v>817</v>
      </c>
      <c r="N118" s="145">
        <v>126.52</v>
      </c>
      <c r="O118" s="145" t="s">
        <v>109</v>
      </c>
      <c r="P118" s="146">
        <v>126.52</v>
      </c>
      <c r="Q118" s="146" t="s">
        <v>109</v>
      </c>
      <c r="R118" s="137" t="s">
        <v>109</v>
      </c>
      <c r="S118" s="138" t="s">
        <v>109</v>
      </c>
      <c r="T118" s="138" t="s">
        <v>818</v>
      </c>
      <c r="U118" s="146">
        <v>487102</v>
      </c>
      <c r="V118" s="146">
        <v>0</v>
      </c>
      <c r="W118" s="146">
        <f t="shared" si="6"/>
        <v>487102</v>
      </c>
      <c r="X118" s="146">
        <v>487102</v>
      </c>
      <c r="Y118" s="146">
        <f t="shared" si="7"/>
        <v>3850</v>
      </c>
      <c r="Z118" s="137"/>
    </row>
    <row r="119" spans="1:26">
      <c r="A119" s="135" t="s">
        <v>819</v>
      </c>
      <c r="B119" s="136" t="s">
        <v>42</v>
      </c>
      <c r="C119" s="136" t="s">
        <v>42</v>
      </c>
      <c r="D119" s="135" t="s">
        <v>227</v>
      </c>
      <c r="E119" s="136" t="s">
        <v>820</v>
      </c>
      <c r="F119" s="136" t="s">
        <v>109</v>
      </c>
      <c r="G119" s="135" t="s">
        <v>142</v>
      </c>
      <c r="H119" s="135" t="s">
        <v>341</v>
      </c>
      <c r="I119" s="135" t="s">
        <v>232</v>
      </c>
      <c r="J119" s="136" t="s">
        <v>821</v>
      </c>
      <c r="K119" s="144">
        <v>43073</v>
      </c>
      <c r="L119" s="145">
        <v>321100</v>
      </c>
      <c r="M119" s="135" t="s">
        <v>822</v>
      </c>
      <c r="N119" s="145">
        <v>84.5</v>
      </c>
      <c r="O119" s="145" t="s">
        <v>109</v>
      </c>
      <c r="P119" s="146">
        <v>84.5</v>
      </c>
      <c r="Q119" s="146" t="s">
        <v>109</v>
      </c>
      <c r="R119" s="137" t="s">
        <v>109</v>
      </c>
      <c r="S119" s="138" t="s">
        <v>109</v>
      </c>
      <c r="T119" s="369" t="s">
        <v>823</v>
      </c>
      <c r="U119" s="146">
        <v>305773.333333333</v>
      </c>
      <c r="V119" s="146">
        <v>15288.666666667</v>
      </c>
      <c r="W119" s="146">
        <f t="shared" si="6"/>
        <v>321062</v>
      </c>
      <c r="X119" s="146">
        <v>305773.333333333</v>
      </c>
      <c r="Y119" s="146">
        <f t="shared" si="7"/>
        <v>3618.62</v>
      </c>
      <c r="Z119" s="137"/>
    </row>
    <row r="120" spans="1:26">
      <c r="A120" s="135" t="s">
        <v>824</v>
      </c>
      <c r="B120" s="136" t="s">
        <v>42</v>
      </c>
      <c r="C120" s="136" t="s">
        <v>42</v>
      </c>
      <c r="D120" s="135" t="s">
        <v>227</v>
      </c>
      <c r="E120" s="136" t="s">
        <v>825</v>
      </c>
      <c r="F120" s="136" t="s">
        <v>109</v>
      </c>
      <c r="G120" s="135" t="s">
        <v>142</v>
      </c>
      <c r="H120" s="135" t="s">
        <v>341</v>
      </c>
      <c r="I120" s="135" t="s">
        <v>232</v>
      </c>
      <c r="J120" s="136" t="s">
        <v>826</v>
      </c>
      <c r="K120" s="144">
        <v>42359</v>
      </c>
      <c r="L120" s="145">
        <v>286880</v>
      </c>
      <c r="M120" s="135" t="s">
        <v>827</v>
      </c>
      <c r="N120" s="145">
        <v>89.65</v>
      </c>
      <c r="O120" s="145" t="s">
        <v>109</v>
      </c>
      <c r="P120" s="146">
        <v>89.65</v>
      </c>
      <c r="Q120" s="146" t="s">
        <v>109</v>
      </c>
      <c r="R120" s="137" t="s">
        <v>109</v>
      </c>
      <c r="S120" s="138" t="s">
        <v>109</v>
      </c>
      <c r="T120" s="369" t="s">
        <v>828</v>
      </c>
      <c r="U120" s="146">
        <v>273219.047619048</v>
      </c>
      <c r="V120" s="146">
        <v>13660.952380952</v>
      </c>
      <c r="W120" s="146">
        <f t="shared" si="6"/>
        <v>286880</v>
      </c>
      <c r="X120" s="146">
        <v>273219.047619048</v>
      </c>
      <c r="Y120" s="146">
        <f t="shared" si="7"/>
        <v>3047.62</v>
      </c>
      <c r="Z120" s="137"/>
    </row>
    <row r="121" spans="1:26">
      <c r="A121" s="135" t="s">
        <v>829</v>
      </c>
      <c r="B121" s="136" t="s">
        <v>42</v>
      </c>
      <c r="C121" s="136" t="s">
        <v>42</v>
      </c>
      <c r="D121" s="135" t="s">
        <v>228</v>
      </c>
      <c r="E121" s="136" t="s">
        <v>830</v>
      </c>
      <c r="F121" s="136" t="s">
        <v>109</v>
      </c>
      <c r="G121" s="135" t="s">
        <v>142</v>
      </c>
      <c r="H121" s="135" t="s">
        <v>341</v>
      </c>
      <c r="I121" s="135" t="s">
        <v>232</v>
      </c>
      <c r="J121" s="136" t="s">
        <v>831</v>
      </c>
      <c r="K121" s="144">
        <v>43174</v>
      </c>
      <c r="L121" s="145">
        <v>306841</v>
      </c>
      <c r="M121" s="135" t="s">
        <v>832</v>
      </c>
      <c r="N121" s="145">
        <v>82.93</v>
      </c>
      <c r="O121" s="145" t="s">
        <v>109</v>
      </c>
      <c r="P121" s="146">
        <v>82.93</v>
      </c>
      <c r="Q121" s="146" t="s">
        <v>109</v>
      </c>
      <c r="R121" s="137" t="s">
        <v>109</v>
      </c>
      <c r="S121" s="138" t="s">
        <v>109</v>
      </c>
      <c r="T121" s="138" t="s">
        <v>833</v>
      </c>
      <c r="U121" s="146">
        <v>292229.523809524</v>
      </c>
      <c r="V121" s="146">
        <v>14611.476190476</v>
      </c>
      <c r="W121" s="146">
        <f t="shared" si="6"/>
        <v>306841</v>
      </c>
      <c r="X121" s="146">
        <v>292229.523809524</v>
      </c>
      <c r="Y121" s="146">
        <f t="shared" si="7"/>
        <v>3523.81</v>
      </c>
      <c r="Z121" s="137"/>
    </row>
    <row r="122" spans="1:26">
      <c r="A122" s="135" t="s">
        <v>834</v>
      </c>
      <c r="B122" s="136" t="s">
        <v>42</v>
      </c>
      <c r="C122" s="136" t="s">
        <v>42</v>
      </c>
      <c r="D122" s="135" t="s">
        <v>228</v>
      </c>
      <c r="E122" s="136" t="s">
        <v>835</v>
      </c>
      <c r="F122" s="136" t="s">
        <v>109</v>
      </c>
      <c r="G122" s="135" t="s">
        <v>142</v>
      </c>
      <c r="H122" s="135" t="s">
        <v>341</v>
      </c>
      <c r="I122" s="135" t="s">
        <v>232</v>
      </c>
      <c r="J122" s="136" t="s">
        <v>836</v>
      </c>
      <c r="K122" s="144">
        <v>42598</v>
      </c>
      <c r="L122" s="145">
        <v>492788</v>
      </c>
      <c r="M122" s="135" t="s">
        <v>837</v>
      </c>
      <c r="N122" s="145">
        <v>131.41</v>
      </c>
      <c r="O122" s="145" t="s">
        <v>109</v>
      </c>
      <c r="P122" s="146">
        <v>131.41</v>
      </c>
      <c r="Q122" s="146" t="s">
        <v>109</v>
      </c>
      <c r="R122" s="137" t="s">
        <v>109</v>
      </c>
      <c r="S122" s="138" t="s">
        <v>109</v>
      </c>
      <c r="T122" s="138" t="s">
        <v>838</v>
      </c>
      <c r="U122" s="146">
        <v>492788</v>
      </c>
      <c r="V122" s="146">
        <v>0</v>
      </c>
      <c r="W122" s="146">
        <f t="shared" si="6"/>
        <v>492788</v>
      </c>
      <c r="X122" s="146">
        <v>492788</v>
      </c>
      <c r="Y122" s="146">
        <f t="shared" si="7"/>
        <v>3750</v>
      </c>
      <c r="Z122" s="137"/>
    </row>
    <row r="123" spans="1:26">
      <c r="A123" s="135" t="s">
        <v>839</v>
      </c>
      <c r="B123" s="136" t="s">
        <v>42</v>
      </c>
      <c r="C123" s="136" t="s">
        <v>42</v>
      </c>
      <c r="D123" s="135" t="s">
        <v>228</v>
      </c>
      <c r="E123" s="136" t="s">
        <v>840</v>
      </c>
      <c r="F123" s="136" t="s">
        <v>109</v>
      </c>
      <c r="G123" s="135" t="s">
        <v>142</v>
      </c>
      <c r="H123" s="135" t="s">
        <v>341</v>
      </c>
      <c r="I123" s="135" t="s">
        <v>232</v>
      </c>
      <c r="J123" s="136" t="s">
        <v>841</v>
      </c>
      <c r="K123" s="144">
        <v>43426</v>
      </c>
      <c r="L123" s="145">
        <v>510041</v>
      </c>
      <c r="M123" s="135" t="s">
        <v>842</v>
      </c>
      <c r="N123" s="145">
        <v>126.86</v>
      </c>
      <c r="O123" s="145" t="s">
        <v>109</v>
      </c>
      <c r="P123" s="146">
        <v>126.86</v>
      </c>
      <c r="Q123" s="146" t="s">
        <v>109</v>
      </c>
      <c r="R123" s="137" t="s">
        <v>109</v>
      </c>
      <c r="S123" s="138" t="s">
        <v>109</v>
      </c>
      <c r="T123" s="369" t="s">
        <v>843</v>
      </c>
      <c r="U123" s="146">
        <v>485714.285714286</v>
      </c>
      <c r="V123" s="146">
        <v>24285.714285714</v>
      </c>
      <c r="W123" s="146">
        <f t="shared" si="6"/>
        <v>510000</v>
      </c>
      <c r="X123" s="146">
        <v>485714.285714286</v>
      </c>
      <c r="Y123" s="146">
        <f t="shared" si="7"/>
        <v>3828.74</v>
      </c>
      <c r="Z123" s="137"/>
    </row>
    <row r="124" spans="1:26">
      <c r="A124" s="135" t="s">
        <v>844</v>
      </c>
      <c r="B124" s="136" t="s">
        <v>42</v>
      </c>
      <c r="C124" s="136" t="s">
        <v>42</v>
      </c>
      <c r="D124" s="135" t="s">
        <v>228</v>
      </c>
      <c r="E124" s="136" t="s">
        <v>845</v>
      </c>
      <c r="F124" s="136" t="s">
        <v>109</v>
      </c>
      <c r="G124" s="135" t="s">
        <v>142</v>
      </c>
      <c r="H124" s="135" t="s">
        <v>341</v>
      </c>
      <c r="I124" s="135" t="s">
        <v>232</v>
      </c>
      <c r="J124" s="136" t="s">
        <v>846</v>
      </c>
      <c r="K124" s="144">
        <v>42991</v>
      </c>
      <c r="L124" s="145">
        <v>370620</v>
      </c>
      <c r="M124" s="135" t="s">
        <v>847</v>
      </c>
      <c r="N124" s="145">
        <v>102.95</v>
      </c>
      <c r="O124" s="145" t="s">
        <v>109</v>
      </c>
      <c r="P124" s="146">
        <v>102.95</v>
      </c>
      <c r="Q124" s="146" t="s">
        <v>109</v>
      </c>
      <c r="R124" s="137" t="s">
        <v>109</v>
      </c>
      <c r="S124" s="138" t="s">
        <v>109</v>
      </c>
      <c r="T124" s="369" t="s">
        <v>848</v>
      </c>
      <c r="U124" s="146">
        <v>352971.428571429</v>
      </c>
      <c r="V124" s="146">
        <v>17648.571428571</v>
      </c>
      <c r="W124" s="146">
        <f t="shared" si="6"/>
        <v>370620</v>
      </c>
      <c r="X124" s="146">
        <v>352971.428571429</v>
      </c>
      <c r="Y124" s="146">
        <f t="shared" si="7"/>
        <v>3428.57</v>
      </c>
      <c r="Z124" s="137"/>
    </row>
    <row r="125" spans="1:26">
      <c r="A125" s="135" t="s">
        <v>849</v>
      </c>
      <c r="B125" s="136" t="s">
        <v>42</v>
      </c>
      <c r="C125" s="136" t="s">
        <v>42</v>
      </c>
      <c r="D125" s="135" t="s">
        <v>228</v>
      </c>
      <c r="E125" s="136" t="s">
        <v>850</v>
      </c>
      <c r="F125" s="136" t="s">
        <v>109</v>
      </c>
      <c r="G125" s="135" t="s">
        <v>142</v>
      </c>
      <c r="H125" s="135" t="s">
        <v>341</v>
      </c>
      <c r="I125" s="135" t="s">
        <v>232</v>
      </c>
      <c r="J125" s="136" t="s">
        <v>851</v>
      </c>
      <c r="K125" s="144">
        <v>42542</v>
      </c>
      <c r="L125" s="145">
        <v>277312</v>
      </c>
      <c r="M125" s="135" t="s">
        <v>852</v>
      </c>
      <c r="N125" s="145">
        <v>86.66</v>
      </c>
      <c r="O125" s="145" t="s">
        <v>109</v>
      </c>
      <c r="P125" s="146">
        <v>86.66</v>
      </c>
      <c r="Q125" s="146" t="s">
        <v>109</v>
      </c>
      <c r="R125" s="137" t="s">
        <v>109</v>
      </c>
      <c r="S125" s="138" t="s">
        <v>109</v>
      </c>
      <c r="T125" s="138" t="s">
        <v>853</v>
      </c>
      <c r="U125" s="146">
        <v>277312</v>
      </c>
      <c r="V125" s="146">
        <v>0</v>
      </c>
      <c r="W125" s="146">
        <f t="shared" si="6"/>
        <v>277312</v>
      </c>
      <c r="X125" s="146">
        <v>277312</v>
      </c>
      <c r="Y125" s="146">
        <f t="shared" si="7"/>
        <v>3200</v>
      </c>
      <c r="Z125" s="137"/>
    </row>
    <row r="126" spans="1:26">
      <c r="A126" s="135" t="s">
        <v>854</v>
      </c>
      <c r="B126" s="136" t="s">
        <v>42</v>
      </c>
      <c r="C126" s="136" t="s">
        <v>42</v>
      </c>
      <c r="D126" s="135" t="s">
        <v>228</v>
      </c>
      <c r="E126" s="136" t="s">
        <v>855</v>
      </c>
      <c r="F126" s="136" t="s">
        <v>109</v>
      </c>
      <c r="G126" s="135" t="s">
        <v>142</v>
      </c>
      <c r="H126" s="135" t="s">
        <v>341</v>
      </c>
      <c r="I126" s="135" t="s">
        <v>232</v>
      </c>
      <c r="J126" s="136" t="s">
        <v>856</v>
      </c>
      <c r="K126" s="144">
        <v>42311</v>
      </c>
      <c r="L126" s="145">
        <v>530275</v>
      </c>
      <c r="M126" s="135" t="s">
        <v>857</v>
      </c>
      <c r="N126" s="145">
        <v>126.86</v>
      </c>
      <c r="O126" s="145" t="s">
        <v>109</v>
      </c>
      <c r="P126" s="146">
        <v>126.86</v>
      </c>
      <c r="Q126" s="146" t="s">
        <v>109</v>
      </c>
      <c r="R126" s="137" t="s">
        <v>109</v>
      </c>
      <c r="S126" s="138" t="s">
        <v>109</v>
      </c>
      <c r="T126" s="138" t="s">
        <v>858</v>
      </c>
      <c r="U126" s="146">
        <v>504983.80952381</v>
      </c>
      <c r="V126" s="146">
        <v>25249.19047619</v>
      </c>
      <c r="W126" s="146">
        <f t="shared" si="6"/>
        <v>530233</v>
      </c>
      <c r="X126" s="146">
        <v>504983.80952381</v>
      </c>
      <c r="Y126" s="146">
        <f t="shared" si="7"/>
        <v>3980.64</v>
      </c>
      <c r="Z126" s="137"/>
    </row>
    <row r="127" spans="1:26">
      <c r="A127" s="135" t="s">
        <v>859</v>
      </c>
      <c r="B127" s="136" t="s">
        <v>42</v>
      </c>
      <c r="C127" s="136" t="s">
        <v>42</v>
      </c>
      <c r="D127" s="135" t="s">
        <v>228</v>
      </c>
      <c r="E127" s="136" t="s">
        <v>860</v>
      </c>
      <c r="F127" s="136" t="s">
        <v>109</v>
      </c>
      <c r="G127" s="135" t="s">
        <v>142</v>
      </c>
      <c r="H127" s="135" t="s">
        <v>341</v>
      </c>
      <c r="I127" s="135" t="s">
        <v>232</v>
      </c>
      <c r="J127" s="136" t="s">
        <v>861</v>
      </c>
      <c r="K127" s="144">
        <v>42459</v>
      </c>
      <c r="L127" s="145">
        <v>453016</v>
      </c>
      <c r="M127" s="135" t="s">
        <v>862</v>
      </c>
      <c r="N127" s="145">
        <v>133.24</v>
      </c>
      <c r="O127" s="145" t="s">
        <v>109</v>
      </c>
      <c r="P127" s="146">
        <v>133.24</v>
      </c>
      <c r="Q127" s="146" t="s">
        <v>109</v>
      </c>
      <c r="R127" s="137" t="s">
        <v>109</v>
      </c>
      <c r="S127" s="138" t="s">
        <v>109</v>
      </c>
      <c r="T127" s="138" t="s">
        <v>863</v>
      </c>
      <c r="U127" s="146">
        <v>431443.80952381</v>
      </c>
      <c r="V127" s="146">
        <v>21572.19047619</v>
      </c>
      <c r="W127" s="146">
        <f t="shared" si="6"/>
        <v>453016</v>
      </c>
      <c r="X127" s="146">
        <v>431443.80952381</v>
      </c>
      <c r="Y127" s="146">
        <f t="shared" si="7"/>
        <v>3238.1</v>
      </c>
      <c r="Z127" s="137"/>
    </row>
    <row r="128" spans="1:26">
      <c r="A128" s="135" t="s">
        <v>864</v>
      </c>
      <c r="B128" s="136" t="s">
        <v>42</v>
      </c>
      <c r="C128" s="136" t="s">
        <v>42</v>
      </c>
      <c r="D128" s="135" t="s">
        <v>228</v>
      </c>
      <c r="E128" s="136" t="s">
        <v>865</v>
      </c>
      <c r="F128" s="136" t="s">
        <v>109</v>
      </c>
      <c r="G128" s="135" t="s">
        <v>142</v>
      </c>
      <c r="H128" s="135" t="s">
        <v>341</v>
      </c>
      <c r="I128" s="135" t="s">
        <v>232</v>
      </c>
      <c r="J128" s="136" t="s">
        <v>866</v>
      </c>
      <c r="K128" s="144">
        <v>42459</v>
      </c>
      <c r="L128" s="145">
        <v>287300</v>
      </c>
      <c r="M128" s="135" t="s">
        <v>867</v>
      </c>
      <c r="N128" s="145">
        <v>84.5</v>
      </c>
      <c r="O128" s="145" t="s">
        <v>109</v>
      </c>
      <c r="P128" s="146">
        <v>84.5</v>
      </c>
      <c r="Q128" s="146" t="s">
        <v>109</v>
      </c>
      <c r="R128" s="137" t="s">
        <v>109</v>
      </c>
      <c r="S128" s="138" t="s">
        <v>109</v>
      </c>
      <c r="T128" s="138" t="s">
        <v>868</v>
      </c>
      <c r="U128" s="146">
        <v>273586.666666667</v>
      </c>
      <c r="V128" s="146">
        <v>13679.333333333</v>
      </c>
      <c r="W128" s="146">
        <f t="shared" si="6"/>
        <v>287266</v>
      </c>
      <c r="X128" s="146">
        <v>273586.666666667</v>
      </c>
      <c r="Y128" s="146">
        <f t="shared" si="7"/>
        <v>3237.71</v>
      </c>
      <c r="Z128" s="137"/>
    </row>
    <row r="129" spans="1:26">
      <c r="A129" s="135" t="s">
        <v>869</v>
      </c>
      <c r="B129" s="136" t="s">
        <v>42</v>
      </c>
      <c r="C129" s="136" t="s">
        <v>42</v>
      </c>
      <c r="D129" s="135" t="s">
        <v>228</v>
      </c>
      <c r="E129" s="136" t="s">
        <v>870</v>
      </c>
      <c r="F129" s="136" t="s">
        <v>109</v>
      </c>
      <c r="G129" s="135" t="s">
        <v>142</v>
      </c>
      <c r="H129" s="135" t="s">
        <v>341</v>
      </c>
      <c r="I129" s="135" t="s">
        <v>232</v>
      </c>
      <c r="J129" s="136" t="s">
        <v>871</v>
      </c>
      <c r="K129" s="144">
        <v>42429</v>
      </c>
      <c r="L129" s="145">
        <v>358600</v>
      </c>
      <c r="M129" s="135" t="s">
        <v>872</v>
      </c>
      <c r="N129" s="145">
        <v>89.65</v>
      </c>
      <c r="O129" s="145" t="s">
        <v>109</v>
      </c>
      <c r="P129" s="146">
        <v>89.65</v>
      </c>
      <c r="Q129" s="146" t="s">
        <v>109</v>
      </c>
      <c r="R129" s="137" t="s">
        <v>109</v>
      </c>
      <c r="S129" s="138" t="s">
        <v>109</v>
      </c>
      <c r="T129" s="369" t="s">
        <v>873</v>
      </c>
      <c r="U129" s="146">
        <v>341523.80952381</v>
      </c>
      <c r="V129" s="146">
        <v>17076.19047619</v>
      </c>
      <c r="W129" s="146">
        <f t="shared" si="6"/>
        <v>358600</v>
      </c>
      <c r="X129" s="146">
        <v>341523.80952381</v>
      </c>
      <c r="Y129" s="146">
        <f t="shared" si="7"/>
        <v>3809.52</v>
      </c>
      <c r="Z129" s="137"/>
    </row>
    <row r="130" spans="1:26">
      <c r="A130" s="135" t="s">
        <v>874</v>
      </c>
      <c r="B130" s="136" t="s">
        <v>42</v>
      </c>
      <c r="C130" s="136" t="s">
        <v>42</v>
      </c>
      <c r="D130" s="135" t="s">
        <v>229</v>
      </c>
      <c r="E130" s="136" t="s">
        <v>875</v>
      </c>
      <c r="F130" s="136" t="s">
        <v>109</v>
      </c>
      <c r="G130" s="135" t="s">
        <v>142</v>
      </c>
      <c r="H130" s="135" t="s">
        <v>341</v>
      </c>
      <c r="I130" s="135" t="s">
        <v>232</v>
      </c>
      <c r="J130" s="136" t="s">
        <v>876</v>
      </c>
      <c r="K130" s="144">
        <v>43027</v>
      </c>
      <c r="L130" s="145">
        <v>306841</v>
      </c>
      <c r="M130" s="135" t="s">
        <v>877</v>
      </c>
      <c r="N130" s="145">
        <v>82.93</v>
      </c>
      <c r="O130" s="145" t="s">
        <v>109</v>
      </c>
      <c r="P130" s="146">
        <v>82.93</v>
      </c>
      <c r="Q130" s="146" t="s">
        <v>109</v>
      </c>
      <c r="R130" s="137" t="s">
        <v>109</v>
      </c>
      <c r="S130" s="138" t="s">
        <v>109</v>
      </c>
      <c r="T130" s="138" t="s">
        <v>878</v>
      </c>
      <c r="U130" s="146">
        <v>292229.523809524</v>
      </c>
      <c r="V130" s="146">
        <v>14611.476190476</v>
      </c>
      <c r="W130" s="146">
        <f t="shared" si="6"/>
        <v>306841</v>
      </c>
      <c r="X130" s="146">
        <v>292229.523809524</v>
      </c>
      <c r="Y130" s="146">
        <f t="shared" si="7"/>
        <v>3523.81</v>
      </c>
      <c r="Z130" s="137"/>
    </row>
    <row r="131" spans="1:26">
      <c r="A131" s="135" t="s">
        <v>879</v>
      </c>
      <c r="B131" s="136" t="s">
        <v>42</v>
      </c>
      <c r="C131" s="136" t="s">
        <v>42</v>
      </c>
      <c r="D131" s="135" t="s">
        <v>229</v>
      </c>
      <c r="E131" s="136" t="s">
        <v>880</v>
      </c>
      <c r="F131" s="136" t="s">
        <v>109</v>
      </c>
      <c r="G131" s="135" t="s">
        <v>142</v>
      </c>
      <c r="H131" s="135" t="s">
        <v>341</v>
      </c>
      <c r="I131" s="135" t="s">
        <v>232</v>
      </c>
      <c r="J131" s="136" t="s">
        <v>881</v>
      </c>
      <c r="K131" s="144">
        <v>42334</v>
      </c>
      <c r="L131" s="145">
        <v>509982</v>
      </c>
      <c r="M131" s="135" t="s">
        <v>882</v>
      </c>
      <c r="N131" s="145">
        <v>124.69</v>
      </c>
      <c r="O131" s="145" t="s">
        <v>109</v>
      </c>
      <c r="P131" s="146">
        <v>124.69</v>
      </c>
      <c r="Q131" s="146" t="s">
        <v>109</v>
      </c>
      <c r="R131" s="137" t="s">
        <v>109</v>
      </c>
      <c r="S131" s="138" t="s">
        <v>109</v>
      </c>
      <c r="T131" s="369" t="s">
        <v>883</v>
      </c>
      <c r="U131" s="146">
        <v>485697.142857143</v>
      </c>
      <c r="V131" s="146">
        <v>24284.857142857</v>
      </c>
      <c r="W131" s="146">
        <f t="shared" si="6"/>
        <v>509982</v>
      </c>
      <c r="X131" s="146">
        <v>485697.142857143</v>
      </c>
      <c r="Y131" s="146">
        <f t="shared" si="7"/>
        <v>3895.24</v>
      </c>
      <c r="Z131" s="137"/>
    </row>
    <row r="132" spans="1:26">
      <c r="A132" s="135" t="s">
        <v>884</v>
      </c>
      <c r="B132" s="136" t="s">
        <v>42</v>
      </c>
      <c r="C132" s="136" t="s">
        <v>42</v>
      </c>
      <c r="D132" s="135" t="s">
        <v>229</v>
      </c>
      <c r="E132" s="136" t="s">
        <v>885</v>
      </c>
      <c r="F132" s="136" t="s">
        <v>109</v>
      </c>
      <c r="G132" s="135" t="s">
        <v>142</v>
      </c>
      <c r="H132" s="135" t="s">
        <v>341</v>
      </c>
      <c r="I132" s="135" t="s">
        <v>232</v>
      </c>
      <c r="J132" s="136" t="s">
        <v>886</v>
      </c>
      <c r="K132" s="144">
        <v>42163</v>
      </c>
      <c r="L132" s="145">
        <v>363750</v>
      </c>
      <c r="M132" s="135" t="s">
        <v>887</v>
      </c>
      <c r="N132" s="145">
        <v>121.25</v>
      </c>
      <c r="O132" s="145" t="s">
        <v>109</v>
      </c>
      <c r="P132" s="146">
        <v>121.25</v>
      </c>
      <c r="Q132" s="146" t="s">
        <v>109</v>
      </c>
      <c r="R132" s="137" t="s">
        <v>109</v>
      </c>
      <c r="S132" s="138" t="s">
        <v>109</v>
      </c>
      <c r="T132" s="138" t="s">
        <v>888</v>
      </c>
      <c r="U132" s="146">
        <v>346428.75</v>
      </c>
      <c r="V132" s="146">
        <v>17321.43</v>
      </c>
      <c r="W132" s="146">
        <f t="shared" si="6"/>
        <v>363750.18</v>
      </c>
      <c r="X132" s="146">
        <v>346428.75</v>
      </c>
      <c r="Y132" s="146">
        <f t="shared" si="7"/>
        <v>2857.14</v>
      </c>
      <c r="Z132" s="137"/>
    </row>
    <row r="133" spans="1:26">
      <c r="A133" s="135" t="s">
        <v>889</v>
      </c>
      <c r="B133" s="136" t="s">
        <v>42</v>
      </c>
      <c r="C133" s="136" t="s">
        <v>42</v>
      </c>
      <c r="D133" s="135" t="s">
        <v>229</v>
      </c>
      <c r="E133" s="136" t="s">
        <v>890</v>
      </c>
      <c r="F133" s="136" t="s">
        <v>109</v>
      </c>
      <c r="G133" s="135" t="s">
        <v>142</v>
      </c>
      <c r="H133" s="135" t="s">
        <v>341</v>
      </c>
      <c r="I133" s="135" t="s">
        <v>232</v>
      </c>
      <c r="J133" s="136" t="s">
        <v>891</v>
      </c>
      <c r="K133" s="144">
        <v>42590</v>
      </c>
      <c r="L133" s="145">
        <v>370620</v>
      </c>
      <c r="M133" s="135" t="s">
        <v>892</v>
      </c>
      <c r="N133" s="145">
        <v>102.95</v>
      </c>
      <c r="O133" s="145" t="s">
        <v>109</v>
      </c>
      <c r="P133" s="146">
        <v>102.95</v>
      </c>
      <c r="Q133" s="146" t="s">
        <v>109</v>
      </c>
      <c r="R133" s="137" t="s">
        <v>109</v>
      </c>
      <c r="S133" s="138" t="s">
        <v>109</v>
      </c>
      <c r="T133" s="369" t="s">
        <v>893</v>
      </c>
      <c r="U133" s="146">
        <v>352971.428571429</v>
      </c>
      <c r="V133" s="146">
        <v>17648.571428571</v>
      </c>
      <c r="W133" s="146">
        <f t="shared" si="6"/>
        <v>370620</v>
      </c>
      <c r="X133" s="146">
        <v>352971.428571429</v>
      </c>
      <c r="Y133" s="146">
        <f t="shared" si="7"/>
        <v>3428.57</v>
      </c>
      <c r="Z133" s="137"/>
    </row>
    <row r="134" spans="1:26">
      <c r="A134" s="135" t="s">
        <v>894</v>
      </c>
      <c r="B134" s="136" t="s">
        <v>42</v>
      </c>
      <c r="C134" s="136" t="s">
        <v>42</v>
      </c>
      <c r="D134" s="135" t="s">
        <v>229</v>
      </c>
      <c r="E134" s="136" t="s">
        <v>895</v>
      </c>
      <c r="F134" s="136" t="s">
        <v>109</v>
      </c>
      <c r="G134" s="135" t="s">
        <v>142</v>
      </c>
      <c r="H134" s="135" t="s">
        <v>341</v>
      </c>
      <c r="I134" s="135" t="s">
        <v>232</v>
      </c>
      <c r="J134" s="136" t="s">
        <v>896</v>
      </c>
      <c r="K134" s="144">
        <v>42832</v>
      </c>
      <c r="L134" s="145">
        <v>324975</v>
      </c>
      <c r="M134" s="135" t="s">
        <v>897</v>
      </c>
      <c r="N134" s="145">
        <v>86.66</v>
      </c>
      <c r="O134" s="145" t="s">
        <v>109</v>
      </c>
      <c r="P134" s="146">
        <v>86.66</v>
      </c>
      <c r="Q134" s="146" t="s">
        <v>109</v>
      </c>
      <c r="R134" s="137" t="s">
        <v>109</v>
      </c>
      <c r="S134" s="138" t="s">
        <v>109</v>
      </c>
      <c r="T134" s="369" t="s">
        <v>898</v>
      </c>
      <c r="U134" s="146">
        <v>309500</v>
      </c>
      <c r="V134" s="146">
        <v>15475</v>
      </c>
      <c r="W134" s="146">
        <f t="shared" si="6"/>
        <v>324975</v>
      </c>
      <c r="X134" s="146">
        <v>309500</v>
      </c>
      <c r="Y134" s="146">
        <f t="shared" si="7"/>
        <v>3571.43</v>
      </c>
      <c r="Z134" s="137"/>
    </row>
    <row r="135" spans="1:26">
      <c r="A135" s="135" t="s">
        <v>899</v>
      </c>
      <c r="B135" s="136" t="s">
        <v>42</v>
      </c>
      <c r="C135" s="136" t="s">
        <v>42</v>
      </c>
      <c r="D135" s="135" t="s">
        <v>229</v>
      </c>
      <c r="E135" s="136" t="s">
        <v>900</v>
      </c>
      <c r="F135" s="136" t="s">
        <v>109</v>
      </c>
      <c r="G135" s="135" t="s">
        <v>142</v>
      </c>
      <c r="H135" s="135" t="s">
        <v>341</v>
      </c>
      <c r="I135" s="135" t="s">
        <v>232</v>
      </c>
      <c r="J135" s="136" t="s">
        <v>901</v>
      </c>
      <c r="K135" s="144">
        <v>42342</v>
      </c>
      <c r="L135" s="145">
        <v>497125</v>
      </c>
      <c r="M135" s="135" t="s">
        <v>902</v>
      </c>
      <c r="N135" s="145">
        <v>121.25</v>
      </c>
      <c r="O135" s="145" t="s">
        <v>109</v>
      </c>
      <c r="P135" s="146">
        <v>121.25</v>
      </c>
      <c r="Q135" s="146" t="s">
        <v>109</v>
      </c>
      <c r="R135" s="137" t="s">
        <v>109</v>
      </c>
      <c r="S135" s="138" t="s">
        <v>109</v>
      </c>
      <c r="T135" s="369" t="s">
        <v>903</v>
      </c>
      <c r="U135" s="146">
        <v>473452.380952381</v>
      </c>
      <c r="V135" s="146">
        <v>23672.619047619</v>
      </c>
      <c r="W135" s="146">
        <f t="shared" si="6"/>
        <v>497125</v>
      </c>
      <c r="X135" s="146">
        <v>473452.380952381</v>
      </c>
      <c r="Y135" s="146">
        <f t="shared" si="7"/>
        <v>3904.76</v>
      </c>
      <c r="Z135" s="137"/>
    </row>
    <row r="136" spans="1:26">
      <c r="A136" s="135" t="s">
        <v>904</v>
      </c>
      <c r="B136" s="136" t="s">
        <v>42</v>
      </c>
      <c r="C136" s="136" t="s">
        <v>42</v>
      </c>
      <c r="D136" s="135" t="s">
        <v>229</v>
      </c>
      <c r="E136" s="136" t="s">
        <v>905</v>
      </c>
      <c r="F136" s="136" t="s">
        <v>109</v>
      </c>
      <c r="G136" s="135" t="s">
        <v>142</v>
      </c>
      <c r="H136" s="135" t="s">
        <v>341</v>
      </c>
      <c r="I136" s="135" t="s">
        <v>232</v>
      </c>
      <c r="J136" s="136" t="s">
        <v>906</v>
      </c>
      <c r="K136" s="144">
        <v>42655</v>
      </c>
      <c r="L136" s="145">
        <v>404864</v>
      </c>
      <c r="M136" s="135" t="s">
        <v>907</v>
      </c>
      <c r="N136" s="145">
        <v>126.52</v>
      </c>
      <c r="O136" s="145" t="s">
        <v>109</v>
      </c>
      <c r="P136" s="146">
        <v>126.52</v>
      </c>
      <c r="Q136" s="146" t="s">
        <v>109</v>
      </c>
      <c r="R136" s="137" t="s">
        <v>109</v>
      </c>
      <c r="S136" s="138" t="s">
        <v>109</v>
      </c>
      <c r="T136" s="369" t="s">
        <v>908</v>
      </c>
      <c r="U136" s="146">
        <v>385584.761904762</v>
      </c>
      <c r="V136" s="146">
        <v>19279.238095238</v>
      </c>
      <c r="W136" s="146">
        <f t="shared" ref="W136:W195" si="8">SUM(U136)+SUM(V136)</f>
        <v>404864</v>
      </c>
      <c r="X136" s="146">
        <v>385584.761904762</v>
      </c>
      <c r="Y136" s="146">
        <f t="shared" ref="Y136:Y195" si="9">IF(SUM(P136)=0,"",ROUND(SUM(X136)/SUM(P136),2))</f>
        <v>3047.62</v>
      </c>
      <c r="Z136" s="137"/>
    </row>
    <row r="137" spans="1:26">
      <c r="A137" s="135" t="s">
        <v>909</v>
      </c>
      <c r="B137" s="136" t="s">
        <v>42</v>
      </c>
      <c r="C137" s="136" t="s">
        <v>42</v>
      </c>
      <c r="D137" s="135" t="s">
        <v>229</v>
      </c>
      <c r="E137" s="136" t="s">
        <v>910</v>
      </c>
      <c r="F137" s="136" t="s">
        <v>109</v>
      </c>
      <c r="G137" s="135" t="s">
        <v>142</v>
      </c>
      <c r="H137" s="135" t="s">
        <v>341</v>
      </c>
      <c r="I137" s="135" t="s">
        <v>232</v>
      </c>
      <c r="J137" s="136" t="s">
        <v>911</v>
      </c>
      <c r="K137" s="144">
        <v>43460</v>
      </c>
      <c r="L137" s="145">
        <v>303355</v>
      </c>
      <c r="M137" s="135" t="s">
        <v>912</v>
      </c>
      <c r="N137" s="145">
        <v>84.5</v>
      </c>
      <c r="O137" s="145" t="s">
        <v>109</v>
      </c>
      <c r="P137" s="146">
        <v>84.5</v>
      </c>
      <c r="Q137" s="146" t="s">
        <v>109</v>
      </c>
      <c r="R137" s="137" t="s">
        <v>109</v>
      </c>
      <c r="S137" s="138" t="s">
        <v>109</v>
      </c>
      <c r="T137" s="369" t="s">
        <v>913</v>
      </c>
      <c r="U137" s="146">
        <v>288875.238095238</v>
      </c>
      <c r="V137" s="146">
        <v>14443.761904762</v>
      </c>
      <c r="W137" s="146">
        <f t="shared" si="8"/>
        <v>303319</v>
      </c>
      <c r="X137" s="146">
        <v>288875.238095238</v>
      </c>
      <c r="Y137" s="146">
        <f t="shared" si="9"/>
        <v>3418.64</v>
      </c>
      <c r="Z137" s="137"/>
    </row>
    <row r="138" spans="1:26">
      <c r="A138" s="135" t="s">
        <v>914</v>
      </c>
      <c r="B138" s="136" t="s">
        <v>42</v>
      </c>
      <c r="C138" s="136" t="s">
        <v>42</v>
      </c>
      <c r="D138" s="135" t="s">
        <v>229</v>
      </c>
      <c r="E138" s="136" t="s">
        <v>915</v>
      </c>
      <c r="F138" s="136" t="s">
        <v>109</v>
      </c>
      <c r="G138" s="135" t="s">
        <v>142</v>
      </c>
      <c r="H138" s="135" t="s">
        <v>341</v>
      </c>
      <c r="I138" s="135" t="s">
        <v>232</v>
      </c>
      <c r="J138" s="136" t="s">
        <v>916</v>
      </c>
      <c r="K138" s="144">
        <v>42423</v>
      </c>
      <c r="L138" s="145">
        <v>376530</v>
      </c>
      <c r="M138" s="135" t="s">
        <v>917</v>
      </c>
      <c r="N138" s="145">
        <v>89.65</v>
      </c>
      <c r="O138" s="145" t="s">
        <v>109</v>
      </c>
      <c r="P138" s="146">
        <v>89.65</v>
      </c>
      <c r="Q138" s="146" t="s">
        <v>109</v>
      </c>
      <c r="R138" s="137" t="s">
        <v>109</v>
      </c>
      <c r="S138" s="138" t="s">
        <v>109</v>
      </c>
      <c r="T138" s="138" t="s">
        <v>918</v>
      </c>
      <c r="U138" s="146">
        <v>376530</v>
      </c>
      <c r="V138" s="146">
        <v>0</v>
      </c>
      <c r="W138" s="146">
        <f t="shared" si="8"/>
        <v>376530</v>
      </c>
      <c r="X138" s="146">
        <v>376530</v>
      </c>
      <c r="Y138" s="146">
        <f t="shared" si="9"/>
        <v>4200</v>
      </c>
      <c r="Z138" s="137"/>
    </row>
    <row r="139" spans="1:26">
      <c r="A139" s="135" t="s">
        <v>919</v>
      </c>
      <c r="B139" s="136" t="s">
        <v>42</v>
      </c>
      <c r="C139" s="136" t="s">
        <v>42</v>
      </c>
      <c r="D139" s="135" t="s">
        <v>257</v>
      </c>
      <c r="E139" s="136" t="s">
        <v>920</v>
      </c>
      <c r="F139" s="136" t="s">
        <v>109</v>
      </c>
      <c r="G139" s="135" t="s">
        <v>142</v>
      </c>
      <c r="H139" s="135" t="s">
        <v>341</v>
      </c>
      <c r="I139" s="135" t="s">
        <v>232</v>
      </c>
      <c r="J139" s="136" t="s">
        <v>921</v>
      </c>
      <c r="K139" s="144">
        <v>42517</v>
      </c>
      <c r="L139" s="145">
        <v>306841</v>
      </c>
      <c r="M139" s="135" t="s">
        <v>922</v>
      </c>
      <c r="N139" s="145">
        <v>82.93</v>
      </c>
      <c r="O139" s="145" t="s">
        <v>109</v>
      </c>
      <c r="P139" s="146">
        <v>82.93</v>
      </c>
      <c r="Q139" s="146" t="s">
        <v>109</v>
      </c>
      <c r="R139" s="137" t="s">
        <v>109</v>
      </c>
      <c r="S139" s="138" t="s">
        <v>109</v>
      </c>
      <c r="T139" s="138" t="s">
        <v>923</v>
      </c>
      <c r="U139" s="146">
        <v>292229.523809524</v>
      </c>
      <c r="V139" s="146">
        <v>14611.476190476</v>
      </c>
      <c r="W139" s="146">
        <f t="shared" si="8"/>
        <v>306841</v>
      </c>
      <c r="X139" s="146">
        <v>292229.523809524</v>
      </c>
      <c r="Y139" s="146">
        <f t="shared" si="9"/>
        <v>3523.81</v>
      </c>
      <c r="Z139" s="137"/>
    </row>
    <row r="140" spans="1:26">
      <c r="A140" s="135" t="s">
        <v>924</v>
      </c>
      <c r="B140" s="136" t="s">
        <v>42</v>
      </c>
      <c r="C140" s="136" t="s">
        <v>42</v>
      </c>
      <c r="D140" s="135" t="s">
        <v>257</v>
      </c>
      <c r="E140" s="136" t="s">
        <v>925</v>
      </c>
      <c r="F140" s="136" t="s">
        <v>109</v>
      </c>
      <c r="G140" s="135" t="s">
        <v>142</v>
      </c>
      <c r="H140" s="135" t="s">
        <v>341</v>
      </c>
      <c r="I140" s="135" t="s">
        <v>232</v>
      </c>
      <c r="J140" s="136" t="s">
        <v>926</v>
      </c>
      <c r="K140" s="144">
        <v>42521</v>
      </c>
      <c r="L140" s="145">
        <v>394230</v>
      </c>
      <c r="M140" s="135" t="s">
        <v>927</v>
      </c>
      <c r="N140" s="145">
        <v>131.41</v>
      </c>
      <c r="O140" s="145" t="s">
        <v>109</v>
      </c>
      <c r="P140" s="146">
        <v>131.41</v>
      </c>
      <c r="Q140" s="146" t="s">
        <v>109</v>
      </c>
      <c r="R140" s="137" t="s">
        <v>109</v>
      </c>
      <c r="S140" s="138" t="s">
        <v>109</v>
      </c>
      <c r="T140" s="369" t="s">
        <v>928</v>
      </c>
      <c r="U140" s="146">
        <v>394230</v>
      </c>
      <c r="V140" s="146">
        <v>0</v>
      </c>
      <c r="W140" s="146">
        <f t="shared" si="8"/>
        <v>394230</v>
      </c>
      <c r="X140" s="146">
        <v>394230</v>
      </c>
      <c r="Y140" s="146">
        <f t="shared" si="9"/>
        <v>3000</v>
      </c>
      <c r="Z140" s="137"/>
    </row>
    <row r="141" spans="1:26">
      <c r="A141" s="135" t="s">
        <v>929</v>
      </c>
      <c r="B141" s="136" t="s">
        <v>42</v>
      </c>
      <c r="C141" s="136" t="s">
        <v>42</v>
      </c>
      <c r="D141" s="135" t="s">
        <v>257</v>
      </c>
      <c r="E141" s="136" t="s">
        <v>930</v>
      </c>
      <c r="F141" s="136" t="s">
        <v>109</v>
      </c>
      <c r="G141" s="135" t="s">
        <v>142</v>
      </c>
      <c r="H141" s="135" t="s">
        <v>341</v>
      </c>
      <c r="I141" s="135" t="s">
        <v>232</v>
      </c>
      <c r="J141" s="136" t="s">
        <v>931</v>
      </c>
      <c r="K141" s="144">
        <v>42297</v>
      </c>
      <c r="L141" s="145">
        <v>507440</v>
      </c>
      <c r="M141" s="135" t="s">
        <v>932</v>
      </c>
      <c r="N141" s="145">
        <v>126.86</v>
      </c>
      <c r="O141" s="145" t="s">
        <v>109</v>
      </c>
      <c r="P141" s="146">
        <v>126.86</v>
      </c>
      <c r="Q141" s="146" t="s">
        <v>109</v>
      </c>
      <c r="R141" s="137" t="s">
        <v>109</v>
      </c>
      <c r="S141" s="138" t="s">
        <v>109</v>
      </c>
      <c r="T141" s="369" t="s">
        <v>933</v>
      </c>
      <c r="U141" s="146">
        <v>483238.095238095</v>
      </c>
      <c r="V141" s="146">
        <v>24161.904761905</v>
      </c>
      <c r="W141" s="146">
        <f t="shared" si="8"/>
        <v>507400</v>
      </c>
      <c r="X141" s="146">
        <v>483238.095238095</v>
      </c>
      <c r="Y141" s="146">
        <f t="shared" si="9"/>
        <v>3809.22</v>
      </c>
      <c r="Z141" s="137"/>
    </row>
    <row r="142" spans="1:26">
      <c r="A142" s="135" t="s">
        <v>934</v>
      </c>
      <c r="B142" s="136" t="s">
        <v>42</v>
      </c>
      <c r="C142" s="136" t="s">
        <v>42</v>
      </c>
      <c r="D142" s="135" t="s">
        <v>257</v>
      </c>
      <c r="E142" s="136" t="s">
        <v>935</v>
      </c>
      <c r="F142" s="136" t="s">
        <v>109</v>
      </c>
      <c r="G142" s="135" t="s">
        <v>142</v>
      </c>
      <c r="H142" s="135" t="s">
        <v>341</v>
      </c>
      <c r="I142" s="135" t="s">
        <v>232</v>
      </c>
      <c r="J142" s="136" t="s">
        <v>936</v>
      </c>
      <c r="K142" s="144">
        <v>42797</v>
      </c>
      <c r="L142" s="145">
        <v>389151</v>
      </c>
      <c r="M142" s="135" t="s">
        <v>937</v>
      </c>
      <c r="N142" s="145">
        <v>102.95</v>
      </c>
      <c r="O142" s="145" t="s">
        <v>109</v>
      </c>
      <c r="P142" s="146">
        <v>102.95</v>
      </c>
      <c r="Q142" s="146" t="s">
        <v>109</v>
      </c>
      <c r="R142" s="137" t="s">
        <v>109</v>
      </c>
      <c r="S142" s="138" t="s">
        <v>109</v>
      </c>
      <c r="T142" s="369" t="s">
        <v>938</v>
      </c>
      <c r="U142" s="146">
        <v>370620</v>
      </c>
      <c r="V142" s="146">
        <v>18531</v>
      </c>
      <c r="W142" s="146">
        <f t="shared" si="8"/>
        <v>389151</v>
      </c>
      <c r="X142" s="146">
        <v>370620</v>
      </c>
      <c r="Y142" s="146">
        <f t="shared" si="9"/>
        <v>3600</v>
      </c>
      <c r="Z142" s="137"/>
    </row>
    <row r="143" spans="1:26">
      <c r="A143" s="135" t="s">
        <v>939</v>
      </c>
      <c r="B143" s="136" t="s">
        <v>42</v>
      </c>
      <c r="C143" s="136" t="s">
        <v>42</v>
      </c>
      <c r="D143" s="135" t="s">
        <v>257</v>
      </c>
      <c r="E143" s="136" t="s">
        <v>940</v>
      </c>
      <c r="F143" s="136" t="s">
        <v>109</v>
      </c>
      <c r="G143" s="135" t="s">
        <v>142</v>
      </c>
      <c r="H143" s="135" t="s">
        <v>341</v>
      </c>
      <c r="I143" s="135" t="s">
        <v>232</v>
      </c>
      <c r="J143" s="136" t="s">
        <v>941</v>
      </c>
      <c r="K143" s="144">
        <v>42731</v>
      </c>
      <c r="L143" s="145">
        <v>337974</v>
      </c>
      <c r="M143" s="135" t="s">
        <v>942</v>
      </c>
      <c r="N143" s="145">
        <v>86.66</v>
      </c>
      <c r="O143" s="145" t="s">
        <v>109</v>
      </c>
      <c r="P143" s="146">
        <v>86.66</v>
      </c>
      <c r="Q143" s="146" t="s">
        <v>109</v>
      </c>
      <c r="R143" s="137" t="s">
        <v>109</v>
      </c>
      <c r="S143" s="138" t="s">
        <v>109</v>
      </c>
      <c r="T143" s="138" t="s">
        <v>943</v>
      </c>
      <c r="U143" s="146">
        <v>280613.333333333</v>
      </c>
      <c r="V143" s="146">
        <v>14030.666666667</v>
      </c>
      <c r="W143" s="146">
        <f t="shared" si="8"/>
        <v>294644</v>
      </c>
      <c r="X143" s="146">
        <v>280613.333333333</v>
      </c>
      <c r="Y143" s="146">
        <f t="shared" si="9"/>
        <v>3238.1</v>
      </c>
      <c r="Z143" s="137"/>
    </row>
    <row r="144" spans="1:26">
      <c r="A144" s="135" t="s">
        <v>944</v>
      </c>
      <c r="B144" s="136" t="s">
        <v>42</v>
      </c>
      <c r="C144" s="136" t="s">
        <v>42</v>
      </c>
      <c r="D144" s="135" t="s">
        <v>257</v>
      </c>
      <c r="E144" s="136" t="s">
        <v>945</v>
      </c>
      <c r="F144" s="136" t="s">
        <v>109</v>
      </c>
      <c r="G144" s="135" t="s">
        <v>142</v>
      </c>
      <c r="H144" s="135" t="s">
        <v>341</v>
      </c>
      <c r="I144" s="135" t="s">
        <v>232</v>
      </c>
      <c r="J144" s="136" t="s">
        <v>946</v>
      </c>
      <c r="K144" s="144">
        <v>42267</v>
      </c>
      <c r="L144" s="145">
        <v>630494</v>
      </c>
      <c r="M144" s="135" t="s">
        <v>947</v>
      </c>
      <c r="N144" s="145">
        <v>126.86</v>
      </c>
      <c r="O144" s="145" t="s">
        <v>109</v>
      </c>
      <c r="P144" s="146">
        <v>126.86</v>
      </c>
      <c r="Q144" s="146" t="s">
        <v>109</v>
      </c>
      <c r="R144" s="137" t="s">
        <v>109</v>
      </c>
      <c r="S144" s="138" t="s">
        <v>109</v>
      </c>
      <c r="T144" s="138" t="s">
        <v>948</v>
      </c>
      <c r="U144" s="146">
        <v>600423.809523809</v>
      </c>
      <c r="V144" s="146">
        <v>30021.190476191</v>
      </c>
      <c r="W144" s="146">
        <f t="shared" si="8"/>
        <v>630445</v>
      </c>
      <c r="X144" s="146">
        <v>600423.809523809</v>
      </c>
      <c r="Y144" s="146">
        <f t="shared" si="9"/>
        <v>4732.96</v>
      </c>
      <c r="Z144" s="137"/>
    </row>
    <row r="145" spans="1:26">
      <c r="A145" s="135" t="s">
        <v>949</v>
      </c>
      <c r="B145" s="136" t="s">
        <v>42</v>
      </c>
      <c r="C145" s="136" t="s">
        <v>42</v>
      </c>
      <c r="D145" s="135" t="s">
        <v>257</v>
      </c>
      <c r="E145" s="136" t="s">
        <v>950</v>
      </c>
      <c r="F145" s="136" t="s">
        <v>109</v>
      </c>
      <c r="G145" s="135" t="s">
        <v>142</v>
      </c>
      <c r="H145" s="135" t="s">
        <v>341</v>
      </c>
      <c r="I145" s="135" t="s">
        <v>232</v>
      </c>
      <c r="J145" s="136" t="s">
        <v>951</v>
      </c>
      <c r="K145" s="144">
        <v>42706</v>
      </c>
      <c r="L145" s="145">
        <v>519636</v>
      </c>
      <c r="M145" s="135" t="s">
        <v>952</v>
      </c>
      <c r="N145" s="145">
        <v>133.24</v>
      </c>
      <c r="O145" s="145" t="s">
        <v>109</v>
      </c>
      <c r="P145" s="146">
        <v>133.24</v>
      </c>
      <c r="Q145" s="146" t="s">
        <v>109</v>
      </c>
      <c r="R145" s="137" t="s">
        <v>109</v>
      </c>
      <c r="S145" s="138" t="s">
        <v>109</v>
      </c>
      <c r="T145" s="138" t="s">
        <v>953</v>
      </c>
      <c r="U145" s="146">
        <v>494891.428571429</v>
      </c>
      <c r="V145" s="146">
        <v>24744.571428571</v>
      </c>
      <c r="W145" s="146">
        <f t="shared" si="8"/>
        <v>519636</v>
      </c>
      <c r="X145" s="146">
        <v>494891.428571429</v>
      </c>
      <c r="Y145" s="146">
        <f t="shared" si="9"/>
        <v>3714.29</v>
      </c>
      <c r="Z145" s="137"/>
    </row>
    <row r="146" spans="1:26">
      <c r="A146" s="135" t="s">
        <v>954</v>
      </c>
      <c r="B146" s="136" t="s">
        <v>42</v>
      </c>
      <c r="C146" s="136" t="s">
        <v>42</v>
      </c>
      <c r="D146" s="135" t="s">
        <v>257</v>
      </c>
      <c r="E146" s="136" t="s">
        <v>955</v>
      </c>
      <c r="F146" s="136" t="s">
        <v>109</v>
      </c>
      <c r="G146" s="135" t="s">
        <v>142</v>
      </c>
      <c r="H146" s="135" t="s">
        <v>341</v>
      </c>
      <c r="I146" s="135" t="s">
        <v>232</v>
      </c>
      <c r="J146" s="136" t="s">
        <v>956</v>
      </c>
      <c r="K146" s="144">
        <v>42800</v>
      </c>
      <c r="L146" s="145">
        <v>312650</v>
      </c>
      <c r="M146" s="135" t="s">
        <v>957</v>
      </c>
      <c r="N146" s="145">
        <v>84.5</v>
      </c>
      <c r="O146" s="145" t="s">
        <v>109</v>
      </c>
      <c r="P146" s="146">
        <v>84.5</v>
      </c>
      <c r="Q146" s="146" t="s">
        <v>109</v>
      </c>
      <c r="R146" s="137" t="s">
        <v>109</v>
      </c>
      <c r="S146" s="138" t="s">
        <v>109</v>
      </c>
      <c r="T146" s="369" t="s">
        <v>958</v>
      </c>
      <c r="U146" s="146">
        <v>297726.666666667</v>
      </c>
      <c r="V146" s="146">
        <v>14886.333333333</v>
      </c>
      <c r="W146" s="146">
        <f t="shared" si="8"/>
        <v>312613</v>
      </c>
      <c r="X146" s="146">
        <v>297726.666666667</v>
      </c>
      <c r="Y146" s="146">
        <f t="shared" si="9"/>
        <v>3523.39</v>
      </c>
      <c r="Z146" s="137"/>
    </row>
    <row r="147" spans="1:26">
      <c r="A147" s="135" t="s">
        <v>959</v>
      </c>
      <c r="B147" s="136" t="s">
        <v>42</v>
      </c>
      <c r="C147" s="136" t="s">
        <v>42</v>
      </c>
      <c r="D147" s="135" t="s">
        <v>257</v>
      </c>
      <c r="E147" s="136" t="s">
        <v>960</v>
      </c>
      <c r="F147" s="136" t="s">
        <v>109</v>
      </c>
      <c r="G147" s="135" t="s">
        <v>142</v>
      </c>
      <c r="H147" s="135" t="s">
        <v>341</v>
      </c>
      <c r="I147" s="135" t="s">
        <v>232</v>
      </c>
      <c r="J147" s="136" t="s">
        <v>961</v>
      </c>
      <c r="K147" s="144">
        <v>42342</v>
      </c>
      <c r="L147" s="145">
        <v>286880</v>
      </c>
      <c r="M147" s="135" t="s">
        <v>962</v>
      </c>
      <c r="N147" s="145">
        <v>89.65</v>
      </c>
      <c r="O147" s="145" t="s">
        <v>109</v>
      </c>
      <c r="P147" s="146">
        <v>89.65</v>
      </c>
      <c r="Q147" s="146" t="s">
        <v>109</v>
      </c>
      <c r="R147" s="137" t="s">
        <v>109</v>
      </c>
      <c r="S147" s="138" t="s">
        <v>109</v>
      </c>
      <c r="T147" s="138" t="s">
        <v>963</v>
      </c>
      <c r="U147" s="146">
        <v>273219.047619048</v>
      </c>
      <c r="V147" s="146">
        <v>13660.952380952</v>
      </c>
      <c r="W147" s="146">
        <f t="shared" si="8"/>
        <v>286880</v>
      </c>
      <c r="X147" s="146">
        <v>273219.047619048</v>
      </c>
      <c r="Y147" s="146">
        <f t="shared" si="9"/>
        <v>3047.62</v>
      </c>
      <c r="Z147" s="137"/>
    </row>
    <row r="148" spans="1:26">
      <c r="A148" s="135" t="s">
        <v>964</v>
      </c>
      <c r="B148" s="136" t="s">
        <v>42</v>
      </c>
      <c r="C148" s="136" t="s">
        <v>42</v>
      </c>
      <c r="D148" s="135" t="s">
        <v>258</v>
      </c>
      <c r="E148" s="136" t="s">
        <v>965</v>
      </c>
      <c r="F148" s="136" t="s">
        <v>109</v>
      </c>
      <c r="G148" s="135" t="s">
        <v>142</v>
      </c>
      <c r="H148" s="135" t="s">
        <v>341</v>
      </c>
      <c r="I148" s="135" t="s">
        <v>232</v>
      </c>
      <c r="J148" s="136" t="s">
        <v>966</v>
      </c>
      <c r="K148" s="144">
        <v>42522</v>
      </c>
      <c r="L148" s="145">
        <v>296549</v>
      </c>
      <c r="M148" s="135" t="s">
        <v>967</v>
      </c>
      <c r="N148" s="145">
        <v>82.93</v>
      </c>
      <c r="O148" s="145" t="s">
        <v>109</v>
      </c>
      <c r="P148" s="146">
        <v>82.93</v>
      </c>
      <c r="Q148" s="146" t="s">
        <v>109</v>
      </c>
      <c r="R148" s="137" t="s">
        <v>109</v>
      </c>
      <c r="S148" s="138" t="s">
        <v>109</v>
      </c>
      <c r="T148" s="138" t="s">
        <v>968</v>
      </c>
      <c r="U148" s="146">
        <v>296548</v>
      </c>
      <c r="V148" s="146">
        <v>0</v>
      </c>
      <c r="W148" s="146">
        <f t="shared" si="8"/>
        <v>296548</v>
      </c>
      <c r="X148" s="146">
        <v>296548</v>
      </c>
      <c r="Y148" s="146">
        <f t="shared" si="9"/>
        <v>3575.88</v>
      </c>
      <c r="Z148" s="137"/>
    </row>
    <row r="149" spans="1:26">
      <c r="A149" s="135" t="s">
        <v>969</v>
      </c>
      <c r="B149" s="136" t="s">
        <v>42</v>
      </c>
      <c r="C149" s="136" t="s">
        <v>42</v>
      </c>
      <c r="D149" s="135" t="s">
        <v>258</v>
      </c>
      <c r="E149" s="136" t="s">
        <v>970</v>
      </c>
      <c r="F149" s="136" t="s">
        <v>109</v>
      </c>
      <c r="G149" s="135" t="s">
        <v>142</v>
      </c>
      <c r="H149" s="135" t="s">
        <v>341</v>
      </c>
      <c r="I149" s="135" t="s">
        <v>232</v>
      </c>
      <c r="J149" s="136" t="s">
        <v>971</v>
      </c>
      <c r="K149" s="144">
        <v>41841</v>
      </c>
      <c r="L149" s="145">
        <v>399008</v>
      </c>
      <c r="M149" s="135" t="s">
        <v>972</v>
      </c>
      <c r="N149" s="145">
        <v>124.69</v>
      </c>
      <c r="O149" s="145" t="s">
        <v>109</v>
      </c>
      <c r="P149" s="146">
        <v>124.69</v>
      </c>
      <c r="Q149" s="146" t="s">
        <v>109</v>
      </c>
      <c r="R149" s="137" t="s">
        <v>109</v>
      </c>
      <c r="S149" s="138" t="s">
        <v>109</v>
      </c>
      <c r="T149" s="138" t="s">
        <v>973</v>
      </c>
      <c r="U149" s="146">
        <v>380007.619047619</v>
      </c>
      <c r="V149" s="146">
        <v>19000.380952381</v>
      </c>
      <c r="W149" s="146">
        <f t="shared" si="8"/>
        <v>399008</v>
      </c>
      <c r="X149" s="146">
        <v>380007.619047619</v>
      </c>
      <c r="Y149" s="146">
        <f t="shared" si="9"/>
        <v>3047.62</v>
      </c>
      <c r="Z149" s="137"/>
    </row>
    <row r="150" spans="1:26">
      <c r="A150" s="135" t="s">
        <v>974</v>
      </c>
      <c r="B150" s="136" t="s">
        <v>42</v>
      </c>
      <c r="C150" s="136" t="s">
        <v>42</v>
      </c>
      <c r="D150" s="135" t="s">
        <v>258</v>
      </c>
      <c r="E150" s="136" t="s">
        <v>975</v>
      </c>
      <c r="F150" s="136" t="s">
        <v>109</v>
      </c>
      <c r="G150" s="135" t="s">
        <v>142</v>
      </c>
      <c r="H150" s="135" t="s">
        <v>341</v>
      </c>
      <c r="I150" s="135" t="s">
        <v>232</v>
      </c>
      <c r="J150" s="136" t="s">
        <v>976</v>
      </c>
      <c r="K150" s="144">
        <v>42234</v>
      </c>
      <c r="L150" s="145">
        <v>485000</v>
      </c>
      <c r="M150" s="135" t="s">
        <v>977</v>
      </c>
      <c r="N150" s="145">
        <v>121.25</v>
      </c>
      <c r="O150" s="145" t="s">
        <v>109</v>
      </c>
      <c r="P150" s="146">
        <v>121.25</v>
      </c>
      <c r="Q150" s="146" t="s">
        <v>109</v>
      </c>
      <c r="R150" s="137" t="s">
        <v>109</v>
      </c>
      <c r="S150" s="138" t="s">
        <v>109</v>
      </c>
      <c r="T150" s="369" t="s">
        <v>978</v>
      </c>
      <c r="U150" s="146">
        <v>461904.761904762</v>
      </c>
      <c r="V150" s="146">
        <v>23095.238095238</v>
      </c>
      <c r="W150" s="146">
        <f t="shared" si="8"/>
        <v>485000</v>
      </c>
      <c r="X150" s="146">
        <v>461904.761904762</v>
      </c>
      <c r="Y150" s="146">
        <f t="shared" si="9"/>
        <v>3809.52</v>
      </c>
      <c r="Z150" s="137"/>
    </row>
    <row r="151" spans="1:26">
      <c r="A151" s="135" t="s">
        <v>979</v>
      </c>
      <c r="B151" s="136" t="s">
        <v>42</v>
      </c>
      <c r="C151" s="136" t="s">
        <v>42</v>
      </c>
      <c r="D151" s="135" t="s">
        <v>258</v>
      </c>
      <c r="E151" s="136" t="s">
        <v>980</v>
      </c>
      <c r="F151" s="136" t="s">
        <v>109</v>
      </c>
      <c r="G151" s="135" t="s">
        <v>142</v>
      </c>
      <c r="H151" s="135" t="s">
        <v>341</v>
      </c>
      <c r="I151" s="135" t="s">
        <v>232</v>
      </c>
      <c r="J151" s="136" t="s">
        <v>981</v>
      </c>
      <c r="K151" s="144">
        <v>42619</v>
      </c>
      <c r="L151" s="145">
        <v>350030</v>
      </c>
      <c r="M151" s="135" t="s">
        <v>982</v>
      </c>
      <c r="N151" s="145">
        <v>102.95</v>
      </c>
      <c r="O151" s="145" t="s">
        <v>109</v>
      </c>
      <c r="P151" s="146">
        <v>102.95</v>
      </c>
      <c r="Q151" s="146" t="s">
        <v>109</v>
      </c>
      <c r="R151" s="137" t="s">
        <v>109</v>
      </c>
      <c r="S151" s="138" t="s">
        <v>109</v>
      </c>
      <c r="T151" s="138" t="s">
        <v>983</v>
      </c>
      <c r="U151" s="146">
        <v>350030</v>
      </c>
      <c r="V151" s="146">
        <v>0</v>
      </c>
      <c r="W151" s="146">
        <f t="shared" si="8"/>
        <v>350030</v>
      </c>
      <c r="X151" s="146">
        <v>350030</v>
      </c>
      <c r="Y151" s="146">
        <f t="shared" si="9"/>
        <v>3400</v>
      </c>
      <c r="Z151" s="137"/>
    </row>
    <row r="152" spans="1:26">
      <c r="A152" s="135" t="s">
        <v>984</v>
      </c>
      <c r="B152" s="136" t="s">
        <v>42</v>
      </c>
      <c r="C152" s="136" t="s">
        <v>42</v>
      </c>
      <c r="D152" s="135" t="s">
        <v>258</v>
      </c>
      <c r="E152" s="136" t="s">
        <v>985</v>
      </c>
      <c r="F152" s="136" t="s">
        <v>109</v>
      </c>
      <c r="G152" s="135" t="s">
        <v>142</v>
      </c>
      <c r="H152" s="135" t="s">
        <v>341</v>
      </c>
      <c r="I152" s="135" t="s">
        <v>232</v>
      </c>
      <c r="J152" s="136" t="s">
        <v>986</v>
      </c>
      <c r="K152" s="144">
        <v>43069</v>
      </c>
      <c r="L152" s="145">
        <v>320642</v>
      </c>
      <c r="M152" s="135" t="s">
        <v>987</v>
      </c>
      <c r="N152" s="145">
        <v>86.66</v>
      </c>
      <c r="O152" s="145" t="s">
        <v>109</v>
      </c>
      <c r="P152" s="146">
        <v>86.66</v>
      </c>
      <c r="Q152" s="146" t="s">
        <v>109</v>
      </c>
      <c r="R152" s="137" t="s">
        <v>109</v>
      </c>
      <c r="S152" s="138" t="s">
        <v>109</v>
      </c>
      <c r="T152" s="369" t="s">
        <v>988</v>
      </c>
      <c r="U152" s="146">
        <v>288866.666666667</v>
      </c>
      <c r="V152" s="146">
        <v>14443.333333333</v>
      </c>
      <c r="W152" s="146">
        <f t="shared" si="8"/>
        <v>303310</v>
      </c>
      <c r="X152" s="146">
        <v>288866.666666667</v>
      </c>
      <c r="Y152" s="146">
        <f t="shared" si="9"/>
        <v>3333.33</v>
      </c>
      <c r="Z152" s="137"/>
    </row>
    <row r="153" spans="1:26">
      <c r="A153" s="135" t="s">
        <v>989</v>
      </c>
      <c r="B153" s="136" t="s">
        <v>42</v>
      </c>
      <c r="C153" s="136" t="s">
        <v>42</v>
      </c>
      <c r="D153" s="135" t="s">
        <v>258</v>
      </c>
      <c r="E153" s="136" t="s">
        <v>990</v>
      </c>
      <c r="F153" s="136" t="s">
        <v>109</v>
      </c>
      <c r="G153" s="135" t="s">
        <v>142</v>
      </c>
      <c r="H153" s="135" t="s">
        <v>341</v>
      </c>
      <c r="I153" s="135" t="s">
        <v>232</v>
      </c>
      <c r="J153" s="136" t="s">
        <v>991</v>
      </c>
      <c r="K153" s="144">
        <v>42335</v>
      </c>
      <c r="L153" s="145">
        <v>463515</v>
      </c>
      <c r="M153" s="135" t="s">
        <v>992</v>
      </c>
      <c r="N153" s="145">
        <v>121.25</v>
      </c>
      <c r="O153" s="145" t="s">
        <v>109</v>
      </c>
      <c r="P153" s="146">
        <v>121.25</v>
      </c>
      <c r="Q153" s="146" t="s">
        <v>109</v>
      </c>
      <c r="R153" s="137" t="s">
        <v>109</v>
      </c>
      <c r="S153" s="138" t="s">
        <v>109</v>
      </c>
      <c r="T153" s="369" t="s">
        <v>993</v>
      </c>
      <c r="U153" s="146">
        <v>441442.857142857</v>
      </c>
      <c r="V153" s="146">
        <v>22072.142857143</v>
      </c>
      <c r="W153" s="146">
        <f t="shared" si="8"/>
        <v>463515</v>
      </c>
      <c r="X153" s="146">
        <v>441442.857142857</v>
      </c>
      <c r="Y153" s="146">
        <f t="shared" si="9"/>
        <v>3640.77</v>
      </c>
      <c r="Z153" s="137"/>
    </row>
    <row r="154" spans="1:26">
      <c r="A154" s="135" t="s">
        <v>994</v>
      </c>
      <c r="B154" s="136" t="s">
        <v>42</v>
      </c>
      <c r="C154" s="136" t="s">
        <v>42</v>
      </c>
      <c r="D154" s="135" t="s">
        <v>258</v>
      </c>
      <c r="E154" s="136" t="s">
        <v>995</v>
      </c>
      <c r="F154" s="136" t="s">
        <v>109</v>
      </c>
      <c r="G154" s="135" t="s">
        <v>142</v>
      </c>
      <c r="H154" s="135" t="s">
        <v>341</v>
      </c>
      <c r="I154" s="135" t="s">
        <v>232</v>
      </c>
      <c r="J154" s="136" t="s">
        <v>996</v>
      </c>
      <c r="K154" s="144">
        <v>42287</v>
      </c>
      <c r="L154" s="145">
        <v>506080</v>
      </c>
      <c r="M154" s="135" t="s">
        <v>997</v>
      </c>
      <c r="N154" s="145">
        <v>126.52</v>
      </c>
      <c r="O154" s="145" t="s">
        <v>109</v>
      </c>
      <c r="P154" s="146">
        <v>126.52</v>
      </c>
      <c r="Q154" s="146" t="s">
        <v>109</v>
      </c>
      <c r="R154" s="137" t="s">
        <v>109</v>
      </c>
      <c r="S154" s="138" t="s">
        <v>109</v>
      </c>
      <c r="T154" s="369" t="s">
        <v>998</v>
      </c>
      <c r="U154" s="146">
        <v>481980.952380952</v>
      </c>
      <c r="V154" s="146">
        <v>24099.047619048</v>
      </c>
      <c r="W154" s="146">
        <f t="shared" si="8"/>
        <v>506080</v>
      </c>
      <c r="X154" s="146">
        <v>481980.952380952</v>
      </c>
      <c r="Y154" s="146">
        <f t="shared" si="9"/>
        <v>3809.52</v>
      </c>
      <c r="Z154" s="137"/>
    </row>
    <row r="155" spans="1:26">
      <c r="A155" s="135" t="s">
        <v>999</v>
      </c>
      <c r="B155" s="136" t="s">
        <v>42</v>
      </c>
      <c r="C155" s="136" t="s">
        <v>42</v>
      </c>
      <c r="D155" s="135" t="s">
        <v>258</v>
      </c>
      <c r="E155" s="136" t="s">
        <v>1000</v>
      </c>
      <c r="F155" s="136" t="s">
        <v>109</v>
      </c>
      <c r="G155" s="135" t="s">
        <v>142</v>
      </c>
      <c r="H155" s="135" t="s">
        <v>341</v>
      </c>
      <c r="I155" s="135" t="s">
        <v>232</v>
      </c>
      <c r="J155" s="136" t="s">
        <v>1001</v>
      </c>
      <c r="K155" s="144">
        <v>42913</v>
      </c>
      <c r="L155" s="145">
        <v>354900</v>
      </c>
      <c r="M155" s="135" t="s">
        <v>1002</v>
      </c>
      <c r="N155" s="145">
        <v>84.5</v>
      </c>
      <c r="O155" s="145" t="s">
        <v>109</v>
      </c>
      <c r="P155" s="146">
        <v>84.5</v>
      </c>
      <c r="Q155" s="146" t="s">
        <v>109</v>
      </c>
      <c r="R155" s="137" t="s">
        <v>109</v>
      </c>
      <c r="S155" s="138" t="s">
        <v>109</v>
      </c>
      <c r="T155" s="369" t="s">
        <v>1003</v>
      </c>
      <c r="U155" s="146">
        <v>337960</v>
      </c>
      <c r="V155" s="146">
        <v>16898</v>
      </c>
      <c r="W155" s="146">
        <f t="shared" si="8"/>
        <v>354858</v>
      </c>
      <c r="X155" s="146">
        <v>337960</v>
      </c>
      <c r="Y155" s="146">
        <f t="shared" si="9"/>
        <v>3999.53</v>
      </c>
      <c r="Z155" s="137"/>
    </row>
    <row r="156" spans="1:26">
      <c r="A156" s="135" t="s">
        <v>1004</v>
      </c>
      <c r="B156" s="136" t="s">
        <v>42</v>
      </c>
      <c r="C156" s="136" t="s">
        <v>42</v>
      </c>
      <c r="D156" s="135" t="s">
        <v>258</v>
      </c>
      <c r="E156" s="136" t="s">
        <v>1005</v>
      </c>
      <c r="F156" s="136" t="s">
        <v>109</v>
      </c>
      <c r="G156" s="135" t="s">
        <v>142</v>
      </c>
      <c r="H156" s="135" t="s">
        <v>341</v>
      </c>
      <c r="I156" s="135" t="s">
        <v>232</v>
      </c>
      <c r="J156" s="136" t="s">
        <v>1006</v>
      </c>
      <c r="K156" s="144">
        <v>42886</v>
      </c>
      <c r="L156" s="145">
        <v>336188</v>
      </c>
      <c r="M156" s="135" t="s">
        <v>1007</v>
      </c>
      <c r="N156" s="145">
        <v>89.65</v>
      </c>
      <c r="O156" s="145" t="s">
        <v>109</v>
      </c>
      <c r="P156" s="146">
        <v>89.65</v>
      </c>
      <c r="Q156" s="146" t="s">
        <v>109</v>
      </c>
      <c r="R156" s="137" t="s">
        <v>109</v>
      </c>
      <c r="S156" s="138" t="s">
        <v>109</v>
      </c>
      <c r="T156" s="369" t="s">
        <v>1008</v>
      </c>
      <c r="U156" s="146">
        <v>320179.047619048</v>
      </c>
      <c r="V156" s="146">
        <v>16008.952380952</v>
      </c>
      <c r="W156" s="146">
        <f t="shared" si="8"/>
        <v>336188</v>
      </c>
      <c r="X156" s="146">
        <v>320179.047619048</v>
      </c>
      <c r="Y156" s="146">
        <f t="shared" si="9"/>
        <v>3571.43</v>
      </c>
      <c r="Z156" s="137"/>
    </row>
    <row r="157" spans="1:26">
      <c r="A157" s="135" t="s">
        <v>1009</v>
      </c>
      <c r="B157" s="136" t="s">
        <v>42</v>
      </c>
      <c r="C157" s="136" t="s">
        <v>42</v>
      </c>
      <c r="D157" s="135" t="s">
        <v>259</v>
      </c>
      <c r="E157" s="136" t="s">
        <v>1010</v>
      </c>
      <c r="F157" s="136" t="s">
        <v>109</v>
      </c>
      <c r="G157" s="135" t="s">
        <v>142</v>
      </c>
      <c r="H157" s="135" t="s">
        <v>341</v>
      </c>
      <c r="I157" s="135" t="s">
        <v>232</v>
      </c>
      <c r="J157" s="136" t="s">
        <v>1011</v>
      </c>
      <c r="K157" s="144">
        <v>43418</v>
      </c>
      <c r="L157" s="145">
        <v>290255</v>
      </c>
      <c r="M157" s="135" t="s">
        <v>1012</v>
      </c>
      <c r="N157" s="145">
        <v>82.93</v>
      </c>
      <c r="O157" s="145" t="s">
        <v>109</v>
      </c>
      <c r="P157" s="146">
        <v>82.93</v>
      </c>
      <c r="Q157" s="146" t="s">
        <v>109</v>
      </c>
      <c r="R157" s="137" t="s">
        <v>109</v>
      </c>
      <c r="S157" s="138" t="s">
        <v>109</v>
      </c>
      <c r="T157" s="369" t="s">
        <v>1013</v>
      </c>
      <c r="U157" s="146">
        <v>276433.333333333</v>
      </c>
      <c r="V157" s="146">
        <v>13821.666666667</v>
      </c>
      <c r="W157" s="146">
        <f t="shared" si="8"/>
        <v>290255</v>
      </c>
      <c r="X157" s="146">
        <v>276433.333333333</v>
      </c>
      <c r="Y157" s="146">
        <f t="shared" si="9"/>
        <v>3333.33</v>
      </c>
      <c r="Z157" s="137"/>
    </row>
    <row r="158" spans="1:26">
      <c r="A158" s="135" t="s">
        <v>1014</v>
      </c>
      <c r="B158" s="136" t="s">
        <v>42</v>
      </c>
      <c r="C158" s="136" t="s">
        <v>42</v>
      </c>
      <c r="D158" s="135" t="s">
        <v>259</v>
      </c>
      <c r="E158" s="136" t="s">
        <v>1015</v>
      </c>
      <c r="F158" s="136" t="s">
        <v>109</v>
      </c>
      <c r="G158" s="135" t="s">
        <v>142</v>
      </c>
      <c r="H158" s="135" t="s">
        <v>341</v>
      </c>
      <c r="I158" s="135" t="s">
        <v>232</v>
      </c>
      <c r="J158" s="136" t="s">
        <v>1016</v>
      </c>
      <c r="K158" s="144">
        <v>43326</v>
      </c>
      <c r="L158" s="145">
        <v>486217</v>
      </c>
      <c r="M158" s="135" t="s">
        <v>1017</v>
      </c>
      <c r="N158" s="145">
        <v>131.41</v>
      </c>
      <c r="O158" s="145" t="s">
        <v>109</v>
      </c>
      <c r="P158" s="146">
        <v>131.41</v>
      </c>
      <c r="Q158" s="146" t="s">
        <v>109</v>
      </c>
      <c r="R158" s="137" t="s">
        <v>109</v>
      </c>
      <c r="S158" s="138" t="s">
        <v>109</v>
      </c>
      <c r="T158" s="369" t="s">
        <v>1018</v>
      </c>
      <c r="U158" s="146">
        <v>463063.80952381</v>
      </c>
      <c r="V158" s="146">
        <v>23153.19047619</v>
      </c>
      <c r="W158" s="146">
        <f t="shared" si="8"/>
        <v>486217</v>
      </c>
      <c r="X158" s="146">
        <v>463063.80952381</v>
      </c>
      <c r="Y158" s="146">
        <f t="shared" si="9"/>
        <v>3523.81</v>
      </c>
      <c r="Z158" s="137"/>
    </row>
    <row r="159" ht="23.8" spans="1:26">
      <c r="A159" s="135" t="s">
        <v>1019</v>
      </c>
      <c r="B159" s="136" t="s">
        <v>42</v>
      </c>
      <c r="C159" s="136" t="s">
        <v>42</v>
      </c>
      <c r="D159" s="135" t="s">
        <v>259</v>
      </c>
      <c r="E159" s="136" t="s">
        <v>1020</v>
      </c>
      <c r="F159" s="136" t="s">
        <v>109</v>
      </c>
      <c r="G159" s="135" t="s">
        <v>142</v>
      </c>
      <c r="H159" s="135" t="s">
        <v>341</v>
      </c>
      <c r="I159" s="135" t="s">
        <v>232</v>
      </c>
      <c r="J159" s="136" t="s">
        <v>1021</v>
      </c>
      <c r="K159" s="144">
        <v>42704</v>
      </c>
      <c r="L159" s="145">
        <v>473946</v>
      </c>
      <c r="M159" s="135" t="s">
        <v>1022</v>
      </c>
      <c r="N159" s="145">
        <v>126.86</v>
      </c>
      <c r="O159" s="145" t="s">
        <v>109</v>
      </c>
      <c r="P159" s="146">
        <v>126.86</v>
      </c>
      <c r="Q159" s="146" t="s">
        <v>109</v>
      </c>
      <c r="R159" s="137" t="s">
        <v>109</v>
      </c>
      <c r="S159" s="138" t="s">
        <v>109</v>
      </c>
      <c r="T159" s="138" t="s">
        <v>1023</v>
      </c>
      <c r="U159" s="146">
        <v>451341.904761905</v>
      </c>
      <c r="V159" s="146">
        <v>22567.095238095</v>
      </c>
      <c r="W159" s="146">
        <f t="shared" si="8"/>
        <v>473909</v>
      </c>
      <c r="X159" s="146">
        <v>451341.904761905</v>
      </c>
      <c r="Y159" s="146">
        <f t="shared" si="9"/>
        <v>3557.8</v>
      </c>
      <c r="Z159" s="137"/>
    </row>
    <row r="160" spans="1:26">
      <c r="A160" s="135" t="s">
        <v>1024</v>
      </c>
      <c r="B160" s="136" t="s">
        <v>42</v>
      </c>
      <c r="C160" s="136" t="s">
        <v>42</v>
      </c>
      <c r="D160" s="135" t="s">
        <v>259</v>
      </c>
      <c r="E160" s="136" t="s">
        <v>1025</v>
      </c>
      <c r="F160" s="136" t="s">
        <v>109</v>
      </c>
      <c r="G160" s="135" t="s">
        <v>142</v>
      </c>
      <c r="H160" s="135" t="s">
        <v>341</v>
      </c>
      <c r="I160" s="135" t="s">
        <v>232</v>
      </c>
      <c r="J160" s="136" t="s">
        <v>1026</v>
      </c>
      <c r="K160" s="144">
        <v>42837</v>
      </c>
      <c r="L160" s="145">
        <v>386063</v>
      </c>
      <c r="M160" s="135" t="s">
        <v>1027</v>
      </c>
      <c r="N160" s="145">
        <v>102.95</v>
      </c>
      <c r="O160" s="145" t="s">
        <v>109</v>
      </c>
      <c r="P160" s="146">
        <v>102.95</v>
      </c>
      <c r="Q160" s="146" t="s">
        <v>109</v>
      </c>
      <c r="R160" s="137" t="s">
        <v>109</v>
      </c>
      <c r="S160" s="138" t="s">
        <v>109</v>
      </c>
      <c r="T160" s="369" t="s">
        <v>1028</v>
      </c>
      <c r="U160" s="146">
        <v>367678.095238095</v>
      </c>
      <c r="V160" s="146">
        <v>18383.904761905</v>
      </c>
      <c r="W160" s="146">
        <f t="shared" si="8"/>
        <v>386062</v>
      </c>
      <c r="X160" s="146">
        <v>367678.095238095</v>
      </c>
      <c r="Y160" s="146">
        <f t="shared" si="9"/>
        <v>3571.42</v>
      </c>
      <c r="Z160" s="137"/>
    </row>
    <row r="161" spans="1:26">
      <c r="A161" s="135" t="s">
        <v>1029</v>
      </c>
      <c r="B161" s="136" t="s">
        <v>42</v>
      </c>
      <c r="C161" s="136" t="s">
        <v>42</v>
      </c>
      <c r="D161" s="135" t="s">
        <v>259</v>
      </c>
      <c r="E161" s="136" t="s">
        <v>1030</v>
      </c>
      <c r="F161" s="136" t="s">
        <v>109</v>
      </c>
      <c r="G161" s="135" t="s">
        <v>142</v>
      </c>
      <c r="H161" s="135" t="s">
        <v>341</v>
      </c>
      <c r="I161" s="135" t="s">
        <v>232</v>
      </c>
      <c r="J161" s="136" t="s">
        <v>1031</v>
      </c>
      <c r="K161" s="144">
        <v>42045</v>
      </c>
      <c r="L161" s="145">
        <v>437633</v>
      </c>
      <c r="M161" s="135" t="s">
        <v>1032</v>
      </c>
      <c r="N161" s="145">
        <v>86.66</v>
      </c>
      <c r="O161" s="145" t="s">
        <v>109</v>
      </c>
      <c r="P161" s="146">
        <v>86.66</v>
      </c>
      <c r="Q161" s="146" t="s">
        <v>109</v>
      </c>
      <c r="R161" s="137" t="s">
        <v>109</v>
      </c>
      <c r="S161" s="138" t="s">
        <v>109</v>
      </c>
      <c r="T161" s="369" t="s">
        <v>1033</v>
      </c>
      <c r="U161" s="146">
        <v>437633</v>
      </c>
      <c r="V161" s="146">
        <v>0</v>
      </c>
      <c r="W161" s="146">
        <f t="shared" si="8"/>
        <v>437633</v>
      </c>
      <c r="X161" s="146">
        <v>437633</v>
      </c>
      <c r="Y161" s="146">
        <f t="shared" si="9"/>
        <v>5050</v>
      </c>
      <c r="Z161" s="137"/>
    </row>
    <row r="162" spans="1:26">
      <c r="A162" s="135" t="s">
        <v>1034</v>
      </c>
      <c r="B162" s="136" t="s">
        <v>42</v>
      </c>
      <c r="C162" s="136" t="s">
        <v>42</v>
      </c>
      <c r="D162" s="135" t="s">
        <v>259</v>
      </c>
      <c r="E162" s="136" t="s">
        <v>1035</v>
      </c>
      <c r="F162" s="136" t="s">
        <v>109</v>
      </c>
      <c r="G162" s="135" t="s">
        <v>142</v>
      </c>
      <c r="H162" s="135" t="s">
        <v>341</v>
      </c>
      <c r="I162" s="135" t="s">
        <v>232</v>
      </c>
      <c r="J162" s="136" t="s">
        <v>1036</v>
      </c>
      <c r="K162" s="144">
        <v>41992</v>
      </c>
      <c r="L162" s="145">
        <v>538901</v>
      </c>
      <c r="M162" s="135" t="s">
        <v>1037</v>
      </c>
      <c r="N162" s="145">
        <v>126.86</v>
      </c>
      <c r="O162" s="145" t="s">
        <v>109</v>
      </c>
      <c r="P162" s="146">
        <v>126.86</v>
      </c>
      <c r="Q162" s="146" t="s">
        <v>109</v>
      </c>
      <c r="R162" s="137" t="s">
        <v>109</v>
      </c>
      <c r="S162" s="138" t="s">
        <v>109</v>
      </c>
      <c r="T162" s="369" t="s">
        <v>1038</v>
      </c>
      <c r="U162" s="146">
        <v>513199.047619048</v>
      </c>
      <c r="V162" s="146">
        <v>25659.952380952</v>
      </c>
      <c r="W162" s="146">
        <f t="shared" si="8"/>
        <v>538859</v>
      </c>
      <c r="X162" s="146">
        <v>513199.047619048</v>
      </c>
      <c r="Y162" s="146">
        <f t="shared" si="9"/>
        <v>4045.4</v>
      </c>
      <c r="Z162" s="137"/>
    </row>
    <row r="163" spans="1:26">
      <c r="A163" s="135" t="s">
        <v>1039</v>
      </c>
      <c r="B163" s="136" t="s">
        <v>42</v>
      </c>
      <c r="C163" s="136" t="s">
        <v>42</v>
      </c>
      <c r="D163" s="135" t="s">
        <v>259</v>
      </c>
      <c r="E163" s="136" t="s">
        <v>1040</v>
      </c>
      <c r="F163" s="136" t="s">
        <v>109</v>
      </c>
      <c r="G163" s="135" t="s">
        <v>142</v>
      </c>
      <c r="H163" s="135" t="s">
        <v>341</v>
      </c>
      <c r="I163" s="135" t="s">
        <v>232</v>
      </c>
      <c r="J163" s="136" t="s">
        <v>1041</v>
      </c>
      <c r="K163" s="144">
        <v>42419</v>
      </c>
      <c r="L163" s="145">
        <v>532960</v>
      </c>
      <c r="M163" s="135" t="s">
        <v>1042</v>
      </c>
      <c r="N163" s="145">
        <v>133.24</v>
      </c>
      <c r="O163" s="145" t="s">
        <v>109</v>
      </c>
      <c r="P163" s="146">
        <v>133.24</v>
      </c>
      <c r="Q163" s="146" t="s">
        <v>109</v>
      </c>
      <c r="R163" s="137" t="s">
        <v>109</v>
      </c>
      <c r="S163" s="138" t="s">
        <v>109</v>
      </c>
      <c r="T163" s="138" t="s">
        <v>1043</v>
      </c>
      <c r="U163" s="146">
        <v>507580.952380952</v>
      </c>
      <c r="V163" s="146">
        <v>25379.047619048</v>
      </c>
      <c r="W163" s="146">
        <f t="shared" si="8"/>
        <v>532960</v>
      </c>
      <c r="X163" s="146">
        <v>507580.952380952</v>
      </c>
      <c r="Y163" s="146">
        <f t="shared" si="9"/>
        <v>3809.52</v>
      </c>
      <c r="Z163" s="137"/>
    </row>
    <row r="164" ht="23.8" spans="1:26">
      <c r="A164" s="135" t="s">
        <v>1044</v>
      </c>
      <c r="B164" s="136" t="s">
        <v>42</v>
      </c>
      <c r="C164" s="136" t="s">
        <v>42</v>
      </c>
      <c r="D164" s="135" t="s">
        <v>259</v>
      </c>
      <c r="E164" s="136" t="s">
        <v>1045</v>
      </c>
      <c r="F164" s="136" t="s">
        <v>109</v>
      </c>
      <c r="G164" s="135" t="s">
        <v>142</v>
      </c>
      <c r="H164" s="135" t="s">
        <v>341</v>
      </c>
      <c r="I164" s="135" t="s">
        <v>232</v>
      </c>
      <c r="J164" s="136" t="s">
        <v>1046</v>
      </c>
      <c r="K164" s="144">
        <v>43308</v>
      </c>
      <c r="L164" s="145">
        <v>299975</v>
      </c>
      <c r="M164" s="135" t="s">
        <v>1047</v>
      </c>
      <c r="N164" s="145">
        <v>84.5</v>
      </c>
      <c r="O164" s="145" t="s">
        <v>109</v>
      </c>
      <c r="P164" s="146">
        <v>84.5</v>
      </c>
      <c r="Q164" s="146" t="s">
        <v>109</v>
      </c>
      <c r="R164" s="137" t="s">
        <v>109</v>
      </c>
      <c r="S164" s="138" t="s">
        <v>109</v>
      </c>
      <c r="T164" s="138" t="s">
        <v>1048</v>
      </c>
      <c r="U164" s="146">
        <v>285657.142857143</v>
      </c>
      <c r="V164" s="146">
        <v>14282.857142857</v>
      </c>
      <c r="W164" s="146">
        <f t="shared" si="8"/>
        <v>299940</v>
      </c>
      <c r="X164" s="146">
        <v>285657.142857143</v>
      </c>
      <c r="Y164" s="146">
        <f t="shared" si="9"/>
        <v>3380.56</v>
      </c>
      <c r="Z164" s="137"/>
    </row>
    <row r="165" spans="1:26">
      <c r="A165" s="135" t="s">
        <v>1049</v>
      </c>
      <c r="B165" s="136" t="s">
        <v>42</v>
      </c>
      <c r="C165" s="136" t="s">
        <v>42</v>
      </c>
      <c r="D165" s="135" t="s">
        <v>259</v>
      </c>
      <c r="E165" s="136" t="s">
        <v>1050</v>
      </c>
      <c r="F165" s="136" t="s">
        <v>109</v>
      </c>
      <c r="G165" s="135" t="s">
        <v>142</v>
      </c>
      <c r="H165" s="135" t="s">
        <v>341</v>
      </c>
      <c r="I165" s="135" t="s">
        <v>232</v>
      </c>
      <c r="J165" s="136" t="s">
        <v>1051</v>
      </c>
      <c r="K165" s="144">
        <v>43396</v>
      </c>
      <c r="L165" s="145">
        <v>322740</v>
      </c>
      <c r="M165" s="135" t="s">
        <v>1052</v>
      </c>
      <c r="N165" s="145">
        <v>89.65</v>
      </c>
      <c r="O165" s="145" t="s">
        <v>109</v>
      </c>
      <c r="P165" s="146">
        <v>89.65</v>
      </c>
      <c r="Q165" s="146" t="s">
        <v>109</v>
      </c>
      <c r="R165" s="137" t="s">
        <v>109</v>
      </c>
      <c r="S165" s="138" t="s">
        <v>109</v>
      </c>
      <c r="T165" s="369" t="s">
        <v>1053</v>
      </c>
      <c r="U165" s="146">
        <v>304761.904761905</v>
      </c>
      <c r="V165" s="146">
        <v>15238.095238095</v>
      </c>
      <c r="W165" s="146">
        <f t="shared" si="8"/>
        <v>320000</v>
      </c>
      <c r="X165" s="146">
        <v>304761.904761905</v>
      </c>
      <c r="Y165" s="146">
        <f t="shared" si="9"/>
        <v>3399.46</v>
      </c>
      <c r="Z165" s="137"/>
    </row>
    <row r="166" spans="1:26">
      <c r="A166" s="135" t="s">
        <v>1054</v>
      </c>
      <c r="B166" s="136" t="s">
        <v>42</v>
      </c>
      <c r="C166" s="136" t="s">
        <v>42</v>
      </c>
      <c r="D166" s="135" t="s">
        <v>261</v>
      </c>
      <c r="E166" s="136" t="s">
        <v>1055</v>
      </c>
      <c r="F166" s="136" t="s">
        <v>109</v>
      </c>
      <c r="G166" s="135" t="s">
        <v>142</v>
      </c>
      <c r="H166" s="135" t="s">
        <v>341</v>
      </c>
      <c r="I166" s="135" t="s">
        <v>232</v>
      </c>
      <c r="J166" s="136" t="s">
        <v>1056</v>
      </c>
      <c r="K166" s="144">
        <v>41989</v>
      </c>
      <c r="L166" s="145">
        <v>324008</v>
      </c>
      <c r="M166" s="135" t="s">
        <v>1057</v>
      </c>
      <c r="N166" s="145">
        <v>82.93</v>
      </c>
      <c r="O166" s="145" t="s">
        <v>109</v>
      </c>
      <c r="P166" s="146">
        <v>82.93</v>
      </c>
      <c r="Q166" s="146" t="s">
        <v>109</v>
      </c>
      <c r="R166" s="137" t="s">
        <v>109</v>
      </c>
      <c r="S166" s="138" t="s">
        <v>109</v>
      </c>
      <c r="T166" s="369" t="s">
        <v>1058</v>
      </c>
      <c r="U166" s="146">
        <v>308579.047619048</v>
      </c>
      <c r="V166" s="146">
        <v>15428.952380952</v>
      </c>
      <c r="W166" s="146">
        <f t="shared" si="8"/>
        <v>324008</v>
      </c>
      <c r="X166" s="146">
        <v>308579.047619048</v>
      </c>
      <c r="Y166" s="146">
        <f t="shared" si="9"/>
        <v>3720.96</v>
      </c>
      <c r="Z166" s="137"/>
    </row>
    <row r="167" spans="1:26">
      <c r="A167" s="135" t="s">
        <v>1059</v>
      </c>
      <c r="B167" s="136" t="s">
        <v>42</v>
      </c>
      <c r="C167" s="136" t="s">
        <v>42</v>
      </c>
      <c r="D167" s="135" t="s">
        <v>261</v>
      </c>
      <c r="E167" s="136" t="s">
        <v>1060</v>
      </c>
      <c r="F167" s="136" t="s">
        <v>109</v>
      </c>
      <c r="G167" s="135" t="s">
        <v>142</v>
      </c>
      <c r="H167" s="135" t="s">
        <v>341</v>
      </c>
      <c r="I167" s="135" t="s">
        <v>232</v>
      </c>
      <c r="J167" s="136" t="s">
        <v>1061</v>
      </c>
      <c r="K167" s="144">
        <v>42234</v>
      </c>
      <c r="L167" s="145">
        <v>498760</v>
      </c>
      <c r="M167" s="135" t="s">
        <v>1062</v>
      </c>
      <c r="N167" s="145">
        <v>124.69</v>
      </c>
      <c r="O167" s="145" t="s">
        <v>109</v>
      </c>
      <c r="P167" s="146">
        <v>124.69</v>
      </c>
      <c r="Q167" s="146" t="s">
        <v>109</v>
      </c>
      <c r="R167" s="137" t="s">
        <v>109</v>
      </c>
      <c r="S167" s="138" t="s">
        <v>109</v>
      </c>
      <c r="T167" s="369" t="s">
        <v>1063</v>
      </c>
      <c r="U167" s="146">
        <v>475009.523809524</v>
      </c>
      <c r="V167" s="146">
        <v>23750.476190476</v>
      </c>
      <c r="W167" s="146">
        <f t="shared" si="8"/>
        <v>498760</v>
      </c>
      <c r="X167" s="146">
        <v>475009.523809524</v>
      </c>
      <c r="Y167" s="146">
        <f t="shared" si="9"/>
        <v>3809.52</v>
      </c>
      <c r="Z167" s="137"/>
    </row>
    <row r="168" spans="1:26">
      <c r="A168" s="135" t="s">
        <v>1064</v>
      </c>
      <c r="B168" s="136" t="s">
        <v>42</v>
      </c>
      <c r="C168" s="136" t="s">
        <v>42</v>
      </c>
      <c r="D168" s="135" t="s">
        <v>261</v>
      </c>
      <c r="E168" s="136" t="s">
        <v>1065</v>
      </c>
      <c r="F168" s="136" t="s">
        <v>109</v>
      </c>
      <c r="G168" s="135" t="s">
        <v>142</v>
      </c>
      <c r="H168" s="135" t="s">
        <v>341</v>
      </c>
      <c r="I168" s="135" t="s">
        <v>232</v>
      </c>
      <c r="J168" s="136" t="s">
        <v>1066</v>
      </c>
      <c r="K168" s="144">
        <v>42542</v>
      </c>
      <c r="L168" s="145">
        <v>448625</v>
      </c>
      <c r="M168" s="135" t="s">
        <v>1067</v>
      </c>
      <c r="N168" s="145">
        <v>121.25</v>
      </c>
      <c r="O168" s="145" t="s">
        <v>109</v>
      </c>
      <c r="P168" s="146">
        <v>121.25</v>
      </c>
      <c r="Q168" s="146" t="s">
        <v>109</v>
      </c>
      <c r="R168" s="137" t="s">
        <v>109</v>
      </c>
      <c r="S168" s="138" t="s">
        <v>109</v>
      </c>
      <c r="T168" s="138" t="s">
        <v>1068</v>
      </c>
      <c r="U168" s="146">
        <v>448625</v>
      </c>
      <c r="V168" s="146">
        <v>0</v>
      </c>
      <c r="W168" s="146">
        <f t="shared" si="8"/>
        <v>448625</v>
      </c>
      <c r="X168" s="146">
        <v>448625</v>
      </c>
      <c r="Y168" s="146">
        <f t="shared" si="9"/>
        <v>3700</v>
      </c>
      <c r="Z168" s="137"/>
    </row>
    <row r="169" spans="1:26">
      <c r="A169" s="135" t="s">
        <v>1069</v>
      </c>
      <c r="B169" s="136" t="s">
        <v>42</v>
      </c>
      <c r="C169" s="136" t="s">
        <v>42</v>
      </c>
      <c r="D169" s="135" t="s">
        <v>261</v>
      </c>
      <c r="E169" s="136" t="s">
        <v>1070</v>
      </c>
      <c r="F169" s="136" t="s">
        <v>109</v>
      </c>
      <c r="G169" s="135" t="s">
        <v>142</v>
      </c>
      <c r="H169" s="135" t="s">
        <v>341</v>
      </c>
      <c r="I169" s="135" t="s">
        <v>232</v>
      </c>
      <c r="J169" s="136" t="s">
        <v>1071</v>
      </c>
      <c r="K169" s="144">
        <v>42723</v>
      </c>
      <c r="L169" s="145">
        <v>350030</v>
      </c>
      <c r="M169" s="135" t="s">
        <v>1072</v>
      </c>
      <c r="N169" s="145">
        <v>102.95</v>
      </c>
      <c r="O169" s="145" t="s">
        <v>109</v>
      </c>
      <c r="P169" s="146">
        <v>102.95</v>
      </c>
      <c r="Q169" s="146" t="s">
        <v>109</v>
      </c>
      <c r="R169" s="137" t="s">
        <v>109</v>
      </c>
      <c r="S169" s="138" t="s">
        <v>109</v>
      </c>
      <c r="T169" s="138" t="s">
        <v>1073</v>
      </c>
      <c r="U169" s="146">
        <v>333361.904761905</v>
      </c>
      <c r="V169" s="146">
        <v>16668.095238095</v>
      </c>
      <c r="W169" s="146">
        <f t="shared" si="8"/>
        <v>350030</v>
      </c>
      <c r="X169" s="146">
        <v>333361.904761905</v>
      </c>
      <c r="Y169" s="146">
        <f t="shared" si="9"/>
        <v>3238.1</v>
      </c>
      <c r="Z169" s="137"/>
    </row>
    <row r="170" spans="1:26">
      <c r="A170" s="135" t="s">
        <v>1074</v>
      </c>
      <c r="B170" s="136" t="s">
        <v>42</v>
      </c>
      <c r="C170" s="136" t="s">
        <v>42</v>
      </c>
      <c r="D170" s="135" t="s">
        <v>261</v>
      </c>
      <c r="E170" s="136" t="s">
        <v>1075</v>
      </c>
      <c r="F170" s="136" t="s">
        <v>109</v>
      </c>
      <c r="G170" s="135" t="s">
        <v>142</v>
      </c>
      <c r="H170" s="135" t="s">
        <v>341</v>
      </c>
      <c r="I170" s="135" t="s">
        <v>232</v>
      </c>
      <c r="J170" s="136" t="s">
        <v>1076</v>
      </c>
      <c r="K170" s="144">
        <v>42234</v>
      </c>
      <c r="L170" s="145">
        <v>361199</v>
      </c>
      <c r="M170" s="135" t="s">
        <v>1077</v>
      </c>
      <c r="N170" s="145">
        <v>86.66</v>
      </c>
      <c r="O170" s="145" t="s">
        <v>109</v>
      </c>
      <c r="P170" s="146">
        <v>86.66</v>
      </c>
      <c r="Q170" s="146" t="s">
        <v>109</v>
      </c>
      <c r="R170" s="137" t="s">
        <v>109</v>
      </c>
      <c r="S170" s="138" t="s">
        <v>109</v>
      </c>
      <c r="T170" s="369" t="s">
        <v>1078</v>
      </c>
      <c r="U170" s="146">
        <v>343998.933333333</v>
      </c>
      <c r="V170" s="146">
        <v>17199.946666667</v>
      </c>
      <c r="W170" s="146">
        <f t="shared" si="8"/>
        <v>361198.88</v>
      </c>
      <c r="X170" s="146">
        <v>343998.933333333</v>
      </c>
      <c r="Y170" s="146">
        <f t="shared" si="9"/>
        <v>3969.52</v>
      </c>
      <c r="Z170" s="137"/>
    </row>
    <row r="171" spans="1:26">
      <c r="A171" s="135" t="s">
        <v>1079</v>
      </c>
      <c r="B171" s="136" t="s">
        <v>42</v>
      </c>
      <c r="C171" s="136" t="s">
        <v>42</v>
      </c>
      <c r="D171" s="135" t="s">
        <v>261</v>
      </c>
      <c r="E171" s="136" t="s">
        <v>1080</v>
      </c>
      <c r="F171" s="136" t="s">
        <v>109</v>
      </c>
      <c r="G171" s="135" t="s">
        <v>142</v>
      </c>
      <c r="H171" s="135" t="s">
        <v>341</v>
      </c>
      <c r="I171" s="135" t="s">
        <v>232</v>
      </c>
      <c r="J171" s="136" t="s">
        <v>1081</v>
      </c>
      <c r="K171" s="144">
        <v>42249</v>
      </c>
      <c r="L171" s="145">
        <v>527195</v>
      </c>
      <c r="M171" s="135" t="s">
        <v>1082</v>
      </c>
      <c r="N171" s="145">
        <v>121.25</v>
      </c>
      <c r="O171" s="145" t="s">
        <v>109</v>
      </c>
      <c r="P171" s="146">
        <v>121.25</v>
      </c>
      <c r="Q171" s="146" t="s">
        <v>109</v>
      </c>
      <c r="R171" s="137" t="s">
        <v>109</v>
      </c>
      <c r="S171" s="138" t="s">
        <v>109</v>
      </c>
      <c r="T171" s="369" t="s">
        <v>1083</v>
      </c>
      <c r="U171" s="146">
        <v>502090.476190476</v>
      </c>
      <c r="V171" s="146">
        <v>25104.523809524</v>
      </c>
      <c r="W171" s="146">
        <f t="shared" si="8"/>
        <v>527195</v>
      </c>
      <c r="X171" s="146">
        <v>502090.476190476</v>
      </c>
      <c r="Y171" s="146">
        <f t="shared" si="9"/>
        <v>4140.95</v>
      </c>
      <c r="Z171" s="137"/>
    </row>
    <row r="172" spans="1:26">
      <c r="A172" s="135" t="s">
        <v>1084</v>
      </c>
      <c r="B172" s="136" t="s">
        <v>42</v>
      </c>
      <c r="C172" s="136" t="s">
        <v>42</v>
      </c>
      <c r="D172" s="135" t="s">
        <v>261</v>
      </c>
      <c r="E172" s="136" t="s">
        <v>1085</v>
      </c>
      <c r="F172" s="136" t="s">
        <v>109</v>
      </c>
      <c r="G172" s="135" t="s">
        <v>142</v>
      </c>
      <c r="H172" s="135" t="s">
        <v>341</v>
      </c>
      <c r="I172" s="135" t="s">
        <v>232</v>
      </c>
      <c r="J172" s="136" t="s">
        <v>1086</v>
      </c>
      <c r="K172" s="144">
        <v>42254</v>
      </c>
      <c r="L172" s="145">
        <v>472804</v>
      </c>
      <c r="M172" s="135" t="s">
        <v>1087</v>
      </c>
      <c r="N172" s="145">
        <v>126.52</v>
      </c>
      <c r="O172" s="145" t="s">
        <v>109</v>
      </c>
      <c r="P172" s="146">
        <v>126.52</v>
      </c>
      <c r="Q172" s="146" t="s">
        <v>109</v>
      </c>
      <c r="R172" s="137" t="s">
        <v>109</v>
      </c>
      <c r="S172" s="138" t="s">
        <v>109</v>
      </c>
      <c r="T172" s="369" t="s">
        <v>1088</v>
      </c>
      <c r="U172" s="146">
        <v>450289.523809524</v>
      </c>
      <c r="V172" s="146">
        <v>22514.476190476</v>
      </c>
      <c r="W172" s="146">
        <f t="shared" si="8"/>
        <v>472804</v>
      </c>
      <c r="X172" s="146">
        <v>450289.523809524</v>
      </c>
      <c r="Y172" s="146">
        <f t="shared" si="9"/>
        <v>3559.04</v>
      </c>
      <c r="Z172" s="137"/>
    </row>
    <row r="173" spans="1:26">
      <c r="A173" s="135" t="s">
        <v>1089</v>
      </c>
      <c r="B173" s="136" t="s">
        <v>42</v>
      </c>
      <c r="C173" s="136" t="s">
        <v>42</v>
      </c>
      <c r="D173" s="135" t="s">
        <v>261</v>
      </c>
      <c r="E173" s="136" t="s">
        <v>1090</v>
      </c>
      <c r="F173" s="136" t="s">
        <v>109</v>
      </c>
      <c r="G173" s="135" t="s">
        <v>142</v>
      </c>
      <c r="H173" s="135" t="s">
        <v>341</v>
      </c>
      <c r="I173" s="135" t="s">
        <v>232</v>
      </c>
      <c r="J173" s="136" t="s">
        <v>1091</v>
      </c>
      <c r="K173" s="144">
        <v>43235</v>
      </c>
      <c r="L173" s="145">
        <v>304200</v>
      </c>
      <c r="M173" s="135" t="s">
        <v>1092</v>
      </c>
      <c r="N173" s="145">
        <v>84.5</v>
      </c>
      <c r="O173" s="145" t="s">
        <v>109</v>
      </c>
      <c r="P173" s="146">
        <v>84.5</v>
      </c>
      <c r="Q173" s="146" t="s">
        <v>109</v>
      </c>
      <c r="R173" s="137" t="s">
        <v>109</v>
      </c>
      <c r="S173" s="138" t="s">
        <v>109</v>
      </c>
      <c r="T173" s="138" t="s">
        <v>1093</v>
      </c>
      <c r="U173" s="146">
        <v>289680</v>
      </c>
      <c r="V173" s="146">
        <v>14484</v>
      </c>
      <c r="W173" s="146">
        <f t="shared" si="8"/>
        <v>304164</v>
      </c>
      <c r="X173" s="146">
        <v>289680</v>
      </c>
      <c r="Y173" s="146">
        <f t="shared" si="9"/>
        <v>3428.17</v>
      </c>
      <c r="Z173" s="137"/>
    </row>
    <row r="174" spans="1:26">
      <c r="A174" s="135" t="s">
        <v>1094</v>
      </c>
      <c r="B174" s="136" t="s">
        <v>42</v>
      </c>
      <c r="C174" s="136" t="s">
        <v>42</v>
      </c>
      <c r="D174" s="135" t="s">
        <v>261</v>
      </c>
      <c r="E174" s="136" t="s">
        <v>1095</v>
      </c>
      <c r="F174" s="136" t="s">
        <v>109</v>
      </c>
      <c r="G174" s="135" t="s">
        <v>142</v>
      </c>
      <c r="H174" s="135" t="s">
        <v>341</v>
      </c>
      <c r="I174" s="135" t="s">
        <v>232</v>
      </c>
      <c r="J174" s="136" t="s">
        <v>1096</v>
      </c>
      <c r="K174" s="144">
        <v>41869</v>
      </c>
      <c r="L174" s="145">
        <v>281322</v>
      </c>
      <c r="M174" s="135" t="s">
        <v>1097</v>
      </c>
      <c r="N174" s="145">
        <v>89.65</v>
      </c>
      <c r="O174" s="145" t="s">
        <v>109</v>
      </c>
      <c r="P174" s="146">
        <v>89.65</v>
      </c>
      <c r="Q174" s="146" t="s">
        <v>109</v>
      </c>
      <c r="R174" s="137" t="s">
        <v>109</v>
      </c>
      <c r="S174" s="138" t="s">
        <v>109</v>
      </c>
      <c r="T174" s="138" t="s">
        <v>1098</v>
      </c>
      <c r="U174" s="146">
        <v>354160</v>
      </c>
      <c r="V174" s="146">
        <v>17708</v>
      </c>
      <c r="W174" s="146">
        <f t="shared" si="8"/>
        <v>371868</v>
      </c>
      <c r="X174" s="146">
        <v>354160</v>
      </c>
      <c r="Y174" s="146">
        <f t="shared" si="9"/>
        <v>3950.47</v>
      </c>
      <c r="Z174" s="137"/>
    </row>
    <row r="175" spans="1:26">
      <c r="A175" s="135" t="s">
        <v>1099</v>
      </c>
      <c r="B175" s="136" t="s">
        <v>42</v>
      </c>
      <c r="C175" s="136" t="s">
        <v>42</v>
      </c>
      <c r="D175" s="135" t="s">
        <v>263</v>
      </c>
      <c r="E175" s="136" t="s">
        <v>1100</v>
      </c>
      <c r="F175" s="136" t="s">
        <v>109</v>
      </c>
      <c r="G175" s="135" t="s">
        <v>142</v>
      </c>
      <c r="H175" s="135" t="s">
        <v>341</v>
      </c>
      <c r="I175" s="135" t="s">
        <v>232</v>
      </c>
      <c r="J175" s="136" t="s">
        <v>1101</v>
      </c>
      <c r="K175" s="144">
        <v>43123</v>
      </c>
      <c r="L175" s="145">
        <v>298548</v>
      </c>
      <c r="M175" s="135" t="s">
        <v>1102</v>
      </c>
      <c r="N175" s="145">
        <v>82.93</v>
      </c>
      <c r="O175" s="145" t="s">
        <v>109</v>
      </c>
      <c r="P175" s="146">
        <v>82.93</v>
      </c>
      <c r="Q175" s="146" t="s">
        <v>109</v>
      </c>
      <c r="R175" s="137" t="s">
        <v>109</v>
      </c>
      <c r="S175" s="138" t="s">
        <v>109</v>
      </c>
      <c r="T175" s="369" t="s">
        <v>1103</v>
      </c>
      <c r="U175" s="146">
        <v>284331.428571429</v>
      </c>
      <c r="V175" s="146">
        <v>14216.571428571</v>
      </c>
      <c r="W175" s="146">
        <f t="shared" si="8"/>
        <v>298548</v>
      </c>
      <c r="X175" s="146">
        <v>284331.428571429</v>
      </c>
      <c r="Y175" s="146">
        <f t="shared" si="9"/>
        <v>3428.57</v>
      </c>
      <c r="Z175" s="137"/>
    </row>
    <row r="176" spans="1:26">
      <c r="A176" s="135" t="s">
        <v>1104</v>
      </c>
      <c r="B176" s="136" t="s">
        <v>42</v>
      </c>
      <c r="C176" s="136" t="s">
        <v>42</v>
      </c>
      <c r="D176" s="135" t="s">
        <v>263</v>
      </c>
      <c r="E176" s="136" t="s">
        <v>1105</v>
      </c>
      <c r="F176" s="136" t="s">
        <v>109</v>
      </c>
      <c r="G176" s="135" t="s">
        <v>142</v>
      </c>
      <c r="H176" s="135" t="s">
        <v>341</v>
      </c>
      <c r="I176" s="135" t="s">
        <v>232</v>
      </c>
      <c r="J176" s="136" t="s">
        <v>1106</v>
      </c>
      <c r="K176" s="144">
        <v>42255</v>
      </c>
      <c r="L176" s="145">
        <v>394230</v>
      </c>
      <c r="M176" s="135" t="s">
        <v>1107</v>
      </c>
      <c r="N176" s="145">
        <v>131.41</v>
      </c>
      <c r="O176" s="145" t="s">
        <v>109</v>
      </c>
      <c r="P176" s="146">
        <v>131.41</v>
      </c>
      <c r="Q176" s="146" t="s">
        <v>109</v>
      </c>
      <c r="R176" s="137" t="s">
        <v>109</v>
      </c>
      <c r="S176" s="138" t="s">
        <v>109</v>
      </c>
      <c r="T176" s="369" t="s">
        <v>1108</v>
      </c>
      <c r="U176" s="146">
        <v>375457.14</v>
      </c>
      <c r="V176" s="146">
        <v>18772.86</v>
      </c>
      <c r="W176" s="146">
        <f t="shared" si="8"/>
        <v>394230</v>
      </c>
      <c r="X176" s="146">
        <v>375457.14</v>
      </c>
      <c r="Y176" s="146">
        <f t="shared" si="9"/>
        <v>2857.14</v>
      </c>
      <c r="Z176" s="137"/>
    </row>
    <row r="177" spans="1:26">
      <c r="A177" s="135" t="s">
        <v>1109</v>
      </c>
      <c r="B177" s="136" t="s">
        <v>42</v>
      </c>
      <c r="C177" s="136" t="s">
        <v>42</v>
      </c>
      <c r="D177" s="135" t="s">
        <v>263</v>
      </c>
      <c r="E177" s="136" t="s">
        <v>1110</v>
      </c>
      <c r="F177" s="136" t="s">
        <v>109</v>
      </c>
      <c r="G177" s="135" t="s">
        <v>142</v>
      </c>
      <c r="H177" s="135" t="s">
        <v>341</v>
      </c>
      <c r="I177" s="135" t="s">
        <v>232</v>
      </c>
      <c r="J177" s="136" t="s">
        <v>1111</v>
      </c>
      <c r="K177" s="144">
        <v>42269</v>
      </c>
      <c r="L177" s="145">
        <v>520126</v>
      </c>
      <c r="M177" s="135" t="s">
        <v>1112</v>
      </c>
      <c r="N177" s="145">
        <v>126.86</v>
      </c>
      <c r="O177" s="145" t="s">
        <v>109</v>
      </c>
      <c r="P177" s="146">
        <v>126.86</v>
      </c>
      <c r="Q177" s="146" t="s">
        <v>109</v>
      </c>
      <c r="R177" s="137" t="s">
        <v>109</v>
      </c>
      <c r="S177" s="138" t="s">
        <v>109</v>
      </c>
      <c r="T177" s="369" t="s">
        <v>1113</v>
      </c>
      <c r="U177" s="146">
        <v>495319.047619048</v>
      </c>
      <c r="V177" s="146">
        <v>24765.952380952</v>
      </c>
      <c r="W177" s="146">
        <f t="shared" si="8"/>
        <v>520085</v>
      </c>
      <c r="X177" s="146">
        <v>495319.047619048</v>
      </c>
      <c r="Y177" s="146">
        <f t="shared" si="9"/>
        <v>3904.45</v>
      </c>
      <c r="Z177" s="137"/>
    </row>
    <row r="178" spans="1:26">
      <c r="A178" s="135" t="s">
        <v>1114</v>
      </c>
      <c r="B178" s="136" t="s">
        <v>42</v>
      </c>
      <c r="C178" s="136" t="s">
        <v>42</v>
      </c>
      <c r="D178" s="135" t="s">
        <v>263</v>
      </c>
      <c r="E178" s="136" t="s">
        <v>1115</v>
      </c>
      <c r="F178" s="136" t="s">
        <v>109</v>
      </c>
      <c r="G178" s="135" t="s">
        <v>142</v>
      </c>
      <c r="H178" s="135" t="s">
        <v>341</v>
      </c>
      <c r="I178" s="135" t="s">
        <v>232</v>
      </c>
      <c r="J178" s="136" t="s">
        <v>1116</v>
      </c>
      <c r="K178" s="144">
        <v>42814</v>
      </c>
      <c r="L178" s="145">
        <v>380915</v>
      </c>
      <c r="M178" s="135" t="s">
        <v>1117</v>
      </c>
      <c r="N178" s="145">
        <v>102.95</v>
      </c>
      <c r="O178" s="145" t="s">
        <v>109</v>
      </c>
      <c r="P178" s="146">
        <v>102.95</v>
      </c>
      <c r="Q178" s="146" t="s">
        <v>109</v>
      </c>
      <c r="R178" s="137" t="s">
        <v>109</v>
      </c>
      <c r="S178" s="138" t="s">
        <v>109</v>
      </c>
      <c r="T178" s="369" t="s">
        <v>1118</v>
      </c>
      <c r="U178" s="146">
        <v>362776.19047619</v>
      </c>
      <c r="V178" s="146">
        <v>18138.80952381</v>
      </c>
      <c r="W178" s="146">
        <f t="shared" si="8"/>
        <v>380915</v>
      </c>
      <c r="X178" s="146">
        <v>362776.19047619</v>
      </c>
      <c r="Y178" s="146">
        <f t="shared" si="9"/>
        <v>3523.81</v>
      </c>
      <c r="Z178" s="137"/>
    </row>
    <row r="179" spans="1:26">
      <c r="A179" s="135" t="s">
        <v>1119</v>
      </c>
      <c r="B179" s="136" t="s">
        <v>42</v>
      </c>
      <c r="C179" s="136" t="s">
        <v>42</v>
      </c>
      <c r="D179" s="135" t="s">
        <v>263</v>
      </c>
      <c r="E179" s="136" t="s">
        <v>1120</v>
      </c>
      <c r="F179" s="136" t="s">
        <v>109</v>
      </c>
      <c r="G179" s="135" t="s">
        <v>142</v>
      </c>
      <c r="H179" s="135" t="s">
        <v>341</v>
      </c>
      <c r="I179" s="135" t="s">
        <v>232</v>
      </c>
      <c r="J179" s="136" t="s">
        <v>1121</v>
      </c>
      <c r="K179" s="144">
        <v>42706</v>
      </c>
      <c r="L179" s="145">
        <v>294644</v>
      </c>
      <c r="M179" s="135" t="s">
        <v>1122</v>
      </c>
      <c r="N179" s="145">
        <v>86.66</v>
      </c>
      <c r="O179" s="145" t="s">
        <v>109</v>
      </c>
      <c r="P179" s="146">
        <v>86.66</v>
      </c>
      <c r="Q179" s="146" t="s">
        <v>109</v>
      </c>
      <c r="R179" s="137" t="s">
        <v>109</v>
      </c>
      <c r="S179" s="138" t="s">
        <v>109</v>
      </c>
      <c r="T179" s="138" t="s">
        <v>1123</v>
      </c>
      <c r="U179" s="146">
        <v>280613.333333333</v>
      </c>
      <c r="V179" s="146">
        <v>14030.666666667</v>
      </c>
      <c r="W179" s="146">
        <f t="shared" si="8"/>
        <v>294644</v>
      </c>
      <c r="X179" s="146">
        <v>280613.333333333</v>
      </c>
      <c r="Y179" s="146">
        <f t="shared" si="9"/>
        <v>3238.1</v>
      </c>
      <c r="Z179" s="137"/>
    </row>
    <row r="180" spans="1:26">
      <c r="A180" s="135" t="s">
        <v>1124</v>
      </c>
      <c r="B180" s="136" t="s">
        <v>42</v>
      </c>
      <c r="C180" s="136" t="s">
        <v>42</v>
      </c>
      <c r="D180" s="135" t="s">
        <v>263</v>
      </c>
      <c r="E180" s="136" t="s">
        <v>1125</v>
      </c>
      <c r="F180" s="136" t="s">
        <v>109</v>
      </c>
      <c r="G180" s="135" t="s">
        <v>142</v>
      </c>
      <c r="H180" s="135" t="s">
        <v>341</v>
      </c>
      <c r="I180" s="135" t="s">
        <v>232</v>
      </c>
      <c r="J180" s="136" t="s">
        <v>1126</v>
      </c>
      <c r="K180" s="144">
        <v>42816</v>
      </c>
      <c r="L180" s="145">
        <v>475725</v>
      </c>
      <c r="M180" s="135" t="s">
        <v>1127</v>
      </c>
      <c r="N180" s="145">
        <v>126.86</v>
      </c>
      <c r="O180" s="145" t="s">
        <v>109</v>
      </c>
      <c r="P180" s="146">
        <v>126.86</v>
      </c>
      <c r="Q180" s="146" t="s">
        <v>109</v>
      </c>
      <c r="R180" s="137" t="s">
        <v>109</v>
      </c>
      <c r="S180" s="138" t="s">
        <v>109</v>
      </c>
      <c r="T180" s="369" t="s">
        <v>1128</v>
      </c>
      <c r="U180" s="146">
        <v>453035.238095238</v>
      </c>
      <c r="V180" s="146">
        <v>22651.761904762</v>
      </c>
      <c r="W180" s="146">
        <f t="shared" si="8"/>
        <v>475687</v>
      </c>
      <c r="X180" s="146">
        <v>453035.238095238</v>
      </c>
      <c r="Y180" s="146">
        <f t="shared" si="9"/>
        <v>3571.14</v>
      </c>
      <c r="Z180" s="137"/>
    </row>
    <row r="181" spans="1:26">
      <c r="A181" s="135" t="s">
        <v>1129</v>
      </c>
      <c r="B181" s="136" t="s">
        <v>42</v>
      </c>
      <c r="C181" s="136" t="s">
        <v>42</v>
      </c>
      <c r="D181" s="135" t="s">
        <v>263</v>
      </c>
      <c r="E181" s="136" t="s">
        <v>1130</v>
      </c>
      <c r="F181" s="136" t="s">
        <v>109</v>
      </c>
      <c r="G181" s="135" t="s">
        <v>142</v>
      </c>
      <c r="H181" s="135" t="s">
        <v>341</v>
      </c>
      <c r="I181" s="135" t="s">
        <v>232</v>
      </c>
      <c r="J181" s="136" t="s">
        <v>1131</v>
      </c>
      <c r="K181" s="144">
        <v>42597</v>
      </c>
      <c r="L181" s="145">
        <v>584924</v>
      </c>
      <c r="M181" s="135" t="s">
        <v>1132</v>
      </c>
      <c r="N181" s="145">
        <v>133.24</v>
      </c>
      <c r="O181" s="145" t="s">
        <v>109</v>
      </c>
      <c r="P181" s="146">
        <v>133.24</v>
      </c>
      <c r="Q181" s="146" t="s">
        <v>109</v>
      </c>
      <c r="R181" s="137" t="s">
        <v>109</v>
      </c>
      <c r="S181" s="138" t="s">
        <v>109</v>
      </c>
      <c r="T181" s="369" t="s">
        <v>1133</v>
      </c>
      <c r="U181" s="146">
        <v>557070.476190476</v>
      </c>
      <c r="V181" s="146">
        <v>27853.523809524</v>
      </c>
      <c r="W181" s="146">
        <f t="shared" si="8"/>
        <v>584924</v>
      </c>
      <c r="X181" s="146">
        <v>557070.476190476</v>
      </c>
      <c r="Y181" s="146">
        <f t="shared" si="9"/>
        <v>4180.96</v>
      </c>
      <c r="Z181" s="137"/>
    </row>
    <row r="182" spans="1:26">
      <c r="A182" s="135" t="s">
        <v>1134</v>
      </c>
      <c r="B182" s="136" t="s">
        <v>42</v>
      </c>
      <c r="C182" s="136" t="s">
        <v>42</v>
      </c>
      <c r="D182" s="135" t="s">
        <v>263</v>
      </c>
      <c r="E182" s="136" t="s">
        <v>1135</v>
      </c>
      <c r="F182" s="136" t="s">
        <v>109</v>
      </c>
      <c r="G182" s="135" t="s">
        <v>142</v>
      </c>
      <c r="H182" s="135" t="s">
        <v>341</v>
      </c>
      <c r="I182" s="135" t="s">
        <v>232</v>
      </c>
      <c r="J182" s="136" t="s">
        <v>1136</v>
      </c>
      <c r="K182" s="144">
        <v>43399</v>
      </c>
      <c r="L182" s="145">
        <v>304200</v>
      </c>
      <c r="M182" s="135" t="s">
        <v>1137</v>
      </c>
      <c r="N182" s="145">
        <v>84.5</v>
      </c>
      <c r="O182" s="145" t="s">
        <v>109</v>
      </c>
      <c r="P182" s="146">
        <v>84.5</v>
      </c>
      <c r="Q182" s="146" t="s">
        <v>109</v>
      </c>
      <c r="R182" s="137" t="s">
        <v>109</v>
      </c>
      <c r="S182" s="138" t="s">
        <v>109</v>
      </c>
      <c r="T182" s="369" t="s">
        <v>1138</v>
      </c>
      <c r="U182" s="146">
        <v>289680</v>
      </c>
      <c r="V182" s="146">
        <v>14484</v>
      </c>
      <c r="W182" s="146">
        <f t="shared" si="8"/>
        <v>304164</v>
      </c>
      <c r="X182" s="146">
        <v>289680</v>
      </c>
      <c r="Y182" s="146">
        <f t="shared" si="9"/>
        <v>3428.17</v>
      </c>
      <c r="Z182" s="137"/>
    </row>
    <row r="183" spans="1:26">
      <c r="A183" s="135" t="s">
        <v>1139</v>
      </c>
      <c r="B183" s="136" t="s">
        <v>42</v>
      </c>
      <c r="C183" s="136" t="s">
        <v>42</v>
      </c>
      <c r="D183" s="135" t="s">
        <v>263</v>
      </c>
      <c r="E183" s="136" t="s">
        <v>1140</v>
      </c>
      <c r="F183" s="136" t="s">
        <v>109</v>
      </c>
      <c r="G183" s="135" t="s">
        <v>142</v>
      </c>
      <c r="H183" s="135" t="s">
        <v>341</v>
      </c>
      <c r="I183" s="135" t="s">
        <v>232</v>
      </c>
      <c r="J183" s="136" t="s">
        <v>1141</v>
      </c>
      <c r="K183" s="144">
        <v>42716</v>
      </c>
      <c r="L183" s="145">
        <v>372281</v>
      </c>
      <c r="M183" s="135" t="s">
        <v>1142</v>
      </c>
      <c r="N183" s="145">
        <v>89.65</v>
      </c>
      <c r="O183" s="145" t="s">
        <v>109</v>
      </c>
      <c r="P183" s="146">
        <v>89.65</v>
      </c>
      <c r="Q183" s="146" t="s">
        <v>109</v>
      </c>
      <c r="R183" s="137" t="s">
        <v>109</v>
      </c>
      <c r="S183" s="138" t="s">
        <v>109</v>
      </c>
      <c r="T183" s="138" t="s">
        <v>1143</v>
      </c>
      <c r="U183" s="146">
        <v>337477.142857143</v>
      </c>
      <c r="V183" s="146">
        <v>16873.857142857</v>
      </c>
      <c r="W183" s="146">
        <f t="shared" si="8"/>
        <v>354351</v>
      </c>
      <c r="X183" s="146">
        <v>337477.142857143</v>
      </c>
      <c r="Y183" s="146">
        <f t="shared" si="9"/>
        <v>3764.39</v>
      </c>
      <c r="Z183" s="137"/>
    </row>
    <row r="184" spans="1:26">
      <c r="A184" s="135" t="s">
        <v>1144</v>
      </c>
      <c r="B184" s="136" t="s">
        <v>42</v>
      </c>
      <c r="C184" s="136" t="s">
        <v>42</v>
      </c>
      <c r="D184" s="135" t="s">
        <v>321</v>
      </c>
      <c r="E184" s="136" t="s">
        <v>1145</v>
      </c>
      <c r="F184" s="136" t="s">
        <v>109</v>
      </c>
      <c r="G184" s="135" t="s">
        <v>142</v>
      </c>
      <c r="H184" s="135" t="s">
        <v>341</v>
      </c>
      <c r="I184" s="135" t="s">
        <v>232</v>
      </c>
      <c r="J184" s="136" t="s">
        <v>1146</v>
      </c>
      <c r="K184" s="144">
        <v>42688</v>
      </c>
      <c r="L184" s="145">
        <v>281962</v>
      </c>
      <c r="M184" s="135" t="s">
        <v>1147</v>
      </c>
      <c r="N184" s="145">
        <v>82.93</v>
      </c>
      <c r="O184" s="145" t="s">
        <v>109</v>
      </c>
      <c r="P184" s="146">
        <v>82.93</v>
      </c>
      <c r="Q184" s="146" t="s">
        <v>109</v>
      </c>
      <c r="R184" s="137" t="s">
        <v>109</v>
      </c>
      <c r="S184" s="138" t="s">
        <v>109</v>
      </c>
      <c r="T184" s="138" t="s">
        <v>1148</v>
      </c>
      <c r="U184" s="146">
        <v>268535.238095238</v>
      </c>
      <c r="V184" s="146">
        <v>13426.761904762</v>
      </c>
      <c r="W184" s="146">
        <f t="shared" si="8"/>
        <v>281962</v>
      </c>
      <c r="X184" s="146">
        <v>268535.238095238</v>
      </c>
      <c r="Y184" s="146">
        <f t="shared" si="9"/>
        <v>3238.1</v>
      </c>
      <c r="Z184" s="137"/>
    </row>
    <row r="185" spans="1:26">
      <c r="A185" s="135" t="s">
        <v>1149</v>
      </c>
      <c r="B185" s="136" t="s">
        <v>42</v>
      </c>
      <c r="C185" s="136" t="s">
        <v>42</v>
      </c>
      <c r="D185" s="135" t="s">
        <v>321</v>
      </c>
      <c r="E185" s="136" t="s">
        <v>1150</v>
      </c>
      <c r="F185" s="136" t="s">
        <v>109</v>
      </c>
      <c r="G185" s="135" t="s">
        <v>142</v>
      </c>
      <c r="H185" s="135" t="s">
        <v>341</v>
      </c>
      <c r="I185" s="135" t="s">
        <v>232</v>
      </c>
      <c r="J185" s="136" t="s">
        <v>1151</v>
      </c>
      <c r="K185" s="144">
        <v>42699</v>
      </c>
      <c r="L185" s="145">
        <v>423946</v>
      </c>
      <c r="M185" s="135" t="s">
        <v>1152</v>
      </c>
      <c r="N185" s="145">
        <v>124.69</v>
      </c>
      <c r="O185" s="145" t="s">
        <v>109</v>
      </c>
      <c r="P185" s="146">
        <v>124.69</v>
      </c>
      <c r="Q185" s="146" t="s">
        <v>109</v>
      </c>
      <c r="R185" s="137" t="s">
        <v>109</v>
      </c>
      <c r="S185" s="138" t="s">
        <v>109</v>
      </c>
      <c r="T185" s="138" t="s">
        <v>1153</v>
      </c>
      <c r="U185" s="146">
        <v>423946</v>
      </c>
      <c r="V185" s="146">
        <v>0</v>
      </c>
      <c r="W185" s="146">
        <f t="shared" si="8"/>
        <v>423946</v>
      </c>
      <c r="X185" s="146">
        <v>423946</v>
      </c>
      <c r="Y185" s="146">
        <f t="shared" si="9"/>
        <v>3400</v>
      </c>
      <c r="Z185" s="137"/>
    </row>
    <row r="186" spans="1:26">
      <c r="A186" s="135" t="s">
        <v>1154</v>
      </c>
      <c r="B186" s="136" t="s">
        <v>42</v>
      </c>
      <c r="C186" s="136" t="s">
        <v>42</v>
      </c>
      <c r="D186" s="135" t="s">
        <v>321</v>
      </c>
      <c r="E186" s="136" t="s">
        <v>1155</v>
      </c>
      <c r="F186" s="136" t="s">
        <v>109</v>
      </c>
      <c r="G186" s="135" t="s">
        <v>142</v>
      </c>
      <c r="H186" s="135" t="s">
        <v>341</v>
      </c>
      <c r="I186" s="135" t="s">
        <v>232</v>
      </c>
      <c r="J186" s="136" t="s">
        <v>1156</v>
      </c>
      <c r="K186" s="144">
        <v>42249</v>
      </c>
      <c r="L186" s="145">
        <v>485000</v>
      </c>
      <c r="M186" s="135" t="s">
        <v>1157</v>
      </c>
      <c r="N186" s="145">
        <v>121.25</v>
      </c>
      <c r="O186" s="145" t="s">
        <v>109</v>
      </c>
      <c r="P186" s="146">
        <v>121.25</v>
      </c>
      <c r="Q186" s="146" t="s">
        <v>109</v>
      </c>
      <c r="R186" s="137" t="s">
        <v>109</v>
      </c>
      <c r="S186" s="138" t="s">
        <v>109</v>
      </c>
      <c r="T186" s="369" t="s">
        <v>1158</v>
      </c>
      <c r="U186" s="146">
        <v>461904.761904762</v>
      </c>
      <c r="V186" s="146">
        <v>23095.238095238</v>
      </c>
      <c r="W186" s="146">
        <f t="shared" si="8"/>
        <v>485000</v>
      </c>
      <c r="X186" s="146">
        <v>461904.761904762</v>
      </c>
      <c r="Y186" s="146">
        <f t="shared" si="9"/>
        <v>3809.52</v>
      </c>
      <c r="Z186" s="137"/>
    </row>
    <row r="187" spans="1:26">
      <c r="A187" s="135" t="s">
        <v>1159</v>
      </c>
      <c r="B187" s="136" t="s">
        <v>42</v>
      </c>
      <c r="C187" s="136" t="s">
        <v>42</v>
      </c>
      <c r="D187" s="135" t="s">
        <v>321</v>
      </c>
      <c r="E187" s="136" t="s">
        <v>1160</v>
      </c>
      <c r="F187" s="136" t="s">
        <v>109</v>
      </c>
      <c r="G187" s="135" t="s">
        <v>142</v>
      </c>
      <c r="H187" s="135" t="s">
        <v>341</v>
      </c>
      <c r="I187" s="135" t="s">
        <v>232</v>
      </c>
      <c r="J187" s="136" t="s">
        <v>1161</v>
      </c>
      <c r="K187" s="144">
        <v>42816</v>
      </c>
      <c r="L187" s="145">
        <v>380915</v>
      </c>
      <c r="M187" s="135" t="s">
        <v>1162</v>
      </c>
      <c r="N187" s="145">
        <v>102.95</v>
      </c>
      <c r="O187" s="145" t="s">
        <v>109</v>
      </c>
      <c r="P187" s="146">
        <v>102.95</v>
      </c>
      <c r="Q187" s="146" t="s">
        <v>109</v>
      </c>
      <c r="R187" s="137" t="s">
        <v>109</v>
      </c>
      <c r="S187" s="138" t="s">
        <v>109</v>
      </c>
      <c r="T187" s="369" t="s">
        <v>1163</v>
      </c>
      <c r="U187" s="146">
        <v>362776.19047619</v>
      </c>
      <c r="V187" s="146">
        <v>18138.80952381</v>
      </c>
      <c r="W187" s="146">
        <f t="shared" si="8"/>
        <v>380915</v>
      </c>
      <c r="X187" s="146">
        <v>362776.19047619</v>
      </c>
      <c r="Y187" s="146">
        <f t="shared" si="9"/>
        <v>3523.81</v>
      </c>
      <c r="Z187" s="137"/>
    </row>
    <row r="188" spans="1:26">
      <c r="A188" s="135" t="s">
        <v>1164</v>
      </c>
      <c r="B188" s="136" t="s">
        <v>42</v>
      </c>
      <c r="C188" s="136" t="s">
        <v>42</v>
      </c>
      <c r="D188" s="135" t="s">
        <v>321</v>
      </c>
      <c r="E188" s="136" t="s">
        <v>1165</v>
      </c>
      <c r="F188" s="136" t="s">
        <v>109</v>
      </c>
      <c r="G188" s="135" t="s">
        <v>142</v>
      </c>
      <c r="H188" s="135" t="s">
        <v>341</v>
      </c>
      <c r="I188" s="135" t="s">
        <v>232</v>
      </c>
      <c r="J188" s="136" t="s">
        <v>1166</v>
      </c>
      <c r="K188" s="144">
        <v>43323</v>
      </c>
      <c r="L188" s="145">
        <v>316309</v>
      </c>
      <c r="M188" s="135" t="s">
        <v>1167</v>
      </c>
      <c r="N188" s="145">
        <v>86.66</v>
      </c>
      <c r="O188" s="145" t="s">
        <v>109</v>
      </c>
      <c r="P188" s="146">
        <v>86.66</v>
      </c>
      <c r="Q188" s="146" t="s">
        <v>109</v>
      </c>
      <c r="R188" s="137" t="s">
        <v>109</v>
      </c>
      <c r="S188" s="138" t="s">
        <v>109</v>
      </c>
      <c r="T188" s="138" t="s">
        <v>1168</v>
      </c>
      <c r="U188" s="146">
        <v>301246.666666667</v>
      </c>
      <c r="V188" s="146">
        <v>15062.333333333</v>
      </c>
      <c r="W188" s="146">
        <f t="shared" si="8"/>
        <v>316309</v>
      </c>
      <c r="X188" s="146">
        <v>301246.666666667</v>
      </c>
      <c r="Y188" s="146">
        <f t="shared" si="9"/>
        <v>3476.19</v>
      </c>
      <c r="Z188" s="137"/>
    </row>
    <row r="189" spans="1:26">
      <c r="A189" s="135" t="s">
        <v>1169</v>
      </c>
      <c r="B189" s="136" t="s">
        <v>42</v>
      </c>
      <c r="C189" s="136" t="s">
        <v>42</v>
      </c>
      <c r="D189" s="135" t="s">
        <v>321</v>
      </c>
      <c r="E189" s="136" t="s">
        <v>1170</v>
      </c>
      <c r="F189" s="136" t="s">
        <v>109</v>
      </c>
      <c r="G189" s="135" t="s">
        <v>142</v>
      </c>
      <c r="H189" s="135" t="s">
        <v>341</v>
      </c>
      <c r="I189" s="135" t="s">
        <v>232</v>
      </c>
      <c r="J189" s="136" t="s">
        <v>1171</v>
      </c>
      <c r="K189" s="144">
        <v>42713</v>
      </c>
      <c r="L189" s="145">
        <v>481734</v>
      </c>
      <c r="M189" s="135" t="s">
        <v>1172</v>
      </c>
      <c r="N189" s="145">
        <v>121.25</v>
      </c>
      <c r="O189" s="145" t="s">
        <v>109</v>
      </c>
      <c r="P189" s="146">
        <v>121.25</v>
      </c>
      <c r="Q189" s="146" t="s">
        <v>109</v>
      </c>
      <c r="R189" s="137" t="s">
        <v>109</v>
      </c>
      <c r="S189" s="138" t="s">
        <v>109</v>
      </c>
      <c r="T189" s="138" t="s">
        <v>1173</v>
      </c>
      <c r="U189" s="146">
        <v>458794.285714286</v>
      </c>
      <c r="V189" s="146">
        <v>22939.714285714</v>
      </c>
      <c r="W189" s="146">
        <f t="shared" si="8"/>
        <v>481734</v>
      </c>
      <c r="X189" s="146">
        <v>458794.285714286</v>
      </c>
      <c r="Y189" s="146">
        <f t="shared" si="9"/>
        <v>3783.87</v>
      </c>
      <c r="Z189" s="137"/>
    </row>
    <row r="190" spans="1:26">
      <c r="A190" s="135" t="s">
        <v>1174</v>
      </c>
      <c r="B190" s="136" t="s">
        <v>42</v>
      </c>
      <c r="C190" s="136" t="s">
        <v>42</v>
      </c>
      <c r="D190" s="135" t="s">
        <v>321</v>
      </c>
      <c r="E190" s="136" t="s">
        <v>1175</v>
      </c>
      <c r="F190" s="136" t="s">
        <v>109</v>
      </c>
      <c r="G190" s="135" t="s">
        <v>142</v>
      </c>
      <c r="H190" s="135" t="s">
        <v>341</v>
      </c>
      <c r="I190" s="135" t="s">
        <v>232</v>
      </c>
      <c r="J190" s="136" t="s">
        <v>1176</v>
      </c>
      <c r="K190" s="144">
        <v>42635</v>
      </c>
      <c r="L190" s="145">
        <v>455472</v>
      </c>
      <c r="M190" s="135" t="s">
        <v>1177</v>
      </c>
      <c r="N190" s="145">
        <v>126.52</v>
      </c>
      <c r="O190" s="145" t="s">
        <v>109</v>
      </c>
      <c r="P190" s="146">
        <v>126.52</v>
      </c>
      <c r="Q190" s="146" t="s">
        <v>109</v>
      </c>
      <c r="R190" s="137" t="s">
        <v>109</v>
      </c>
      <c r="S190" s="138" t="s">
        <v>109</v>
      </c>
      <c r="T190" s="369" t="s">
        <v>1178</v>
      </c>
      <c r="U190" s="146">
        <v>433782.857142857</v>
      </c>
      <c r="V190" s="146">
        <v>21689.142857143</v>
      </c>
      <c r="W190" s="146">
        <f t="shared" si="8"/>
        <v>455472</v>
      </c>
      <c r="X190" s="146">
        <v>433782.857142857</v>
      </c>
      <c r="Y190" s="146">
        <f t="shared" si="9"/>
        <v>3428.57</v>
      </c>
      <c r="Z190" s="137"/>
    </row>
    <row r="191" spans="1:26">
      <c r="A191" s="135" t="s">
        <v>1179</v>
      </c>
      <c r="B191" s="136" t="s">
        <v>42</v>
      </c>
      <c r="C191" s="136" t="s">
        <v>42</v>
      </c>
      <c r="D191" s="135" t="s">
        <v>321</v>
      </c>
      <c r="E191" s="136" t="s">
        <v>1180</v>
      </c>
      <c r="F191" s="136" t="s">
        <v>109</v>
      </c>
      <c r="G191" s="135" t="s">
        <v>142</v>
      </c>
      <c r="H191" s="135" t="s">
        <v>341</v>
      </c>
      <c r="I191" s="135" t="s">
        <v>232</v>
      </c>
      <c r="J191" s="136" t="s">
        <v>1181</v>
      </c>
      <c r="K191" s="144">
        <v>42152</v>
      </c>
      <c r="L191" s="145">
        <v>321100</v>
      </c>
      <c r="M191" s="135" t="s">
        <v>1182</v>
      </c>
      <c r="N191" s="145">
        <v>84.5</v>
      </c>
      <c r="O191" s="145" t="s">
        <v>109</v>
      </c>
      <c r="P191" s="146">
        <v>84.5</v>
      </c>
      <c r="Q191" s="146" t="s">
        <v>109</v>
      </c>
      <c r="R191" s="137" t="s">
        <v>109</v>
      </c>
      <c r="S191" s="138" t="s">
        <v>109</v>
      </c>
      <c r="T191" s="138" t="s">
        <v>1183</v>
      </c>
      <c r="U191" s="146">
        <v>305809.523809524</v>
      </c>
      <c r="V191" s="146">
        <v>15290.476190476</v>
      </c>
      <c r="W191" s="146">
        <f t="shared" si="8"/>
        <v>321100</v>
      </c>
      <c r="X191" s="146">
        <v>305809.523809524</v>
      </c>
      <c r="Y191" s="146">
        <f t="shared" si="9"/>
        <v>3619.05</v>
      </c>
      <c r="Z191" s="137"/>
    </row>
    <row r="192" spans="1:26">
      <c r="A192" s="135" t="s">
        <v>1184</v>
      </c>
      <c r="B192" s="136" t="s">
        <v>42</v>
      </c>
      <c r="C192" s="136" t="s">
        <v>42</v>
      </c>
      <c r="D192" s="135" t="s">
        <v>321</v>
      </c>
      <c r="E192" s="136" t="s">
        <v>1185</v>
      </c>
      <c r="F192" s="136" t="s">
        <v>109</v>
      </c>
      <c r="G192" s="135" t="s">
        <v>142</v>
      </c>
      <c r="H192" s="135" t="s">
        <v>341</v>
      </c>
      <c r="I192" s="135" t="s">
        <v>232</v>
      </c>
      <c r="J192" s="136" t="s">
        <v>1186</v>
      </c>
      <c r="K192" s="144">
        <v>43364</v>
      </c>
      <c r="L192" s="145">
        <v>369868</v>
      </c>
      <c r="M192" s="135" t="s">
        <v>1187</v>
      </c>
      <c r="N192" s="145">
        <v>89.65</v>
      </c>
      <c r="O192" s="145" t="s">
        <v>109</v>
      </c>
      <c r="P192" s="146">
        <v>89.65</v>
      </c>
      <c r="Q192" s="146" t="s">
        <v>109</v>
      </c>
      <c r="R192" s="137" t="s">
        <v>109</v>
      </c>
      <c r="S192" s="138" t="s">
        <v>109</v>
      </c>
      <c r="T192" s="369" t="s">
        <v>1188</v>
      </c>
      <c r="U192" s="146">
        <v>352255.238095238</v>
      </c>
      <c r="V192" s="146">
        <v>17612.761904762</v>
      </c>
      <c r="W192" s="146">
        <f t="shared" si="8"/>
        <v>369868</v>
      </c>
      <c r="X192" s="146">
        <v>352255.238095238</v>
      </c>
      <c r="Y192" s="146">
        <f t="shared" si="9"/>
        <v>3929.23</v>
      </c>
      <c r="Z192" s="137"/>
    </row>
    <row r="193" spans="1:26">
      <c r="A193" s="135" t="s">
        <v>1189</v>
      </c>
      <c r="B193" s="136" t="s">
        <v>42</v>
      </c>
      <c r="C193" s="136" t="s">
        <v>42</v>
      </c>
      <c r="D193" s="135" t="s">
        <v>265</v>
      </c>
      <c r="E193" s="154" t="s">
        <v>1190</v>
      </c>
      <c r="F193" s="136" t="s">
        <v>109</v>
      </c>
      <c r="G193" s="135" t="s">
        <v>142</v>
      </c>
      <c r="H193" s="135" t="s">
        <v>341</v>
      </c>
      <c r="I193" s="135" t="s">
        <v>232</v>
      </c>
      <c r="J193" s="158" t="s">
        <v>1191</v>
      </c>
      <c r="K193" s="144">
        <v>44099</v>
      </c>
      <c r="L193" s="145">
        <v>290255</v>
      </c>
      <c r="M193" s="135" t="s">
        <v>1192</v>
      </c>
      <c r="N193" s="145">
        <v>82.93</v>
      </c>
      <c r="O193" s="145" t="s">
        <v>109</v>
      </c>
      <c r="P193" s="146">
        <v>82.93</v>
      </c>
      <c r="Q193" s="146" t="s">
        <v>109</v>
      </c>
      <c r="R193" s="137" t="s">
        <v>109</v>
      </c>
      <c r="S193" s="138" t="s">
        <v>109</v>
      </c>
      <c r="T193" s="138" t="s">
        <v>1193</v>
      </c>
      <c r="U193" s="146">
        <v>276433.33</v>
      </c>
      <c r="V193" s="146">
        <v>13821.67</v>
      </c>
      <c r="W193" s="146">
        <f t="shared" si="8"/>
        <v>290255</v>
      </c>
      <c r="X193" s="146">
        <v>276433.33</v>
      </c>
      <c r="Y193" s="146">
        <f t="shared" si="9"/>
        <v>3333.33</v>
      </c>
      <c r="Z193" s="137"/>
    </row>
    <row r="194" ht="23.8" spans="1:26">
      <c r="A194" s="135" t="s">
        <v>1194</v>
      </c>
      <c r="B194" s="136" t="s">
        <v>42</v>
      </c>
      <c r="C194" s="136" t="s">
        <v>42</v>
      </c>
      <c r="D194" s="135" t="s">
        <v>265</v>
      </c>
      <c r="E194" s="136" t="s">
        <v>1195</v>
      </c>
      <c r="F194" s="136" t="s">
        <v>109</v>
      </c>
      <c r="G194" s="135" t="s">
        <v>142</v>
      </c>
      <c r="H194" s="135" t="s">
        <v>341</v>
      </c>
      <c r="I194" s="135" t="s">
        <v>232</v>
      </c>
      <c r="J194" s="136" t="s">
        <v>1196</v>
      </c>
      <c r="K194" s="144">
        <v>42255</v>
      </c>
      <c r="L194" s="145">
        <v>524707</v>
      </c>
      <c r="M194" s="135" t="s">
        <v>1197</v>
      </c>
      <c r="N194" s="145">
        <v>131.41</v>
      </c>
      <c r="O194" s="145" t="s">
        <v>109</v>
      </c>
      <c r="P194" s="146">
        <v>131.41</v>
      </c>
      <c r="Q194" s="146" t="s">
        <v>109</v>
      </c>
      <c r="R194" s="137" t="s">
        <v>109</v>
      </c>
      <c r="S194" s="138" t="s">
        <v>109</v>
      </c>
      <c r="T194" s="369" t="s">
        <v>1198</v>
      </c>
      <c r="U194" s="146">
        <v>499720.952380952</v>
      </c>
      <c r="V194" s="146">
        <v>24986.047619048</v>
      </c>
      <c r="W194" s="146">
        <f t="shared" si="8"/>
        <v>524707</v>
      </c>
      <c r="X194" s="146">
        <v>499720.952380952</v>
      </c>
      <c r="Y194" s="146">
        <f t="shared" si="9"/>
        <v>3802.76</v>
      </c>
      <c r="Z194" s="137"/>
    </row>
    <row r="195" spans="1:26">
      <c r="A195" s="135" t="s">
        <v>1199</v>
      </c>
      <c r="B195" s="136" t="s">
        <v>42</v>
      </c>
      <c r="C195" s="136" t="s">
        <v>42</v>
      </c>
      <c r="D195" s="135" t="s">
        <v>265</v>
      </c>
      <c r="E195" s="136" t="s">
        <v>1200</v>
      </c>
      <c r="F195" s="136" t="s">
        <v>109</v>
      </c>
      <c r="G195" s="135" t="s">
        <v>142</v>
      </c>
      <c r="H195" s="135" t="s">
        <v>329</v>
      </c>
      <c r="I195" s="135"/>
      <c r="J195" s="136"/>
      <c r="K195" s="144"/>
      <c r="L195" s="145"/>
      <c r="M195" s="135"/>
      <c r="N195" s="145"/>
      <c r="O195" s="145" t="s">
        <v>109</v>
      </c>
      <c r="P195" s="146">
        <v>126.86</v>
      </c>
      <c r="Q195" s="146" t="s">
        <v>109</v>
      </c>
      <c r="R195" s="137" t="s">
        <v>109</v>
      </c>
      <c r="S195" s="138" t="s">
        <v>109</v>
      </c>
      <c r="T195" s="138"/>
      <c r="U195" s="146"/>
      <c r="V195" s="146"/>
      <c r="W195" s="146">
        <f t="shared" si="8"/>
        <v>0</v>
      </c>
      <c r="X195" s="146"/>
      <c r="Y195" s="146">
        <f t="shared" si="9"/>
        <v>0</v>
      </c>
      <c r="Z195" s="137"/>
    </row>
    <row r="196" spans="1:26">
      <c r="A196" s="155" t="s">
        <v>1201</v>
      </c>
      <c r="B196" s="155" t="s">
        <v>42</v>
      </c>
      <c r="C196" s="156" t="s">
        <v>42</v>
      </c>
      <c r="D196" s="155" t="s">
        <v>265</v>
      </c>
      <c r="E196" s="155" t="s">
        <v>1202</v>
      </c>
      <c r="F196" s="155"/>
      <c r="G196" s="155" t="s">
        <v>142</v>
      </c>
      <c r="H196" s="155" t="s">
        <v>329</v>
      </c>
      <c r="I196" s="155"/>
      <c r="J196" s="155"/>
      <c r="K196" s="155"/>
      <c r="L196" s="159"/>
      <c r="M196" s="155"/>
      <c r="N196" s="159"/>
      <c r="O196" s="159"/>
      <c r="P196" s="159">
        <v>102.95</v>
      </c>
      <c r="Q196" s="159"/>
      <c r="R196" s="155"/>
      <c r="S196" s="155"/>
      <c r="T196" s="155"/>
      <c r="U196" s="161"/>
      <c r="V196" s="161"/>
      <c r="W196" s="146">
        <f t="shared" ref="W196:W201" si="10">SUM(U196)+SUM(V196)</f>
        <v>0</v>
      </c>
      <c r="X196" s="159"/>
      <c r="Y196" s="146">
        <f t="shared" ref="Y196:Y201" si="11">IF(SUM(P196)=0,"",ROUND(SUM(X196)/SUM(P196),2))</f>
        <v>0</v>
      </c>
      <c r="Z196" s="155"/>
    </row>
    <row r="197" spans="1:26">
      <c r="A197" s="155" t="s">
        <v>1203</v>
      </c>
      <c r="B197" s="155" t="s">
        <v>42</v>
      </c>
      <c r="C197" s="156" t="s">
        <v>42</v>
      </c>
      <c r="D197" s="155" t="s">
        <v>265</v>
      </c>
      <c r="E197" s="155" t="s">
        <v>1204</v>
      </c>
      <c r="F197" s="155"/>
      <c r="G197" s="155" t="s">
        <v>142</v>
      </c>
      <c r="H197" s="155" t="s">
        <v>329</v>
      </c>
      <c r="I197" s="155"/>
      <c r="J197" s="155"/>
      <c r="K197" s="155"/>
      <c r="L197" s="159"/>
      <c r="M197" s="155"/>
      <c r="N197" s="159"/>
      <c r="O197" s="159"/>
      <c r="P197" s="159">
        <v>86.66</v>
      </c>
      <c r="Q197" s="159"/>
      <c r="R197" s="155"/>
      <c r="S197" s="155"/>
      <c r="T197" s="155"/>
      <c r="U197" s="161"/>
      <c r="V197" s="161"/>
      <c r="W197" s="146">
        <f t="shared" si="10"/>
        <v>0</v>
      </c>
      <c r="X197" s="159"/>
      <c r="Y197" s="146">
        <f t="shared" si="11"/>
        <v>0</v>
      </c>
      <c r="Z197" s="155"/>
    </row>
    <row r="198" spans="1:26">
      <c r="A198" s="155" t="s">
        <v>1205</v>
      </c>
      <c r="B198" s="155" t="s">
        <v>42</v>
      </c>
      <c r="C198" s="156" t="s">
        <v>42</v>
      </c>
      <c r="D198" s="155" t="s">
        <v>265</v>
      </c>
      <c r="E198" s="155" t="s">
        <v>1206</v>
      </c>
      <c r="F198" s="155"/>
      <c r="G198" s="155" t="s">
        <v>142</v>
      </c>
      <c r="H198" s="155" t="s">
        <v>341</v>
      </c>
      <c r="I198" s="155" t="s">
        <v>232</v>
      </c>
      <c r="J198" s="155" t="s">
        <v>1207</v>
      </c>
      <c r="K198" s="160">
        <v>43218</v>
      </c>
      <c r="L198" s="159">
        <v>450353</v>
      </c>
      <c r="M198" s="155" t="s">
        <v>1208</v>
      </c>
      <c r="N198" s="159">
        <v>126.86</v>
      </c>
      <c r="O198" s="159"/>
      <c r="P198" s="159">
        <v>126.86</v>
      </c>
      <c r="Q198" s="159"/>
      <c r="R198" s="155"/>
      <c r="S198" s="155"/>
      <c r="T198" s="155" t="s">
        <v>1209</v>
      </c>
      <c r="U198" s="161">
        <v>428874.285714286</v>
      </c>
      <c r="V198" s="161">
        <v>21443.714285714</v>
      </c>
      <c r="W198" s="146">
        <f t="shared" si="10"/>
        <v>450318</v>
      </c>
      <c r="X198" s="159">
        <v>428874.285714286</v>
      </c>
      <c r="Y198" s="146">
        <f t="shared" si="11"/>
        <v>3380.69</v>
      </c>
      <c r="Z198" s="155"/>
    </row>
    <row r="199" spans="1:26">
      <c r="A199" s="155" t="s">
        <v>1210</v>
      </c>
      <c r="B199" s="155" t="s">
        <v>42</v>
      </c>
      <c r="C199" s="156" t="s">
        <v>42</v>
      </c>
      <c r="D199" s="155" t="s">
        <v>265</v>
      </c>
      <c r="E199" s="155" t="s">
        <v>1211</v>
      </c>
      <c r="F199" s="155"/>
      <c r="G199" s="155" t="s">
        <v>142</v>
      </c>
      <c r="H199" s="155" t="s">
        <v>341</v>
      </c>
      <c r="I199" s="155" t="s">
        <v>232</v>
      </c>
      <c r="J199" s="155" t="s">
        <v>1212</v>
      </c>
      <c r="K199" s="160">
        <v>42702</v>
      </c>
      <c r="L199" s="159">
        <v>453016</v>
      </c>
      <c r="M199" s="155" t="s">
        <v>1213</v>
      </c>
      <c r="N199" s="159">
        <v>133.24</v>
      </c>
      <c r="O199" s="159"/>
      <c r="P199" s="159">
        <v>133.24</v>
      </c>
      <c r="Q199" s="159"/>
      <c r="R199" s="155"/>
      <c r="S199" s="155"/>
      <c r="T199" s="155" t="s">
        <v>1214</v>
      </c>
      <c r="U199" s="161">
        <v>431443.80952381</v>
      </c>
      <c r="V199" s="161">
        <v>21572.19047619</v>
      </c>
      <c r="W199" s="146">
        <f t="shared" si="10"/>
        <v>453016</v>
      </c>
      <c r="X199" s="159">
        <v>431443.80952381</v>
      </c>
      <c r="Y199" s="146">
        <f t="shared" si="11"/>
        <v>3238.1</v>
      </c>
      <c r="Z199" s="155"/>
    </row>
    <row r="200" spans="1:26">
      <c r="A200" s="155" t="s">
        <v>1215</v>
      </c>
      <c r="B200" s="155" t="s">
        <v>42</v>
      </c>
      <c r="C200" s="156" t="s">
        <v>42</v>
      </c>
      <c r="D200" s="155" t="s">
        <v>265</v>
      </c>
      <c r="E200" s="157" t="s">
        <v>1216</v>
      </c>
      <c r="F200" s="155"/>
      <c r="G200" s="155" t="s">
        <v>142</v>
      </c>
      <c r="H200" s="155" t="s">
        <v>341</v>
      </c>
      <c r="I200" s="155" t="s">
        <v>232</v>
      </c>
      <c r="J200" s="155">
        <v>20230005233</v>
      </c>
      <c r="K200" s="160">
        <v>45097</v>
      </c>
      <c r="L200" s="159">
        <v>507000</v>
      </c>
      <c r="M200" s="155" t="s">
        <v>1217</v>
      </c>
      <c r="N200" s="159">
        <v>84.5</v>
      </c>
      <c r="O200" s="159"/>
      <c r="P200" s="159">
        <v>84.5</v>
      </c>
      <c r="Q200" s="159"/>
      <c r="R200" s="155"/>
      <c r="S200" s="155"/>
      <c r="T200" s="155" t="s">
        <v>1218</v>
      </c>
      <c r="U200" s="161">
        <v>482857.14</v>
      </c>
      <c r="V200" s="161">
        <v>24142.86</v>
      </c>
      <c r="W200" s="146">
        <f t="shared" si="10"/>
        <v>507000</v>
      </c>
      <c r="X200" s="159">
        <v>482857.14</v>
      </c>
      <c r="Y200" s="146">
        <f t="shared" si="11"/>
        <v>5714.29</v>
      </c>
      <c r="Z200" s="155"/>
    </row>
    <row r="201" spans="1:26">
      <c r="A201" s="155" t="s">
        <v>1219</v>
      </c>
      <c r="B201" s="155" t="s">
        <v>42</v>
      </c>
      <c r="C201" s="156" t="s">
        <v>42</v>
      </c>
      <c r="D201" s="155" t="s">
        <v>265</v>
      </c>
      <c r="E201" s="155" t="s">
        <v>1220</v>
      </c>
      <c r="F201" s="155"/>
      <c r="G201" s="155" t="s">
        <v>142</v>
      </c>
      <c r="H201" s="155" t="s">
        <v>341</v>
      </c>
      <c r="I201" s="155" t="s">
        <v>232</v>
      </c>
      <c r="J201" s="155" t="s">
        <v>1221</v>
      </c>
      <c r="K201" s="160">
        <v>42454</v>
      </c>
      <c r="L201" s="159">
        <v>280000</v>
      </c>
      <c r="M201" s="155" t="s">
        <v>1222</v>
      </c>
      <c r="N201" s="159">
        <v>89.65</v>
      </c>
      <c r="O201" s="159"/>
      <c r="P201" s="159">
        <v>89.65</v>
      </c>
      <c r="Q201" s="159"/>
      <c r="R201" s="155"/>
      <c r="S201" s="155"/>
      <c r="T201" s="155" t="s">
        <v>1223</v>
      </c>
      <c r="U201" s="161">
        <v>266666.666666667</v>
      </c>
      <c r="V201" s="161">
        <v>13333.333333333</v>
      </c>
      <c r="W201" s="146">
        <f t="shared" si="10"/>
        <v>280000</v>
      </c>
      <c r="X201" s="159">
        <v>266666.666666667</v>
      </c>
      <c r="Y201" s="146">
        <f t="shared" si="11"/>
        <v>2974.53</v>
      </c>
      <c r="Z201" s="155"/>
    </row>
  </sheetData>
  <autoFilter ref="A6:Z201">
    <filterColumn colId="6">
      <filters>
        <filter val="普通住宅"/>
      </filters>
    </filterColumn>
    <extLst/>
  </autoFilter>
  <mergeCells count="2">
    <mergeCell ref="A1:Z1"/>
    <mergeCell ref="A2:Z2"/>
  </mergeCells>
  <dataValidations count="5">
    <dataValidation allowBlank="1" showInputMessage="1" showErrorMessage="1" sqref="G3:I3"/>
    <dataValidation type="list" allowBlank="1" showInputMessage="1" showErrorMessage="1" sqref="G7:G1048576">
      <formula1>OFFSET(数据对照表!$A$2,,,COUNTA(数据对照表!A:A)-1,1)</formula1>
    </dataValidation>
    <dataValidation type="list" allowBlank="1" showInputMessage="1" showErrorMessage="1" sqref="H7:H1048576">
      <formula1>"已售,未售,自用,出租,不可售"</formula1>
    </dataValidation>
    <dataValidation type="list" allowBlank="1" showInputMessage="1" showErrorMessage="1" sqref="I7:I1048576">
      <formula1>"货币收入,实物及其他收入,视同销售收入"</formula1>
    </dataValidation>
    <dataValidation type="list" allowBlank="1" showInputMessage="1" showErrorMessage="1" sqref="R7:R41">
      <formula1>"东,南,西,北,东南,西南,东北,西北"</formula1>
    </dataValidation>
  </dataValidations>
  <printOptions horizontalCentered="1"/>
  <pageMargins left="0.747916666666667" right="0.354166666666667" top="0.984027777777778" bottom="0.984027777777778" header="0.511805555555556" footer="0.511805555555556"/>
  <pageSetup paperSize="9" scale="63" fitToHeight="0" orientation="landscape"/>
  <headerFooter>
    <oddFooter>&amp;C第 &amp;P 页，共 &amp;N 页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fitToPage="1"/>
  </sheetPr>
  <dimension ref="A1:AB158"/>
  <sheetViews>
    <sheetView zoomScale="120" zoomScaleNormal="120" topLeftCell="P1" workbookViewId="0">
      <pane ySplit="6" topLeftCell="A7" activePane="bottomLeft" state="frozen"/>
      <selection/>
      <selection pane="bottomLeft" activeCell="W5" sqref="W5:Y5"/>
    </sheetView>
  </sheetViews>
  <sheetFormatPr defaultColWidth="4.872" defaultRowHeight="15.65"/>
  <cols>
    <col min="1" max="1" width="4.872" style="76"/>
    <col min="2" max="2" width="7.656" style="20" customWidth="1"/>
    <col min="3" max="3" width="4.872" style="20"/>
    <col min="4" max="4" width="12.536" style="20" customWidth="1"/>
    <col min="5" max="5" width="14.288" style="20" customWidth="1"/>
    <col min="6" max="9" width="4.872" style="20"/>
    <col min="10" max="10" width="22.904" style="20" customWidth="1"/>
    <col min="11" max="11" width="13.584" style="20" customWidth="1"/>
    <col min="12" max="12" width="7.224" style="20" customWidth="1"/>
    <col min="13" max="13" width="7.576" style="20" customWidth="1"/>
    <col min="14" max="14" width="15.328" style="77" customWidth="1"/>
    <col min="15" max="15" width="16.544" style="77" customWidth="1"/>
    <col min="16" max="16" width="16.808" style="77" customWidth="1"/>
    <col min="17" max="17" width="17.072" style="78" customWidth="1"/>
    <col min="18" max="18" width="16.72" style="77" customWidth="1"/>
    <col min="19" max="19" width="8.624" style="79" customWidth="1"/>
    <col min="20" max="20" width="14.448" style="77" customWidth="1"/>
    <col min="21" max="21" width="10.504" style="20" customWidth="1"/>
    <col min="22" max="22" width="14.8" style="20" customWidth="1"/>
    <col min="23" max="23" width="14.632" style="80" customWidth="1"/>
    <col min="24" max="25" width="16.896" style="80" customWidth="1"/>
    <col min="26" max="26" width="7.872" style="20" customWidth="1"/>
    <col min="27" max="16384" width="4.872" style="20"/>
  </cols>
  <sheetData>
    <row r="1" ht="23.8" spans="1:28">
      <c r="A1" s="81" t="s">
        <v>1224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107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</row>
    <row r="2" s="73" customFormat="1" ht="15" spans="1:28">
      <c r="A2" s="82" t="str">
        <f>土地增值税税源明细表!F5&amp;"："&amp;土地增值税税源明细表!H5&amp;"          "&amp;土地增值税税源明细表!A5&amp;"："&amp;土地增值税税源明细表!B5&amp;"          "&amp;"金额单位:人民币元(列至角分)"</f>
        <v>项目编码：Z65280120160100          项目名称：通力华庭          金额单位:人民币元(列至角分)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108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</row>
    <row r="3" s="74" customFormat="1" ht="47.6" spans="1:28">
      <c r="A3" s="83" t="s">
        <v>37</v>
      </c>
      <c r="B3" s="84" t="s">
        <v>1225</v>
      </c>
      <c r="C3" s="84" t="s">
        <v>1226</v>
      </c>
      <c r="D3" s="85" t="s">
        <v>1227</v>
      </c>
      <c r="E3" s="86" t="s">
        <v>1228</v>
      </c>
      <c r="F3" s="84" t="s">
        <v>1229</v>
      </c>
      <c r="G3" s="84" t="s">
        <v>1230</v>
      </c>
      <c r="H3" s="84" t="s">
        <v>1231</v>
      </c>
      <c r="I3" s="84" t="s">
        <v>1232</v>
      </c>
      <c r="J3" s="84" t="s">
        <v>1233</v>
      </c>
      <c r="K3" s="91" t="s">
        <v>1234</v>
      </c>
      <c r="L3" s="84" t="s">
        <v>1235</v>
      </c>
      <c r="M3" s="84" t="s">
        <v>1236</v>
      </c>
      <c r="N3" s="100" t="s">
        <v>1237</v>
      </c>
      <c r="O3" s="100" t="s">
        <v>1238</v>
      </c>
      <c r="P3" s="100" t="s">
        <v>1239</v>
      </c>
      <c r="Q3" s="109" t="s">
        <v>1240</v>
      </c>
      <c r="R3" s="100" t="s">
        <v>1241</v>
      </c>
      <c r="S3" s="110" t="s">
        <v>1242</v>
      </c>
      <c r="T3" s="100" t="s">
        <v>1243</v>
      </c>
      <c r="U3" s="84" t="s">
        <v>314</v>
      </c>
      <c r="V3" s="84" t="s">
        <v>1244</v>
      </c>
      <c r="W3" s="84" t="s">
        <v>1245</v>
      </c>
      <c r="X3" s="84" t="s">
        <v>1246</v>
      </c>
      <c r="Y3" s="84" t="s">
        <v>1247</v>
      </c>
      <c r="Z3" s="84" t="s">
        <v>1248</v>
      </c>
      <c r="AA3" s="84" t="s">
        <v>1249</v>
      </c>
      <c r="AB3" s="84" t="s">
        <v>1250</v>
      </c>
    </row>
    <row r="4" s="74" customFormat="1" spans="1:28">
      <c r="A4" s="87" t="s">
        <v>315</v>
      </c>
      <c r="B4" s="88" t="s">
        <v>316</v>
      </c>
      <c r="C4" s="88" t="s">
        <v>316</v>
      </c>
      <c r="D4" s="89" t="s">
        <v>316</v>
      </c>
      <c r="E4" s="89" t="s">
        <v>316</v>
      </c>
      <c r="F4" s="88" t="s">
        <v>316</v>
      </c>
      <c r="G4" s="88" t="s">
        <v>316</v>
      </c>
      <c r="H4" s="88" t="s">
        <v>316</v>
      </c>
      <c r="I4" s="88" t="s">
        <v>316</v>
      </c>
      <c r="J4" s="88" t="s">
        <v>316</v>
      </c>
      <c r="K4" s="88" t="s">
        <v>316</v>
      </c>
      <c r="L4" s="88" t="s">
        <v>316</v>
      </c>
      <c r="M4" s="88" t="s">
        <v>316</v>
      </c>
      <c r="N4" s="101">
        <f t="shared" ref="N4:R4" si="0">SUM(N$7:N$1048576)</f>
        <v>81005716.46</v>
      </c>
      <c r="O4" s="101">
        <f t="shared" si="0"/>
        <v>79612955.26</v>
      </c>
      <c r="P4" s="101">
        <f t="shared" si="0"/>
        <v>79612955.26</v>
      </c>
      <c r="Q4" s="111">
        <f t="shared" si="0"/>
        <v>-17430772.13</v>
      </c>
      <c r="R4" s="101">
        <f t="shared" si="0"/>
        <v>62182183.13</v>
      </c>
      <c r="S4" s="112">
        <f>IF(R5=0,"",ROUND(T5/R5,6))</f>
        <v>1</v>
      </c>
      <c r="T4" s="101">
        <f t="shared" ref="T4:Y4" si="1">SUM(T$7:T$1048576)</f>
        <v>62182183.13</v>
      </c>
      <c r="U4" s="88" t="s">
        <v>316</v>
      </c>
      <c r="V4" s="88" t="s">
        <v>316</v>
      </c>
      <c r="W4" s="101">
        <f t="shared" si="1"/>
        <v>46685477.8271456</v>
      </c>
      <c r="X4" s="101">
        <f t="shared" si="1"/>
        <v>0</v>
      </c>
      <c r="Y4" s="101">
        <f t="shared" si="1"/>
        <v>15496705.3028544</v>
      </c>
      <c r="Z4" s="88" t="s">
        <v>316</v>
      </c>
      <c r="AA4" s="88" t="s">
        <v>316</v>
      </c>
      <c r="AB4" s="88" t="s">
        <v>316</v>
      </c>
    </row>
    <row r="5" s="75" customFormat="1" ht="23.8" spans="1:28">
      <c r="A5" s="87" t="s">
        <v>317</v>
      </c>
      <c r="B5" s="88" t="s">
        <v>316</v>
      </c>
      <c r="C5" s="88" t="s">
        <v>316</v>
      </c>
      <c r="D5" s="89" t="s">
        <v>316</v>
      </c>
      <c r="E5" s="89" t="s">
        <v>316</v>
      </c>
      <c r="F5" s="88" t="s">
        <v>316</v>
      </c>
      <c r="G5" s="88" t="s">
        <v>316</v>
      </c>
      <c r="H5" s="88" t="s">
        <v>316</v>
      </c>
      <c r="I5" s="88" t="s">
        <v>316</v>
      </c>
      <c r="J5" s="88" t="s">
        <v>316</v>
      </c>
      <c r="K5" s="88" t="s">
        <v>316</v>
      </c>
      <c r="L5" s="88" t="s">
        <v>316</v>
      </c>
      <c r="M5" s="88" t="s">
        <v>316</v>
      </c>
      <c r="N5" s="101">
        <f t="shared" ref="N5:R5" si="2">SUBTOTAL(9,N$7:N$1048576)</f>
        <v>48371966.45</v>
      </c>
      <c r="O5" s="101">
        <f t="shared" si="2"/>
        <v>48371966.45</v>
      </c>
      <c r="P5" s="101">
        <f t="shared" si="2"/>
        <v>48371966.45</v>
      </c>
      <c r="Q5" s="111">
        <f t="shared" si="2"/>
        <v>72662</v>
      </c>
      <c r="R5" s="101">
        <f t="shared" si="2"/>
        <v>48444628.45</v>
      </c>
      <c r="S5" s="112" t="str">
        <f>IF(SUM(R6)=0,"",ROUND(SUM(T6)/SUM(R6),6))</f>
        <v/>
      </c>
      <c r="T5" s="101">
        <f t="shared" ref="T5:Y5" si="3">SUBTOTAL(9,T$7:T$1048576)</f>
        <v>48444628.45</v>
      </c>
      <c r="U5" s="88" t="s">
        <v>316</v>
      </c>
      <c r="V5" s="88" t="s">
        <v>316</v>
      </c>
      <c r="W5" s="101">
        <f t="shared" si="3"/>
        <v>35330661.19</v>
      </c>
      <c r="X5" s="101">
        <f t="shared" si="3"/>
        <v>0</v>
      </c>
      <c r="Y5" s="101">
        <f t="shared" si="3"/>
        <v>13113967.26</v>
      </c>
      <c r="Z5" s="88" t="s">
        <v>316</v>
      </c>
      <c r="AA5" s="88" t="s">
        <v>316</v>
      </c>
      <c r="AB5" s="88" t="s">
        <v>316</v>
      </c>
    </row>
    <row r="6" spans="1:28">
      <c r="A6" s="90" t="s">
        <v>318</v>
      </c>
      <c r="B6" s="371" t="s">
        <v>42</v>
      </c>
      <c r="C6" s="371" t="s">
        <v>210</v>
      </c>
      <c r="D6" s="372" t="s">
        <v>211</v>
      </c>
      <c r="E6" s="372" t="s">
        <v>212</v>
      </c>
      <c r="F6" s="371" t="s">
        <v>243</v>
      </c>
      <c r="G6" s="371" t="s">
        <v>214</v>
      </c>
      <c r="H6" s="371" t="s">
        <v>215</v>
      </c>
      <c r="I6" s="371" t="s">
        <v>216</v>
      </c>
      <c r="J6" s="371" t="s">
        <v>223</v>
      </c>
      <c r="K6" s="371" t="s">
        <v>224</v>
      </c>
      <c r="L6" s="371" t="s">
        <v>253</v>
      </c>
      <c r="M6" s="371" t="s">
        <v>226</v>
      </c>
      <c r="N6" s="359" t="s">
        <v>227</v>
      </c>
      <c r="O6" s="359" t="s">
        <v>228</v>
      </c>
      <c r="P6" s="102">
        <v>15</v>
      </c>
      <c r="Q6" s="373" t="s">
        <v>257</v>
      </c>
      <c r="R6" s="359" t="s">
        <v>1251</v>
      </c>
      <c r="S6" s="374" t="s">
        <v>259</v>
      </c>
      <c r="T6" s="359" t="s">
        <v>1252</v>
      </c>
      <c r="U6" s="371" t="s">
        <v>263</v>
      </c>
      <c r="V6" s="371" t="s">
        <v>321</v>
      </c>
      <c r="W6" s="359" t="s">
        <v>265</v>
      </c>
      <c r="X6" s="359" t="s">
        <v>1253</v>
      </c>
      <c r="Y6" s="359" t="s">
        <v>385</v>
      </c>
      <c r="Z6" s="371" t="s">
        <v>325</v>
      </c>
      <c r="AA6" s="371" t="s">
        <v>394</v>
      </c>
      <c r="AB6" s="371" t="s">
        <v>399</v>
      </c>
    </row>
    <row r="7" ht="24" hidden="1" customHeight="1" spans="1:28">
      <c r="A7" s="93">
        <v>1</v>
      </c>
      <c r="B7" s="94" t="s">
        <v>1254</v>
      </c>
      <c r="C7" s="95">
        <v>34</v>
      </c>
      <c r="D7" s="96" t="s">
        <v>1255</v>
      </c>
      <c r="E7" s="97" t="s">
        <v>1256</v>
      </c>
      <c r="F7" s="98"/>
      <c r="G7" s="95"/>
      <c r="H7" s="98" t="s">
        <v>109</v>
      </c>
      <c r="I7" s="103" t="s">
        <v>109</v>
      </c>
      <c r="J7" s="98" t="s">
        <v>109</v>
      </c>
      <c r="K7" s="98" t="s">
        <v>1257</v>
      </c>
      <c r="L7" s="95">
        <v>837909080</v>
      </c>
      <c r="M7" s="95" t="s">
        <v>1258</v>
      </c>
      <c r="N7" s="104">
        <v>2590000</v>
      </c>
      <c r="O7" s="104">
        <v>2590000</v>
      </c>
      <c r="P7" s="104">
        <v>2590000</v>
      </c>
      <c r="Q7" s="113"/>
      <c r="R7" s="104">
        <f>P7+Q7</f>
        <v>2590000</v>
      </c>
      <c r="S7" s="114">
        <f>IFERROR(VLOOKUP(G7,'附表8-合同明细采集底稿'!B:M,12,0),100%)</f>
        <v>1</v>
      </c>
      <c r="T7" s="104">
        <f>ROUND(SUM(R7)*SUM(S7),2)</f>
        <v>2590000</v>
      </c>
      <c r="U7" s="98"/>
      <c r="V7" s="115" t="s">
        <v>275</v>
      </c>
      <c r="W7" s="116">
        <f>T7*'附表1-面积统计表'!$D$32/('附表1-面积统计表'!$D$32+'附表1-面积统计表'!$D$8)</f>
        <v>2277028.91997638</v>
      </c>
      <c r="X7" s="116">
        <f>T7-W7-Y7</f>
        <v>0</v>
      </c>
      <c r="Y7" s="116">
        <f>IF(SUM('附表1-面积统计表'!$D$6)=0,SUM(T7)-SUM(W7),IF('附表1-面积统计表'!$D$29=0,"",IF(AND(V7="共同成本费用",Z7="总建筑面积法"),ROUND(T7/'附表1-面积统计表'!$D$29*'附表1-面积统计表'!$D$7,2),IF(AND(V7="共同成本费用",Z7="可售建筑面积法"),ROUND(T7/'附表1-面积统计表'!$F$29*'附表1-面积统计表'!$F$7,2),"请手工填写"))))</f>
        <v>312971.080023623</v>
      </c>
      <c r="Z7" s="118" t="s">
        <v>250</v>
      </c>
      <c r="AA7" s="98"/>
      <c r="AB7" s="119" t="s">
        <v>1259</v>
      </c>
    </row>
    <row r="8" ht="24" hidden="1" customHeight="1" spans="1:28">
      <c r="A8" s="93">
        <v>2</v>
      </c>
      <c r="B8" s="94" t="s">
        <v>1260</v>
      </c>
      <c r="C8" s="95">
        <v>24</v>
      </c>
      <c r="D8" s="96" t="s">
        <v>1255</v>
      </c>
      <c r="E8" s="97" t="s">
        <v>1256</v>
      </c>
      <c r="F8" s="98"/>
      <c r="G8" s="95"/>
      <c r="H8" s="98" t="s">
        <v>109</v>
      </c>
      <c r="I8" s="103" t="s">
        <v>109</v>
      </c>
      <c r="J8" s="98" t="s">
        <v>109</v>
      </c>
      <c r="K8" s="98" t="s">
        <v>1257</v>
      </c>
      <c r="L8" s="95">
        <v>837909080</v>
      </c>
      <c r="M8" s="95" t="s">
        <v>1261</v>
      </c>
      <c r="N8" s="104">
        <v>1722150</v>
      </c>
      <c r="O8" s="104">
        <v>1722150</v>
      </c>
      <c r="P8" s="104">
        <v>1722150</v>
      </c>
      <c r="Q8" s="113"/>
      <c r="R8" s="104">
        <f t="shared" ref="R8:R28" si="4">P8+Q8</f>
        <v>1722150</v>
      </c>
      <c r="S8" s="114">
        <f>IFERROR(VLOOKUP(G8,'附表8-合同明细采集底稿'!B:M,12,0),100%)</f>
        <v>1</v>
      </c>
      <c r="T8" s="104">
        <f t="shared" ref="T8:T28" si="5">ROUND(SUM(R8)*SUM(S8),2)</f>
        <v>1722150</v>
      </c>
      <c r="U8" s="98"/>
      <c r="V8" s="115" t="s">
        <v>275</v>
      </c>
      <c r="W8" s="116">
        <f>T8*'附表1-面积统计表'!$D$32/('附表1-面积统计表'!$D$32+'附表1-面积统计表'!$D$8)</f>
        <v>1514048.39943526</v>
      </c>
      <c r="X8" s="116">
        <f t="shared" ref="X8:X39" si="6">T8-W8-Y8</f>
        <v>0</v>
      </c>
      <c r="Y8" s="116">
        <f>IF(SUM('附表1-面积统计表'!$D$6)=0,SUM(T8)-SUM(W8),IF('附表1-面积统计表'!$D$29=0,"",IF(AND(V8="共同成本费用",Z8="总建筑面积法"),ROUND(T8/'附表1-面积统计表'!$D$29*'附表1-面积统计表'!$D$7,2),IF(AND(V8="共同成本费用",Z8="可售建筑面积法"),ROUND(T8/'附表1-面积统计表'!$F$29*'附表1-面积统计表'!$F$7,2),"请手工填写"))))</f>
        <v>208101.600564742</v>
      </c>
      <c r="Z8" s="118" t="s">
        <v>250</v>
      </c>
      <c r="AA8" s="98"/>
      <c r="AB8" s="119" t="s">
        <v>1259</v>
      </c>
    </row>
    <row r="9" ht="24" hidden="1" customHeight="1" spans="1:28">
      <c r="A9" s="93">
        <v>3</v>
      </c>
      <c r="B9" s="94" t="s">
        <v>1262</v>
      </c>
      <c r="C9" s="95">
        <v>45</v>
      </c>
      <c r="D9" s="96" t="s">
        <v>1255</v>
      </c>
      <c r="E9" s="97" t="s">
        <v>1256</v>
      </c>
      <c r="F9" s="98"/>
      <c r="G9" s="95"/>
      <c r="H9" s="98" t="s">
        <v>109</v>
      </c>
      <c r="I9" s="103" t="s">
        <v>109</v>
      </c>
      <c r="J9" s="98" t="s">
        <v>109</v>
      </c>
      <c r="K9" s="98" t="s">
        <v>1257</v>
      </c>
      <c r="L9" s="95">
        <v>837909080</v>
      </c>
      <c r="M9" s="95" t="s">
        <v>1263</v>
      </c>
      <c r="N9" s="104">
        <v>1722150</v>
      </c>
      <c r="O9" s="104">
        <v>1722150</v>
      </c>
      <c r="P9" s="104">
        <v>1722150</v>
      </c>
      <c r="Q9" s="113"/>
      <c r="R9" s="104">
        <f t="shared" si="4"/>
        <v>1722150</v>
      </c>
      <c r="S9" s="114">
        <f>IFERROR(VLOOKUP(G9,'附表8-合同明细采集底稿'!B:M,12,0),100%)</f>
        <v>1</v>
      </c>
      <c r="T9" s="104">
        <f t="shared" si="5"/>
        <v>1722150</v>
      </c>
      <c r="U9" s="98"/>
      <c r="V9" s="115" t="s">
        <v>275</v>
      </c>
      <c r="W9" s="116">
        <f>T9*'附表1-面积统计表'!$D$32/('附表1-面积统计表'!$D$32+'附表1-面积统计表'!$D$8)</f>
        <v>1514048.39943526</v>
      </c>
      <c r="X9" s="116">
        <f t="shared" si="6"/>
        <v>0</v>
      </c>
      <c r="Y9" s="116">
        <f>IF(SUM('附表1-面积统计表'!$D$6)=0,SUM(T9)-SUM(W9),IF('附表1-面积统计表'!$D$29=0,"",IF(AND(V9="共同成本费用",Z9="总建筑面积法"),ROUND(T9/'附表1-面积统计表'!$D$29*'附表1-面积统计表'!$D$7,2),IF(AND(V9="共同成本费用",Z9="可售建筑面积法"),ROUND(T9/'附表1-面积统计表'!$F$29*'附表1-面积统计表'!$F$7,2),"请手工填写"))))</f>
        <v>208101.600564742</v>
      </c>
      <c r="Z9" s="118" t="s">
        <v>250</v>
      </c>
      <c r="AA9" s="98"/>
      <c r="AB9" s="119" t="s">
        <v>1259</v>
      </c>
    </row>
    <row r="10" ht="24" hidden="1" customHeight="1" spans="1:28">
      <c r="A10" s="93">
        <v>4</v>
      </c>
      <c r="B10" s="94" t="s">
        <v>1264</v>
      </c>
      <c r="C10" s="95">
        <v>44</v>
      </c>
      <c r="D10" s="96" t="s">
        <v>1255</v>
      </c>
      <c r="E10" s="97" t="s">
        <v>1256</v>
      </c>
      <c r="F10" s="98"/>
      <c r="G10" s="95"/>
      <c r="H10" s="98" t="s">
        <v>109</v>
      </c>
      <c r="I10" s="103" t="s">
        <v>109</v>
      </c>
      <c r="J10" s="98" t="s">
        <v>109</v>
      </c>
      <c r="K10" s="98" t="s">
        <v>1257</v>
      </c>
      <c r="L10" s="95">
        <v>837909080</v>
      </c>
      <c r="M10" s="95" t="s">
        <v>1265</v>
      </c>
      <c r="N10" s="104">
        <v>2575000</v>
      </c>
      <c r="O10" s="104">
        <v>2575000</v>
      </c>
      <c r="P10" s="104">
        <v>2575000</v>
      </c>
      <c r="Q10" s="113"/>
      <c r="R10" s="104">
        <f t="shared" si="4"/>
        <v>2575000</v>
      </c>
      <c r="S10" s="114">
        <f>IFERROR(VLOOKUP(G10,'附表8-合同明细采集底稿'!B:M,12,0),100%)</f>
        <v>1</v>
      </c>
      <c r="T10" s="104">
        <f t="shared" si="5"/>
        <v>2575000</v>
      </c>
      <c r="U10" s="98"/>
      <c r="V10" s="115" t="s">
        <v>275</v>
      </c>
      <c r="W10" s="116">
        <f>T10*'附表1-面积统计表'!$D$32/('附表1-面积统计表'!$D$32+'附表1-面积统计表'!$D$8)</f>
        <v>2263841.49379891</v>
      </c>
      <c r="X10" s="116">
        <f t="shared" si="6"/>
        <v>0</v>
      </c>
      <c r="Y10" s="116">
        <f>IF(SUM('附表1-面积统计表'!$D$6)=0,SUM(T10)-SUM(W10),IF('附表1-面积统计表'!$D$29=0,"",IF(AND(V10="共同成本费用",Z10="总建筑面积法"),ROUND(T10/'附表1-面积统计表'!$D$29*'附表1-面积统计表'!$D$7,2),IF(AND(V10="共同成本费用",Z10="可售建筑面积法"),ROUND(T10/'附表1-面积统计表'!$F$29*'附表1-面积统计表'!$F$7,2),"请手工填写"))))</f>
        <v>311158.506201092</v>
      </c>
      <c r="Z10" s="118" t="s">
        <v>250</v>
      </c>
      <c r="AA10" s="98"/>
      <c r="AB10" s="119" t="s">
        <v>1259</v>
      </c>
    </row>
    <row r="11" ht="24" hidden="1" customHeight="1" spans="1:28">
      <c r="A11" s="93">
        <v>5</v>
      </c>
      <c r="B11" s="94" t="s">
        <v>1266</v>
      </c>
      <c r="C11" s="95">
        <v>18</v>
      </c>
      <c r="D11" s="96" t="s">
        <v>1255</v>
      </c>
      <c r="E11" s="97" t="s">
        <v>1267</v>
      </c>
      <c r="F11" s="98"/>
      <c r="G11" s="95"/>
      <c r="H11" s="98" t="s">
        <v>109</v>
      </c>
      <c r="I11" s="103" t="s">
        <v>109</v>
      </c>
      <c r="J11" s="98" t="s">
        <v>109</v>
      </c>
      <c r="K11" s="98" t="s">
        <v>1268</v>
      </c>
      <c r="L11" s="375" t="s">
        <v>1269</v>
      </c>
      <c r="M11" s="375" t="s">
        <v>1269</v>
      </c>
      <c r="N11" s="104">
        <v>258279</v>
      </c>
      <c r="O11" s="104">
        <v>258279</v>
      </c>
      <c r="P11" s="104">
        <v>258279</v>
      </c>
      <c r="Q11" s="113">
        <v>47428.87</v>
      </c>
      <c r="R11" s="104">
        <f t="shared" si="4"/>
        <v>305707.87</v>
      </c>
      <c r="S11" s="114">
        <f>IFERROR(VLOOKUP(G11,'附表8-合同明细采集底稿'!B:M,12,0),100%)</f>
        <v>1</v>
      </c>
      <c r="T11" s="104">
        <f t="shared" si="5"/>
        <v>305707.87</v>
      </c>
      <c r="U11" s="98"/>
      <c r="V11" s="115" t="s">
        <v>275</v>
      </c>
      <c r="W11" s="116">
        <f>T11*'附表1-面积统计表'!$D$32/('附表1-面积统计表'!$D$32+'附表1-面积统计表'!$D$8)</f>
        <v>268766.66449976</v>
      </c>
      <c r="X11" s="116">
        <f t="shared" si="6"/>
        <v>0</v>
      </c>
      <c r="Y11" s="116">
        <f>IF(SUM('附表1-面积统计表'!$D$6)=0,SUM(T11)-SUM(W11),IF('附表1-面积统计表'!$D$29=0,"",IF(AND(V11="共同成本费用",Z11="总建筑面积法"),ROUND(T11/'附表1-面积统计表'!$D$29*'附表1-面积统计表'!$D$7,2),IF(AND(V11="共同成本费用",Z11="可售建筑面积法"),ROUND(T11/'附表1-面积统计表'!$F$29*'附表1-面积统计表'!$F$7,2),"请手工填写"))))</f>
        <v>36941.2055002399</v>
      </c>
      <c r="Z11" s="118" t="s">
        <v>250</v>
      </c>
      <c r="AA11" s="98"/>
      <c r="AB11" s="119" t="s">
        <v>1259</v>
      </c>
    </row>
    <row r="12" ht="24" hidden="1" customHeight="1" spans="1:28">
      <c r="A12" s="93">
        <v>6</v>
      </c>
      <c r="B12" s="94" t="s">
        <v>1266</v>
      </c>
      <c r="C12" s="95">
        <v>28</v>
      </c>
      <c r="D12" s="96" t="s">
        <v>1255</v>
      </c>
      <c r="E12" s="97" t="s">
        <v>1267</v>
      </c>
      <c r="F12" s="98"/>
      <c r="G12" s="95"/>
      <c r="H12" s="98" t="s">
        <v>109</v>
      </c>
      <c r="I12" s="103" t="s">
        <v>109</v>
      </c>
      <c r="J12" s="98" t="s">
        <v>109</v>
      </c>
      <c r="K12" s="98" t="s">
        <v>1270</v>
      </c>
      <c r="L12" s="375" t="s">
        <v>1271</v>
      </c>
      <c r="M12" s="375" t="s">
        <v>1272</v>
      </c>
      <c r="N12" s="104">
        <v>35122</v>
      </c>
      <c r="O12" s="104">
        <v>35122</v>
      </c>
      <c r="P12" s="104">
        <v>35122</v>
      </c>
      <c r="Q12" s="113">
        <f>-35122</f>
        <v>-35122</v>
      </c>
      <c r="R12" s="104">
        <f t="shared" si="4"/>
        <v>0</v>
      </c>
      <c r="S12" s="114">
        <f>IFERROR(VLOOKUP(G12,'附表8-合同明细采集底稿'!B:M,12,0),100%)</f>
        <v>1</v>
      </c>
      <c r="T12" s="104">
        <f t="shared" si="5"/>
        <v>0</v>
      </c>
      <c r="U12" s="98"/>
      <c r="V12" s="115" t="s">
        <v>275</v>
      </c>
      <c r="W12" s="116">
        <v>0</v>
      </c>
      <c r="X12" s="116">
        <f t="shared" si="6"/>
        <v>0</v>
      </c>
      <c r="Y12" s="116">
        <f>IF(SUM('附表1-面积统计表'!$D$6)=0,SUM(T12)-SUM(W12),IF('附表1-面积统计表'!$D$29=0,"",IF(AND(V12="共同成本费用",Z12="总建筑面积法"),ROUND(T12/'附表1-面积统计表'!$D$29*'附表1-面积统计表'!$D$7,2),IF(AND(V12="共同成本费用",Z12="可售建筑面积法"),ROUND(T12/'附表1-面积统计表'!$F$29*'附表1-面积统计表'!$F$7,2),"请手工填写"))))</f>
        <v>0</v>
      </c>
      <c r="Z12" s="118" t="s">
        <v>250</v>
      </c>
      <c r="AA12" s="98"/>
      <c r="AB12" s="119" t="s">
        <v>1259</v>
      </c>
    </row>
    <row r="13" ht="24" hidden="1" customHeight="1" spans="1:28">
      <c r="A13" s="93">
        <v>7</v>
      </c>
      <c r="B13" s="94" t="s">
        <v>1273</v>
      </c>
      <c r="C13" s="95">
        <v>31</v>
      </c>
      <c r="D13" s="96" t="s">
        <v>1274</v>
      </c>
      <c r="E13" s="97" t="s">
        <v>1275</v>
      </c>
      <c r="F13" s="98"/>
      <c r="G13" s="95"/>
      <c r="H13" s="98" t="s">
        <v>109</v>
      </c>
      <c r="I13" s="103" t="s">
        <v>109</v>
      </c>
      <c r="J13" s="98" t="s">
        <v>109</v>
      </c>
      <c r="K13" s="98" t="s">
        <v>1276</v>
      </c>
      <c r="L13" s="95"/>
      <c r="M13" s="95"/>
      <c r="N13" s="104">
        <v>11000</v>
      </c>
      <c r="O13" s="104">
        <v>11000</v>
      </c>
      <c r="P13" s="104">
        <v>11000</v>
      </c>
      <c r="Q13" s="113">
        <v>-11000</v>
      </c>
      <c r="R13" s="104">
        <f t="shared" si="4"/>
        <v>0</v>
      </c>
      <c r="S13" s="114">
        <f>IFERROR(VLOOKUP(G13,'附表8-合同明细采集底稿'!B:M,12,0),100%)</f>
        <v>1</v>
      </c>
      <c r="T13" s="104">
        <f t="shared" si="5"/>
        <v>0</v>
      </c>
      <c r="U13" s="98"/>
      <c r="V13" s="115" t="s">
        <v>275</v>
      </c>
      <c r="W13" s="116">
        <f>IF('附表1-面积统计表'!$D$29=0,"",IF(AND(V13="共同成本费用",Z13="总建筑面积法"),ROUND(T13/'附表1-面积统计表'!$D$29*'附表1-面积统计表'!$D$5,2),IF(AND(V13="共同成本费用",Z13="可售建筑面积法"),ROUND(T13/'附表1-面积统计表'!$F$29*'附表1-面积统计表'!$F$5,2),"请手工填写")))</f>
        <v>0</v>
      </c>
      <c r="X13" s="116">
        <f t="shared" si="6"/>
        <v>0</v>
      </c>
      <c r="Y13" s="116">
        <f>IF(SUM('附表1-面积统计表'!$D$6)=0,SUM(T13)-SUM(W13),IF('附表1-面积统计表'!$D$29=0,"",IF(AND(V13="共同成本费用",Z13="总建筑面积法"),ROUND(T13/'附表1-面积统计表'!$D$29*'附表1-面积统计表'!$D$7,2),IF(AND(V13="共同成本费用",Z13="可售建筑面积法"),ROUND(T13/'附表1-面积统计表'!$F$29*'附表1-面积统计表'!$F$7,2),"请手工填写"))))</f>
        <v>0</v>
      </c>
      <c r="Z13" s="118" t="s">
        <v>251</v>
      </c>
      <c r="AA13" s="98"/>
      <c r="AB13" s="119" t="s">
        <v>1259</v>
      </c>
    </row>
    <row r="14" ht="24" hidden="1" customHeight="1" spans="1:28">
      <c r="A14" s="93">
        <v>8</v>
      </c>
      <c r="B14" s="94" t="s">
        <v>1273</v>
      </c>
      <c r="C14" s="95">
        <v>40</v>
      </c>
      <c r="D14" s="96" t="s">
        <v>1274</v>
      </c>
      <c r="E14" s="97" t="s">
        <v>1275</v>
      </c>
      <c r="F14" s="98"/>
      <c r="G14" s="95"/>
      <c r="H14" s="98" t="s">
        <v>109</v>
      </c>
      <c r="I14" s="103" t="s">
        <v>109</v>
      </c>
      <c r="J14" s="98" t="s">
        <v>109</v>
      </c>
      <c r="K14" s="98" t="s">
        <v>1276</v>
      </c>
      <c r="L14" s="95"/>
      <c r="M14" s="95"/>
      <c r="N14" s="104">
        <v>25000</v>
      </c>
      <c r="O14" s="104">
        <v>25000</v>
      </c>
      <c r="P14" s="104">
        <v>25000</v>
      </c>
      <c r="Q14" s="113">
        <v>-25000</v>
      </c>
      <c r="R14" s="104">
        <f t="shared" si="4"/>
        <v>0</v>
      </c>
      <c r="S14" s="114">
        <f>IFERROR(VLOOKUP(G14,'附表8-合同明细采集底稿'!B:M,12,0),100%)</f>
        <v>1</v>
      </c>
      <c r="T14" s="104">
        <f t="shared" si="5"/>
        <v>0</v>
      </c>
      <c r="U14" s="98"/>
      <c r="V14" s="115" t="s">
        <v>275</v>
      </c>
      <c r="W14" s="116">
        <f>IF('附表1-面积统计表'!$D$29=0,"",IF(AND(V14="共同成本费用",Z14="总建筑面积法"),ROUND(T14/'附表1-面积统计表'!$D$29*'附表1-面积统计表'!$D$5,2),IF(AND(V14="共同成本费用",Z14="可售建筑面积法"),ROUND(T14/'附表1-面积统计表'!$F$29*'附表1-面积统计表'!$F$5,2),"请手工填写")))</f>
        <v>0</v>
      </c>
      <c r="X14" s="116">
        <f t="shared" si="6"/>
        <v>0</v>
      </c>
      <c r="Y14" s="116">
        <f>IF(SUM('附表1-面积统计表'!$D$6)=0,SUM(T14)-SUM(W14),IF('附表1-面积统计表'!$D$29=0,"",IF(AND(V14="共同成本费用",Z14="总建筑面积法"),ROUND(T14/'附表1-面积统计表'!$D$29*'附表1-面积统计表'!$D$7,2),IF(AND(V14="共同成本费用",Z14="可售建筑面积法"),ROUND(T14/'附表1-面积统计表'!$F$29*'附表1-面积统计表'!$F$7,2),"请手工填写"))))</f>
        <v>0</v>
      </c>
      <c r="Z14" s="118" t="s">
        <v>251</v>
      </c>
      <c r="AA14" s="98"/>
      <c r="AB14" s="119" t="s">
        <v>1259</v>
      </c>
    </row>
    <row r="15" ht="24" hidden="1" customHeight="1" spans="1:28">
      <c r="A15" s="93">
        <v>9</v>
      </c>
      <c r="B15" s="94" t="s">
        <v>1273</v>
      </c>
      <c r="C15" s="95">
        <v>41</v>
      </c>
      <c r="D15" s="96" t="s">
        <v>1274</v>
      </c>
      <c r="E15" s="97" t="s">
        <v>1275</v>
      </c>
      <c r="F15" s="98"/>
      <c r="G15" s="95"/>
      <c r="H15" s="98" t="s">
        <v>109</v>
      </c>
      <c r="I15" s="103" t="s">
        <v>109</v>
      </c>
      <c r="J15" s="98" t="s">
        <v>109</v>
      </c>
      <c r="K15" s="98" t="s">
        <v>1276</v>
      </c>
      <c r="L15" s="95"/>
      <c r="M15" s="95"/>
      <c r="N15" s="104">
        <v>20000</v>
      </c>
      <c r="O15" s="104">
        <v>20000</v>
      </c>
      <c r="P15" s="104">
        <v>20000</v>
      </c>
      <c r="Q15" s="113">
        <v>-20000</v>
      </c>
      <c r="R15" s="104">
        <f t="shared" si="4"/>
        <v>0</v>
      </c>
      <c r="S15" s="114">
        <f>IFERROR(VLOOKUP(G15,'附表8-合同明细采集底稿'!B:M,12,0),100%)</f>
        <v>1</v>
      </c>
      <c r="T15" s="104">
        <f t="shared" si="5"/>
        <v>0</v>
      </c>
      <c r="U15" s="98"/>
      <c r="V15" s="115" t="s">
        <v>275</v>
      </c>
      <c r="W15" s="116">
        <f>IF('附表1-面积统计表'!$D$29=0,"",IF(AND(V15="共同成本费用",Z15="总建筑面积法"),ROUND(T15/'附表1-面积统计表'!$D$29*'附表1-面积统计表'!$D$5,2),IF(AND(V15="共同成本费用",Z15="可售建筑面积法"),ROUND(T15/'附表1-面积统计表'!$F$29*'附表1-面积统计表'!$F$5,2),"请手工填写")))</f>
        <v>0</v>
      </c>
      <c r="X15" s="116">
        <f t="shared" si="6"/>
        <v>0</v>
      </c>
      <c r="Y15" s="116">
        <f>IF(SUM('附表1-面积统计表'!$D$6)=0,SUM(T15)-SUM(W15),IF('附表1-面积统计表'!$D$29=0,"",IF(AND(V15="共同成本费用",Z15="总建筑面积法"),ROUND(T15/'附表1-面积统计表'!$D$29*'附表1-面积统计表'!$D$7,2),IF(AND(V15="共同成本费用",Z15="可售建筑面积法"),ROUND(T15/'附表1-面积统计表'!$F$29*'附表1-面积统计表'!$F$7,2),"请手工填写"))))</f>
        <v>0</v>
      </c>
      <c r="Z15" s="118" t="s">
        <v>251</v>
      </c>
      <c r="AA15" s="98"/>
      <c r="AB15" s="119" t="s">
        <v>1259</v>
      </c>
    </row>
    <row r="16" ht="24" hidden="1" customHeight="1" spans="1:28">
      <c r="A16" s="93">
        <v>10</v>
      </c>
      <c r="B16" s="94" t="s">
        <v>1277</v>
      </c>
      <c r="C16" s="95">
        <v>49</v>
      </c>
      <c r="D16" s="96" t="s">
        <v>1274</v>
      </c>
      <c r="E16" s="97" t="s">
        <v>1275</v>
      </c>
      <c r="F16" s="98"/>
      <c r="G16" s="95"/>
      <c r="H16" s="98" t="s">
        <v>109</v>
      </c>
      <c r="I16" s="103" t="s">
        <v>109</v>
      </c>
      <c r="J16" s="98" t="s">
        <v>109</v>
      </c>
      <c r="K16" s="98" t="s">
        <v>1276</v>
      </c>
      <c r="L16" s="95"/>
      <c r="M16" s="95"/>
      <c r="N16" s="104">
        <v>11000</v>
      </c>
      <c r="O16" s="104">
        <v>11000</v>
      </c>
      <c r="P16" s="104">
        <v>11000</v>
      </c>
      <c r="Q16" s="113">
        <v>-11000</v>
      </c>
      <c r="R16" s="104">
        <f t="shared" si="4"/>
        <v>0</v>
      </c>
      <c r="S16" s="114">
        <f>IFERROR(VLOOKUP(G16,'附表8-合同明细采集底稿'!B:M,12,0),100%)</f>
        <v>1</v>
      </c>
      <c r="T16" s="104">
        <f t="shared" si="5"/>
        <v>0</v>
      </c>
      <c r="U16" s="98"/>
      <c r="V16" s="115" t="s">
        <v>275</v>
      </c>
      <c r="W16" s="116">
        <f>IF('附表1-面积统计表'!$D$29=0,"",IF(AND(V16="共同成本费用",Z16="总建筑面积法"),ROUND(T16/'附表1-面积统计表'!$D$29*'附表1-面积统计表'!$D$5,2),IF(AND(V16="共同成本费用",Z16="可售建筑面积法"),ROUND(T16/'附表1-面积统计表'!$F$29*'附表1-面积统计表'!$F$5,2),"请手工填写")))</f>
        <v>0</v>
      </c>
      <c r="X16" s="116">
        <f t="shared" si="6"/>
        <v>0</v>
      </c>
      <c r="Y16" s="116">
        <f>IF(SUM('附表1-面积统计表'!$D$6)=0,SUM(T16)-SUM(W16),IF('附表1-面积统计表'!$D$29=0,"",IF(AND(V16="共同成本费用",Z16="总建筑面积法"),ROUND(T16/'附表1-面积统计表'!$D$29*'附表1-面积统计表'!$D$7,2),IF(AND(V16="共同成本费用",Z16="可售建筑面积法"),ROUND(T16/'附表1-面积统计表'!$F$29*'附表1-面积统计表'!$F$7,2),"请手工填写"))))</f>
        <v>0</v>
      </c>
      <c r="Z16" s="118" t="s">
        <v>251</v>
      </c>
      <c r="AA16" s="98"/>
      <c r="AB16" s="119" t="s">
        <v>1259</v>
      </c>
    </row>
    <row r="17" ht="24" hidden="1" customHeight="1" spans="1:28">
      <c r="A17" s="93">
        <v>11</v>
      </c>
      <c r="B17" s="94" t="s">
        <v>1273</v>
      </c>
      <c r="C17" s="95">
        <v>39</v>
      </c>
      <c r="D17" s="96" t="s">
        <v>1274</v>
      </c>
      <c r="E17" s="97" t="s">
        <v>1275</v>
      </c>
      <c r="F17" s="98"/>
      <c r="G17" s="95"/>
      <c r="H17" s="98" t="s">
        <v>109</v>
      </c>
      <c r="I17" s="103" t="s">
        <v>109</v>
      </c>
      <c r="J17" s="98" t="s">
        <v>109</v>
      </c>
      <c r="K17" s="98" t="s">
        <v>1276</v>
      </c>
      <c r="L17" s="95"/>
      <c r="M17" s="95"/>
      <c r="N17" s="104">
        <v>11000</v>
      </c>
      <c r="O17" s="104">
        <v>11000</v>
      </c>
      <c r="P17" s="104">
        <v>11000</v>
      </c>
      <c r="Q17" s="113">
        <v>-11000</v>
      </c>
      <c r="R17" s="104">
        <f t="shared" si="4"/>
        <v>0</v>
      </c>
      <c r="S17" s="114">
        <f>IFERROR(VLOOKUP(G17,'附表8-合同明细采集底稿'!B:M,12,0),100%)</f>
        <v>1</v>
      </c>
      <c r="T17" s="104">
        <f t="shared" si="5"/>
        <v>0</v>
      </c>
      <c r="U17" s="98"/>
      <c r="V17" s="115" t="s">
        <v>275</v>
      </c>
      <c r="W17" s="116">
        <f>IF('附表1-面积统计表'!$D$29=0,"",IF(AND(V17="共同成本费用",Z17="总建筑面积法"),ROUND(T17/'附表1-面积统计表'!$D$29*'附表1-面积统计表'!$D$5,2),IF(AND(V17="共同成本费用",Z17="可售建筑面积法"),ROUND(T17/'附表1-面积统计表'!$F$29*'附表1-面积统计表'!$F$5,2),"请手工填写")))</f>
        <v>0</v>
      </c>
      <c r="X17" s="116">
        <f t="shared" si="6"/>
        <v>0</v>
      </c>
      <c r="Y17" s="116">
        <f>IF(SUM('附表1-面积统计表'!$D$6)=0,SUM(T17)-SUM(W17),IF('附表1-面积统计表'!$D$29=0,"",IF(AND(V17="共同成本费用",Z17="总建筑面积法"),ROUND(T17/'附表1-面积统计表'!$D$29*'附表1-面积统计表'!$D$7,2),IF(AND(V17="共同成本费用",Z17="可售建筑面积法"),ROUND(T17/'附表1-面积统计表'!$F$29*'附表1-面积统计表'!$F$7,2),"请手工填写"))))</f>
        <v>0</v>
      </c>
      <c r="Z17" s="118" t="s">
        <v>251</v>
      </c>
      <c r="AA17" s="98"/>
      <c r="AB17" s="119" t="s">
        <v>1259</v>
      </c>
    </row>
    <row r="18" ht="24" hidden="1" customHeight="1" spans="1:28">
      <c r="A18" s="93">
        <v>12</v>
      </c>
      <c r="B18" s="94" t="s">
        <v>1273</v>
      </c>
      <c r="C18" s="95">
        <v>43</v>
      </c>
      <c r="D18" s="96" t="s">
        <v>1274</v>
      </c>
      <c r="E18" s="97" t="s">
        <v>1275</v>
      </c>
      <c r="F18" s="98"/>
      <c r="G18" s="95"/>
      <c r="H18" s="98" t="s">
        <v>109</v>
      </c>
      <c r="I18" s="103" t="s">
        <v>109</v>
      </c>
      <c r="J18" s="98" t="s">
        <v>109</v>
      </c>
      <c r="K18" s="98" t="s">
        <v>1276</v>
      </c>
      <c r="L18" s="95"/>
      <c r="M18" s="95"/>
      <c r="N18" s="104">
        <v>18000</v>
      </c>
      <c r="O18" s="104">
        <v>18000</v>
      </c>
      <c r="P18" s="104">
        <v>18000</v>
      </c>
      <c r="Q18" s="113">
        <v>-18000</v>
      </c>
      <c r="R18" s="104">
        <f t="shared" si="4"/>
        <v>0</v>
      </c>
      <c r="S18" s="114">
        <f>IFERROR(VLOOKUP(G18,'附表8-合同明细采集底稿'!B:M,12,0),100%)</f>
        <v>1</v>
      </c>
      <c r="T18" s="104">
        <f t="shared" si="5"/>
        <v>0</v>
      </c>
      <c r="U18" s="98"/>
      <c r="V18" s="115" t="s">
        <v>275</v>
      </c>
      <c r="W18" s="116">
        <f>IF('附表1-面积统计表'!$D$29=0,"",IF(AND(V18="共同成本费用",Z18="总建筑面积法"),ROUND(T18/'附表1-面积统计表'!$D$29*'附表1-面积统计表'!$D$5,2),IF(AND(V18="共同成本费用",Z18="可售建筑面积法"),ROUND(T18/'附表1-面积统计表'!$F$29*'附表1-面积统计表'!$F$5,2),"请手工填写")))</f>
        <v>0</v>
      </c>
      <c r="X18" s="116">
        <f t="shared" si="6"/>
        <v>0</v>
      </c>
      <c r="Y18" s="116">
        <f>IF(SUM('附表1-面积统计表'!$D$6)=0,SUM(T18)-SUM(W18),IF('附表1-面积统计表'!$D$29=0,"",IF(AND(V18="共同成本费用",Z18="总建筑面积法"),ROUND(T18/'附表1-面积统计表'!$D$29*'附表1-面积统计表'!$D$7,2),IF(AND(V18="共同成本费用",Z18="可售建筑面积法"),ROUND(T18/'附表1-面积统计表'!$F$29*'附表1-面积统计表'!$F$7,2),"请手工填写"))))</f>
        <v>0</v>
      </c>
      <c r="Z18" s="118" t="s">
        <v>251</v>
      </c>
      <c r="AA18" s="98"/>
      <c r="AB18" s="119" t="s">
        <v>1259</v>
      </c>
    </row>
    <row r="19" ht="24" hidden="1" customHeight="1" spans="1:28">
      <c r="A19" s="93">
        <v>13</v>
      </c>
      <c r="B19" s="94" t="s">
        <v>1273</v>
      </c>
      <c r="C19" s="95">
        <v>44</v>
      </c>
      <c r="D19" s="96" t="s">
        <v>1274</v>
      </c>
      <c r="E19" s="97" t="s">
        <v>1275</v>
      </c>
      <c r="F19" s="98"/>
      <c r="G19" s="95"/>
      <c r="H19" s="98" t="s">
        <v>109</v>
      </c>
      <c r="I19" s="103" t="s">
        <v>109</v>
      </c>
      <c r="J19" s="98" t="s">
        <v>109</v>
      </c>
      <c r="K19" s="98" t="s">
        <v>1276</v>
      </c>
      <c r="L19" s="95"/>
      <c r="M19" s="95"/>
      <c r="N19" s="104">
        <v>20000</v>
      </c>
      <c r="O19" s="104">
        <v>20000</v>
      </c>
      <c r="P19" s="104">
        <v>20000</v>
      </c>
      <c r="Q19" s="113">
        <v>-20000</v>
      </c>
      <c r="R19" s="104">
        <f t="shared" si="4"/>
        <v>0</v>
      </c>
      <c r="S19" s="114">
        <f>IFERROR(VLOOKUP(G19,'附表8-合同明细采集底稿'!B:M,12,0),100%)</f>
        <v>1</v>
      </c>
      <c r="T19" s="104">
        <f t="shared" si="5"/>
        <v>0</v>
      </c>
      <c r="U19" s="98"/>
      <c r="V19" s="115" t="s">
        <v>275</v>
      </c>
      <c r="W19" s="116">
        <f>IF('附表1-面积统计表'!$D$29=0,"",IF(AND(V19="共同成本费用",Z19="总建筑面积法"),ROUND(T19/'附表1-面积统计表'!$D$29*'附表1-面积统计表'!$D$5,2),IF(AND(V19="共同成本费用",Z19="可售建筑面积法"),ROUND(T19/'附表1-面积统计表'!$F$29*'附表1-面积统计表'!$F$5,2),"请手工填写")))</f>
        <v>0</v>
      </c>
      <c r="X19" s="116">
        <f t="shared" si="6"/>
        <v>0</v>
      </c>
      <c r="Y19" s="116">
        <f>IF(SUM('附表1-面积统计表'!$D$6)=0,SUM(T19)-SUM(W19),IF('附表1-面积统计表'!$D$29=0,"",IF(AND(V19="共同成本费用",Z19="总建筑面积法"),ROUND(T19/'附表1-面积统计表'!$D$29*'附表1-面积统计表'!$D$7,2),IF(AND(V19="共同成本费用",Z19="可售建筑面积法"),ROUND(T19/'附表1-面积统计表'!$F$29*'附表1-面积统计表'!$F$7,2),"请手工填写"))))</f>
        <v>0</v>
      </c>
      <c r="Z19" s="118" t="s">
        <v>251</v>
      </c>
      <c r="AA19" s="98"/>
      <c r="AB19" s="119" t="s">
        <v>1259</v>
      </c>
    </row>
    <row r="20" ht="24" hidden="1" customHeight="1" spans="1:28">
      <c r="A20" s="93">
        <v>14</v>
      </c>
      <c r="B20" s="94" t="s">
        <v>1273</v>
      </c>
      <c r="C20" s="95">
        <v>35</v>
      </c>
      <c r="D20" s="96" t="s">
        <v>1274</v>
      </c>
      <c r="E20" s="97" t="s">
        <v>1275</v>
      </c>
      <c r="F20" s="98"/>
      <c r="G20" s="95"/>
      <c r="H20" s="98" t="s">
        <v>109</v>
      </c>
      <c r="I20" s="103" t="s">
        <v>109</v>
      </c>
      <c r="J20" s="98" t="s">
        <v>109</v>
      </c>
      <c r="K20" s="98" t="s">
        <v>1276</v>
      </c>
      <c r="L20" s="95"/>
      <c r="M20" s="95"/>
      <c r="N20" s="104">
        <v>13000</v>
      </c>
      <c r="O20" s="104">
        <v>13000</v>
      </c>
      <c r="P20" s="104">
        <v>13000</v>
      </c>
      <c r="Q20" s="113">
        <v>-13000</v>
      </c>
      <c r="R20" s="104">
        <f t="shared" si="4"/>
        <v>0</v>
      </c>
      <c r="S20" s="114">
        <f>IFERROR(VLOOKUP(G20,'附表8-合同明细采集底稿'!B:M,12,0),100%)</f>
        <v>1</v>
      </c>
      <c r="T20" s="104">
        <f t="shared" si="5"/>
        <v>0</v>
      </c>
      <c r="U20" s="98"/>
      <c r="V20" s="115" t="s">
        <v>275</v>
      </c>
      <c r="W20" s="116">
        <f>IF('附表1-面积统计表'!$D$29=0,"",IF(AND(V20="共同成本费用",Z20="总建筑面积法"),ROUND(T20/'附表1-面积统计表'!$D$29*'附表1-面积统计表'!$D$5,2),IF(AND(V20="共同成本费用",Z20="可售建筑面积法"),ROUND(T20/'附表1-面积统计表'!$F$29*'附表1-面积统计表'!$F$5,2),"请手工填写")))</f>
        <v>0</v>
      </c>
      <c r="X20" s="116">
        <f t="shared" si="6"/>
        <v>0</v>
      </c>
      <c r="Y20" s="116">
        <f>IF(SUM('附表1-面积统计表'!$D$6)=0,SUM(T20)-SUM(W20),IF('附表1-面积统计表'!$D$29=0,"",IF(AND(V20="共同成本费用",Z20="总建筑面积法"),ROUND(T20/'附表1-面积统计表'!$D$29*'附表1-面积统计表'!$D$7,2),IF(AND(V20="共同成本费用",Z20="可售建筑面积法"),ROUND(T20/'附表1-面积统计表'!$F$29*'附表1-面积统计表'!$F$7,2),"请手工填写"))))</f>
        <v>0</v>
      </c>
      <c r="Z20" s="118" t="s">
        <v>251</v>
      </c>
      <c r="AA20" s="98"/>
      <c r="AB20" s="119" t="s">
        <v>1259</v>
      </c>
    </row>
    <row r="21" ht="24" hidden="1" customHeight="1" spans="1:28">
      <c r="A21" s="93">
        <v>15</v>
      </c>
      <c r="B21" s="94" t="s">
        <v>1273</v>
      </c>
      <c r="C21" s="95">
        <v>36</v>
      </c>
      <c r="D21" s="96" t="s">
        <v>1274</v>
      </c>
      <c r="E21" s="97" t="s">
        <v>1275</v>
      </c>
      <c r="F21" s="98"/>
      <c r="G21" s="95"/>
      <c r="H21" s="98" t="s">
        <v>109</v>
      </c>
      <c r="I21" s="103" t="s">
        <v>109</v>
      </c>
      <c r="J21" s="98" t="s">
        <v>109</v>
      </c>
      <c r="K21" s="98" t="s">
        <v>1276</v>
      </c>
      <c r="L21" s="95"/>
      <c r="M21" s="95"/>
      <c r="N21" s="104">
        <v>20000</v>
      </c>
      <c r="O21" s="104">
        <v>20000</v>
      </c>
      <c r="P21" s="104">
        <v>20000</v>
      </c>
      <c r="Q21" s="113">
        <v>-20000</v>
      </c>
      <c r="R21" s="104">
        <f t="shared" si="4"/>
        <v>0</v>
      </c>
      <c r="S21" s="114">
        <f>IFERROR(VLOOKUP(G21,'附表8-合同明细采集底稿'!B:M,12,0),100%)</f>
        <v>1</v>
      </c>
      <c r="T21" s="104">
        <f t="shared" si="5"/>
        <v>0</v>
      </c>
      <c r="U21" s="98"/>
      <c r="V21" s="115" t="s">
        <v>275</v>
      </c>
      <c r="W21" s="116">
        <f>IF('附表1-面积统计表'!$D$29=0,"",IF(AND(V21="共同成本费用",Z21="总建筑面积法"),ROUND(T21/'附表1-面积统计表'!$D$29*'附表1-面积统计表'!$D$5,2),IF(AND(V21="共同成本费用",Z21="可售建筑面积法"),ROUND(T21/'附表1-面积统计表'!$F$29*'附表1-面积统计表'!$F$5,2),"请手工填写")))</f>
        <v>0</v>
      </c>
      <c r="X21" s="116">
        <f t="shared" si="6"/>
        <v>0</v>
      </c>
      <c r="Y21" s="116">
        <f>IF(SUM('附表1-面积统计表'!$D$6)=0,SUM(T21)-SUM(W21),IF('附表1-面积统计表'!$D$29=0,"",IF(AND(V21="共同成本费用",Z21="总建筑面积法"),ROUND(T21/'附表1-面积统计表'!$D$29*'附表1-面积统计表'!$D$7,2),IF(AND(V21="共同成本费用",Z21="可售建筑面积法"),ROUND(T21/'附表1-面积统计表'!$F$29*'附表1-面积统计表'!$F$7,2),"请手工填写"))))</f>
        <v>0</v>
      </c>
      <c r="Z21" s="118" t="s">
        <v>251</v>
      </c>
      <c r="AA21" s="98"/>
      <c r="AB21" s="119" t="s">
        <v>1259</v>
      </c>
    </row>
    <row r="22" ht="24" hidden="1" customHeight="1" spans="1:28">
      <c r="A22" s="93">
        <v>16</v>
      </c>
      <c r="B22" s="94" t="s">
        <v>1273</v>
      </c>
      <c r="C22" s="95">
        <v>37</v>
      </c>
      <c r="D22" s="96" t="s">
        <v>1274</v>
      </c>
      <c r="E22" s="97" t="s">
        <v>1275</v>
      </c>
      <c r="F22" s="98"/>
      <c r="G22" s="95"/>
      <c r="H22" s="98" t="s">
        <v>109</v>
      </c>
      <c r="I22" s="103" t="s">
        <v>109</v>
      </c>
      <c r="J22" s="98" t="s">
        <v>109</v>
      </c>
      <c r="K22" s="98" t="s">
        <v>1276</v>
      </c>
      <c r="L22" s="95"/>
      <c r="M22" s="95"/>
      <c r="N22" s="104">
        <v>19000</v>
      </c>
      <c r="O22" s="104">
        <v>19000</v>
      </c>
      <c r="P22" s="104">
        <v>19000</v>
      </c>
      <c r="Q22" s="113">
        <v>-19000</v>
      </c>
      <c r="R22" s="104">
        <f t="shared" si="4"/>
        <v>0</v>
      </c>
      <c r="S22" s="114">
        <f>IFERROR(VLOOKUP(G22,'附表8-合同明细采集底稿'!B:M,12,0),100%)</f>
        <v>1</v>
      </c>
      <c r="T22" s="104">
        <f t="shared" si="5"/>
        <v>0</v>
      </c>
      <c r="U22" s="98"/>
      <c r="V22" s="115" t="s">
        <v>275</v>
      </c>
      <c r="W22" s="116">
        <f>IF('附表1-面积统计表'!$D$29=0,"",IF(AND(V22="共同成本费用",Z22="总建筑面积法"),ROUND(T22/'附表1-面积统计表'!$D$29*'附表1-面积统计表'!$D$5,2),IF(AND(V22="共同成本费用",Z22="可售建筑面积法"),ROUND(T22/'附表1-面积统计表'!$F$29*'附表1-面积统计表'!$F$5,2),"请手工填写")))</f>
        <v>0</v>
      </c>
      <c r="X22" s="116">
        <f t="shared" si="6"/>
        <v>0</v>
      </c>
      <c r="Y22" s="116">
        <f>IF(SUM('附表1-面积统计表'!$D$6)=0,SUM(T22)-SUM(W22),IF('附表1-面积统计表'!$D$29=0,"",IF(AND(V22="共同成本费用",Z22="总建筑面积法"),ROUND(T22/'附表1-面积统计表'!$D$29*'附表1-面积统计表'!$D$7,2),IF(AND(V22="共同成本费用",Z22="可售建筑面积法"),ROUND(T22/'附表1-面积统计表'!$F$29*'附表1-面积统计表'!$F$7,2),"请手工填写"))))</f>
        <v>0</v>
      </c>
      <c r="Z22" s="118" t="s">
        <v>251</v>
      </c>
      <c r="AA22" s="98"/>
      <c r="AB22" s="119" t="s">
        <v>1259</v>
      </c>
    </row>
    <row r="23" ht="24" hidden="1" customHeight="1" spans="1:28">
      <c r="A23" s="93">
        <v>17</v>
      </c>
      <c r="B23" s="94" t="s">
        <v>1273</v>
      </c>
      <c r="C23" s="95">
        <v>42</v>
      </c>
      <c r="D23" s="96" t="s">
        <v>1274</v>
      </c>
      <c r="E23" s="97" t="s">
        <v>1275</v>
      </c>
      <c r="F23" s="98"/>
      <c r="G23" s="95"/>
      <c r="H23" s="98" t="s">
        <v>109</v>
      </c>
      <c r="I23" s="103" t="s">
        <v>109</v>
      </c>
      <c r="J23" s="98" t="s">
        <v>109</v>
      </c>
      <c r="K23" s="98" t="s">
        <v>1276</v>
      </c>
      <c r="L23" s="95"/>
      <c r="M23" s="95"/>
      <c r="N23" s="104">
        <v>19000</v>
      </c>
      <c r="O23" s="104">
        <v>19000</v>
      </c>
      <c r="P23" s="104">
        <v>19000</v>
      </c>
      <c r="Q23" s="113">
        <v>-19000</v>
      </c>
      <c r="R23" s="104">
        <f t="shared" si="4"/>
        <v>0</v>
      </c>
      <c r="S23" s="114">
        <f>IFERROR(VLOOKUP(G23,'附表8-合同明细采集底稿'!B:M,12,0),100%)</f>
        <v>1</v>
      </c>
      <c r="T23" s="104">
        <f t="shared" si="5"/>
        <v>0</v>
      </c>
      <c r="U23" s="98"/>
      <c r="V23" s="115" t="s">
        <v>275</v>
      </c>
      <c r="W23" s="116">
        <f>IF('附表1-面积统计表'!$D$29=0,"",IF(AND(V23="共同成本费用",Z23="总建筑面积法"),ROUND(T23/'附表1-面积统计表'!$D$29*'附表1-面积统计表'!$D$5,2),IF(AND(V23="共同成本费用",Z23="可售建筑面积法"),ROUND(T23/'附表1-面积统计表'!$F$29*'附表1-面积统计表'!$F$5,2),"请手工填写")))</f>
        <v>0</v>
      </c>
      <c r="X23" s="116">
        <f t="shared" si="6"/>
        <v>0</v>
      </c>
      <c r="Y23" s="116">
        <f>IF(SUM('附表1-面积统计表'!$D$6)=0,SUM(T23)-SUM(W23),IF('附表1-面积统计表'!$D$29=0,"",IF(AND(V23="共同成本费用",Z23="总建筑面积法"),ROUND(T23/'附表1-面积统计表'!$D$29*'附表1-面积统计表'!$D$7,2),IF(AND(V23="共同成本费用",Z23="可售建筑面积法"),ROUND(T23/'附表1-面积统计表'!$F$29*'附表1-面积统计表'!$F$7,2),"请手工填写"))))</f>
        <v>0</v>
      </c>
      <c r="Z23" s="118" t="s">
        <v>251</v>
      </c>
      <c r="AA23" s="98"/>
      <c r="AB23" s="119" t="s">
        <v>1259</v>
      </c>
    </row>
    <row r="24" ht="24" hidden="1" customHeight="1" spans="1:28">
      <c r="A24" s="93">
        <v>18</v>
      </c>
      <c r="B24" s="94" t="s">
        <v>1273</v>
      </c>
      <c r="C24" s="95">
        <v>63</v>
      </c>
      <c r="D24" s="96" t="s">
        <v>1274</v>
      </c>
      <c r="E24" s="97" t="s">
        <v>1275</v>
      </c>
      <c r="F24" s="98"/>
      <c r="G24" s="95"/>
      <c r="H24" s="98" t="s">
        <v>109</v>
      </c>
      <c r="I24" s="103" t="s">
        <v>109</v>
      </c>
      <c r="J24" s="98" t="s">
        <v>109</v>
      </c>
      <c r="K24" s="98" t="s">
        <v>1276</v>
      </c>
      <c r="L24" s="95"/>
      <c r="M24" s="95"/>
      <c r="N24" s="104">
        <v>6000</v>
      </c>
      <c r="O24" s="104">
        <v>6000</v>
      </c>
      <c r="P24" s="104">
        <v>6000</v>
      </c>
      <c r="Q24" s="113">
        <v>-6000</v>
      </c>
      <c r="R24" s="104">
        <f t="shared" si="4"/>
        <v>0</v>
      </c>
      <c r="S24" s="114">
        <f>IFERROR(VLOOKUP(G24,'附表8-合同明细采集底稿'!B:M,12,0),100%)</f>
        <v>1</v>
      </c>
      <c r="T24" s="104">
        <f t="shared" si="5"/>
        <v>0</v>
      </c>
      <c r="U24" s="98"/>
      <c r="V24" s="115" t="s">
        <v>275</v>
      </c>
      <c r="W24" s="116">
        <f>IF('附表1-面积统计表'!$D$29=0,"",IF(AND(V24="共同成本费用",Z24="总建筑面积法"),ROUND(T24/'附表1-面积统计表'!$D$29*'附表1-面积统计表'!$D$5,2),IF(AND(V24="共同成本费用",Z24="可售建筑面积法"),ROUND(T24/'附表1-面积统计表'!$F$29*'附表1-面积统计表'!$F$5,2),"请手工填写")))</f>
        <v>0</v>
      </c>
      <c r="X24" s="116">
        <f t="shared" si="6"/>
        <v>0</v>
      </c>
      <c r="Y24" s="116">
        <f>IF(SUM('附表1-面积统计表'!$D$6)=0,SUM(T24)-SUM(W24),IF('附表1-面积统计表'!$D$29=0,"",IF(AND(V24="共同成本费用",Z24="总建筑面积法"),ROUND(T24/'附表1-面积统计表'!$D$29*'附表1-面积统计表'!$D$7,2),IF(AND(V24="共同成本费用",Z24="可售建筑面积法"),ROUND(T24/'附表1-面积统计表'!$F$29*'附表1-面积统计表'!$F$7,2),"请手工填写"))))</f>
        <v>0</v>
      </c>
      <c r="Z24" s="118" t="s">
        <v>251</v>
      </c>
      <c r="AA24" s="98"/>
      <c r="AB24" s="119" t="s">
        <v>1259</v>
      </c>
    </row>
    <row r="25" ht="24" hidden="1" customHeight="1" spans="1:28">
      <c r="A25" s="93">
        <v>19</v>
      </c>
      <c r="B25" s="94" t="s">
        <v>1273</v>
      </c>
      <c r="C25" s="95">
        <v>46</v>
      </c>
      <c r="D25" s="96" t="s">
        <v>1274</v>
      </c>
      <c r="E25" s="97" t="s">
        <v>1275</v>
      </c>
      <c r="F25" s="98"/>
      <c r="G25" s="95"/>
      <c r="H25" s="98" t="s">
        <v>109</v>
      </c>
      <c r="I25" s="103" t="s">
        <v>109</v>
      </c>
      <c r="J25" s="98" t="s">
        <v>109</v>
      </c>
      <c r="K25" s="98" t="s">
        <v>1276</v>
      </c>
      <c r="L25" s="95"/>
      <c r="M25" s="95"/>
      <c r="N25" s="104">
        <v>7000</v>
      </c>
      <c r="O25" s="104">
        <v>7000</v>
      </c>
      <c r="P25" s="104">
        <v>7000</v>
      </c>
      <c r="Q25" s="113">
        <v>-7000</v>
      </c>
      <c r="R25" s="104">
        <f t="shared" si="4"/>
        <v>0</v>
      </c>
      <c r="S25" s="114">
        <f>IFERROR(VLOOKUP(G25,'附表8-合同明细采集底稿'!B:M,12,0),100%)</f>
        <v>1</v>
      </c>
      <c r="T25" s="104">
        <f t="shared" si="5"/>
        <v>0</v>
      </c>
      <c r="U25" s="98"/>
      <c r="V25" s="115" t="s">
        <v>275</v>
      </c>
      <c r="W25" s="116">
        <f>IF('附表1-面积统计表'!$D$29=0,"",IF(AND(V25="共同成本费用",Z25="总建筑面积法"),ROUND(T25/'附表1-面积统计表'!$D$29*'附表1-面积统计表'!$D$5,2),IF(AND(V25="共同成本费用",Z25="可售建筑面积法"),ROUND(T25/'附表1-面积统计表'!$F$29*'附表1-面积统计表'!$F$5,2),"请手工填写")))</f>
        <v>0</v>
      </c>
      <c r="X25" s="116">
        <f t="shared" si="6"/>
        <v>0</v>
      </c>
      <c r="Y25" s="116">
        <f>IF(SUM('附表1-面积统计表'!$D$6)=0,SUM(T25)-SUM(W25),IF('附表1-面积统计表'!$D$29=0,"",IF(AND(V25="共同成本费用",Z25="总建筑面积法"),ROUND(T25/'附表1-面积统计表'!$D$29*'附表1-面积统计表'!$D$7,2),IF(AND(V25="共同成本费用",Z25="可售建筑面积法"),ROUND(T25/'附表1-面积统计表'!$F$29*'附表1-面积统计表'!$F$7,2),"请手工填写"))))</f>
        <v>0</v>
      </c>
      <c r="Z25" s="118" t="s">
        <v>251</v>
      </c>
      <c r="AA25" s="98"/>
      <c r="AB25" s="119" t="s">
        <v>1259</v>
      </c>
    </row>
    <row r="26" ht="24" hidden="1" customHeight="1" spans="1:28">
      <c r="A26" s="93">
        <v>20</v>
      </c>
      <c r="B26" s="94" t="s">
        <v>1273</v>
      </c>
      <c r="C26" s="95">
        <v>1</v>
      </c>
      <c r="D26" s="96" t="s">
        <v>1274</v>
      </c>
      <c r="E26" s="97" t="s">
        <v>1275</v>
      </c>
      <c r="F26" s="98"/>
      <c r="G26" s="95"/>
      <c r="H26" s="98" t="s">
        <v>109</v>
      </c>
      <c r="I26" s="103" t="s">
        <v>109</v>
      </c>
      <c r="J26" s="98" t="s">
        <v>109</v>
      </c>
      <c r="K26" s="98" t="s">
        <v>1276</v>
      </c>
      <c r="L26" s="95"/>
      <c r="M26" s="95"/>
      <c r="N26" s="104">
        <v>50000</v>
      </c>
      <c r="O26" s="104">
        <v>50000</v>
      </c>
      <c r="P26" s="104">
        <v>50000</v>
      </c>
      <c r="Q26" s="113">
        <v>-50000</v>
      </c>
      <c r="R26" s="104">
        <f t="shared" si="4"/>
        <v>0</v>
      </c>
      <c r="S26" s="114">
        <f>IFERROR(VLOOKUP(G26,'附表8-合同明细采集底稿'!B:M,12,0),100%)</f>
        <v>1</v>
      </c>
      <c r="T26" s="104">
        <f t="shared" si="5"/>
        <v>0</v>
      </c>
      <c r="U26" s="98"/>
      <c r="V26" s="115" t="s">
        <v>275</v>
      </c>
      <c r="W26" s="116">
        <f>IF('附表1-面积统计表'!$D$29=0,"",IF(AND(V26="共同成本费用",Z26="总建筑面积法"),ROUND(T26/'附表1-面积统计表'!$D$29*'附表1-面积统计表'!$D$5,2),IF(AND(V26="共同成本费用",Z26="可售建筑面积法"),ROUND(T26/'附表1-面积统计表'!$F$29*'附表1-面积统计表'!$F$5,2),"请手工填写")))</f>
        <v>0</v>
      </c>
      <c r="X26" s="116">
        <f t="shared" si="6"/>
        <v>0</v>
      </c>
      <c r="Y26" s="116">
        <f>IF(SUM('附表1-面积统计表'!$D$6)=0,SUM(T26)-SUM(W26),IF('附表1-面积统计表'!$D$29=0,"",IF(AND(V26="共同成本费用",Z26="总建筑面积法"),ROUND(T26/'附表1-面积统计表'!$D$29*'附表1-面积统计表'!$D$7,2),IF(AND(V26="共同成本费用",Z26="可售建筑面积法"),ROUND(T26/'附表1-面积统计表'!$F$29*'附表1-面积统计表'!$F$7,2),"请手工填写"))))</f>
        <v>0</v>
      </c>
      <c r="Z26" s="118" t="s">
        <v>251</v>
      </c>
      <c r="AA26" s="98"/>
      <c r="AB26" s="119" t="s">
        <v>1259</v>
      </c>
    </row>
    <row r="27" ht="24" hidden="1" customHeight="1" spans="1:28">
      <c r="A27" s="93">
        <v>21</v>
      </c>
      <c r="B27" s="94" t="s">
        <v>1273</v>
      </c>
      <c r="C27" s="95">
        <v>48</v>
      </c>
      <c r="D27" s="96" t="s">
        <v>1274</v>
      </c>
      <c r="E27" s="97" t="s">
        <v>1275</v>
      </c>
      <c r="F27" s="98"/>
      <c r="G27" s="95"/>
      <c r="H27" s="98" t="s">
        <v>109</v>
      </c>
      <c r="I27" s="103" t="s">
        <v>109</v>
      </c>
      <c r="J27" s="98" t="s">
        <v>109</v>
      </c>
      <c r="K27" s="98" t="s">
        <v>1276</v>
      </c>
      <c r="L27" s="95"/>
      <c r="M27" s="95"/>
      <c r="N27" s="104">
        <v>6000</v>
      </c>
      <c r="O27" s="104">
        <v>6000</v>
      </c>
      <c r="P27" s="104">
        <v>6000</v>
      </c>
      <c r="Q27" s="113">
        <v>-6000</v>
      </c>
      <c r="R27" s="104">
        <f t="shared" si="4"/>
        <v>0</v>
      </c>
      <c r="S27" s="114">
        <f>IFERROR(VLOOKUP(G27,'附表8-合同明细采集底稿'!B:M,12,0),100%)</f>
        <v>1</v>
      </c>
      <c r="T27" s="104">
        <f t="shared" si="5"/>
        <v>0</v>
      </c>
      <c r="U27" s="98"/>
      <c r="V27" s="115" t="s">
        <v>275</v>
      </c>
      <c r="W27" s="116">
        <f>IF('附表1-面积统计表'!$D$29=0,"",IF(AND(V27="共同成本费用",Z27="总建筑面积法"),ROUND(T27/'附表1-面积统计表'!$D$29*'附表1-面积统计表'!$D$5,2),IF(AND(V27="共同成本费用",Z27="可售建筑面积法"),ROUND(T27/'附表1-面积统计表'!$F$29*'附表1-面积统计表'!$F$5,2),"请手工填写")))</f>
        <v>0</v>
      </c>
      <c r="X27" s="116">
        <f t="shared" si="6"/>
        <v>0</v>
      </c>
      <c r="Y27" s="116">
        <f>IF(SUM('附表1-面积统计表'!$D$6)=0,SUM(T27)-SUM(W27),IF('附表1-面积统计表'!$D$29=0,"",IF(AND(V27="共同成本费用",Z27="总建筑面积法"),ROUND(T27/'附表1-面积统计表'!$D$29*'附表1-面积统计表'!$D$7,2),IF(AND(V27="共同成本费用",Z27="可售建筑面积法"),ROUND(T27/'附表1-面积统计表'!$F$29*'附表1-面积统计表'!$F$7,2),"请手工填写"))))</f>
        <v>0</v>
      </c>
      <c r="Z27" s="118" t="s">
        <v>251</v>
      </c>
      <c r="AA27" s="98"/>
      <c r="AB27" s="119" t="s">
        <v>1259</v>
      </c>
    </row>
    <row r="28" ht="24" hidden="1" customHeight="1" spans="1:28">
      <c r="A28" s="93">
        <v>22</v>
      </c>
      <c r="B28" s="94" t="s">
        <v>1273</v>
      </c>
      <c r="C28" s="95">
        <v>52</v>
      </c>
      <c r="D28" s="96" t="s">
        <v>1274</v>
      </c>
      <c r="E28" s="97" t="s">
        <v>1275</v>
      </c>
      <c r="F28" s="98"/>
      <c r="G28" s="95"/>
      <c r="H28" s="98" t="s">
        <v>109</v>
      </c>
      <c r="I28" s="103" t="s">
        <v>109</v>
      </c>
      <c r="J28" s="98" t="s">
        <v>109</v>
      </c>
      <c r="K28" s="98" t="s">
        <v>1276</v>
      </c>
      <c r="L28" s="95"/>
      <c r="M28" s="95"/>
      <c r="N28" s="104">
        <v>6000</v>
      </c>
      <c r="O28" s="104">
        <v>6000</v>
      </c>
      <c r="P28" s="104">
        <v>6000</v>
      </c>
      <c r="Q28" s="113">
        <v>-6000</v>
      </c>
      <c r="R28" s="104">
        <f t="shared" si="4"/>
        <v>0</v>
      </c>
      <c r="S28" s="114">
        <f>IFERROR(VLOOKUP(G28,'附表8-合同明细采集底稿'!B:M,12,0),100%)</f>
        <v>1</v>
      </c>
      <c r="T28" s="104">
        <f t="shared" si="5"/>
        <v>0</v>
      </c>
      <c r="U28" s="98"/>
      <c r="V28" s="115" t="s">
        <v>275</v>
      </c>
      <c r="W28" s="116">
        <f>IF('附表1-面积统计表'!$D$29=0,"",IF(AND(V28="共同成本费用",Z28="总建筑面积法"),ROUND(T28/'附表1-面积统计表'!$D$29*'附表1-面积统计表'!$D$5,2),IF(AND(V28="共同成本费用",Z28="可售建筑面积法"),ROUND(T28/'附表1-面积统计表'!$F$29*'附表1-面积统计表'!$F$5,2),"请手工填写")))</f>
        <v>0</v>
      </c>
      <c r="X28" s="116">
        <f t="shared" si="6"/>
        <v>0</v>
      </c>
      <c r="Y28" s="116">
        <f>IF(SUM('附表1-面积统计表'!$D$6)=0,SUM(T28)-SUM(W28),IF('附表1-面积统计表'!$D$29=0,"",IF(AND(V28="共同成本费用",Z28="总建筑面积法"),ROUND(T28/'附表1-面积统计表'!$D$29*'附表1-面积统计表'!$D$7,2),IF(AND(V28="共同成本费用",Z28="可售建筑面积法"),ROUND(T28/'附表1-面积统计表'!$F$29*'附表1-面积统计表'!$F$7,2),"请手工填写"))))</f>
        <v>0</v>
      </c>
      <c r="Z28" s="118" t="s">
        <v>251</v>
      </c>
      <c r="AA28" s="98"/>
      <c r="AB28" s="119" t="s">
        <v>1259</v>
      </c>
    </row>
    <row r="29" ht="24" hidden="1" customHeight="1" spans="1:28">
      <c r="A29" s="93">
        <v>23</v>
      </c>
      <c r="B29" s="99" t="s">
        <v>1273</v>
      </c>
      <c r="C29" s="99">
        <v>45</v>
      </c>
      <c r="D29" s="99" t="s">
        <v>1274</v>
      </c>
      <c r="E29" s="99" t="s">
        <v>1275</v>
      </c>
      <c r="F29" s="99"/>
      <c r="G29" s="99"/>
      <c r="H29" s="99"/>
      <c r="I29" s="99"/>
      <c r="J29" s="99"/>
      <c r="K29" s="99" t="s">
        <v>1276</v>
      </c>
      <c r="L29" s="99"/>
      <c r="M29" s="99"/>
      <c r="N29" s="105">
        <v>11000</v>
      </c>
      <c r="O29" s="105">
        <v>11000</v>
      </c>
      <c r="P29" s="105">
        <v>11000</v>
      </c>
      <c r="Q29" s="117">
        <v>-11000</v>
      </c>
      <c r="R29" s="104">
        <f t="shared" ref="R29:R60" si="7">P29+Q29</f>
        <v>0</v>
      </c>
      <c r="S29" s="114">
        <f>IFERROR(VLOOKUP(G29,'附表8-合同明细采集底稿'!B:M,12,0),100%)</f>
        <v>1</v>
      </c>
      <c r="T29" s="104">
        <f t="shared" ref="T29:T60" si="8">ROUND(SUM(R29)*SUM(S29),2)</f>
        <v>0</v>
      </c>
      <c r="U29" s="99"/>
      <c r="V29" s="99" t="s">
        <v>275</v>
      </c>
      <c r="W29" s="116">
        <f>IF('附表1-面积统计表'!$D$29=0,"",IF(AND(V29="共同成本费用",Z29="总建筑面积法"),ROUND(T29/'附表1-面积统计表'!$D$29*'附表1-面积统计表'!$D$5,2),IF(AND(V29="共同成本费用",Z29="可售建筑面积法"),ROUND(T29/'附表1-面积统计表'!$F$29*'附表1-面积统计表'!$F$5,2),"请手工填写")))</f>
        <v>0</v>
      </c>
      <c r="X29" s="116">
        <f t="shared" si="6"/>
        <v>0</v>
      </c>
      <c r="Y29" s="116">
        <f>IF(SUM('附表1-面积统计表'!$D$6)=0,SUM(T29)-SUM(W29),IF('附表1-面积统计表'!$D$29=0,"",IF(AND(V29="共同成本费用",Z29="总建筑面积法"),ROUND(T29/'附表1-面积统计表'!$D$29*'附表1-面积统计表'!$D$7,2),IF(AND(V29="共同成本费用",Z29="可售建筑面积法"),ROUND(T29/'附表1-面积统计表'!$F$29*'附表1-面积统计表'!$F$7,2),"请手工填写"))))</f>
        <v>0</v>
      </c>
      <c r="Z29" s="99" t="s">
        <v>251</v>
      </c>
      <c r="AA29" s="99"/>
      <c r="AB29" s="119" t="s">
        <v>1259</v>
      </c>
    </row>
    <row r="30" ht="24" hidden="1" customHeight="1" spans="1:28">
      <c r="A30" s="93">
        <v>24</v>
      </c>
      <c r="B30" s="99" t="s">
        <v>1273</v>
      </c>
      <c r="C30" s="99">
        <v>51</v>
      </c>
      <c r="D30" s="99" t="s">
        <v>1274</v>
      </c>
      <c r="E30" s="99" t="s">
        <v>1275</v>
      </c>
      <c r="F30" s="99"/>
      <c r="G30" s="99"/>
      <c r="H30" s="99"/>
      <c r="I30" s="99"/>
      <c r="J30" s="99"/>
      <c r="K30" s="99" t="s">
        <v>1276</v>
      </c>
      <c r="L30" s="99"/>
      <c r="M30" s="99"/>
      <c r="N30" s="105">
        <v>18000</v>
      </c>
      <c r="O30" s="105">
        <v>18000</v>
      </c>
      <c r="P30" s="105">
        <v>18000</v>
      </c>
      <c r="Q30" s="117">
        <v>-18000</v>
      </c>
      <c r="R30" s="104">
        <f t="shared" si="7"/>
        <v>0</v>
      </c>
      <c r="S30" s="114">
        <f>IFERROR(VLOOKUP(G30,'附表8-合同明细采集底稿'!B:M,12,0),100%)</f>
        <v>1</v>
      </c>
      <c r="T30" s="104">
        <f t="shared" si="8"/>
        <v>0</v>
      </c>
      <c r="U30" s="99"/>
      <c r="V30" s="99" t="s">
        <v>275</v>
      </c>
      <c r="W30" s="116">
        <f>IF('附表1-面积统计表'!$D$29=0,"",IF(AND(V30="共同成本费用",Z30="总建筑面积法"),ROUND(T30/'附表1-面积统计表'!$D$29*'附表1-面积统计表'!$D$5,2),IF(AND(V30="共同成本费用",Z30="可售建筑面积法"),ROUND(T30/'附表1-面积统计表'!$F$29*'附表1-面积统计表'!$F$5,2),"请手工填写")))</f>
        <v>0</v>
      </c>
      <c r="X30" s="116">
        <f t="shared" si="6"/>
        <v>0</v>
      </c>
      <c r="Y30" s="116">
        <f>IF(SUM('附表1-面积统计表'!$D$6)=0,SUM(T30)-SUM(W30),IF('附表1-面积统计表'!$D$29=0,"",IF(AND(V30="共同成本费用",Z30="总建筑面积法"),ROUND(T30/'附表1-面积统计表'!$D$29*'附表1-面积统计表'!$D$7,2),IF(AND(V30="共同成本费用",Z30="可售建筑面积法"),ROUND(T30/'附表1-面积统计表'!$F$29*'附表1-面积统计表'!$F$7,2),"请手工填写"))))</f>
        <v>0</v>
      </c>
      <c r="Z30" s="99" t="s">
        <v>251</v>
      </c>
      <c r="AA30" s="99"/>
      <c r="AB30" s="119" t="s">
        <v>1259</v>
      </c>
    </row>
    <row r="31" ht="24" hidden="1" customHeight="1" spans="1:28">
      <c r="A31" s="93">
        <v>25</v>
      </c>
      <c r="B31" s="99" t="s">
        <v>1278</v>
      </c>
      <c r="C31" s="99">
        <v>50</v>
      </c>
      <c r="D31" s="99" t="s">
        <v>1274</v>
      </c>
      <c r="E31" s="99" t="s">
        <v>1275</v>
      </c>
      <c r="F31" s="99"/>
      <c r="G31" s="99"/>
      <c r="H31" s="99"/>
      <c r="I31" s="99"/>
      <c r="J31" s="99"/>
      <c r="K31" s="99" t="s">
        <v>1276</v>
      </c>
      <c r="L31" s="99"/>
      <c r="M31" s="99"/>
      <c r="N31" s="105">
        <v>8000</v>
      </c>
      <c r="O31" s="105">
        <v>8000</v>
      </c>
      <c r="P31" s="105">
        <v>8000</v>
      </c>
      <c r="Q31" s="117">
        <v>-8000</v>
      </c>
      <c r="R31" s="104">
        <f t="shared" si="7"/>
        <v>0</v>
      </c>
      <c r="S31" s="114">
        <f>IFERROR(VLOOKUP(G31,'附表8-合同明细采集底稿'!B:M,12,0),100%)</f>
        <v>1</v>
      </c>
      <c r="T31" s="104">
        <f t="shared" si="8"/>
        <v>0</v>
      </c>
      <c r="U31" s="99"/>
      <c r="V31" s="99" t="s">
        <v>275</v>
      </c>
      <c r="W31" s="116">
        <f>IF('附表1-面积统计表'!$D$29=0,"",IF(AND(V31="共同成本费用",Z31="总建筑面积法"),ROUND(T31/'附表1-面积统计表'!$D$29*'附表1-面积统计表'!$D$5,2),IF(AND(V31="共同成本费用",Z31="可售建筑面积法"),ROUND(T31/'附表1-面积统计表'!$F$29*'附表1-面积统计表'!$F$5,2),"请手工填写")))</f>
        <v>0</v>
      </c>
      <c r="X31" s="116">
        <f t="shared" si="6"/>
        <v>0</v>
      </c>
      <c r="Y31" s="116">
        <f>IF(SUM('附表1-面积统计表'!$D$6)=0,SUM(T31)-SUM(W31),IF('附表1-面积统计表'!$D$29=0,"",IF(AND(V31="共同成本费用",Z31="总建筑面积法"),ROUND(T31/'附表1-面积统计表'!$D$29*'附表1-面积统计表'!$D$7,2),IF(AND(V31="共同成本费用",Z31="可售建筑面积法"),ROUND(T31/'附表1-面积统计表'!$F$29*'附表1-面积统计表'!$F$7,2),"请手工填写"))))</f>
        <v>0</v>
      </c>
      <c r="Z31" s="99" t="s">
        <v>251</v>
      </c>
      <c r="AA31" s="99"/>
      <c r="AB31" s="119" t="s">
        <v>1259</v>
      </c>
    </row>
    <row r="32" ht="24" hidden="1" customHeight="1" spans="1:28">
      <c r="A32" s="93">
        <v>26</v>
      </c>
      <c r="B32" s="99" t="s">
        <v>1273</v>
      </c>
      <c r="C32" s="99">
        <v>34</v>
      </c>
      <c r="D32" s="99" t="s">
        <v>1274</v>
      </c>
      <c r="E32" s="99" t="s">
        <v>1275</v>
      </c>
      <c r="F32" s="99"/>
      <c r="G32" s="99"/>
      <c r="H32" s="99"/>
      <c r="I32" s="99"/>
      <c r="J32" s="99"/>
      <c r="K32" s="99" t="s">
        <v>1276</v>
      </c>
      <c r="L32" s="99"/>
      <c r="M32" s="99"/>
      <c r="N32" s="105">
        <v>18000</v>
      </c>
      <c r="O32" s="105">
        <v>18000</v>
      </c>
      <c r="P32" s="105">
        <v>18000</v>
      </c>
      <c r="Q32" s="117">
        <v>-18000</v>
      </c>
      <c r="R32" s="104">
        <f t="shared" si="7"/>
        <v>0</v>
      </c>
      <c r="S32" s="114">
        <f>IFERROR(VLOOKUP(G32,'附表8-合同明细采集底稿'!B:M,12,0),100%)</f>
        <v>1</v>
      </c>
      <c r="T32" s="104">
        <f t="shared" si="8"/>
        <v>0</v>
      </c>
      <c r="U32" s="99"/>
      <c r="V32" s="99" t="s">
        <v>275</v>
      </c>
      <c r="W32" s="116">
        <f>IF('附表1-面积统计表'!$D$29=0,"",IF(AND(V32="共同成本费用",Z32="总建筑面积法"),ROUND(T32/'附表1-面积统计表'!$D$29*'附表1-面积统计表'!$D$5,2),IF(AND(V32="共同成本费用",Z32="可售建筑面积法"),ROUND(T32/'附表1-面积统计表'!$F$29*'附表1-面积统计表'!$F$5,2),"请手工填写")))</f>
        <v>0</v>
      </c>
      <c r="X32" s="116">
        <f t="shared" si="6"/>
        <v>0</v>
      </c>
      <c r="Y32" s="116">
        <f>IF(SUM('附表1-面积统计表'!$D$6)=0,SUM(T32)-SUM(W32),IF('附表1-面积统计表'!$D$29=0,"",IF(AND(V32="共同成本费用",Z32="总建筑面积法"),ROUND(T32/'附表1-面积统计表'!$D$29*'附表1-面积统计表'!$D$7,2),IF(AND(V32="共同成本费用",Z32="可售建筑面积法"),ROUND(T32/'附表1-面积统计表'!$F$29*'附表1-面积统计表'!$F$7,2),"请手工填写"))))</f>
        <v>0</v>
      </c>
      <c r="Z32" s="99" t="s">
        <v>251</v>
      </c>
      <c r="AA32" s="99"/>
      <c r="AB32" s="119" t="s">
        <v>1259</v>
      </c>
    </row>
    <row r="33" ht="24" hidden="1" customHeight="1" spans="1:28">
      <c r="A33" s="93">
        <v>27</v>
      </c>
      <c r="B33" s="99" t="s">
        <v>1273</v>
      </c>
      <c r="C33" s="99">
        <v>33</v>
      </c>
      <c r="D33" s="99" t="s">
        <v>1274</v>
      </c>
      <c r="E33" s="99" t="s">
        <v>1275</v>
      </c>
      <c r="F33" s="99"/>
      <c r="G33" s="99"/>
      <c r="H33" s="99"/>
      <c r="I33" s="99"/>
      <c r="J33" s="99"/>
      <c r="K33" s="99" t="s">
        <v>1276</v>
      </c>
      <c r="L33" s="99"/>
      <c r="M33" s="99"/>
      <c r="N33" s="105">
        <v>21000</v>
      </c>
      <c r="O33" s="105">
        <v>21000</v>
      </c>
      <c r="P33" s="105">
        <v>21000</v>
      </c>
      <c r="Q33" s="117">
        <v>-21000</v>
      </c>
      <c r="R33" s="104">
        <f t="shared" si="7"/>
        <v>0</v>
      </c>
      <c r="S33" s="114">
        <f>IFERROR(VLOOKUP(G33,'附表8-合同明细采集底稿'!B:M,12,0),100%)</f>
        <v>1</v>
      </c>
      <c r="T33" s="104">
        <f t="shared" si="8"/>
        <v>0</v>
      </c>
      <c r="U33" s="99"/>
      <c r="V33" s="99" t="s">
        <v>275</v>
      </c>
      <c r="W33" s="116">
        <f>IF('附表1-面积统计表'!$D$29=0,"",IF(AND(V33="共同成本费用",Z33="总建筑面积法"),ROUND(T33/'附表1-面积统计表'!$D$29*'附表1-面积统计表'!$D$5,2),IF(AND(V33="共同成本费用",Z33="可售建筑面积法"),ROUND(T33/'附表1-面积统计表'!$F$29*'附表1-面积统计表'!$F$5,2),"请手工填写")))</f>
        <v>0</v>
      </c>
      <c r="X33" s="116">
        <f t="shared" si="6"/>
        <v>0</v>
      </c>
      <c r="Y33" s="116">
        <f>IF(SUM('附表1-面积统计表'!$D$6)=0,SUM(T33)-SUM(W33),IF('附表1-面积统计表'!$D$29=0,"",IF(AND(V33="共同成本费用",Z33="总建筑面积法"),ROUND(T33/'附表1-面积统计表'!$D$29*'附表1-面积统计表'!$D$7,2),IF(AND(V33="共同成本费用",Z33="可售建筑面积法"),ROUND(T33/'附表1-面积统计表'!$F$29*'附表1-面积统计表'!$F$7,2),"请手工填写"))))</f>
        <v>0</v>
      </c>
      <c r="Z33" s="99" t="s">
        <v>251</v>
      </c>
      <c r="AA33" s="99"/>
      <c r="AB33" s="119" t="s">
        <v>1259</v>
      </c>
    </row>
    <row r="34" ht="24" hidden="1" customHeight="1" spans="1:28">
      <c r="A34" s="93">
        <v>28</v>
      </c>
      <c r="B34" s="99" t="s">
        <v>1273</v>
      </c>
      <c r="C34" s="99">
        <v>32</v>
      </c>
      <c r="D34" s="99" t="s">
        <v>1274</v>
      </c>
      <c r="E34" s="99" t="s">
        <v>1275</v>
      </c>
      <c r="F34" s="99"/>
      <c r="G34" s="99"/>
      <c r="H34" s="99"/>
      <c r="I34" s="99"/>
      <c r="J34" s="99"/>
      <c r="K34" s="99" t="s">
        <v>1276</v>
      </c>
      <c r="L34" s="99"/>
      <c r="M34" s="99"/>
      <c r="N34" s="105">
        <v>13000</v>
      </c>
      <c r="O34" s="105">
        <v>13000</v>
      </c>
      <c r="P34" s="105">
        <v>13000</v>
      </c>
      <c r="Q34" s="117">
        <v>-13000</v>
      </c>
      <c r="R34" s="104">
        <f t="shared" si="7"/>
        <v>0</v>
      </c>
      <c r="S34" s="114">
        <f>IFERROR(VLOOKUP(G34,'附表8-合同明细采集底稿'!B:M,12,0),100%)</f>
        <v>1</v>
      </c>
      <c r="T34" s="104">
        <f t="shared" si="8"/>
        <v>0</v>
      </c>
      <c r="U34" s="99"/>
      <c r="V34" s="99" t="s">
        <v>275</v>
      </c>
      <c r="W34" s="116">
        <f>IF('附表1-面积统计表'!$D$29=0,"",IF(AND(V34="共同成本费用",Z34="总建筑面积法"),ROUND(T34/'附表1-面积统计表'!$D$29*'附表1-面积统计表'!$D$5,2),IF(AND(V34="共同成本费用",Z34="可售建筑面积法"),ROUND(T34/'附表1-面积统计表'!$F$29*'附表1-面积统计表'!$F$5,2),"请手工填写")))</f>
        <v>0</v>
      </c>
      <c r="X34" s="116">
        <f t="shared" si="6"/>
        <v>0</v>
      </c>
      <c r="Y34" s="116">
        <f>IF(SUM('附表1-面积统计表'!$D$6)=0,SUM(T34)-SUM(W34),IF('附表1-面积统计表'!$D$29=0,"",IF(AND(V34="共同成本费用",Z34="总建筑面积法"),ROUND(T34/'附表1-面积统计表'!$D$29*'附表1-面积统计表'!$D$7,2),IF(AND(V34="共同成本费用",Z34="可售建筑面积法"),ROUND(T34/'附表1-面积统计表'!$F$29*'附表1-面积统计表'!$F$7,2),"请手工填写"))))</f>
        <v>0</v>
      </c>
      <c r="Z34" s="99" t="s">
        <v>251</v>
      </c>
      <c r="AA34" s="99"/>
      <c r="AB34" s="119" t="s">
        <v>1259</v>
      </c>
    </row>
    <row r="35" ht="24" hidden="1" customHeight="1" spans="1:28">
      <c r="A35" s="93">
        <v>29</v>
      </c>
      <c r="B35" s="99" t="s">
        <v>1279</v>
      </c>
      <c r="C35" s="99">
        <v>105</v>
      </c>
      <c r="D35" s="99" t="s">
        <v>1274</v>
      </c>
      <c r="E35" s="99" t="s">
        <v>1275</v>
      </c>
      <c r="F35" s="99"/>
      <c r="G35" s="99"/>
      <c r="H35" s="99"/>
      <c r="I35" s="99"/>
      <c r="J35" s="99"/>
      <c r="K35" s="99" t="s">
        <v>1276</v>
      </c>
      <c r="L35" s="99"/>
      <c r="M35" s="99"/>
      <c r="N35" s="105">
        <v>20000</v>
      </c>
      <c r="O35" s="105">
        <v>20000</v>
      </c>
      <c r="P35" s="105">
        <v>20000</v>
      </c>
      <c r="Q35" s="117">
        <v>-20000</v>
      </c>
      <c r="R35" s="104">
        <f t="shared" si="7"/>
        <v>0</v>
      </c>
      <c r="S35" s="114">
        <f>IFERROR(VLOOKUP(G35,'附表8-合同明细采集底稿'!B:M,12,0),100%)</f>
        <v>1</v>
      </c>
      <c r="T35" s="104">
        <f t="shared" si="8"/>
        <v>0</v>
      </c>
      <c r="U35" s="99"/>
      <c r="V35" s="99" t="s">
        <v>275</v>
      </c>
      <c r="W35" s="116">
        <f>IF('附表1-面积统计表'!$D$29=0,"",IF(AND(V35="共同成本费用",Z35="总建筑面积法"),ROUND(T35/'附表1-面积统计表'!$D$29*'附表1-面积统计表'!$D$5,2),IF(AND(V35="共同成本费用",Z35="可售建筑面积法"),ROUND(T35/'附表1-面积统计表'!$F$29*'附表1-面积统计表'!$F$5,2),"请手工填写")))</f>
        <v>0</v>
      </c>
      <c r="X35" s="116">
        <f t="shared" si="6"/>
        <v>0</v>
      </c>
      <c r="Y35" s="116">
        <f>IF(SUM('附表1-面积统计表'!$D$6)=0,SUM(T35)-SUM(W35),IF('附表1-面积统计表'!$D$29=0,"",IF(AND(V35="共同成本费用",Z35="总建筑面积法"),ROUND(T35/'附表1-面积统计表'!$D$29*'附表1-面积统计表'!$D$7,2),IF(AND(V35="共同成本费用",Z35="可售建筑面积法"),ROUND(T35/'附表1-面积统计表'!$F$29*'附表1-面积统计表'!$F$7,2),"请手工填写"))))</f>
        <v>0</v>
      </c>
      <c r="Z35" s="99" t="s">
        <v>251</v>
      </c>
      <c r="AA35" s="99"/>
      <c r="AB35" s="119" t="s">
        <v>1259</v>
      </c>
    </row>
    <row r="36" ht="24" hidden="1" customHeight="1" spans="1:28">
      <c r="A36" s="93">
        <v>30</v>
      </c>
      <c r="B36" s="99" t="s">
        <v>1279</v>
      </c>
      <c r="C36" s="99">
        <v>112</v>
      </c>
      <c r="D36" s="99" t="s">
        <v>1274</v>
      </c>
      <c r="E36" s="99" t="s">
        <v>1275</v>
      </c>
      <c r="F36" s="99"/>
      <c r="G36" s="99"/>
      <c r="H36" s="99"/>
      <c r="I36" s="99"/>
      <c r="J36" s="99"/>
      <c r="K36" s="99" t="s">
        <v>1276</v>
      </c>
      <c r="L36" s="99"/>
      <c r="M36" s="99"/>
      <c r="N36" s="105">
        <v>-6000</v>
      </c>
      <c r="O36" s="105">
        <v>-6000</v>
      </c>
      <c r="P36" s="105">
        <v>-6000</v>
      </c>
      <c r="Q36" s="117">
        <v>6000</v>
      </c>
      <c r="R36" s="104">
        <f t="shared" si="7"/>
        <v>0</v>
      </c>
      <c r="S36" s="114">
        <f>IFERROR(VLOOKUP(G36,'附表8-合同明细采集底稿'!B:M,12,0),100%)</f>
        <v>1</v>
      </c>
      <c r="T36" s="104">
        <f t="shared" si="8"/>
        <v>0</v>
      </c>
      <c r="U36" s="99"/>
      <c r="V36" s="99" t="s">
        <v>275</v>
      </c>
      <c r="W36" s="116">
        <f>IF('附表1-面积统计表'!$D$29=0,"",IF(AND(V36="共同成本费用",Z36="总建筑面积法"),ROUND(T36/'附表1-面积统计表'!$D$29*'附表1-面积统计表'!$D$5,2),IF(AND(V36="共同成本费用",Z36="可售建筑面积法"),ROUND(T36/'附表1-面积统计表'!$F$29*'附表1-面积统计表'!$F$5,2),"请手工填写")))</f>
        <v>0</v>
      </c>
      <c r="X36" s="116">
        <f t="shared" si="6"/>
        <v>0</v>
      </c>
      <c r="Y36" s="116">
        <f>IF(SUM('附表1-面积统计表'!$D$6)=0,SUM(T36)-SUM(W36),IF('附表1-面积统计表'!$D$29=0,"",IF(AND(V36="共同成本费用",Z36="总建筑面积法"),ROUND(T36/'附表1-面积统计表'!$D$29*'附表1-面积统计表'!$D$7,2),IF(AND(V36="共同成本费用",Z36="可售建筑面积法"),ROUND(T36/'附表1-面积统计表'!$F$29*'附表1-面积统计表'!$F$7,2),"请手工填写"))))</f>
        <v>0</v>
      </c>
      <c r="Z36" s="99" t="s">
        <v>251</v>
      </c>
      <c r="AA36" s="99"/>
      <c r="AB36" s="119" t="s">
        <v>1259</v>
      </c>
    </row>
    <row r="37" ht="24" hidden="1" customHeight="1" spans="1:28">
      <c r="A37" s="93">
        <v>31</v>
      </c>
      <c r="B37" s="99" t="s">
        <v>1280</v>
      </c>
      <c r="C37" s="99">
        <v>59</v>
      </c>
      <c r="D37" s="99" t="s">
        <v>1274</v>
      </c>
      <c r="E37" s="99" t="s">
        <v>1281</v>
      </c>
      <c r="F37" s="99"/>
      <c r="G37" s="99"/>
      <c r="H37" s="99"/>
      <c r="I37" s="99"/>
      <c r="J37" s="99"/>
      <c r="K37" s="99" t="s">
        <v>1268</v>
      </c>
      <c r="L37" s="99"/>
      <c r="M37" s="99" t="s">
        <v>1282</v>
      </c>
      <c r="N37" s="105">
        <v>36231.61</v>
      </c>
      <c r="O37" s="105">
        <v>36231.61</v>
      </c>
      <c r="P37" s="105">
        <v>36231.61</v>
      </c>
      <c r="Q37" s="117">
        <v>-36231.61</v>
      </c>
      <c r="R37" s="104">
        <f t="shared" si="7"/>
        <v>0</v>
      </c>
      <c r="S37" s="114">
        <f>IFERROR(VLOOKUP(G37,'附表8-合同明细采集底稿'!B:M,12,0),100%)</f>
        <v>1</v>
      </c>
      <c r="T37" s="104">
        <f t="shared" si="8"/>
        <v>0</v>
      </c>
      <c r="U37" s="99"/>
      <c r="V37" s="99" t="s">
        <v>275</v>
      </c>
      <c r="W37" s="116">
        <f>IF('附表1-面积统计表'!$D$29=0,"",IF(AND(V37="共同成本费用",Z37="总建筑面积法"),ROUND(T37/'附表1-面积统计表'!$D$29*'附表1-面积统计表'!$D$5,2),IF(AND(V37="共同成本费用",Z37="可售建筑面积法"),ROUND(T37/'附表1-面积统计表'!$F$29*'附表1-面积统计表'!$F$5,2),"请手工填写")))</f>
        <v>0</v>
      </c>
      <c r="X37" s="116">
        <f t="shared" si="6"/>
        <v>0</v>
      </c>
      <c r="Y37" s="116">
        <f>IF(SUM('附表1-面积统计表'!$D$6)=0,SUM(T37)-SUM(W37),IF('附表1-面积统计表'!$D$29=0,"",IF(AND(V37="共同成本费用",Z37="总建筑面积法"),ROUND(T37/'附表1-面积统计表'!$D$29*'附表1-面积统计表'!$D$7,2),IF(AND(V37="共同成本费用",Z37="可售建筑面积法"),ROUND(T37/'附表1-面积统计表'!$F$29*'附表1-面积统计表'!$F$7,2),"请手工填写"))))</f>
        <v>0</v>
      </c>
      <c r="Z37" s="99" t="s">
        <v>251</v>
      </c>
      <c r="AA37" s="99"/>
      <c r="AB37" s="119" t="s">
        <v>1259</v>
      </c>
    </row>
    <row r="38" ht="24" hidden="1" customHeight="1" spans="1:28">
      <c r="A38" s="93">
        <v>32</v>
      </c>
      <c r="B38" s="99" t="s">
        <v>1283</v>
      </c>
      <c r="C38" s="99">
        <v>40</v>
      </c>
      <c r="D38" s="99" t="s">
        <v>1274</v>
      </c>
      <c r="E38" s="99" t="s">
        <v>1281</v>
      </c>
      <c r="F38" s="99"/>
      <c r="G38" s="99"/>
      <c r="H38" s="99"/>
      <c r="I38" s="99"/>
      <c r="J38" s="99"/>
      <c r="K38" s="99" t="s">
        <v>1268</v>
      </c>
      <c r="L38" s="99"/>
      <c r="M38" s="99" t="s">
        <v>1284</v>
      </c>
      <c r="N38" s="105">
        <v>92134.38</v>
      </c>
      <c r="O38" s="105">
        <v>92134.38</v>
      </c>
      <c r="P38" s="105">
        <v>92134.38</v>
      </c>
      <c r="Q38" s="117">
        <v>-92134.38</v>
      </c>
      <c r="R38" s="104">
        <f t="shared" si="7"/>
        <v>0</v>
      </c>
      <c r="S38" s="114">
        <f>IFERROR(VLOOKUP(G38,'附表8-合同明细采集底稿'!B:M,12,0),100%)</f>
        <v>1</v>
      </c>
      <c r="T38" s="104">
        <f t="shared" si="8"/>
        <v>0</v>
      </c>
      <c r="U38" s="99"/>
      <c r="V38" s="99" t="s">
        <v>275</v>
      </c>
      <c r="W38" s="116">
        <f>IF('附表1-面积统计表'!$D$29=0,"",IF(AND(V38="共同成本费用",Z38="总建筑面积法"),ROUND(T38/'附表1-面积统计表'!$D$29*'附表1-面积统计表'!$D$5,2),IF(AND(V38="共同成本费用",Z38="可售建筑面积法"),ROUND(T38/'附表1-面积统计表'!$F$29*'附表1-面积统计表'!$F$5,2),"请手工填写")))</f>
        <v>0</v>
      </c>
      <c r="X38" s="116">
        <f t="shared" si="6"/>
        <v>0</v>
      </c>
      <c r="Y38" s="116">
        <f>IF(SUM('附表1-面积统计表'!$D$6)=0,SUM(T38)-SUM(W38),IF('附表1-面积统计表'!$D$29=0,"",IF(AND(V38="共同成本费用",Z38="总建筑面积法"),ROUND(T38/'附表1-面积统计表'!$D$29*'附表1-面积统计表'!$D$7,2),IF(AND(V38="共同成本费用",Z38="可售建筑面积法"),ROUND(T38/'附表1-面积统计表'!$F$29*'附表1-面积统计表'!$F$7,2),"请手工填写"))))</f>
        <v>0</v>
      </c>
      <c r="Z38" s="99" t="s">
        <v>251</v>
      </c>
      <c r="AA38" s="99"/>
      <c r="AB38" s="119" t="s">
        <v>1259</v>
      </c>
    </row>
    <row r="39" ht="24" hidden="1" customHeight="1" spans="1:28">
      <c r="A39" s="93">
        <v>33</v>
      </c>
      <c r="B39" s="99" t="s">
        <v>1285</v>
      </c>
      <c r="C39" s="99">
        <v>25</v>
      </c>
      <c r="D39" s="99" t="s">
        <v>1274</v>
      </c>
      <c r="E39" s="99" t="s">
        <v>1281</v>
      </c>
      <c r="F39" s="99"/>
      <c r="G39" s="99"/>
      <c r="H39" s="99"/>
      <c r="I39" s="99"/>
      <c r="J39" s="99"/>
      <c r="K39" s="99" t="s">
        <v>1268</v>
      </c>
      <c r="L39" s="99"/>
      <c r="M39" s="99" t="s">
        <v>1286</v>
      </c>
      <c r="N39" s="105">
        <v>10423.35</v>
      </c>
      <c r="O39" s="105">
        <v>10423.35</v>
      </c>
      <c r="P39" s="105">
        <v>10423.35</v>
      </c>
      <c r="Q39" s="117">
        <v>-10423.35</v>
      </c>
      <c r="R39" s="104">
        <f t="shared" si="7"/>
        <v>0</v>
      </c>
      <c r="S39" s="114">
        <f>IFERROR(VLOOKUP(G39,'附表8-合同明细采集底稿'!B:M,12,0),100%)</f>
        <v>1</v>
      </c>
      <c r="T39" s="104">
        <f t="shared" si="8"/>
        <v>0</v>
      </c>
      <c r="U39" s="99"/>
      <c r="V39" s="99" t="s">
        <v>275</v>
      </c>
      <c r="W39" s="116">
        <f>IF('附表1-面积统计表'!$D$29=0,"",IF(AND(V39="共同成本费用",Z39="总建筑面积法"),ROUND(T39/'附表1-面积统计表'!$D$29*'附表1-面积统计表'!$D$5,2),IF(AND(V39="共同成本费用",Z39="可售建筑面积法"),ROUND(T39/'附表1-面积统计表'!$F$29*'附表1-面积统计表'!$F$5,2),"请手工填写")))</f>
        <v>0</v>
      </c>
      <c r="X39" s="116">
        <f t="shared" si="6"/>
        <v>0</v>
      </c>
      <c r="Y39" s="116">
        <f>IF(SUM('附表1-面积统计表'!$D$6)=0,SUM(T39)-SUM(W39),IF('附表1-面积统计表'!$D$29=0,"",IF(AND(V39="共同成本费用",Z39="总建筑面积法"),ROUND(T39/'附表1-面积统计表'!$D$29*'附表1-面积统计表'!$D$7,2),IF(AND(V39="共同成本费用",Z39="可售建筑面积法"),ROUND(T39/'附表1-面积统计表'!$F$29*'附表1-面积统计表'!$F$7,2),"请手工填写"))))</f>
        <v>0</v>
      </c>
      <c r="Z39" s="99" t="s">
        <v>251</v>
      </c>
      <c r="AA39" s="99"/>
      <c r="AB39" s="119" t="s">
        <v>1259</v>
      </c>
    </row>
    <row r="40" ht="24" hidden="1" customHeight="1" spans="1:28">
      <c r="A40" s="93">
        <v>34</v>
      </c>
      <c r="B40" s="99" t="s">
        <v>1287</v>
      </c>
      <c r="C40" s="99">
        <v>5</v>
      </c>
      <c r="D40" s="99" t="s">
        <v>1288</v>
      </c>
      <c r="E40" s="99" t="s">
        <v>1289</v>
      </c>
      <c r="F40" s="99"/>
      <c r="G40" s="99"/>
      <c r="H40" s="99"/>
      <c r="I40" s="99"/>
      <c r="J40" s="106" t="s">
        <v>1290</v>
      </c>
      <c r="K40" s="99" t="s">
        <v>1270</v>
      </c>
      <c r="L40" s="99" t="s">
        <v>1291</v>
      </c>
      <c r="M40" s="99">
        <v>12308781</v>
      </c>
      <c r="N40" s="105">
        <v>94800</v>
      </c>
      <c r="O40" s="105">
        <v>94800</v>
      </c>
      <c r="P40" s="105">
        <v>94800</v>
      </c>
      <c r="Q40" s="117"/>
      <c r="R40" s="104">
        <f t="shared" si="7"/>
        <v>94800</v>
      </c>
      <c r="S40" s="114">
        <f>IFERROR(VLOOKUP(G40,'附表8-合同明细采集底稿'!B:M,12,0),100%)</f>
        <v>1</v>
      </c>
      <c r="T40" s="104">
        <f t="shared" si="8"/>
        <v>94800</v>
      </c>
      <c r="U40" s="99"/>
      <c r="V40" s="99" t="s">
        <v>275</v>
      </c>
      <c r="W40" s="116">
        <f>IF('附表1-面积统计表'!$D$29=0,"",IF(AND(V40="共同成本费用",Z40="总建筑面积法"),ROUND(T40/'附表1-面积统计表'!$D$29*'附表1-面积统计表'!$D$5,2),IF(AND(V40="共同成本费用",Z40="可售建筑面积法"),ROUND(T40/'附表1-面积统计表'!$F$29*'附表1-面积统计表'!$F$5,2),"请手工填写")))</f>
        <v>69137.63</v>
      </c>
      <c r="X40" s="116">
        <f t="shared" ref="X40:X71" si="9">T40-W40-Y40</f>
        <v>0</v>
      </c>
      <c r="Y40" s="116">
        <f>IF(SUM('附表1-面积统计表'!$D$6)=0,SUM(T40)-SUM(W40),IF('附表1-面积统计表'!$D$29=0,"",IF(AND(V40="共同成本费用",Z40="总建筑面积法"),ROUND(T40/'附表1-面积统计表'!$D$29*'附表1-面积统计表'!$D$7,2),IF(AND(V40="共同成本费用",Z40="可售建筑面积法"),ROUND(T40/'附表1-面积统计表'!$F$29*'附表1-面积统计表'!$F$7,2),"请手工填写"))))</f>
        <v>25662.37</v>
      </c>
      <c r="Z40" s="99" t="s">
        <v>251</v>
      </c>
      <c r="AA40" s="99"/>
      <c r="AB40" s="119" t="s">
        <v>1259</v>
      </c>
    </row>
    <row r="41" ht="24" hidden="1" customHeight="1" spans="1:28">
      <c r="A41" s="93">
        <v>35</v>
      </c>
      <c r="B41" s="99" t="s">
        <v>1292</v>
      </c>
      <c r="C41" s="99">
        <v>2</v>
      </c>
      <c r="D41" s="99" t="s">
        <v>1288</v>
      </c>
      <c r="E41" s="99" t="s">
        <v>1289</v>
      </c>
      <c r="F41" s="99"/>
      <c r="G41" s="99"/>
      <c r="H41" s="99"/>
      <c r="I41" s="99"/>
      <c r="J41" s="106" t="s">
        <v>1293</v>
      </c>
      <c r="K41" s="99" t="s">
        <v>1270</v>
      </c>
      <c r="L41" s="99" t="s">
        <v>1291</v>
      </c>
      <c r="M41" s="99">
        <v>12347365</v>
      </c>
      <c r="N41" s="105">
        <v>8000</v>
      </c>
      <c r="O41" s="105">
        <v>8000</v>
      </c>
      <c r="P41" s="105">
        <v>8000</v>
      </c>
      <c r="Q41" s="117"/>
      <c r="R41" s="104">
        <f t="shared" si="7"/>
        <v>8000</v>
      </c>
      <c r="S41" s="114">
        <f>IFERROR(VLOOKUP(G41,'附表8-合同明细采集底稿'!B:M,12,0),100%)</f>
        <v>1</v>
      </c>
      <c r="T41" s="104">
        <f t="shared" si="8"/>
        <v>8000</v>
      </c>
      <c r="U41" s="99"/>
      <c r="V41" s="99" t="s">
        <v>275</v>
      </c>
      <c r="W41" s="116">
        <f>IF('附表1-面积统计表'!$D$29=0,"",IF(AND(V41="共同成本费用",Z41="总建筑面积法"),ROUND(T41/'附表1-面积统计表'!$D$29*'附表1-面积统计表'!$D$5,2),IF(AND(V41="共同成本费用",Z41="可售建筑面积法"),ROUND(T41/'附表1-面积统计表'!$F$29*'附表1-面积统计表'!$F$5,2),"请手工填写")))</f>
        <v>5834.4</v>
      </c>
      <c r="X41" s="116">
        <f t="shared" si="9"/>
        <v>0</v>
      </c>
      <c r="Y41" s="116">
        <f>IF(SUM('附表1-面积统计表'!$D$6)=0,SUM(T41)-SUM(W41),IF('附表1-面积统计表'!$D$29=0,"",IF(AND(V41="共同成本费用",Z41="总建筑面积法"),ROUND(T41/'附表1-面积统计表'!$D$29*'附表1-面积统计表'!$D$7,2),IF(AND(V41="共同成本费用",Z41="可售建筑面积法"),ROUND(T41/'附表1-面积统计表'!$F$29*'附表1-面积统计表'!$F$7,2),"请手工填写"))))</f>
        <v>2165.6</v>
      </c>
      <c r="Z41" s="99" t="s">
        <v>251</v>
      </c>
      <c r="AA41" s="99"/>
      <c r="AB41" s="119" t="s">
        <v>1259</v>
      </c>
    </row>
    <row r="42" ht="24" hidden="1" customHeight="1" spans="1:28">
      <c r="A42" s="93">
        <v>36</v>
      </c>
      <c r="B42" s="99" t="s">
        <v>1294</v>
      </c>
      <c r="C42" s="99">
        <v>31</v>
      </c>
      <c r="D42" s="99" t="s">
        <v>1288</v>
      </c>
      <c r="E42" s="99" t="s">
        <v>1289</v>
      </c>
      <c r="F42" s="99"/>
      <c r="G42" s="99"/>
      <c r="H42" s="99"/>
      <c r="I42" s="99"/>
      <c r="J42" s="99" t="s">
        <v>1295</v>
      </c>
      <c r="K42" s="99" t="s">
        <v>1270</v>
      </c>
      <c r="L42" s="99" t="s">
        <v>1296</v>
      </c>
      <c r="M42" s="99">
        <v>380795</v>
      </c>
      <c r="N42" s="105">
        <v>12500</v>
      </c>
      <c r="O42" s="105">
        <v>12500</v>
      </c>
      <c r="P42" s="105">
        <v>12500</v>
      </c>
      <c r="Q42" s="117">
        <v>-12500</v>
      </c>
      <c r="R42" s="104">
        <f t="shared" si="7"/>
        <v>0</v>
      </c>
      <c r="S42" s="114">
        <f>IFERROR(VLOOKUP(G42,'附表8-合同明细采集底稿'!B:M,12,0),100%)</f>
        <v>1</v>
      </c>
      <c r="T42" s="104">
        <f t="shared" si="8"/>
        <v>0</v>
      </c>
      <c r="U42" s="99"/>
      <c r="V42" s="99" t="s">
        <v>275</v>
      </c>
      <c r="W42" s="116">
        <f>IF('附表1-面积统计表'!$D$29=0,"",IF(AND(V42="共同成本费用",Z42="总建筑面积法"),ROUND(T42/'附表1-面积统计表'!$D$29*'附表1-面积统计表'!$D$5,2),IF(AND(V42="共同成本费用",Z42="可售建筑面积法"),ROUND(T42/'附表1-面积统计表'!$F$29*'附表1-面积统计表'!$F$5,2),"请手工填写")))</f>
        <v>0</v>
      </c>
      <c r="X42" s="116">
        <f t="shared" si="9"/>
        <v>0</v>
      </c>
      <c r="Y42" s="116">
        <f>IF(SUM('附表1-面积统计表'!$D$6)=0,SUM(T42)-SUM(W42),IF('附表1-面积统计表'!$D$29=0,"",IF(AND(V42="共同成本费用",Z42="总建筑面积法"),ROUND(T42/'附表1-面积统计表'!$D$29*'附表1-面积统计表'!$D$7,2),IF(AND(V42="共同成本费用",Z42="可售建筑面积法"),ROUND(T42/'附表1-面积统计表'!$F$29*'附表1-面积统计表'!$F$7,2),"请手工填写"))))</f>
        <v>0</v>
      </c>
      <c r="Z42" s="99" t="s">
        <v>251</v>
      </c>
      <c r="AA42" s="99"/>
      <c r="AB42" s="119" t="s">
        <v>1259</v>
      </c>
    </row>
    <row r="43" ht="24" hidden="1" customHeight="1" spans="1:28">
      <c r="A43" s="93">
        <v>37</v>
      </c>
      <c r="B43" s="99" t="s">
        <v>1294</v>
      </c>
      <c r="C43" s="99">
        <v>31</v>
      </c>
      <c r="D43" s="99" t="s">
        <v>1288</v>
      </c>
      <c r="E43" s="99" t="s">
        <v>1289</v>
      </c>
      <c r="F43" s="99"/>
      <c r="G43" s="99"/>
      <c r="H43" s="99"/>
      <c r="I43" s="99"/>
      <c r="J43" s="106" t="s">
        <v>1297</v>
      </c>
      <c r="K43" s="99" t="s">
        <v>1270</v>
      </c>
      <c r="L43" s="99" t="s">
        <v>1296</v>
      </c>
      <c r="M43" s="99">
        <v>380796</v>
      </c>
      <c r="N43" s="105">
        <v>79080</v>
      </c>
      <c r="O43" s="105">
        <v>79080</v>
      </c>
      <c r="P43" s="105">
        <v>79080</v>
      </c>
      <c r="Q43" s="117">
        <v>-79080</v>
      </c>
      <c r="R43" s="104">
        <f t="shared" si="7"/>
        <v>0</v>
      </c>
      <c r="S43" s="114">
        <f>IFERROR(VLOOKUP(G43,'附表8-合同明细采集底稿'!B:M,12,0),100%)</f>
        <v>1</v>
      </c>
      <c r="T43" s="104">
        <f t="shared" si="8"/>
        <v>0</v>
      </c>
      <c r="U43" s="99"/>
      <c r="V43" s="99" t="s">
        <v>275</v>
      </c>
      <c r="W43" s="116">
        <f>IF('附表1-面积统计表'!$D$29=0,"",IF(AND(V43="共同成本费用",Z43="总建筑面积法"),ROUND(T43/'附表1-面积统计表'!$D$29*'附表1-面积统计表'!$D$5,2),IF(AND(V43="共同成本费用",Z43="可售建筑面积法"),ROUND(T43/'附表1-面积统计表'!$F$29*'附表1-面积统计表'!$F$5,2),"请手工填写")))</f>
        <v>0</v>
      </c>
      <c r="X43" s="116">
        <f t="shared" si="9"/>
        <v>0</v>
      </c>
      <c r="Y43" s="116">
        <f>IF(SUM('附表1-面积统计表'!$D$6)=0,SUM(T43)-SUM(W43),IF('附表1-面积统计表'!$D$29=0,"",IF(AND(V43="共同成本费用",Z43="总建筑面积法"),ROUND(T43/'附表1-面积统计表'!$D$29*'附表1-面积统计表'!$D$7,2),IF(AND(V43="共同成本费用",Z43="可售建筑面积法"),ROUND(T43/'附表1-面积统计表'!$F$29*'附表1-面积统计表'!$F$7,2),"请手工填写"))))</f>
        <v>0</v>
      </c>
      <c r="Z43" s="99" t="s">
        <v>251</v>
      </c>
      <c r="AA43" s="99"/>
      <c r="AB43" s="119" t="s">
        <v>1259</v>
      </c>
    </row>
    <row r="44" ht="24" hidden="1" customHeight="1" spans="1:28">
      <c r="A44" s="93">
        <v>38</v>
      </c>
      <c r="B44" s="99" t="s">
        <v>1298</v>
      </c>
      <c r="C44" s="99">
        <v>3</v>
      </c>
      <c r="D44" s="99" t="s">
        <v>1288</v>
      </c>
      <c r="E44" s="99" t="s">
        <v>1289</v>
      </c>
      <c r="F44" s="99"/>
      <c r="G44" s="99"/>
      <c r="H44" s="99"/>
      <c r="I44" s="99"/>
      <c r="J44" s="99" t="s">
        <v>1293</v>
      </c>
      <c r="K44" s="99" t="s">
        <v>1270</v>
      </c>
      <c r="L44" s="99" t="s">
        <v>1271</v>
      </c>
      <c r="M44" s="99">
        <v>589750</v>
      </c>
      <c r="N44" s="105">
        <v>500</v>
      </c>
      <c r="O44" s="105">
        <v>500</v>
      </c>
      <c r="P44" s="105">
        <v>500</v>
      </c>
      <c r="Q44" s="117"/>
      <c r="R44" s="104">
        <f t="shared" si="7"/>
        <v>500</v>
      </c>
      <c r="S44" s="114">
        <f>IFERROR(VLOOKUP(G44,'附表8-合同明细采集底稿'!B:M,12,0),100%)</f>
        <v>1</v>
      </c>
      <c r="T44" s="104">
        <f t="shared" si="8"/>
        <v>500</v>
      </c>
      <c r="U44" s="99"/>
      <c r="V44" s="99" t="s">
        <v>275</v>
      </c>
      <c r="W44" s="116">
        <f>IF('附表1-面积统计表'!$D$29=0,"",IF(AND(V44="共同成本费用",Z44="总建筑面积法"),ROUND(T44/'附表1-面积统计表'!$D$29*'附表1-面积统计表'!$D$5,2),IF(AND(V44="共同成本费用",Z44="可售建筑面积法"),ROUND(T44/'附表1-面积统计表'!$F$29*'附表1-面积统计表'!$F$5,2),"请手工填写")))</f>
        <v>364.65</v>
      </c>
      <c r="X44" s="116">
        <f t="shared" si="9"/>
        <v>0</v>
      </c>
      <c r="Y44" s="116">
        <f>IF(SUM('附表1-面积统计表'!$D$6)=0,SUM(T44)-SUM(W44),IF('附表1-面积统计表'!$D$29=0,"",IF(AND(V44="共同成本费用",Z44="总建筑面积法"),ROUND(T44/'附表1-面积统计表'!$D$29*'附表1-面积统计表'!$D$7,2),IF(AND(V44="共同成本费用",Z44="可售建筑面积法"),ROUND(T44/'附表1-面积统计表'!$F$29*'附表1-面积统计表'!$F$7,2),"请手工填写"))))</f>
        <v>135.35</v>
      </c>
      <c r="Z44" s="99" t="s">
        <v>251</v>
      </c>
      <c r="AA44" s="99"/>
      <c r="AB44" s="119" t="s">
        <v>1259</v>
      </c>
    </row>
    <row r="45" ht="24" hidden="1" customHeight="1" spans="1:28">
      <c r="A45" s="93">
        <v>39</v>
      </c>
      <c r="B45" s="99" t="s">
        <v>1299</v>
      </c>
      <c r="C45" s="99">
        <v>15</v>
      </c>
      <c r="D45" s="99" t="s">
        <v>1288</v>
      </c>
      <c r="E45" s="99" t="s">
        <v>1289</v>
      </c>
      <c r="F45" s="99"/>
      <c r="G45" s="99"/>
      <c r="H45" s="99"/>
      <c r="I45" s="99"/>
      <c r="J45" s="99" t="s">
        <v>1293</v>
      </c>
      <c r="K45" s="99" t="s">
        <v>1270</v>
      </c>
      <c r="L45" s="99" t="s">
        <v>1271</v>
      </c>
      <c r="M45" s="99" t="s">
        <v>1300</v>
      </c>
      <c r="N45" s="105">
        <v>144</v>
      </c>
      <c r="O45" s="105">
        <v>144</v>
      </c>
      <c r="P45" s="105">
        <v>144</v>
      </c>
      <c r="Q45" s="117"/>
      <c r="R45" s="104">
        <f t="shared" si="7"/>
        <v>144</v>
      </c>
      <c r="S45" s="114">
        <f>IFERROR(VLOOKUP(G45,'附表8-合同明细采集底稿'!B:M,12,0),100%)</f>
        <v>1</v>
      </c>
      <c r="T45" s="104">
        <f t="shared" si="8"/>
        <v>144</v>
      </c>
      <c r="U45" s="99"/>
      <c r="V45" s="99" t="s">
        <v>275</v>
      </c>
      <c r="W45" s="116">
        <f>IF('附表1-面积统计表'!$D$29=0,"",IF(AND(V45="共同成本费用",Z45="总建筑面积法"),ROUND(T45/'附表1-面积统计表'!$D$29*'附表1-面积统计表'!$D$5,2),IF(AND(V45="共同成本费用",Z45="可售建筑面积法"),ROUND(T45/'附表1-面积统计表'!$F$29*'附表1-面积统计表'!$F$5,2),"请手工填写")))</f>
        <v>105.02</v>
      </c>
      <c r="X45" s="116">
        <f t="shared" si="9"/>
        <v>0</v>
      </c>
      <c r="Y45" s="116">
        <f>IF(SUM('附表1-面积统计表'!$D$6)=0,SUM(T45)-SUM(W45),IF('附表1-面积统计表'!$D$29=0,"",IF(AND(V45="共同成本费用",Z45="总建筑面积法"),ROUND(T45/'附表1-面积统计表'!$D$29*'附表1-面积统计表'!$D$7,2),IF(AND(V45="共同成本费用",Z45="可售建筑面积法"),ROUND(T45/'附表1-面积统计表'!$F$29*'附表1-面积统计表'!$F$7,2),"请手工填写"))))</f>
        <v>38.98</v>
      </c>
      <c r="Z45" s="99" t="s">
        <v>251</v>
      </c>
      <c r="AA45" s="99"/>
      <c r="AB45" s="119" t="s">
        <v>1259</v>
      </c>
    </row>
    <row r="46" ht="24" hidden="1" customHeight="1" spans="1:28">
      <c r="A46" s="93">
        <v>40</v>
      </c>
      <c r="B46" s="99" t="s">
        <v>1301</v>
      </c>
      <c r="C46" s="99">
        <v>11</v>
      </c>
      <c r="D46" s="99" t="s">
        <v>1288</v>
      </c>
      <c r="E46" s="99" t="s">
        <v>1289</v>
      </c>
      <c r="F46" s="99"/>
      <c r="G46" s="99"/>
      <c r="H46" s="99"/>
      <c r="I46" s="99"/>
      <c r="J46" s="99" t="s">
        <v>1293</v>
      </c>
      <c r="K46" s="99" t="s">
        <v>1270</v>
      </c>
      <c r="L46" s="99" t="s">
        <v>1271</v>
      </c>
      <c r="M46" s="99" t="s">
        <v>1302</v>
      </c>
      <c r="N46" s="105">
        <v>160</v>
      </c>
      <c r="O46" s="105">
        <v>160</v>
      </c>
      <c r="P46" s="105">
        <v>160</v>
      </c>
      <c r="Q46" s="117"/>
      <c r="R46" s="104">
        <f t="shared" si="7"/>
        <v>160</v>
      </c>
      <c r="S46" s="114">
        <f>IFERROR(VLOOKUP(G46,'附表8-合同明细采集底稿'!B:M,12,0),100%)</f>
        <v>1</v>
      </c>
      <c r="T46" s="104">
        <f t="shared" si="8"/>
        <v>160</v>
      </c>
      <c r="U46" s="99"/>
      <c r="V46" s="99" t="s">
        <v>275</v>
      </c>
      <c r="W46" s="116">
        <f>IF('附表1-面积统计表'!$D$29=0,"",IF(AND(V46="共同成本费用",Z46="总建筑面积法"),ROUND(T46/'附表1-面积统计表'!$D$29*'附表1-面积统计表'!$D$5,2),IF(AND(V46="共同成本费用",Z46="可售建筑面积法"),ROUND(T46/'附表1-面积统计表'!$F$29*'附表1-面积统计表'!$F$5,2),"请手工填写")))</f>
        <v>116.69</v>
      </c>
      <c r="X46" s="116">
        <f t="shared" si="9"/>
        <v>0</v>
      </c>
      <c r="Y46" s="116">
        <f>IF(SUM('附表1-面积统计表'!$D$6)=0,SUM(T46)-SUM(W46),IF('附表1-面积统计表'!$D$29=0,"",IF(AND(V46="共同成本费用",Z46="总建筑面积法"),ROUND(T46/'附表1-面积统计表'!$D$29*'附表1-面积统计表'!$D$7,2),IF(AND(V46="共同成本费用",Z46="可售建筑面积法"),ROUND(T46/'附表1-面积统计表'!$F$29*'附表1-面积统计表'!$F$7,2),"请手工填写"))))</f>
        <v>43.31</v>
      </c>
      <c r="Z46" s="99" t="s">
        <v>251</v>
      </c>
      <c r="AA46" s="99"/>
      <c r="AB46" s="119" t="s">
        <v>1259</v>
      </c>
    </row>
    <row r="47" ht="24" hidden="1" customHeight="1" spans="1:28">
      <c r="A47" s="93">
        <v>41</v>
      </c>
      <c r="B47" s="99" t="s">
        <v>1303</v>
      </c>
      <c r="C47" s="99">
        <v>30</v>
      </c>
      <c r="D47" s="99" t="s">
        <v>1288</v>
      </c>
      <c r="E47" s="99" t="s">
        <v>1289</v>
      </c>
      <c r="F47" s="99"/>
      <c r="G47" s="99"/>
      <c r="H47" s="99"/>
      <c r="I47" s="99"/>
      <c r="J47" s="99" t="s">
        <v>1293</v>
      </c>
      <c r="K47" s="99" t="s">
        <v>1270</v>
      </c>
      <c r="L47" s="99" t="s">
        <v>1271</v>
      </c>
      <c r="M47" s="99" t="s">
        <v>1304</v>
      </c>
      <c r="N47" s="105">
        <v>128</v>
      </c>
      <c r="O47" s="105">
        <v>128</v>
      </c>
      <c r="P47" s="105">
        <v>128</v>
      </c>
      <c r="Q47" s="117"/>
      <c r="R47" s="104">
        <f t="shared" si="7"/>
        <v>128</v>
      </c>
      <c r="S47" s="114">
        <f>IFERROR(VLOOKUP(G47,'附表8-合同明细采集底稿'!B:M,12,0),100%)</f>
        <v>1</v>
      </c>
      <c r="T47" s="104">
        <f t="shared" si="8"/>
        <v>128</v>
      </c>
      <c r="U47" s="99"/>
      <c r="V47" s="99" t="s">
        <v>275</v>
      </c>
      <c r="W47" s="116">
        <f>IF('附表1-面积统计表'!$D$29=0,"",IF(AND(V47="共同成本费用",Z47="总建筑面积法"),ROUND(T47/'附表1-面积统计表'!$D$29*'附表1-面积统计表'!$D$5,2),IF(AND(V47="共同成本费用",Z47="可售建筑面积法"),ROUND(T47/'附表1-面积统计表'!$F$29*'附表1-面积统计表'!$F$5,2),"请手工填写")))</f>
        <v>93.35</v>
      </c>
      <c r="X47" s="116">
        <f t="shared" si="9"/>
        <v>0</v>
      </c>
      <c r="Y47" s="116">
        <f>IF(SUM('附表1-面积统计表'!$D$6)=0,SUM(T47)-SUM(W47),IF('附表1-面积统计表'!$D$29=0,"",IF(AND(V47="共同成本费用",Z47="总建筑面积法"),ROUND(T47/'附表1-面积统计表'!$D$29*'附表1-面积统计表'!$D$7,2),IF(AND(V47="共同成本费用",Z47="可售建筑面积法"),ROUND(T47/'附表1-面积统计表'!$F$29*'附表1-面积统计表'!$F$7,2),"请手工填写"))))</f>
        <v>34.65</v>
      </c>
      <c r="Z47" s="99" t="s">
        <v>251</v>
      </c>
      <c r="AA47" s="99"/>
      <c r="AB47" s="119" t="s">
        <v>1259</v>
      </c>
    </row>
    <row r="48" ht="24" hidden="1" customHeight="1" spans="1:28">
      <c r="A48" s="93">
        <v>42</v>
      </c>
      <c r="B48" s="99" t="s">
        <v>1305</v>
      </c>
      <c r="C48" s="99">
        <v>17</v>
      </c>
      <c r="D48" s="99" t="s">
        <v>1288</v>
      </c>
      <c r="E48" s="99" t="s">
        <v>1289</v>
      </c>
      <c r="F48" s="99"/>
      <c r="G48" s="99"/>
      <c r="H48" s="99"/>
      <c r="I48" s="99"/>
      <c r="J48" s="99" t="s">
        <v>1290</v>
      </c>
      <c r="K48" s="99" t="s">
        <v>1270</v>
      </c>
      <c r="L48" s="99" t="s">
        <v>1306</v>
      </c>
      <c r="M48" s="99" t="s">
        <v>1307</v>
      </c>
      <c r="N48" s="105">
        <v>285000</v>
      </c>
      <c r="O48" s="105">
        <v>285000</v>
      </c>
      <c r="P48" s="105">
        <v>285000</v>
      </c>
      <c r="Q48" s="117">
        <v>-600</v>
      </c>
      <c r="R48" s="104">
        <f t="shared" si="7"/>
        <v>284400</v>
      </c>
      <c r="S48" s="114">
        <f>IFERROR(VLOOKUP(G48,'附表8-合同明细采集底稿'!B:M,12,0),100%)</f>
        <v>1</v>
      </c>
      <c r="T48" s="104">
        <f t="shared" si="8"/>
        <v>284400</v>
      </c>
      <c r="U48" s="99"/>
      <c r="V48" s="99" t="s">
        <v>275</v>
      </c>
      <c r="W48" s="116">
        <f>IF('附表1-面积统计表'!$D$29=0,"",IF(AND(V48="共同成本费用",Z48="总建筑面积法"),ROUND(T48/'附表1-面积统计表'!$D$29*'附表1-面积统计表'!$D$5,2),IF(AND(V48="共同成本费用",Z48="可售建筑面积法"),ROUND(T48/'附表1-面积统计表'!$F$29*'附表1-面积统计表'!$F$5,2),"请手工填写")))</f>
        <v>207412.88</v>
      </c>
      <c r="X48" s="116">
        <f t="shared" si="9"/>
        <v>0</v>
      </c>
      <c r="Y48" s="116">
        <f>IF(SUM('附表1-面积统计表'!$D$6)=0,SUM(T48)-SUM(W48),IF('附表1-面积统计表'!$D$29=0,"",IF(AND(V48="共同成本费用",Z48="总建筑面积法"),ROUND(T48/'附表1-面积统计表'!$D$29*'附表1-面积统计表'!$D$7,2),IF(AND(V48="共同成本费用",Z48="可售建筑面积法"),ROUND(T48/'附表1-面积统计表'!$F$29*'附表1-面积统计表'!$F$7,2),"请手工填写"))))</f>
        <v>76987.12</v>
      </c>
      <c r="Z48" s="99" t="s">
        <v>251</v>
      </c>
      <c r="AA48" s="99"/>
      <c r="AB48" s="119" t="s">
        <v>1259</v>
      </c>
    </row>
    <row r="49" ht="24" hidden="1" customHeight="1" spans="1:28">
      <c r="A49" s="93">
        <v>43</v>
      </c>
      <c r="B49" s="99" t="s">
        <v>1308</v>
      </c>
      <c r="C49" s="99">
        <v>27</v>
      </c>
      <c r="D49" s="99" t="s">
        <v>1288</v>
      </c>
      <c r="E49" s="99" t="s">
        <v>1289</v>
      </c>
      <c r="F49" s="99"/>
      <c r="G49" s="99"/>
      <c r="H49" s="99"/>
      <c r="I49" s="99"/>
      <c r="J49" s="99" t="s">
        <v>1290</v>
      </c>
      <c r="K49" s="99" t="s">
        <v>1270</v>
      </c>
      <c r="L49" s="99" t="s">
        <v>1309</v>
      </c>
      <c r="M49" s="99" t="s">
        <v>1310</v>
      </c>
      <c r="N49" s="105">
        <v>52387</v>
      </c>
      <c r="O49" s="105">
        <v>52387</v>
      </c>
      <c r="P49" s="105">
        <v>52387</v>
      </c>
      <c r="Q49" s="117">
        <v>-52387</v>
      </c>
      <c r="R49" s="104">
        <f t="shared" si="7"/>
        <v>0</v>
      </c>
      <c r="S49" s="114">
        <f>IFERROR(VLOOKUP(G49,'附表8-合同明细采集底稿'!B:M,12,0),100%)</f>
        <v>1</v>
      </c>
      <c r="T49" s="104">
        <f t="shared" si="8"/>
        <v>0</v>
      </c>
      <c r="U49" s="99"/>
      <c r="V49" s="99" t="s">
        <v>275</v>
      </c>
      <c r="W49" s="116">
        <f>IF('附表1-面积统计表'!$D$29=0,"",IF(AND(V49="共同成本费用",Z49="总建筑面积法"),ROUND(T49/'附表1-面积统计表'!$D$29*'附表1-面积统计表'!$D$5,2),IF(AND(V49="共同成本费用",Z49="可售建筑面积法"),ROUND(T49/'附表1-面积统计表'!$F$29*'附表1-面积统计表'!$F$5,2),"请手工填写")))</f>
        <v>0</v>
      </c>
      <c r="X49" s="116">
        <f t="shared" si="9"/>
        <v>0</v>
      </c>
      <c r="Y49" s="116">
        <f>IF(SUM('附表1-面积统计表'!$D$6)=0,SUM(T49)-SUM(W49),IF('附表1-面积统计表'!$D$29=0,"",IF(AND(V49="共同成本费用",Z49="总建筑面积法"),ROUND(T49/'附表1-面积统计表'!$D$29*'附表1-面积统计表'!$D$7,2),IF(AND(V49="共同成本费用",Z49="可售建筑面积法"),ROUND(T49/'附表1-面积统计表'!$F$29*'附表1-面积统计表'!$F$7,2),"请手工填写"))))</f>
        <v>0</v>
      </c>
      <c r="Z49" s="99" t="s">
        <v>251</v>
      </c>
      <c r="AA49" s="99"/>
      <c r="AB49" s="119" t="s">
        <v>1259</v>
      </c>
    </row>
    <row r="50" ht="24" hidden="1" customHeight="1" spans="1:28">
      <c r="A50" s="93">
        <v>44</v>
      </c>
      <c r="B50" s="99" t="s">
        <v>1311</v>
      </c>
      <c r="C50" s="99">
        <v>26</v>
      </c>
      <c r="D50" s="99" t="s">
        <v>1288</v>
      </c>
      <c r="E50" s="99" t="s">
        <v>1289</v>
      </c>
      <c r="F50" s="99"/>
      <c r="G50" s="99"/>
      <c r="H50" s="99"/>
      <c r="I50" s="99"/>
      <c r="J50" s="99" t="s">
        <v>1312</v>
      </c>
      <c r="K50" s="99" t="s">
        <v>1270</v>
      </c>
      <c r="L50" s="99" t="s">
        <v>1313</v>
      </c>
      <c r="M50" s="99" t="s">
        <v>1314</v>
      </c>
      <c r="N50" s="105">
        <v>15000</v>
      </c>
      <c r="O50" s="105">
        <v>15000</v>
      </c>
      <c r="P50" s="105">
        <v>15000</v>
      </c>
      <c r="Q50" s="117">
        <v>-15000</v>
      </c>
      <c r="R50" s="104">
        <f t="shared" si="7"/>
        <v>0</v>
      </c>
      <c r="S50" s="114">
        <f>IFERROR(VLOOKUP(G50,'附表8-合同明细采集底稿'!B:M,12,0),100%)</f>
        <v>1</v>
      </c>
      <c r="T50" s="104">
        <f t="shared" si="8"/>
        <v>0</v>
      </c>
      <c r="U50" s="99"/>
      <c r="V50" s="99" t="s">
        <v>275</v>
      </c>
      <c r="W50" s="116">
        <f>IF('附表1-面积统计表'!$D$29=0,"",IF(AND(V50="共同成本费用",Z50="总建筑面积法"),ROUND(T50/'附表1-面积统计表'!$D$29*'附表1-面积统计表'!$D$5,2),IF(AND(V50="共同成本费用",Z50="可售建筑面积法"),ROUND(T50/'附表1-面积统计表'!$F$29*'附表1-面积统计表'!$F$5,2),"请手工填写")))</f>
        <v>0</v>
      </c>
      <c r="X50" s="116">
        <f t="shared" si="9"/>
        <v>0</v>
      </c>
      <c r="Y50" s="116">
        <f>IF(SUM('附表1-面积统计表'!$D$6)=0,SUM(T50)-SUM(W50),IF('附表1-面积统计表'!$D$29=0,"",IF(AND(V50="共同成本费用",Z50="总建筑面积法"),ROUND(T50/'附表1-面积统计表'!$D$29*'附表1-面积统计表'!$D$7,2),IF(AND(V50="共同成本费用",Z50="可售建筑面积法"),ROUND(T50/'附表1-面积统计表'!$F$29*'附表1-面积统计表'!$F$7,2),"请手工填写"))))</f>
        <v>0</v>
      </c>
      <c r="Z50" s="99" t="s">
        <v>251</v>
      </c>
      <c r="AA50" s="99"/>
      <c r="AB50" s="119" t="s">
        <v>1259</v>
      </c>
    </row>
    <row r="51" ht="24" hidden="1" customHeight="1" spans="1:28">
      <c r="A51" s="93">
        <v>45</v>
      </c>
      <c r="B51" s="99" t="s">
        <v>1315</v>
      </c>
      <c r="C51" s="99">
        <v>91</v>
      </c>
      <c r="D51" s="99" t="s">
        <v>1288</v>
      </c>
      <c r="E51" s="99" t="s">
        <v>1289</v>
      </c>
      <c r="F51" s="99"/>
      <c r="G51" s="99"/>
      <c r="H51" s="99"/>
      <c r="I51" s="99"/>
      <c r="J51" s="99" t="s">
        <v>1316</v>
      </c>
      <c r="K51" s="99" t="s">
        <v>1317</v>
      </c>
      <c r="L51" s="99" t="s">
        <v>1318</v>
      </c>
      <c r="M51" s="99" t="s">
        <v>1319</v>
      </c>
      <c r="N51" s="105">
        <v>2839</v>
      </c>
      <c r="O51" s="105">
        <v>2839</v>
      </c>
      <c r="P51" s="105">
        <v>2839</v>
      </c>
      <c r="Q51" s="117">
        <v>-2839</v>
      </c>
      <c r="R51" s="104">
        <f t="shared" si="7"/>
        <v>0</v>
      </c>
      <c r="S51" s="114">
        <f>IFERROR(VLOOKUP(G51,'附表8-合同明细采集底稿'!B:M,12,0),100%)</f>
        <v>1</v>
      </c>
      <c r="T51" s="104">
        <f t="shared" si="8"/>
        <v>0</v>
      </c>
      <c r="U51" s="99"/>
      <c r="V51" s="99" t="s">
        <v>275</v>
      </c>
      <c r="W51" s="116">
        <f>IF('附表1-面积统计表'!$D$29=0,"",IF(AND(V51="共同成本费用",Z51="总建筑面积法"),ROUND(T51/'附表1-面积统计表'!$D$29*'附表1-面积统计表'!$D$5,2),IF(AND(V51="共同成本费用",Z51="可售建筑面积法"),ROUND(T51/'附表1-面积统计表'!$F$29*'附表1-面积统计表'!$F$5,2),"请手工填写")))</f>
        <v>0</v>
      </c>
      <c r="X51" s="116">
        <f t="shared" si="9"/>
        <v>0</v>
      </c>
      <c r="Y51" s="116">
        <f>IF(SUM('附表1-面积统计表'!$D$6)=0,SUM(T51)-SUM(W51),IF('附表1-面积统计表'!$D$29=0,"",IF(AND(V51="共同成本费用",Z51="总建筑面积法"),ROUND(T51/'附表1-面积统计表'!$D$29*'附表1-面积统计表'!$D$7,2),IF(AND(V51="共同成本费用",Z51="可售建筑面积法"),ROUND(T51/'附表1-面积统计表'!$F$29*'附表1-面积统计表'!$F$7,2),"请手工填写"))))</f>
        <v>0</v>
      </c>
      <c r="Z51" s="99" t="s">
        <v>251</v>
      </c>
      <c r="AA51" s="99"/>
      <c r="AB51" s="119" t="s">
        <v>1259</v>
      </c>
    </row>
    <row r="52" ht="24" hidden="1" customHeight="1" spans="1:28">
      <c r="A52" s="93">
        <v>46</v>
      </c>
      <c r="B52" s="99" t="s">
        <v>1320</v>
      </c>
      <c r="C52" s="99">
        <v>79</v>
      </c>
      <c r="D52" s="99" t="s">
        <v>1288</v>
      </c>
      <c r="E52" s="99" t="s">
        <v>1289</v>
      </c>
      <c r="F52" s="99"/>
      <c r="G52" s="99"/>
      <c r="H52" s="99"/>
      <c r="I52" s="99"/>
      <c r="J52" s="99" t="s">
        <v>1290</v>
      </c>
      <c r="K52" s="99" t="s">
        <v>1317</v>
      </c>
      <c r="L52" s="99" t="s">
        <v>1321</v>
      </c>
      <c r="M52" s="99" t="s">
        <v>1322</v>
      </c>
      <c r="N52" s="105">
        <v>130122.06</v>
      </c>
      <c r="O52" s="105">
        <v>130122.1</v>
      </c>
      <c r="P52" s="105">
        <v>130122.1</v>
      </c>
      <c r="Q52" s="117">
        <v>-122.1</v>
      </c>
      <c r="R52" s="104">
        <f t="shared" si="7"/>
        <v>130000</v>
      </c>
      <c r="S52" s="114">
        <f>IFERROR(VLOOKUP(G52,'附表8-合同明细采集底稿'!B:M,12,0),100%)</f>
        <v>1</v>
      </c>
      <c r="T52" s="104">
        <f t="shared" si="8"/>
        <v>130000</v>
      </c>
      <c r="U52" s="99"/>
      <c r="V52" s="99" t="s">
        <v>275</v>
      </c>
      <c r="W52" s="116">
        <f>IF('附表1-面积统计表'!$D$29=0,"",IF(AND(V52="共同成本费用",Z52="总建筑面积法"),ROUND(T52/'附表1-面积统计表'!$D$29*'附表1-面积统计表'!$D$5,2),IF(AND(V52="共同成本费用",Z52="可售建筑面积法"),ROUND(T52/'附表1-面积统计表'!$F$29*'附表1-面积统计表'!$F$5,2),"请手工填写")))</f>
        <v>94808.98</v>
      </c>
      <c r="X52" s="116">
        <f t="shared" si="9"/>
        <v>0</v>
      </c>
      <c r="Y52" s="116">
        <f>IF(SUM('附表1-面积统计表'!$D$6)=0,SUM(T52)-SUM(W52),IF('附表1-面积统计表'!$D$29=0,"",IF(AND(V52="共同成本费用",Z52="总建筑面积法"),ROUND(T52/'附表1-面积统计表'!$D$29*'附表1-面积统计表'!$D$7,2),IF(AND(V52="共同成本费用",Z52="可售建筑面积法"),ROUND(T52/'附表1-面积统计表'!$F$29*'附表1-面积统计表'!$F$7,2),"请手工填写"))))</f>
        <v>35191.02</v>
      </c>
      <c r="Z52" s="99" t="s">
        <v>251</v>
      </c>
      <c r="AA52" s="99"/>
      <c r="AB52" s="119" t="s">
        <v>1259</v>
      </c>
    </row>
    <row r="53" ht="24" hidden="1" customHeight="1" spans="1:28">
      <c r="A53" s="93">
        <v>47</v>
      </c>
      <c r="B53" s="99" t="s">
        <v>1323</v>
      </c>
      <c r="C53" s="99">
        <v>54</v>
      </c>
      <c r="D53" s="99" t="s">
        <v>1288</v>
      </c>
      <c r="E53" s="99" t="s">
        <v>1289</v>
      </c>
      <c r="F53" s="99"/>
      <c r="G53" s="99"/>
      <c r="H53" s="99"/>
      <c r="I53" s="99"/>
      <c r="J53" s="99" t="s">
        <v>1324</v>
      </c>
      <c r="K53" s="99" t="s">
        <v>1317</v>
      </c>
      <c r="L53" s="99" t="s">
        <v>1318</v>
      </c>
      <c r="M53" s="99" t="s">
        <v>1325</v>
      </c>
      <c r="N53" s="105">
        <v>3122.26</v>
      </c>
      <c r="O53" s="105">
        <v>3122.22</v>
      </c>
      <c r="P53" s="105">
        <v>3122.22</v>
      </c>
      <c r="Q53" s="117">
        <v>-3122.22</v>
      </c>
      <c r="R53" s="104">
        <f t="shared" si="7"/>
        <v>0</v>
      </c>
      <c r="S53" s="114">
        <f>IFERROR(VLOOKUP(G53,'附表8-合同明细采集底稿'!B:M,12,0),100%)</f>
        <v>1</v>
      </c>
      <c r="T53" s="104">
        <f t="shared" si="8"/>
        <v>0</v>
      </c>
      <c r="U53" s="99"/>
      <c r="V53" s="99" t="s">
        <v>275</v>
      </c>
      <c r="W53" s="116">
        <f>IF('附表1-面积统计表'!$D$29=0,"",IF(AND(V53="共同成本费用",Z53="总建筑面积法"),ROUND(T53/'附表1-面积统计表'!$D$29*'附表1-面积统计表'!$D$5,2),IF(AND(V53="共同成本费用",Z53="可售建筑面积法"),ROUND(T53/'附表1-面积统计表'!$F$29*'附表1-面积统计表'!$F$5,2),"请手工填写")))</f>
        <v>0</v>
      </c>
      <c r="X53" s="116">
        <f t="shared" si="9"/>
        <v>0</v>
      </c>
      <c r="Y53" s="116">
        <f>IF(SUM('附表1-面积统计表'!$D$6)=0,SUM(T53)-SUM(W53),IF('附表1-面积统计表'!$D$29=0,"",IF(AND(V53="共同成本费用",Z53="总建筑面积法"),ROUND(T53/'附表1-面积统计表'!$D$29*'附表1-面积统计表'!$D$7,2),IF(AND(V53="共同成本费用",Z53="可售建筑面积法"),ROUND(T53/'附表1-面积统计表'!$F$29*'附表1-面积统计表'!$F$7,2),"请手工填写"))))</f>
        <v>0</v>
      </c>
      <c r="Z53" s="99" t="s">
        <v>251</v>
      </c>
      <c r="AA53" s="99"/>
      <c r="AB53" s="119" t="s">
        <v>1259</v>
      </c>
    </row>
    <row r="54" ht="24" hidden="1" customHeight="1" spans="1:28">
      <c r="A54" s="93">
        <v>48</v>
      </c>
      <c r="B54" s="99" t="s">
        <v>1326</v>
      </c>
      <c r="C54" s="99">
        <v>57</v>
      </c>
      <c r="D54" s="99" t="s">
        <v>1288</v>
      </c>
      <c r="E54" s="99" t="s">
        <v>1289</v>
      </c>
      <c r="F54" s="99"/>
      <c r="G54" s="99"/>
      <c r="H54" s="99"/>
      <c r="I54" s="99"/>
      <c r="J54" s="99" t="s">
        <v>1327</v>
      </c>
      <c r="K54" s="99" t="s">
        <v>1317</v>
      </c>
      <c r="L54" s="99">
        <v>6500162320</v>
      </c>
      <c r="M54" s="99" t="s">
        <v>1328</v>
      </c>
      <c r="N54" s="105">
        <v>20000</v>
      </c>
      <c r="O54" s="105">
        <v>20000</v>
      </c>
      <c r="P54" s="105">
        <v>20000</v>
      </c>
      <c r="Q54" s="117"/>
      <c r="R54" s="104">
        <f t="shared" si="7"/>
        <v>20000</v>
      </c>
      <c r="S54" s="114">
        <f>IFERROR(VLOOKUP(G54,'附表8-合同明细采集底稿'!B:M,12,0),100%)</f>
        <v>1</v>
      </c>
      <c r="T54" s="104">
        <f t="shared" si="8"/>
        <v>20000</v>
      </c>
      <c r="U54" s="99"/>
      <c r="V54" s="99" t="s">
        <v>275</v>
      </c>
      <c r="W54" s="116">
        <f>IF('附表1-面积统计表'!$D$29=0,"",IF(AND(V54="共同成本费用",Z54="总建筑面积法"),ROUND(T54/'附表1-面积统计表'!$D$29*'附表1-面积统计表'!$D$5,2),IF(AND(V54="共同成本费用",Z54="可售建筑面积法"),ROUND(T54/'附表1-面积统计表'!$F$29*'附表1-面积统计表'!$F$5,2),"请手工填写")))</f>
        <v>14586</v>
      </c>
      <c r="X54" s="116">
        <f t="shared" si="9"/>
        <v>0</v>
      </c>
      <c r="Y54" s="116">
        <f>IF(SUM('附表1-面积统计表'!$D$6)=0,SUM(T54)-SUM(W54),IF('附表1-面积统计表'!$D$29=0,"",IF(AND(V54="共同成本费用",Z54="总建筑面积法"),ROUND(T54/'附表1-面积统计表'!$D$29*'附表1-面积统计表'!$D$7,2),IF(AND(V54="共同成本费用",Z54="可售建筑面积法"),ROUND(T54/'附表1-面积统计表'!$F$29*'附表1-面积统计表'!$F$7,2),"请手工填写"))))</f>
        <v>5414</v>
      </c>
      <c r="Z54" s="99" t="s">
        <v>251</v>
      </c>
      <c r="AA54" s="99"/>
      <c r="AB54" s="119" t="s">
        <v>1259</v>
      </c>
    </row>
    <row r="55" ht="24" hidden="1" customHeight="1" spans="1:28">
      <c r="A55" s="93">
        <v>49</v>
      </c>
      <c r="B55" s="99" t="s">
        <v>1329</v>
      </c>
      <c r="C55" s="99">
        <v>20</v>
      </c>
      <c r="D55" s="99" t="s">
        <v>1288</v>
      </c>
      <c r="E55" s="99" t="s">
        <v>1289</v>
      </c>
      <c r="F55" s="99"/>
      <c r="G55" s="99"/>
      <c r="H55" s="99"/>
      <c r="I55" s="99"/>
      <c r="J55" s="99" t="s">
        <v>1330</v>
      </c>
      <c r="K55" s="99" t="s">
        <v>1317</v>
      </c>
      <c r="L55" s="99">
        <v>500162320</v>
      </c>
      <c r="M55" s="99" t="s">
        <v>1331</v>
      </c>
      <c r="N55" s="105">
        <v>432</v>
      </c>
      <c r="O55" s="105">
        <v>432</v>
      </c>
      <c r="P55" s="105">
        <v>432</v>
      </c>
      <c r="Q55" s="117">
        <v>-432</v>
      </c>
      <c r="R55" s="104">
        <f t="shared" si="7"/>
        <v>0</v>
      </c>
      <c r="S55" s="114">
        <f>IFERROR(VLOOKUP(G55,'附表8-合同明细采集底稿'!B:M,12,0),100%)</f>
        <v>1</v>
      </c>
      <c r="T55" s="104">
        <f t="shared" si="8"/>
        <v>0</v>
      </c>
      <c r="U55" s="99"/>
      <c r="V55" s="99" t="s">
        <v>275</v>
      </c>
      <c r="W55" s="116">
        <f>IF('附表1-面积统计表'!$D$29=0,"",IF(AND(V55="共同成本费用",Z55="总建筑面积法"),ROUND(T55/'附表1-面积统计表'!$D$29*'附表1-面积统计表'!$D$5,2),IF(AND(V55="共同成本费用",Z55="可售建筑面积法"),ROUND(T55/'附表1-面积统计表'!$F$29*'附表1-面积统计表'!$F$5,2),"请手工填写")))</f>
        <v>0</v>
      </c>
      <c r="X55" s="116">
        <f t="shared" si="9"/>
        <v>0</v>
      </c>
      <c r="Y55" s="116">
        <f>IF(SUM('附表1-面积统计表'!$D$6)=0,SUM(T55)-SUM(W55),IF('附表1-面积统计表'!$D$29=0,"",IF(AND(V55="共同成本费用",Z55="总建筑面积法"),ROUND(T55/'附表1-面积统计表'!$D$29*'附表1-面积统计表'!$D$7,2),IF(AND(V55="共同成本费用",Z55="可售建筑面积法"),ROUND(T55/'附表1-面积统计表'!$F$29*'附表1-面积统计表'!$F$7,2),"请手工填写"))))</f>
        <v>0</v>
      </c>
      <c r="Z55" s="99" t="s">
        <v>251</v>
      </c>
      <c r="AA55" s="99"/>
      <c r="AB55" s="119" t="s">
        <v>1259</v>
      </c>
    </row>
    <row r="56" ht="24" hidden="1" customHeight="1" spans="1:28">
      <c r="A56" s="93">
        <v>50</v>
      </c>
      <c r="B56" s="99" t="s">
        <v>1332</v>
      </c>
      <c r="C56" s="99">
        <v>8</v>
      </c>
      <c r="D56" s="99" t="s">
        <v>1288</v>
      </c>
      <c r="E56" s="99" t="s">
        <v>1289</v>
      </c>
      <c r="F56" s="99"/>
      <c r="G56" s="99"/>
      <c r="H56" s="99"/>
      <c r="I56" s="99"/>
      <c r="J56" s="99" t="s">
        <v>1327</v>
      </c>
      <c r="K56" s="99" t="s">
        <v>1317</v>
      </c>
      <c r="L56" s="99">
        <v>6500162320</v>
      </c>
      <c r="M56" s="99" t="s">
        <v>1333</v>
      </c>
      <c r="N56" s="105">
        <v>30000</v>
      </c>
      <c r="O56" s="105">
        <v>30000</v>
      </c>
      <c r="P56" s="105">
        <v>30000</v>
      </c>
      <c r="Q56" s="117"/>
      <c r="R56" s="104">
        <f t="shared" si="7"/>
        <v>30000</v>
      </c>
      <c r="S56" s="114">
        <f>IFERROR(VLOOKUP(G56,'附表8-合同明细采集底稿'!B:M,12,0),100%)</f>
        <v>1</v>
      </c>
      <c r="T56" s="104">
        <f t="shared" si="8"/>
        <v>30000</v>
      </c>
      <c r="U56" s="99"/>
      <c r="V56" s="99" t="s">
        <v>275</v>
      </c>
      <c r="W56" s="116">
        <f>IF('附表1-面积统计表'!$D$29=0,"",IF(AND(V56="共同成本费用",Z56="总建筑面积法"),ROUND(T56/'附表1-面积统计表'!$D$29*'附表1-面积统计表'!$D$5,2),IF(AND(V56="共同成本费用",Z56="可售建筑面积法"),ROUND(T56/'附表1-面积统计表'!$F$29*'附表1-面积统计表'!$F$5,2),"请手工填写")))</f>
        <v>21879</v>
      </c>
      <c r="X56" s="116">
        <f t="shared" si="9"/>
        <v>0</v>
      </c>
      <c r="Y56" s="116">
        <f>IF(SUM('附表1-面积统计表'!$D$6)=0,SUM(T56)-SUM(W56),IF('附表1-面积统计表'!$D$29=0,"",IF(AND(V56="共同成本费用",Z56="总建筑面积法"),ROUND(T56/'附表1-面积统计表'!$D$29*'附表1-面积统计表'!$D$7,2),IF(AND(V56="共同成本费用",Z56="可售建筑面积法"),ROUND(T56/'附表1-面积统计表'!$F$29*'附表1-面积统计表'!$F$7,2),"请手工填写"))))</f>
        <v>8121</v>
      </c>
      <c r="Z56" s="99" t="s">
        <v>251</v>
      </c>
      <c r="AA56" s="99"/>
      <c r="AB56" s="119" t="s">
        <v>1259</v>
      </c>
    </row>
    <row r="57" ht="24" hidden="1" customHeight="1" spans="1:28">
      <c r="A57" s="93">
        <v>51</v>
      </c>
      <c r="B57" s="99" t="s">
        <v>1334</v>
      </c>
      <c r="C57" s="99">
        <v>13</v>
      </c>
      <c r="D57" s="99" t="s">
        <v>1288</v>
      </c>
      <c r="E57" s="99" t="s">
        <v>1289</v>
      </c>
      <c r="F57" s="99"/>
      <c r="G57" s="99"/>
      <c r="H57" s="99"/>
      <c r="I57" s="99"/>
      <c r="J57" s="99" t="s">
        <v>1327</v>
      </c>
      <c r="K57" s="99" t="s">
        <v>1317</v>
      </c>
      <c r="L57" s="99">
        <v>6500162320</v>
      </c>
      <c r="M57" s="99" t="s">
        <v>1335</v>
      </c>
      <c r="N57" s="105">
        <v>9000</v>
      </c>
      <c r="O57" s="105">
        <v>9000</v>
      </c>
      <c r="P57" s="105">
        <v>9000</v>
      </c>
      <c r="Q57" s="117">
        <v>-9000</v>
      </c>
      <c r="R57" s="104">
        <f t="shared" si="7"/>
        <v>0</v>
      </c>
      <c r="S57" s="114">
        <f>IFERROR(VLOOKUP(G57,'附表8-合同明细采集底稿'!B:M,12,0),100%)</f>
        <v>1</v>
      </c>
      <c r="T57" s="104">
        <f t="shared" si="8"/>
        <v>0</v>
      </c>
      <c r="U57" s="99"/>
      <c r="V57" s="99" t="s">
        <v>275</v>
      </c>
      <c r="W57" s="116">
        <f>IF('附表1-面积统计表'!$D$29=0,"",IF(AND(V57="共同成本费用",Z57="总建筑面积法"),ROUND(T57/'附表1-面积统计表'!$D$29*'附表1-面积统计表'!$D$5,2),IF(AND(V57="共同成本费用",Z57="可售建筑面积法"),ROUND(T57/'附表1-面积统计表'!$F$29*'附表1-面积统计表'!$F$5,2),"请手工填写")))</f>
        <v>0</v>
      </c>
      <c r="X57" s="116">
        <f t="shared" si="9"/>
        <v>0</v>
      </c>
      <c r="Y57" s="116">
        <f>IF(SUM('附表1-面积统计表'!$D$6)=0,SUM(T57)-SUM(W57),IF('附表1-面积统计表'!$D$29=0,"",IF(AND(V57="共同成本费用",Z57="总建筑面积法"),ROUND(T57/'附表1-面积统计表'!$D$29*'附表1-面积统计表'!$D$7,2),IF(AND(V57="共同成本费用",Z57="可售建筑面积法"),ROUND(T57/'附表1-面积统计表'!$F$29*'附表1-面积统计表'!$F$7,2),"请手工填写"))))</f>
        <v>0</v>
      </c>
      <c r="Z57" s="99" t="s">
        <v>251</v>
      </c>
      <c r="AA57" s="99"/>
      <c r="AB57" s="119" t="s">
        <v>1259</v>
      </c>
    </row>
    <row r="58" ht="24" hidden="1" customHeight="1" spans="1:28">
      <c r="A58" s="93">
        <v>52</v>
      </c>
      <c r="B58" s="99" t="s">
        <v>1336</v>
      </c>
      <c r="C58" s="99">
        <v>22</v>
      </c>
      <c r="D58" s="99" t="s">
        <v>1288</v>
      </c>
      <c r="E58" s="99" t="s">
        <v>1337</v>
      </c>
      <c r="F58" s="99"/>
      <c r="G58" s="99"/>
      <c r="H58" s="99"/>
      <c r="I58" s="99"/>
      <c r="J58" s="106" t="s">
        <v>1338</v>
      </c>
      <c r="K58" s="99" t="s">
        <v>1270</v>
      </c>
      <c r="L58" s="99" t="s">
        <v>1271</v>
      </c>
      <c r="M58" s="99" t="s">
        <v>1339</v>
      </c>
      <c r="N58" s="105">
        <v>4000</v>
      </c>
      <c r="O58" s="105">
        <v>4000</v>
      </c>
      <c r="P58" s="105">
        <v>4000</v>
      </c>
      <c r="Q58" s="117">
        <v>-4000</v>
      </c>
      <c r="R58" s="104">
        <f t="shared" si="7"/>
        <v>0</v>
      </c>
      <c r="S58" s="114">
        <f>IFERROR(VLOOKUP(G58,'附表8-合同明细采集底稿'!B:M,12,0),100%)</f>
        <v>1</v>
      </c>
      <c r="T58" s="104">
        <f t="shared" si="8"/>
        <v>0</v>
      </c>
      <c r="U58" s="99"/>
      <c r="V58" s="99" t="s">
        <v>275</v>
      </c>
      <c r="W58" s="116">
        <f>IF('附表1-面积统计表'!$D$29=0,"",IF(AND(V58="共同成本费用",Z58="总建筑面积法"),ROUND(T58/'附表1-面积统计表'!$D$29*'附表1-面积统计表'!$D$5,2),IF(AND(V58="共同成本费用",Z58="可售建筑面积法"),ROUND(T58/'附表1-面积统计表'!$F$29*'附表1-面积统计表'!$F$5,2),"请手工填写")))</f>
        <v>0</v>
      </c>
      <c r="X58" s="116">
        <f t="shared" si="9"/>
        <v>0</v>
      </c>
      <c r="Y58" s="116">
        <f>IF(SUM('附表1-面积统计表'!$D$6)=0,SUM(T58)-SUM(W58),IF('附表1-面积统计表'!$D$29=0,"",IF(AND(V58="共同成本费用",Z58="总建筑面积法"),ROUND(T58/'附表1-面积统计表'!$D$29*'附表1-面积统计表'!$D$7,2),IF(AND(V58="共同成本费用",Z58="可售建筑面积法"),ROUND(T58/'附表1-面积统计表'!$F$29*'附表1-面积统计表'!$F$7,2),"请手工填写"))))</f>
        <v>0</v>
      </c>
      <c r="Z58" s="99" t="s">
        <v>251</v>
      </c>
      <c r="AA58" s="99"/>
      <c r="AB58" s="119" t="s">
        <v>1259</v>
      </c>
    </row>
    <row r="59" ht="24" hidden="1" customHeight="1" spans="1:28">
      <c r="A59" s="93">
        <v>53</v>
      </c>
      <c r="B59" s="99" t="s">
        <v>1340</v>
      </c>
      <c r="C59" s="99">
        <v>13</v>
      </c>
      <c r="D59" s="99" t="s">
        <v>1288</v>
      </c>
      <c r="E59" s="99" t="s">
        <v>1337</v>
      </c>
      <c r="F59" s="99"/>
      <c r="G59" s="99"/>
      <c r="H59" s="99"/>
      <c r="I59" s="99"/>
      <c r="J59" s="99" t="s">
        <v>1341</v>
      </c>
      <c r="K59" s="99" t="s">
        <v>1270</v>
      </c>
      <c r="L59" s="99" t="s">
        <v>1271</v>
      </c>
      <c r="M59" s="99" t="s">
        <v>1342</v>
      </c>
      <c r="N59" s="105">
        <v>3900</v>
      </c>
      <c r="O59" s="105">
        <v>3900</v>
      </c>
      <c r="P59" s="105">
        <v>3900</v>
      </c>
      <c r="Q59" s="117"/>
      <c r="R59" s="104">
        <f t="shared" si="7"/>
        <v>3900</v>
      </c>
      <c r="S59" s="114">
        <f>IFERROR(VLOOKUP(G59,'附表8-合同明细采集底稿'!B:M,12,0),100%)</f>
        <v>1</v>
      </c>
      <c r="T59" s="104">
        <f t="shared" si="8"/>
        <v>3900</v>
      </c>
      <c r="U59" s="99"/>
      <c r="V59" s="99" t="s">
        <v>275</v>
      </c>
      <c r="W59" s="116">
        <f>IF('附表1-面积统计表'!$D$29=0,"",IF(AND(V59="共同成本费用",Z59="总建筑面积法"),ROUND(T59/'附表1-面积统计表'!$D$29*'附表1-面积统计表'!$D$5,2),IF(AND(V59="共同成本费用",Z59="可售建筑面积法"),ROUND(T59/'附表1-面积统计表'!$F$29*'附表1-面积统计表'!$F$5,2),"请手工填写")))</f>
        <v>2844.27</v>
      </c>
      <c r="X59" s="116">
        <f t="shared" si="9"/>
        <v>0</v>
      </c>
      <c r="Y59" s="116">
        <f>IF(SUM('附表1-面积统计表'!$D$6)=0,SUM(T59)-SUM(W59),IF('附表1-面积统计表'!$D$29=0,"",IF(AND(V59="共同成本费用",Z59="总建筑面积法"),ROUND(T59/'附表1-面积统计表'!$D$29*'附表1-面积统计表'!$D$7,2),IF(AND(V59="共同成本费用",Z59="可售建筑面积法"),ROUND(T59/'附表1-面积统计表'!$F$29*'附表1-面积统计表'!$F$7,2),"请手工填写"))))</f>
        <v>1055.73</v>
      </c>
      <c r="Z59" s="99" t="s">
        <v>251</v>
      </c>
      <c r="AA59" s="99"/>
      <c r="AB59" s="119" t="s">
        <v>1259</v>
      </c>
    </row>
    <row r="60" ht="24" hidden="1" customHeight="1" spans="1:28">
      <c r="A60" s="93">
        <v>54</v>
      </c>
      <c r="B60" s="99" t="s">
        <v>1301</v>
      </c>
      <c r="C60" s="99">
        <v>108</v>
      </c>
      <c r="D60" s="99" t="s">
        <v>1288</v>
      </c>
      <c r="E60" s="99" t="s">
        <v>1337</v>
      </c>
      <c r="F60" s="99"/>
      <c r="G60" s="99"/>
      <c r="H60" s="99"/>
      <c r="I60" s="99"/>
      <c r="J60" s="99" t="s">
        <v>1341</v>
      </c>
      <c r="K60" s="99" t="s">
        <v>1270</v>
      </c>
      <c r="L60" s="99" t="s">
        <v>1271</v>
      </c>
      <c r="M60" s="99">
        <v>5845538</v>
      </c>
      <c r="N60" s="105">
        <v>0</v>
      </c>
      <c r="O60" s="105">
        <v>689</v>
      </c>
      <c r="P60" s="105">
        <v>689</v>
      </c>
      <c r="Q60" s="117">
        <v>-689</v>
      </c>
      <c r="R60" s="104">
        <f t="shared" si="7"/>
        <v>0</v>
      </c>
      <c r="S60" s="114">
        <f>IFERROR(VLOOKUP(G60,'附表8-合同明细采集底稿'!B:M,12,0),100%)</f>
        <v>1</v>
      </c>
      <c r="T60" s="104">
        <f t="shared" si="8"/>
        <v>0</v>
      </c>
      <c r="U60" s="99"/>
      <c r="V60" s="99" t="s">
        <v>275</v>
      </c>
      <c r="W60" s="116">
        <f>IF('附表1-面积统计表'!$D$29=0,"",IF(AND(V60="共同成本费用",Z60="总建筑面积法"),ROUND(T60/'附表1-面积统计表'!$D$29*'附表1-面积统计表'!$D$5,2),IF(AND(V60="共同成本费用",Z60="可售建筑面积法"),ROUND(T60/'附表1-面积统计表'!$F$29*'附表1-面积统计表'!$F$5,2),"请手工填写")))</f>
        <v>0</v>
      </c>
      <c r="X60" s="116">
        <f t="shared" si="9"/>
        <v>0</v>
      </c>
      <c r="Y60" s="116">
        <f>IF(SUM('附表1-面积统计表'!$D$6)=0,SUM(T60)-SUM(W60),IF('附表1-面积统计表'!$D$29=0,"",IF(AND(V60="共同成本费用",Z60="总建筑面积法"),ROUND(T60/'附表1-面积统计表'!$D$29*'附表1-面积统计表'!$D$7,2),IF(AND(V60="共同成本费用",Z60="可售建筑面积法"),ROUND(T60/'附表1-面积统计表'!$F$29*'附表1-面积统计表'!$F$7,2),"请手工填写"))))</f>
        <v>0</v>
      </c>
      <c r="Z60" s="99" t="s">
        <v>251</v>
      </c>
      <c r="AA60" s="99"/>
      <c r="AB60" s="119" t="s">
        <v>1259</v>
      </c>
    </row>
    <row r="61" ht="24" hidden="1" customHeight="1" spans="1:28">
      <c r="A61" s="93">
        <v>55</v>
      </c>
      <c r="B61" s="99" t="s">
        <v>1343</v>
      </c>
      <c r="C61" s="99">
        <v>17</v>
      </c>
      <c r="D61" s="99" t="s">
        <v>1288</v>
      </c>
      <c r="E61" s="99" t="s">
        <v>1337</v>
      </c>
      <c r="F61" s="99"/>
      <c r="G61" s="99"/>
      <c r="H61" s="99"/>
      <c r="I61" s="99"/>
      <c r="J61" s="99" t="s">
        <v>1341</v>
      </c>
      <c r="K61" s="99" t="s">
        <v>1270</v>
      </c>
      <c r="L61" s="99" t="s">
        <v>1271</v>
      </c>
      <c r="M61" s="99" t="s">
        <v>1344</v>
      </c>
      <c r="N61" s="105">
        <v>1378</v>
      </c>
      <c r="O61" s="105">
        <v>1378</v>
      </c>
      <c r="P61" s="105">
        <v>1378</v>
      </c>
      <c r="Q61" s="117"/>
      <c r="R61" s="104">
        <f t="shared" ref="R61:R92" si="10">P61+Q61</f>
        <v>1378</v>
      </c>
      <c r="S61" s="114">
        <f>IFERROR(VLOOKUP(G61,'附表8-合同明细采集底稿'!B:M,12,0),100%)</f>
        <v>1</v>
      </c>
      <c r="T61" s="104">
        <f t="shared" ref="T61:T92" si="11">ROUND(SUM(R61)*SUM(S61),2)</f>
        <v>1378</v>
      </c>
      <c r="U61" s="99"/>
      <c r="V61" s="99" t="s">
        <v>275</v>
      </c>
      <c r="W61" s="116">
        <f>IF('附表1-面积统计表'!$D$29=0,"",IF(AND(V61="共同成本费用",Z61="总建筑面积法"),ROUND(T61/'附表1-面积统计表'!$D$29*'附表1-面积统计表'!$D$5,2),IF(AND(V61="共同成本费用",Z61="可售建筑面积法"),ROUND(T61/'附表1-面积统计表'!$F$29*'附表1-面积统计表'!$F$5,2),"请手工填写")))</f>
        <v>1004.98</v>
      </c>
      <c r="X61" s="116">
        <f t="shared" si="9"/>
        <v>0</v>
      </c>
      <c r="Y61" s="116">
        <f>IF(SUM('附表1-面积统计表'!$D$6)=0,SUM(T61)-SUM(W61),IF('附表1-面积统计表'!$D$29=0,"",IF(AND(V61="共同成本费用",Z61="总建筑面积法"),ROUND(T61/'附表1-面积统计表'!$D$29*'附表1-面积统计表'!$D$7,2),IF(AND(V61="共同成本费用",Z61="可售建筑面积法"),ROUND(T61/'附表1-面积统计表'!$F$29*'附表1-面积统计表'!$F$7,2),"请手工填写"))))</f>
        <v>373.02</v>
      </c>
      <c r="Z61" s="99" t="s">
        <v>251</v>
      </c>
      <c r="AA61" s="99"/>
      <c r="AB61" s="119" t="s">
        <v>1259</v>
      </c>
    </row>
    <row r="62" ht="24" hidden="1" customHeight="1" spans="1:28">
      <c r="A62" s="93">
        <v>56</v>
      </c>
      <c r="B62" s="99" t="s">
        <v>1303</v>
      </c>
      <c r="C62" s="99">
        <v>28</v>
      </c>
      <c r="D62" s="99" t="s">
        <v>1288</v>
      </c>
      <c r="E62" s="99" t="s">
        <v>1337</v>
      </c>
      <c r="F62" s="99"/>
      <c r="G62" s="99"/>
      <c r="H62" s="99"/>
      <c r="I62" s="99"/>
      <c r="J62" s="99" t="s">
        <v>1341</v>
      </c>
      <c r="K62" s="99" t="s">
        <v>1270</v>
      </c>
      <c r="L62" s="99" t="s">
        <v>1271</v>
      </c>
      <c r="M62" s="99" t="s">
        <v>1345</v>
      </c>
      <c r="N62" s="105">
        <v>1378</v>
      </c>
      <c r="O62" s="105">
        <v>1378</v>
      </c>
      <c r="P62" s="105">
        <v>1378</v>
      </c>
      <c r="Q62" s="117"/>
      <c r="R62" s="104">
        <f t="shared" si="10"/>
        <v>1378</v>
      </c>
      <c r="S62" s="114">
        <f>IFERROR(VLOOKUP(G62,'附表8-合同明细采集底稿'!B:M,12,0),100%)</f>
        <v>1</v>
      </c>
      <c r="T62" s="104">
        <f t="shared" si="11"/>
        <v>1378</v>
      </c>
      <c r="U62" s="99"/>
      <c r="V62" s="99" t="s">
        <v>275</v>
      </c>
      <c r="W62" s="116">
        <f>IF('附表1-面积统计表'!$D$29=0,"",IF(AND(V62="共同成本费用",Z62="总建筑面积法"),ROUND(T62/'附表1-面积统计表'!$D$29*'附表1-面积统计表'!$D$5,2),IF(AND(V62="共同成本费用",Z62="可售建筑面积法"),ROUND(T62/'附表1-面积统计表'!$F$29*'附表1-面积统计表'!$F$5,2),"请手工填写")))</f>
        <v>1004.98</v>
      </c>
      <c r="X62" s="116">
        <f t="shared" si="9"/>
        <v>0</v>
      </c>
      <c r="Y62" s="116">
        <f>IF(SUM('附表1-面积统计表'!$D$6)=0,SUM(T62)-SUM(W62),IF('附表1-面积统计表'!$D$29=0,"",IF(AND(V62="共同成本费用",Z62="总建筑面积法"),ROUND(T62/'附表1-面积统计表'!$D$29*'附表1-面积统计表'!$D$7,2),IF(AND(V62="共同成本费用",Z62="可售建筑面积法"),ROUND(T62/'附表1-面积统计表'!$F$29*'附表1-面积统计表'!$F$7,2),"请手工填写"))))</f>
        <v>373.02</v>
      </c>
      <c r="Z62" s="99" t="s">
        <v>251</v>
      </c>
      <c r="AA62" s="99"/>
      <c r="AB62" s="119" t="s">
        <v>1259</v>
      </c>
    </row>
    <row r="63" ht="24" hidden="1" customHeight="1" spans="1:28">
      <c r="A63" s="93">
        <v>57</v>
      </c>
      <c r="B63" s="99" t="s">
        <v>1346</v>
      </c>
      <c r="C63" s="99">
        <v>30</v>
      </c>
      <c r="D63" s="99" t="s">
        <v>1288</v>
      </c>
      <c r="E63" s="99" t="s">
        <v>1337</v>
      </c>
      <c r="F63" s="99"/>
      <c r="G63" s="99"/>
      <c r="H63" s="99"/>
      <c r="I63" s="99"/>
      <c r="J63" s="99" t="s">
        <v>1330</v>
      </c>
      <c r="K63" s="99" t="s">
        <v>1317</v>
      </c>
      <c r="L63" s="99">
        <v>6500124620</v>
      </c>
      <c r="M63" s="99" t="s">
        <v>1347</v>
      </c>
      <c r="N63" s="105">
        <v>21598</v>
      </c>
      <c r="O63" s="105">
        <v>21598</v>
      </c>
      <c r="P63" s="105">
        <v>21598</v>
      </c>
      <c r="Q63" s="117"/>
      <c r="R63" s="104">
        <f t="shared" si="10"/>
        <v>21598</v>
      </c>
      <c r="S63" s="114">
        <f>IFERROR(VLOOKUP(G63,'附表8-合同明细采集底稿'!B:M,12,0),100%)</f>
        <v>1</v>
      </c>
      <c r="T63" s="104">
        <f t="shared" si="11"/>
        <v>21598</v>
      </c>
      <c r="U63" s="99"/>
      <c r="V63" s="99" t="s">
        <v>275</v>
      </c>
      <c r="W63" s="116">
        <f>IF('附表1-面积统计表'!$D$29=0,"",IF(AND(V63="共同成本费用",Z63="总建筑面积法"),ROUND(T63/'附表1-面积统计表'!$D$29*'附表1-面积统计表'!$D$5,2),IF(AND(V63="共同成本费用",Z63="可售建筑面积法"),ROUND(T63/'附表1-面积统计表'!$F$29*'附表1-面积统计表'!$F$5,2),"请手工填写")))</f>
        <v>15751.42</v>
      </c>
      <c r="X63" s="116">
        <f t="shared" si="9"/>
        <v>0</v>
      </c>
      <c r="Y63" s="116">
        <f>IF(SUM('附表1-面积统计表'!$D$6)=0,SUM(T63)-SUM(W63),IF('附表1-面积统计表'!$D$29=0,"",IF(AND(V63="共同成本费用",Z63="总建筑面积法"),ROUND(T63/'附表1-面积统计表'!$D$29*'附表1-面积统计表'!$D$7,2),IF(AND(V63="共同成本费用",Z63="可售建筑面积法"),ROUND(T63/'附表1-面积统计表'!$F$29*'附表1-面积统计表'!$F$7,2),"请手工填写"))))</f>
        <v>5846.58</v>
      </c>
      <c r="Z63" s="99" t="s">
        <v>251</v>
      </c>
      <c r="AA63" s="99"/>
      <c r="AB63" s="119" t="s">
        <v>1259</v>
      </c>
    </row>
    <row r="64" ht="24" hidden="1" customHeight="1" spans="1:28">
      <c r="A64" s="93">
        <v>58</v>
      </c>
      <c r="B64" s="99" t="s">
        <v>1348</v>
      </c>
      <c r="C64" s="99">
        <v>87</v>
      </c>
      <c r="D64" s="99" t="s">
        <v>1288</v>
      </c>
      <c r="E64" s="99" t="s">
        <v>1337</v>
      </c>
      <c r="F64" s="99"/>
      <c r="G64" s="99"/>
      <c r="H64" s="99"/>
      <c r="I64" s="99"/>
      <c r="J64" s="99" t="s">
        <v>1338</v>
      </c>
      <c r="K64" s="99" t="s">
        <v>1317</v>
      </c>
      <c r="L64" s="99">
        <v>6500133620</v>
      </c>
      <c r="M64" s="99" t="s">
        <v>1349</v>
      </c>
      <c r="N64" s="105">
        <v>1559</v>
      </c>
      <c r="O64" s="105">
        <v>1559</v>
      </c>
      <c r="P64" s="105">
        <v>1559</v>
      </c>
      <c r="Q64" s="117"/>
      <c r="R64" s="104">
        <f t="shared" si="10"/>
        <v>1559</v>
      </c>
      <c r="S64" s="114">
        <f>IFERROR(VLOOKUP(G64,'附表8-合同明细采集底稿'!B:M,12,0),100%)</f>
        <v>1</v>
      </c>
      <c r="T64" s="104">
        <f t="shared" si="11"/>
        <v>1559</v>
      </c>
      <c r="U64" s="99"/>
      <c r="V64" s="99" t="s">
        <v>275</v>
      </c>
      <c r="W64" s="116">
        <f>IF('附表1-面积统计表'!$D$29=0,"",IF(AND(V64="共同成本费用",Z64="总建筑面积法"),ROUND(T64/'附表1-面积统计表'!$D$29*'附表1-面积统计表'!$D$5,2),IF(AND(V64="共同成本费用",Z64="可售建筑面积法"),ROUND(T64/'附表1-面积统计表'!$F$29*'附表1-面积统计表'!$F$5,2),"请手工填写")))</f>
        <v>1136.98</v>
      </c>
      <c r="X64" s="116">
        <f t="shared" si="9"/>
        <v>0</v>
      </c>
      <c r="Y64" s="116">
        <f>IF(SUM('附表1-面积统计表'!$D$6)=0,SUM(T64)-SUM(W64),IF('附表1-面积统计表'!$D$29=0,"",IF(AND(V64="共同成本费用",Z64="总建筑面积法"),ROUND(T64/'附表1-面积统计表'!$D$29*'附表1-面积统计表'!$D$7,2),IF(AND(V64="共同成本费用",Z64="可售建筑面积法"),ROUND(T64/'附表1-面积统计表'!$F$29*'附表1-面积统计表'!$F$7,2),"请手工填写"))))</f>
        <v>422.02</v>
      </c>
      <c r="Z64" s="99" t="s">
        <v>251</v>
      </c>
      <c r="AA64" s="99"/>
      <c r="AB64" s="119" t="s">
        <v>1259</v>
      </c>
    </row>
    <row r="65" ht="24" hidden="1" customHeight="1" spans="1:28">
      <c r="A65" s="93">
        <v>59</v>
      </c>
      <c r="B65" s="99" t="s">
        <v>1350</v>
      </c>
      <c r="C65" s="99">
        <v>1</v>
      </c>
      <c r="D65" s="99" t="s">
        <v>1288</v>
      </c>
      <c r="E65" s="99" t="s">
        <v>1337</v>
      </c>
      <c r="F65" s="99"/>
      <c r="G65" s="99"/>
      <c r="H65" s="99"/>
      <c r="I65" s="99"/>
      <c r="J65" s="99" t="s">
        <v>1338</v>
      </c>
      <c r="K65" s="99" t="s">
        <v>1317</v>
      </c>
      <c r="L65" s="99">
        <v>65001700111</v>
      </c>
      <c r="M65" s="99">
        <v>8032231</v>
      </c>
      <c r="N65" s="105">
        <v>9300</v>
      </c>
      <c r="O65" s="105">
        <v>9300</v>
      </c>
      <c r="P65" s="105">
        <v>9300</v>
      </c>
      <c r="Q65" s="117"/>
      <c r="R65" s="104">
        <f t="shared" si="10"/>
        <v>9300</v>
      </c>
      <c r="S65" s="114">
        <f>IFERROR(VLOOKUP(G65,'附表8-合同明细采集底稿'!B:M,12,0),100%)</f>
        <v>1</v>
      </c>
      <c r="T65" s="104">
        <f t="shared" si="11"/>
        <v>9300</v>
      </c>
      <c r="U65" s="99"/>
      <c r="V65" s="99" t="s">
        <v>275</v>
      </c>
      <c r="W65" s="116">
        <f>IF('附表1-面积统计表'!$D$29=0,"",IF(AND(V65="共同成本费用",Z65="总建筑面积法"),ROUND(T65/'附表1-面积统计表'!$D$29*'附表1-面积统计表'!$D$5,2),IF(AND(V65="共同成本费用",Z65="可售建筑面积法"),ROUND(T65/'附表1-面积统计表'!$F$29*'附表1-面积统计表'!$F$5,2),"请手工填写")))</f>
        <v>6782.49</v>
      </c>
      <c r="X65" s="116">
        <f t="shared" si="9"/>
        <v>0</v>
      </c>
      <c r="Y65" s="116">
        <f>IF(SUM('附表1-面积统计表'!$D$6)=0,SUM(T65)-SUM(W65),IF('附表1-面积统计表'!$D$29=0,"",IF(AND(V65="共同成本费用",Z65="总建筑面积法"),ROUND(T65/'附表1-面积统计表'!$D$29*'附表1-面积统计表'!$D$7,2),IF(AND(V65="共同成本费用",Z65="可售建筑面积法"),ROUND(T65/'附表1-面积统计表'!$F$29*'附表1-面积统计表'!$F$7,2),"请手工填写"))))</f>
        <v>2517.51</v>
      </c>
      <c r="Z65" s="99" t="s">
        <v>251</v>
      </c>
      <c r="AA65" s="99"/>
      <c r="AB65" s="119" t="s">
        <v>1259</v>
      </c>
    </row>
    <row r="66" ht="24" hidden="1" customHeight="1" spans="1:28">
      <c r="A66" s="93">
        <v>60</v>
      </c>
      <c r="B66" s="99" t="s">
        <v>1351</v>
      </c>
      <c r="C66" s="99">
        <v>85</v>
      </c>
      <c r="D66" s="99" t="s">
        <v>1288</v>
      </c>
      <c r="E66" s="99" t="s">
        <v>1337</v>
      </c>
      <c r="F66" s="99"/>
      <c r="G66" s="99"/>
      <c r="H66" s="99"/>
      <c r="I66" s="99"/>
      <c r="J66" s="99" t="s">
        <v>1338</v>
      </c>
      <c r="K66" s="99" t="s">
        <v>1317</v>
      </c>
      <c r="L66" s="99">
        <v>65001800111</v>
      </c>
      <c r="M66" s="99">
        <v>15916213</v>
      </c>
      <c r="N66" s="105">
        <v>600</v>
      </c>
      <c r="O66" s="105">
        <v>600</v>
      </c>
      <c r="P66" s="105">
        <v>600</v>
      </c>
      <c r="Q66" s="117"/>
      <c r="R66" s="104">
        <f t="shared" si="10"/>
        <v>600</v>
      </c>
      <c r="S66" s="114">
        <f>IFERROR(VLOOKUP(G66,'附表8-合同明细采集底稿'!B:M,12,0),100%)</f>
        <v>1</v>
      </c>
      <c r="T66" s="104">
        <f t="shared" si="11"/>
        <v>600</v>
      </c>
      <c r="U66" s="99"/>
      <c r="V66" s="99" t="s">
        <v>275</v>
      </c>
      <c r="W66" s="116">
        <f>IF('附表1-面积统计表'!$D$29=0,"",IF(AND(V66="共同成本费用",Z66="总建筑面积法"),ROUND(T66/'附表1-面积统计表'!$D$29*'附表1-面积统计表'!$D$5,2),IF(AND(V66="共同成本费用",Z66="可售建筑面积法"),ROUND(T66/'附表1-面积统计表'!$F$29*'附表1-面积统计表'!$F$5,2),"请手工填写")))</f>
        <v>437.58</v>
      </c>
      <c r="X66" s="116">
        <f t="shared" si="9"/>
        <v>0</v>
      </c>
      <c r="Y66" s="116">
        <f>IF(SUM('附表1-面积统计表'!$D$6)=0,SUM(T66)-SUM(W66),IF('附表1-面积统计表'!$D$29=0,"",IF(AND(V66="共同成本费用",Z66="总建筑面积法"),ROUND(T66/'附表1-面积统计表'!$D$29*'附表1-面积统计表'!$D$7,2),IF(AND(V66="共同成本费用",Z66="可售建筑面积法"),ROUND(T66/'附表1-面积统计表'!$F$29*'附表1-面积统计表'!$F$7,2),"请手工填写"))))</f>
        <v>162.42</v>
      </c>
      <c r="Z66" s="99" t="s">
        <v>251</v>
      </c>
      <c r="AA66" s="99"/>
      <c r="AB66" s="119" t="s">
        <v>1259</v>
      </c>
    </row>
    <row r="67" ht="24" hidden="1" customHeight="1" spans="1:28">
      <c r="A67" s="93">
        <v>61</v>
      </c>
      <c r="B67" s="99" t="s">
        <v>1294</v>
      </c>
      <c r="C67" s="99">
        <v>29</v>
      </c>
      <c r="D67" s="99" t="s">
        <v>1288</v>
      </c>
      <c r="E67" s="99" t="s">
        <v>1352</v>
      </c>
      <c r="F67" s="99"/>
      <c r="G67" s="99"/>
      <c r="H67" s="99"/>
      <c r="I67" s="99"/>
      <c r="J67" s="99" t="s">
        <v>1293</v>
      </c>
      <c r="K67" s="99" t="s">
        <v>1270</v>
      </c>
      <c r="L67" s="99" t="s">
        <v>1291</v>
      </c>
      <c r="M67" s="99">
        <v>12347413</v>
      </c>
      <c r="N67" s="105">
        <v>2000</v>
      </c>
      <c r="O67" s="105">
        <v>2000</v>
      </c>
      <c r="P67" s="105">
        <v>2000</v>
      </c>
      <c r="Q67" s="117"/>
      <c r="R67" s="104">
        <f t="shared" si="10"/>
        <v>2000</v>
      </c>
      <c r="S67" s="114">
        <f>IFERROR(VLOOKUP(G67,'附表8-合同明细采集底稿'!B:M,12,0),100%)</f>
        <v>1</v>
      </c>
      <c r="T67" s="104">
        <f t="shared" si="11"/>
        <v>2000</v>
      </c>
      <c r="U67" s="99"/>
      <c r="V67" s="99" t="s">
        <v>275</v>
      </c>
      <c r="W67" s="116">
        <f>IF('附表1-面积统计表'!$D$29=0,"",IF(AND(V67="共同成本费用",Z67="总建筑面积法"),ROUND(T67/'附表1-面积统计表'!$D$29*'附表1-面积统计表'!$D$5,2),IF(AND(V67="共同成本费用",Z67="可售建筑面积法"),ROUND(T67/'附表1-面积统计表'!$F$29*'附表1-面积统计表'!$F$5,2),"请手工填写")))</f>
        <v>1458.6</v>
      </c>
      <c r="X67" s="116">
        <f t="shared" si="9"/>
        <v>0</v>
      </c>
      <c r="Y67" s="116">
        <f>IF(SUM('附表1-面积统计表'!$D$6)=0,SUM(T67)-SUM(W67),IF('附表1-面积统计表'!$D$29=0,"",IF(AND(V67="共同成本费用",Z67="总建筑面积法"),ROUND(T67/'附表1-面积统计表'!$D$29*'附表1-面积统计表'!$D$7,2),IF(AND(V67="共同成本费用",Z67="可售建筑面积法"),ROUND(T67/'附表1-面积统计表'!$F$29*'附表1-面积统计表'!$F$7,2),"请手工填写"))))</f>
        <v>541.4</v>
      </c>
      <c r="Z67" s="99" t="s">
        <v>251</v>
      </c>
      <c r="AA67" s="99"/>
      <c r="AB67" s="119" t="s">
        <v>1259</v>
      </c>
    </row>
    <row r="68" ht="24" hidden="1" customHeight="1" spans="1:28">
      <c r="A68" s="93">
        <v>62</v>
      </c>
      <c r="B68" s="99" t="s">
        <v>1299</v>
      </c>
      <c r="C68" s="99">
        <v>17</v>
      </c>
      <c r="D68" s="99" t="s">
        <v>1288</v>
      </c>
      <c r="E68" s="99" t="s">
        <v>1352</v>
      </c>
      <c r="F68" s="99"/>
      <c r="G68" s="99"/>
      <c r="H68" s="99"/>
      <c r="I68" s="99"/>
      <c r="J68" s="99" t="s">
        <v>1353</v>
      </c>
      <c r="K68" s="99" t="s">
        <v>1270</v>
      </c>
      <c r="L68" s="99" t="s">
        <v>1291</v>
      </c>
      <c r="M68" s="99" t="s">
        <v>1354</v>
      </c>
      <c r="N68" s="105">
        <v>1500</v>
      </c>
      <c r="O68" s="105">
        <v>1500</v>
      </c>
      <c r="P68" s="105">
        <v>1500</v>
      </c>
      <c r="Q68" s="117"/>
      <c r="R68" s="104">
        <f t="shared" si="10"/>
        <v>1500</v>
      </c>
      <c r="S68" s="114">
        <f>IFERROR(VLOOKUP(G68,'附表8-合同明细采集底稿'!B:M,12,0),100%)</f>
        <v>1</v>
      </c>
      <c r="T68" s="104">
        <f t="shared" si="11"/>
        <v>1500</v>
      </c>
      <c r="U68" s="99"/>
      <c r="V68" s="99" t="s">
        <v>275</v>
      </c>
      <c r="W68" s="116">
        <f>IF('附表1-面积统计表'!$D$29=0,"",IF(AND(V68="共同成本费用",Z68="总建筑面积法"),ROUND(T68/'附表1-面积统计表'!$D$29*'附表1-面积统计表'!$D$5,2),IF(AND(V68="共同成本费用",Z68="可售建筑面积法"),ROUND(T68/'附表1-面积统计表'!$F$29*'附表1-面积统计表'!$F$5,2),"请手工填写")))</f>
        <v>1093.95</v>
      </c>
      <c r="X68" s="116">
        <f t="shared" si="9"/>
        <v>0</v>
      </c>
      <c r="Y68" s="116">
        <f>IF(SUM('附表1-面积统计表'!$D$6)=0,SUM(T68)-SUM(W68),IF('附表1-面积统计表'!$D$29=0,"",IF(AND(V68="共同成本费用",Z68="总建筑面积法"),ROUND(T68/'附表1-面积统计表'!$D$29*'附表1-面积统计表'!$D$7,2),IF(AND(V68="共同成本费用",Z68="可售建筑面积法"),ROUND(T68/'附表1-面积统计表'!$F$29*'附表1-面积统计表'!$F$7,2),"请手工填写"))))</f>
        <v>406.05</v>
      </c>
      <c r="Z68" s="99" t="s">
        <v>251</v>
      </c>
      <c r="AA68" s="99"/>
      <c r="AB68" s="119" t="s">
        <v>1259</v>
      </c>
    </row>
    <row r="69" ht="24" hidden="1" customHeight="1" spans="1:28">
      <c r="A69" s="93">
        <v>63</v>
      </c>
      <c r="B69" s="99" t="s">
        <v>1301</v>
      </c>
      <c r="C69" s="99">
        <v>40</v>
      </c>
      <c r="D69" s="99" t="s">
        <v>1288</v>
      </c>
      <c r="E69" s="99" t="s">
        <v>1352</v>
      </c>
      <c r="F69" s="99"/>
      <c r="G69" s="99"/>
      <c r="H69" s="99"/>
      <c r="I69" s="99"/>
      <c r="J69" s="99" t="s">
        <v>1355</v>
      </c>
      <c r="K69" s="99" t="s">
        <v>1270</v>
      </c>
      <c r="L69" s="99" t="s">
        <v>1271</v>
      </c>
      <c r="M69" s="99" t="s">
        <v>1356</v>
      </c>
      <c r="N69" s="105">
        <v>30000</v>
      </c>
      <c r="O69" s="105">
        <v>30000</v>
      </c>
      <c r="P69" s="105">
        <v>30000</v>
      </c>
      <c r="Q69" s="117">
        <v>-30000</v>
      </c>
      <c r="R69" s="104">
        <f t="shared" si="10"/>
        <v>0</v>
      </c>
      <c r="S69" s="114">
        <f>IFERROR(VLOOKUP(G69,'附表8-合同明细采集底稿'!B:M,12,0),100%)</f>
        <v>1</v>
      </c>
      <c r="T69" s="104">
        <f t="shared" si="11"/>
        <v>0</v>
      </c>
      <c r="U69" s="99"/>
      <c r="V69" s="99" t="s">
        <v>275</v>
      </c>
      <c r="W69" s="116">
        <f>IF('附表1-面积统计表'!$D$29=0,"",IF(AND(V69="共同成本费用",Z69="总建筑面积法"),ROUND(T69/'附表1-面积统计表'!$D$29*'附表1-面积统计表'!$D$5,2),IF(AND(V69="共同成本费用",Z69="可售建筑面积法"),ROUND(T69/'附表1-面积统计表'!$F$29*'附表1-面积统计表'!$F$5,2),"请手工填写")))</f>
        <v>0</v>
      </c>
      <c r="X69" s="116">
        <f t="shared" si="9"/>
        <v>0</v>
      </c>
      <c r="Y69" s="116">
        <f>IF(SUM('附表1-面积统计表'!$D$6)=0,SUM(T69)-SUM(W69),IF('附表1-面积统计表'!$D$29=0,"",IF(AND(V69="共同成本费用",Z69="总建筑面积法"),ROUND(T69/'附表1-面积统计表'!$D$29*'附表1-面积统计表'!$D$7,2),IF(AND(V69="共同成本费用",Z69="可售建筑面积法"),ROUND(T69/'附表1-面积统计表'!$F$29*'附表1-面积统计表'!$F$7,2),"请手工填写"))))</f>
        <v>0</v>
      </c>
      <c r="Z69" s="99" t="s">
        <v>251</v>
      </c>
      <c r="AA69" s="99"/>
      <c r="AB69" s="119" t="s">
        <v>1259</v>
      </c>
    </row>
    <row r="70" ht="24" hidden="1" customHeight="1" spans="1:28">
      <c r="A70" s="93">
        <v>64</v>
      </c>
      <c r="B70" s="99" t="s">
        <v>1303</v>
      </c>
      <c r="C70" s="99">
        <v>34</v>
      </c>
      <c r="D70" s="99" t="s">
        <v>1288</v>
      </c>
      <c r="E70" s="99" t="s">
        <v>1352</v>
      </c>
      <c r="F70" s="99"/>
      <c r="G70" s="99"/>
      <c r="H70" s="99"/>
      <c r="I70" s="99"/>
      <c r="J70" s="99" t="s">
        <v>1357</v>
      </c>
      <c r="K70" s="99" t="s">
        <v>1270</v>
      </c>
      <c r="L70" s="99" t="s">
        <v>1358</v>
      </c>
      <c r="M70" s="99" t="s">
        <v>1359</v>
      </c>
      <c r="N70" s="105">
        <v>2000</v>
      </c>
      <c r="O70" s="105">
        <v>2000</v>
      </c>
      <c r="P70" s="105">
        <v>2000</v>
      </c>
      <c r="Q70" s="117">
        <v>-2000</v>
      </c>
      <c r="R70" s="104">
        <f t="shared" si="10"/>
        <v>0</v>
      </c>
      <c r="S70" s="114">
        <f>IFERROR(VLOOKUP(G70,'附表8-合同明细采集底稿'!B:M,12,0),100%)</f>
        <v>1</v>
      </c>
      <c r="T70" s="104">
        <f t="shared" si="11"/>
        <v>0</v>
      </c>
      <c r="U70" s="99"/>
      <c r="V70" s="99" t="s">
        <v>275</v>
      </c>
      <c r="W70" s="116">
        <f>IF('附表1-面积统计表'!$D$29=0,"",IF(AND(V70="共同成本费用",Z70="总建筑面积法"),ROUND(T70/'附表1-面积统计表'!$D$29*'附表1-面积统计表'!$D$5,2),IF(AND(V70="共同成本费用",Z70="可售建筑面积法"),ROUND(T70/'附表1-面积统计表'!$F$29*'附表1-面积统计表'!$F$5,2),"请手工填写")))</f>
        <v>0</v>
      </c>
      <c r="X70" s="116">
        <f t="shared" si="9"/>
        <v>0</v>
      </c>
      <c r="Y70" s="116">
        <f>IF(SUM('附表1-面积统计表'!$D$6)=0,SUM(T70)-SUM(W70),IF('附表1-面积统计表'!$D$29=0,"",IF(AND(V70="共同成本费用",Z70="总建筑面积法"),ROUND(T70/'附表1-面积统计表'!$D$29*'附表1-面积统计表'!$D$7,2),IF(AND(V70="共同成本费用",Z70="可售建筑面积法"),ROUND(T70/'附表1-面积统计表'!$F$29*'附表1-面积统计表'!$F$7,2),"请手工填写"))))</f>
        <v>0</v>
      </c>
      <c r="Z70" s="99" t="s">
        <v>251</v>
      </c>
      <c r="AA70" s="99"/>
      <c r="AB70" s="119" t="s">
        <v>1259</v>
      </c>
    </row>
    <row r="71" ht="24" hidden="1" customHeight="1" spans="1:28">
      <c r="A71" s="93">
        <v>65</v>
      </c>
      <c r="B71" s="99" t="s">
        <v>1360</v>
      </c>
      <c r="C71" s="99">
        <v>8</v>
      </c>
      <c r="D71" s="99" t="s">
        <v>1288</v>
      </c>
      <c r="E71" s="99" t="s">
        <v>1352</v>
      </c>
      <c r="F71" s="99"/>
      <c r="G71" s="99"/>
      <c r="H71" s="99"/>
      <c r="I71" s="99"/>
      <c r="J71" s="106" t="s">
        <v>1361</v>
      </c>
      <c r="K71" s="99" t="s">
        <v>1270</v>
      </c>
      <c r="L71" s="99" t="s">
        <v>1271</v>
      </c>
      <c r="M71" s="99" t="s">
        <v>1362</v>
      </c>
      <c r="N71" s="105">
        <v>14000</v>
      </c>
      <c r="O71" s="105">
        <v>14000</v>
      </c>
      <c r="P71" s="105">
        <v>14000</v>
      </c>
      <c r="Q71" s="117">
        <v>-6000</v>
      </c>
      <c r="R71" s="104">
        <f t="shared" si="10"/>
        <v>8000</v>
      </c>
      <c r="S71" s="114">
        <f>IFERROR(VLOOKUP(G71,'附表8-合同明细采集底稿'!B:M,12,0),100%)</f>
        <v>1</v>
      </c>
      <c r="T71" s="104">
        <f t="shared" si="11"/>
        <v>8000</v>
      </c>
      <c r="U71" s="99"/>
      <c r="V71" s="99" t="s">
        <v>275</v>
      </c>
      <c r="W71" s="116">
        <f>IF('附表1-面积统计表'!$D$29=0,"",IF(AND(V71="共同成本费用",Z71="总建筑面积法"),ROUND(T71/'附表1-面积统计表'!$D$29*'附表1-面积统计表'!$D$5,2),IF(AND(V71="共同成本费用",Z71="可售建筑面积法"),ROUND(T71/'附表1-面积统计表'!$F$29*'附表1-面积统计表'!$F$5,2),"请手工填写")))</f>
        <v>5834.4</v>
      </c>
      <c r="X71" s="116">
        <f t="shared" si="9"/>
        <v>0</v>
      </c>
      <c r="Y71" s="116">
        <f>IF(SUM('附表1-面积统计表'!$D$6)=0,SUM(T71)-SUM(W71),IF('附表1-面积统计表'!$D$29=0,"",IF(AND(V71="共同成本费用",Z71="总建筑面积法"),ROUND(T71/'附表1-面积统计表'!$D$29*'附表1-面积统计表'!$D$7,2),IF(AND(V71="共同成本费用",Z71="可售建筑面积法"),ROUND(T71/'附表1-面积统计表'!$F$29*'附表1-面积统计表'!$F$7,2),"请手工填写"))))</f>
        <v>2165.6</v>
      </c>
      <c r="Z71" s="99" t="s">
        <v>251</v>
      </c>
      <c r="AA71" s="99"/>
      <c r="AB71" s="119" t="s">
        <v>1259</v>
      </c>
    </row>
    <row r="72" ht="24" hidden="1" customHeight="1" spans="1:28">
      <c r="A72" s="93">
        <v>66</v>
      </c>
      <c r="B72" s="99" t="s">
        <v>1363</v>
      </c>
      <c r="C72" s="99">
        <v>14</v>
      </c>
      <c r="D72" s="99" t="s">
        <v>1288</v>
      </c>
      <c r="E72" s="99" t="s">
        <v>1352</v>
      </c>
      <c r="F72" s="99"/>
      <c r="G72" s="99"/>
      <c r="H72" s="99"/>
      <c r="I72" s="99"/>
      <c r="J72" s="99" t="s">
        <v>1364</v>
      </c>
      <c r="K72" s="99" t="s">
        <v>1270</v>
      </c>
      <c r="L72" s="99" t="s">
        <v>1309</v>
      </c>
      <c r="M72" s="99" t="s">
        <v>1365</v>
      </c>
      <c r="N72" s="105">
        <v>3000</v>
      </c>
      <c r="O72" s="105">
        <v>3000</v>
      </c>
      <c r="P72" s="105">
        <v>3000</v>
      </c>
      <c r="Q72" s="117">
        <v>-3000</v>
      </c>
      <c r="R72" s="104">
        <f t="shared" si="10"/>
        <v>0</v>
      </c>
      <c r="S72" s="114">
        <f>IFERROR(VLOOKUP(G72,'附表8-合同明细采集底稿'!B:M,12,0),100%)</f>
        <v>1</v>
      </c>
      <c r="T72" s="104">
        <f t="shared" si="11"/>
        <v>0</v>
      </c>
      <c r="U72" s="99"/>
      <c r="V72" s="99" t="s">
        <v>275</v>
      </c>
      <c r="W72" s="116">
        <f>IF('附表1-面积统计表'!$D$29=0,"",IF(AND(V72="共同成本费用",Z72="总建筑面积法"),ROUND(T72/'附表1-面积统计表'!$D$29*'附表1-面积统计表'!$D$5,2),IF(AND(V72="共同成本费用",Z72="可售建筑面积法"),ROUND(T72/'附表1-面积统计表'!$F$29*'附表1-面积统计表'!$F$5,2),"请手工填写")))</f>
        <v>0</v>
      </c>
      <c r="X72" s="116">
        <f t="shared" ref="X72:X103" si="12">T72-W72-Y72</f>
        <v>0</v>
      </c>
      <c r="Y72" s="116">
        <f>IF(SUM('附表1-面积统计表'!$D$6)=0,SUM(T72)-SUM(W72),IF('附表1-面积统计表'!$D$29=0,"",IF(AND(V72="共同成本费用",Z72="总建筑面积法"),ROUND(T72/'附表1-面积统计表'!$D$29*'附表1-面积统计表'!$D$7,2),IF(AND(V72="共同成本费用",Z72="可售建筑面积法"),ROUND(T72/'附表1-面积统计表'!$F$29*'附表1-面积统计表'!$F$7,2),"请手工填写"))))</f>
        <v>0</v>
      </c>
      <c r="Z72" s="99" t="s">
        <v>251</v>
      </c>
      <c r="AA72" s="99"/>
      <c r="AB72" s="119" t="s">
        <v>1259</v>
      </c>
    </row>
    <row r="73" ht="24" hidden="1" customHeight="1" spans="1:28">
      <c r="A73" s="93">
        <v>67</v>
      </c>
      <c r="B73" s="99" t="s">
        <v>1366</v>
      </c>
      <c r="C73" s="99">
        <v>27</v>
      </c>
      <c r="D73" s="99" t="s">
        <v>1288</v>
      </c>
      <c r="E73" s="99" t="s">
        <v>1352</v>
      </c>
      <c r="F73" s="99"/>
      <c r="G73" s="99"/>
      <c r="H73" s="99"/>
      <c r="I73" s="99"/>
      <c r="J73" s="99" t="s">
        <v>1367</v>
      </c>
      <c r="K73" s="99" t="s">
        <v>1270</v>
      </c>
      <c r="L73" s="99" t="s">
        <v>1309</v>
      </c>
      <c r="M73" s="99" t="s">
        <v>1368</v>
      </c>
      <c r="N73" s="105">
        <v>1000</v>
      </c>
      <c r="O73" s="105">
        <v>1000</v>
      </c>
      <c r="P73" s="105">
        <v>1000</v>
      </c>
      <c r="Q73" s="117">
        <v>-1000</v>
      </c>
      <c r="R73" s="104">
        <f t="shared" si="10"/>
        <v>0</v>
      </c>
      <c r="S73" s="114">
        <f>IFERROR(VLOOKUP(G73,'附表8-合同明细采集底稿'!B:M,12,0),100%)</f>
        <v>1</v>
      </c>
      <c r="T73" s="104">
        <f t="shared" si="11"/>
        <v>0</v>
      </c>
      <c r="U73" s="99"/>
      <c r="V73" s="99" t="s">
        <v>275</v>
      </c>
      <c r="W73" s="116">
        <f>IF('附表1-面积统计表'!$D$29=0,"",IF(AND(V73="共同成本费用",Z73="总建筑面积法"),ROUND(T73/'附表1-面积统计表'!$D$29*'附表1-面积统计表'!$D$5,2),IF(AND(V73="共同成本费用",Z73="可售建筑面积法"),ROUND(T73/'附表1-面积统计表'!$F$29*'附表1-面积统计表'!$F$5,2),"请手工填写")))</f>
        <v>0</v>
      </c>
      <c r="X73" s="116">
        <f t="shared" si="12"/>
        <v>0</v>
      </c>
      <c r="Y73" s="116">
        <f>IF(SUM('附表1-面积统计表'!$D$6)=0,SUM(T73)-SUM(W73),IF('附表1-面积统计表'!$D$29=0,"",IF(AND(V73="共同成本费用",Z73="总建筑面积法"),ROUND(T73/'附表1-面积统计表'!$D$29*'附表1-面积统计表'!$D$7,2),IF(AND(V73="共同成本费用",Z73="可售建筑面积法"),ROUND(T73/'附表1-面积统计表'!$F$29*'附表1-面积统计表'!$F$7,2),"请手工填写"))))</f>
        <v>0</v>
      </c>
      <c r="Z73" s="99" t="s">
        <v>251</v>
      </c>
      <c r="AA73" s="99"/>
      <c r="AB73" s="119" t="s">
        <v>1259</v>
      </c>
    </row>
    <row r="74" ht="24" hidden="1" customHeight="1" spans="1:28">
      <c r="A74" s="93">
        <v>68</v>
      </c>
      <c r="B74" s="99" t="s">
        <v>1369</v>
      </c>
      <c r="C74" s="99">
        <v>21</v>
      </c>
      <c r="D74" s="99" t="s">
        <v>1288</v>
      </c>
      <c r="E74" s="99" t="s">
        <v>1352</v>
      </c>
      <c r="F74" s="99"/>
      <c r="G74" s="99"/>
      <c r="H74" s="99"/>
      <c r="I74" s="99"/>
      <c r="J74" s="99" t="s">
        <v>1370</v>
      </c>
      <c r="K74" s="99" t="s">
        <v>1317</v>
      </c>
      <c r="L74" s="99" t="s">
        <v>1371</v>
      </c>
      <c r="M74" s="99">
        <v>20643928</v>
      </c>
      <c r="N74" s="105">
        <v>12500</v>
      </c>
      <c r="O74" s="105">
        <v>12500</v>
      </c>
      <c r="P74" s="105">
        <v>12500</v>
      </c>
      <c r="Q74" s="117"/>
      <c r="R74" s="104">
        <f t="shared" si="10"/>
        <v>12500</v>
      </c>
      <c r="S74" s="114">
        <f>IFERROR(VLOOKUP(G74,'附表8-合同明细采集底稿'!B:M,12,0),100%)</f>
        <v>1</v>
      </c>
      <c r="T74" s="104">
        <f t="shared" si="11"/>
        <v>12500</v>
      </c>
      <c r="U74" s="99"/>
      <c r="V74" s="99" t="s">
        <v>275</v>
      </c>
      <c r="W74" s="116">
        <f>IF('附表1-面积统计表'!$D$29=0,"",IF(AND(V74="共同成本费用",Z74="总建筑面积法"),ROUND(T74/'附表1-面积统计表'!$D$29*'附表1-面积统计表'!$D$5,2),IF(AND(V74="共同成本费用",Z74="可售建筑面积法"),ROUND(T74/'附表1-面积统计表'!$F$29*'附表1-面积统计表'!$F$5,2),"请手工填写")))</f>
        <v>9116.25</v>
      </c>
      <c r="X74" s="116">
        <f t="shared" si="12"/>
        <v>0</v>
      </c>
      <c r="Y74" s="116">
        <f>IF(SUM('附表1-面积统计表'!$D$6)=0,SUM(T74)-SUM(W74),IF('附表1-面积统计表'!$D$29=0,"",IF(AND(V74="共同成本费用",Z74="总建筑面积法"),ROUND(T74/'附表1-面积统计表'!$D$29*'附表1-面积统计表'!$D$7,2),IF(AND(V74="共同成本费用",Z74="可售建筑面积法"),ROUND(T74/'附表1-面积统计表'!$F$29*'附表1-面积统计表'!$F$7,2),"请手工填写"))))</f>
        <v>3383.75</v>
      </c>
      <c r="Z74" s="99" t="s">
        <v>251</v>
      </c>
      <c r="AA74" s="99"/>
      <c r="AB74" s="119" t="s">
        <v>1259</v>
      </c>
    </row>
    <row r="75" ht="24" hidden="1" customHeight="1" spans="1:28">
      <c r="A75" s="93">
        <v>69</v>
      </c>
      <c r="B75" s="99" t="s">
        <v>1372</v>
      </c>
      <c r="C75" s="99">
        <v>14</v>
      </c>
      <c r="D75" s="99" t="s">
        <v>1288</v>
      </c>
      <c r="E75" s="99" t="s">
        <v>1373</v>
      </c>
      <c r="F75" s="99"/>
      <c r="G75" s="99"/>
      <c r="H75" s="99"/>
      <c r="I75" s="99"/>
      <c r="J75" s="99" t="s">
        <v>1341</v>
      </c>
      <c r="K75" s="99" t="s">
        <v>1270</v>
      </c>
      <c r="L75" s="99" t="s">
        <v>1291</v>
      </c>
      <c r="M75" s="99">
        <v>5294732</v>
      </c>
      <c r="N75" s="105">
        <v>1463.82</v>
      </c>
      <c r="O75" s="105">
        <v>1463.82</v>
      </c>
      <c r="P75" s="105">
        <v>1463.82</v>
      </c>
      <c r="Q75" s="117"/>
      <c r="R75" s="104">
        <f t="shared" si="10"/>
        <v>1463.82</v>
      </c>
      <c r="S75" s="114">
        <f>IFERROR(VLOOKUP(G75,'附表8-合同明细采集底稿'!B:M,12,0),100%)</f>
        <v>1</v>
      </c>
      <c r="T75" s="104">
        <f t="shared" si="11"/>
        <v>1463.82</v>
      </c>
      <c r="U75" s="99"/>
      <c r="V75" s="99" t="s">
        <v>275</v>
      </c>
      <c r="W75" s="116">
        <f>IF('附表1-面积统计表'!$D$29=0,"",IF(AND(V75="共同成本费用",Z75="总建筑面积法"),ROUND(T75/'附表1-面积统计表'!$D$29*'附表1-面积统计表'!$D$5,2),IF(AND(V75="共同成本费用",Z75="可售建筑面积法"),ROUND(T75/'附表1-面积统计表'!$F$29*'附表1-面积统计表'!$F$5,2),"请手工填写")))</f>
        <v>1067.56</v>
      </c>
      <c r="X75" s="116">
        <f t="shared" si="12"/>
        <v>0</v>
      </c>
      <c r="Y75" s="116">
        <f>IF(SUM('附表1-面积统计表'!$D$6)=0,SUM(T75)-SUM(W75),IF('附表1-面积统计表'!$D$29=0,"",IF(AND(V75="共同成本费用",Z75="总建筑面积法"),ROUND(T75/'附表1-面积统计表'!$D$29*'附表1-面积统计表'!$D$7,2),IF(AND(V75="共同成本费用",Z75="可售建筑面积法"),ROUND(T75/'附表1-面积统计表'!$F$29*'附表1-面积统计表'!$F$7,2),"请手工填写"))))</f>
        <v>396.26</v>
      </c>
      <c r="Z75" s="99" t="s">
        <v>251</v>
      </c>
      <c r="AA75" s="99"/>
      <c r="AB75" s="119" t="s">
        <v>1259</v>
      </c>
    </row>
    <row r="76" ht="24" hidden="1" customHeight="1" spans="1:28">
      <c r="A76" s="93">
        <v>70</v>
      </c>
      <c r="B76" s="99" t="s">
        <v>1299</v>
      </c>
      <c r="C76" s="99">
        <v>13</v>
      </c>
      <c r="D76" s="99" t="s">
        <v>1288</v>
      </c>
      <c r="E76" s="99" t="s">
        <v>1373</v>
      </c>
      <c r="F76" s="99"/>
      <c r="G76" s="99"/>
      <c r="H76" s="99"/>
      <c r="I76" s="99"/>
      <c r="J76" s="99" t="s">
        <v>1341</v>
      </c>
      <c r="K76" s="99" t="s">
        <v>1270</v>
      </c>
      <c r="L76" s="99" t="s">
        <v>1271</v>
      </c>
      <c r="M76" s="99" t="s">
        <v>1374</v>
      </c>
      <c r="N76" s="105">
        <v>1827</v>
      </c>
      <c r="O76" s="105">
        <v>1827</v>
      </c>
      <c r="P76" s="105">
        <v>1827</v>
      </c>
      <c r="Q76" s="117"/>
      <c r="R76" s="104">
        <f t="shared" si="10"/>
        <v>1827</v>
      </c>
      <c r="S76" s="114">
        <f>IFERROR(VLOOKUP(G76,'附表8-合同明细采集底稿'!B:M,12,0),100%)</f>
        <v>1</v>
      </c>
      <c r="T76" s="104">
        <f t="shared" si="11"/>
        <v>1827</v>
      </c>
      <c r="U76" s="99"/>
      <c r="V76" s="99" t="s">
        <v>275</v>
      </c>
      <c r="W76" s="116">
        <f>IF('附表1-面积统计表'!$D$29=0,"",IF(AND(V76="共同成本费用",Z76="总建筑面积法"),ROUND(T76/'附表1-面积统计表'!$D$29*'附表1-面积统计表'!$D$5,2),IF(AND(V76="共同成本费用",Z76="可售建筑面积法"),ROUND(T76/'附表1-面积统计表'!$F$29*'附表1-面积统计表'!$F$5,2),"请手工填写")))</f>
        <v>1332.43</v>
      </c>
      <c r="X76" s="116">
        <f t="shared" si="12"/>
        <v>0</v>
      </c>
      <c r="Y76" s="116">
        <f>IF(SUM('附表1-面积统计表'!$D$6)=0,SUM(T76)-SUM(W76),IF('附表1-面积统计表'!$D$29=0,"",IF(AND(V76="共同成本费用",Z76="总建筑面积法"),ROUND(T76/'附表1-面积统计表'!$D$29*'附表1-面积统计表'!$D$7,2),IF(AND(V76="共同成本费用",Z76="可售建筑面积法"),ROUND(T76/'附表1-面积统计表'!$F$29*'附表1-面积统计表'!$F$7,2),"请手工填写"))))</f>
        <v>494.57</v>
      </c>
      <c r="Z76" s="99" t="s">
        <v>251</v>
      </c>
      <c r="AA76" s="99"/>
      <c r="AB76" s="119" t="s">
        <v>1259</v>
      </c>
    </row>
    <row r="77" ht="24" hidden="1" customHeight="1" spans="1:28">
      <c r="A77" s="93">
        <v>71</v>
      </c>
      <c r="B77" s="99" t="s">
        <v>1375</v>
      </c>
      <c r="C77" s="99">
        <v>16</v>
      </c>
      <c r="D77" s="99" t="s">
        <v>1288</v>
      </c>
      <c r="E77" s="99" t="s">
        <v>1373</v>
      </c>
      <c r="F77" s="99"/>
      <c r="G77" s="99"/>
      <c r="H77" s="99"/>
      <c r="I77" s="99"/>
      <c r="J77" s="99" t="s">
        <v>1376</v>
      </c>
      <c r="K77" s="99" t="s">
        <v>1270</v>
      </c>
      <c r="L77" s="99" t="s">
        <v>1309</v>
      </c>
      <c r="M77" s="99" t="s">
        <v>1377</v>
      </c>
      <c r="N77" s="105">
        <v>13107.93</v>
      </c>
      <c r="O77" s="105">
        <v>13107.93</v>
      </c>
      <c r="P77" s="105">
        <v>13107.93</v>
      </c>
      <c r="Q77" s="117">
        <v>-13107.93</v>
      </c>
      <c r="R77" s="104">
        <f t="shared" si="10"/>
        <v>0</v>
      </c>
      <c r="S77" s="114">
        <f>IFERROR(VLOOKUP(G77,'附表8-合同明细采集底稿'!B:M,12,0),100%)</f>
        <v>1</v>
      </c>
      <c r="T77" s="104">
        <f t="shared" si="11"/>
        <v>0</v>
      </c>
      <c r="U77" s="99"/>
      <c r="V77" s="99" t="s">
        <v>275</v>
      </c>
      <c r="W77" s="116">
        <f>IF('附表1-面积统计表'!$D$29=0,"",IF(AND(V77="共同成本费用",Z77="总建筑面积法"),ROUND(T77/'附表1-面积统计表'!$D$29*'附表1-面积统计表'!$D$5,2),IF(AND(V77="共同成本费用",Z77="可售建筑面积法"),ROUND(T77/'附表1-面积统计表'!$F$29*'附表1-面积统计表'!$F$5,2),"请手工填写")))</f>
        <v>0</v>
      </c>
      <c r="X77" s="116">
        <f t="shared" si="12"/>
        <v>0</v>
      </c>
      <c r="Y77" s="116">
        <f>IF(SUM('附表1-面积统计表'!$D$6)=0,SUM(T77)-SUM(W77),IF('附表1-面积统计表'!$D$29=0,"",IF(AND(V77="共同成本费用",Z77="总建筑面积法"),ROUND(T77/'附表1-面积统计表'!$D$29*'附表1-面积统计表'!$D$7,2),IF(AND(V77="共同成本费用",Z77="可售建筑面积法"),ROUND(T77/'附表1-面积统计表'!$F$29*'附表1-面积统计表'!$F$7,2),"请手工填写"))))</f>
        <v>0</v>
      </c>
      <c r="Z77" s="99" t="s">
        <v>251</v>
      </c>
      <c r="AA77" s="99"/>
      <c r="AB77" s="119" t="s">
        <v>1259</v>
      </c>
    </row>
    <row r="78" ht="24" hidden="1" customHeight="1" spans="1:28">
      <c r="A78" s="93">
        <v>72</v>
      </c>
      <c r="B78" s="99" t="s">
        <v>1378</v>
      </c>
      <c r="C78" s="99">
        <v>18</v>
      </c>
      <c r="D78" s="99" t="s">
        <v>1288</v>
      </c>
      <c r="E78" s="99" t="s">
        <v>1373</v>
      </c>
      <c r="F78" s="99"/>
      <c r="G78" s="99"/>
      <c r="H78" s="99"/>
      <c r="I78" s="99"/>
      <c r="J78" s="99" t="s">
        <v>1341</v>
      </c>
      <c r="K78" s="99" t="s">
        <v>1317</v>
      </c>
      <c r="L78" s="99">
        <v>6500164320</v>
      </c>
      <c r="M78" s="99" t="s">
        <v>1379</v>
      </c>
      <c r="N78" s="105">
        <v>6712</v>
      </c>
      <c r="O78" s="105">
        <v>6712</v>
      </c>
      <c r="P78" s="105">
        <v>6712</v>
      </c>
      <c r="Q78" s="117"/>
      <c r="R78" s="104">
        <f t="shared" si="10"/>
        <v>6712</v>
      </c>
      <c r="S78" s="114">
        <f>IFERROR(VLOOKUP(G78,'附表8-合同明细采集底稿'!B:M,12,0),100%)</f>
        <v>1</v>
      </c>
      <c r="T78" s="104">
        <f t="shared" si="11"/>
        <v>6712</v>
      </c>
      <c r="U78" s="99"/>
      <c r="V78" s="99" t="s">
        <v>275</v>
      </c>
      <c r="W78" s="116">
        <f>IF('附表1-面积统计表'!$D$29=0,"",IF(AND(V78="共同成本费用",Z78="总建筑面积法"),ROUND(T78/'附表1-面积统计表'!$D$29*'附表1-面积统计表'!$D$5,2),IF(AND(V78="共同成本费用",Z78="可售建筑面积法"),ROUND(T78/'附表1-面积统计表'!$F$29*'附表1-面积统计表'!$F$5,2),"请手工填写")))</f>
        <v>4895.06</v>
      </c>
      <c r="X78" s="116">
        <f t="shared" si="12"/>
        <v>0</v>
      </c>
      <c r="Y78" s="116">
        <f>IF(SUM('附表1-面积统计表'!$D$6)=0,SUM(T78)-SUM(W78),IF('附表1-面积统计表'!$D$29=0,"",IF(AND(V78="共同成本费用",Z78="总建筑面积法"),ROUND(T78/'附表1-面积统计表'!$D$29*'附表1-面积统计表'!$D$7,2),IF(AND(V78="共同成本费用",Z78="可售建筑面积法"),ROUND(T78/'附表1-面积统计表'!$F$29*'附表1-面积统计表'!$F$7,2),"请手工填写"))))</f>
        <v>1816.94</v>
      </c>
      <c r="Z78" s="99" t="s">
        <v>251</v>
      </c>
      <c r="AA78" s="99"/>
      <c r="AB78" s="119" t="s">
        <v>1259</v>
      </c>
    </row>
    <row r="79" ht="24" hidden="1" customHeight="1" spans="1:28">
      <c r="A79" s="93">
        <v>73</v>
      </c>
      <c r="B79" s="99" t="s">
        <v>1380</v>
      </c>
      <c r="C79" s="99">
        <v>25</v>
      </c>
      <c r="D79" s="99" t="s">
        <v>1288</v>
      </c>
      <c r="E79" s="99" t="s">
        <v>1373</v>
      </c>
      <c r="F79" s="99"/>
      <c r="G79" s="99"/>
      <c r="H79" s="99"/>
      <c r="I79" s="99"/>
      <c r="J79" s="99" t="s">
        <v>1381</v>
      </c>
      <c r="K79" s="99" t="s">
        <v>1317</v>
      </c>
      <c r="L79" s="99">
        <v>6500172320</v>
      </c>
      <c r="M79" s="99" t="s">
        <v>1382</v>
      </c>
      <c r="N79" s="105">
        <v>10000</v>
      </c>
      <c r="O79" s="105">
        <v>10000</v>
      </c>
      <c r="P79" s="105">
        <v>10000</v>
      </c>
      <c r="Q79" s="117">
        <v>-10000</v>
      </c>
      <c r="R79" s="104">
        <f t="shared" si="10"/>
        <v>0</v>
      </c>
      <c r="S79" s="114">
        <f>IFERROR(VLOOKUP(G79,'附表8-合同明细采集底稿'!B:M,12,0),100%)</f>
        <v>1</v>
      </c>
      <c r="T79" s="104">
        <f t="shared" si="11"/>
        <v>0</v>
      </c>
      <c r="U79" s="99"/>
      <c r="V79" s="99" t="s">
        <v>275</v>
      </c>
      <c r="W79" s="116">
        <f>IF('附表1-面积统计表'!$D$29=0,"",IF(AND(V79="共同成本费用",Z79="总建筑面积法"),ROUND(T79/'附表1-面积统计表'!$D$29*'附表1-面积统计表'!$D$5,2),IF(AND(V79="共同成本费用",Z79="可售建筑面积法"),ROUND(T79/'附表1-面积统计表'!$F$29*'附表1-面积统计表'!$F$5,2),"请手工填写")))</f>
        <v>0</v>
      </c>
      <c r="X79" s="116">
        <f t="shared" si="12"/>
        <v>0</v>
      </c>
      <c r="Y79" s="116">
        <f>IF(SUM('附表1-面积统计表'!$D$6)=0,SUM(T79)-SUM(W79),IF('附表1-面积统计表'!$D$29=0,"",IF(AND(V79="共同成本费用",Z79="总建筑面积法"),ROUND(T79/'附表1-面积统计表'!$D$29*'附表1-面积统计表'!$D$7,2),IF(AND(V79="共同成本费用",Z79="可售建筑面积法"),ROUND(T79/'附表1-面积统计表'!$F$29*'附表1-面积统计表'!$F$7,2),"请手工填写"))))</f>
        <v>0</v>
      </c>
      <c r="Z79" s="99" t="s">
        <v>251</v>
      </c>
      <c r="AA79" s="99"/>
      <c r="AB79" s="119" t="s">
        <v>1259</v>
      </c>
    </row>
    <row r="80" ht="24" hidden="1" customHeight="1" spans="1:28">
      <c r="A80" s="93">
        <v>74</v>
      </c>
      <c r="B80" s="99" t="s">
        <v>1383</v>
      </c>
      <c r="C80" s="99">
        <v>51</v>
      </c>
      <c r="D80" s="99" t="s">
        <v>1288</v>
      </c>
      <c r="E80" s="99" t="s">
        <v>1373</v>
      </c>
      <c r="F80" s="99"/>
      <c r="G80" s="99"/>
      <c r="H80" s="99"/>
      <c r="I80" s="99"/>
      <c r="J80" s="99" t="s">
        <v>1381</v>
      </c>
      <c r="K80" s="99" t="s">
        <v>1317</v>
      </c>
      <c r="L80" s="99">
        <v>65001800211</v>
      </c>
      <c r="M80" s="99">
        <v>29818870</v>
      </c>
      <c r="N80" s="105">
        <v>1000</v>
      </c>
      <c r="O80" s="105">
        <v>1000</v>
      </c>
      <c r="P80" s="105">
        <v>1000</v>
      </c>
      <c r="Q80" s="117">
        <v>-1000</v>
      </c>
      <c r="R80" s="104">
        <f t="shared" si="10"/>
        <v>0</v>
      </c>
      <c r="S80" s="114">
        <f>IFERROR(VLOOKUP(G80,'附表8-合同明细采集底稿'!B:M,12,0),100%)</f>
        <v>1</v>
      </c>
      <c r="T80" s="104">
        <f t="shared" si="11"/>
        <v>0</v>
      </c>
      <c r="U80" s="99"/>
      <c r="V80" s="99" t="s">
        <v>275</v>
      </c>
      <c r="W80" s="116">
        <f>IF('附表1-面积统计表'!$D$29=0,"",IF(AND(V80="共同成本费用",Z80="总建筑面积法"),ROUND(T80/'附表1-面积统计表'!$D$29*'附表1-面积统计表'!$D$5,2),IF(AND(V80="共同成本费用",Z80="可售建筑面积法"),ROUND(T80/'附表1-面积统计表'!$F$29*'附表1-面积统计表'!$F$5,2),"请手工填写")))</f>
        <v>0</v>
      </c>
      <c r="X80" s="116">
        <f t="shared" si="12"/>
        <v>0</v>
      </c>
      <c r="Y80" s="116">
        <f>IF(SUM('附表1-面积统计表'!$D$6)=0,SUM(T80)-SUM(W80),IF('附表1-面积统计表'!$D$29=0,"",IF(AND(V80="共同成本费用",Z80="总建筑面积法"),ROUND(T80/'附表1-面积统计表'!$D$29*'附表1-面积统计表'!$D$7,2),IF(AND(V80="共同成本费用",Z80="可售建筑面积法"),ROUND(T80/'附表1-面积统计表'!$F$29*'附表1-面积统计表'!$F$7,2),"请手工填写"))))</f>
        <v>0</v>
      </c>
      <c r="Z80" s="99" t="s">
        <v>251</v>
      </c>
      <c r="AA80" s="99"/>
      <c r="AB80" s="119" t="s">
        <v>1259</v>
      </c>
    </row>
    <row r="81" ht="24" hidden="1" customHeight="1" spans="1:28">
      <c r="A81" s="93">
        <v>75</v>
      </c>
      <c r="B81" s="99" t="s">
        <v>1384</v>
      </c>
      <c r="C81" s="99">
        <v>3</v>
      </c>
      <c r="D81" s="99" t="s">
        <v>1288</v>
      </c>
      <c r="E81" s="99" t="s">
        <v>1385</v>
      </c>
      <c r="F81" s="99"/>
      <c r="G81" s="99"/>
      <c r="H81" s="99"/>
      <c r="I81" s="99"/>
      <c r="J81" s="99" t="s">
        <v>1386</v>
      </c>
      <c r="K81" s="99" t="s">
        <v>1270</v>
      </c>
      <c r="L81" s="99" t="s">
        <v>1387</v>
      </c>
      <c r="M81" s="99">
        <v>96580</v>
      </c>
      <c r="N81" s="105">
        <v>60000</v>
      </c>
      <c r="O81" s="105">
        <v>60000</v>
      </c>
      <c r="P81" s="105">
        <v>60000</v>
      </c>
      <c r="Q81" s="117"/>
      <c r="R81" s="104">
        <f t="shared" si="10"/>
        <v>60000</v>
      </c>
      <c r="S81" s="114">
        <f>IFERROR(VLOOKUP(G81,'附表8-合同明细采集底稿'!B:M,12,0),100%)</f>
        <v>1</v>
      </c>
      <c r="T81" s="104">
        <f t="shared" si="11"/>
        <v>60000</v>
      </c>
      <c r="U81" s="99"/>
      <c r="V81" s="99" t="s">
        <v>275</v>
      </c>
      <c r="W81" s="116">
        <f>IF('附表1-面积统计表'!$D$29=0,"",IF(AND(V81="共同成本费用",Z81="总建筑面积法"),ROUND(T81/'附表1-面积统计表'!$D$29*'附表1-面积统计表'!$D$5,2),IF(AND(V81="共同成本费用",Z81="可售建筑面积法"),ROUND(T81/'附表1-面积统计表'!$F$29*'附表1-面积统计表'!$F$5,2),"请手工填写")))</f>
        <v>43757.99</v>
      </c>
      <c r="X81" s="116">
        <f t="shared" si="12"/>
        <v>0</v>
      </c>
      <c r="Y81" s="116">
        <f>IF(SUM('附表1-面积统计表'!$D$6)=0,SUM(T81)-SUM(W81),IF('附表1-面积统计表'!$D$29=0,"",IF(AND(V81="共同成本费用",Z81="总建筑面积法"),ROUND(T81/'附表1-面积统计表'!$D$29*'附表1-面积统计表'!$D$7,2),IF(AND(V81="共同成本费用",Z81="可售建筑面积法"),ROUND(T81/'附表1-面积统计表'!$F$29*'附表1-面积统计表'!$F$7,2),"请手工填写"))))</f>
        <v>16242.01</v>
      </c>
      <c r="Z81" s="99" t="s">
        <v>251</v>
      </c>
      <c r="AA81" s="99"/>
      <c r="AB81" s="119" t="s">
        <v>1259</v>
      </c>
    </row>
    <row r="82" ht="24" hidden="1" customHeight="1" spans="1:28">
      <c r="A82" s="93">
        <v>76</v>
      </c>
      <c r="B82" s="99" t="s">
        <v>1343</v>
      </c>
      <c r="C82" s="99">
        <v>26</v>
      </c>
      <c r="D82" s="99" t="s">
        <v>1288</v>
      </c>
      <c r="E82" s="99" t="s">
        <v>1385</v>
      </c>
      <c r="F82" s="99"/>
      <c r="G82" s="99"/>
      <c r="H82" s="99"/>
      <c r="I82" s="99"/>
      <c r="J82" s="99" t="s">
        <v>1388</v>
      </c>
      <c r="K82" s="99" t="s">
        <v>1276</v>
      </c>
      <c r="L82" s="99" t="s">
        <v>1389</v>
      </c>
      <c r="M82" s="99" t="s">
        <v>1389</v>
      </c>
      <c r="N82" s="105">
        <v>0</v>
      </c>
      <c r="O82" s="105">
        <v>40000</v>
      </c>
      <c r="P82" s="105">
        <v>40000</v>
      </c>
      <c r="Q82" s="117">
        <f>-40000+1580962.2</f>
        <v>1540962.2</v>
      </c>
      <c r="R82" s="104">
        <f t="shared" si="10"/>
        <v>1580962.2</v>
      </c>
      <c r="S82" s="114">
        <f>IFERROR(VLOOKUP(G82,'附表8-合同明细采集底稿'!B:M,12,0),100%)</f>
        <v>1</v>
      </c>
      <c r="T82" s="104">
        <f t="shared" si="11"/>
        <v>1580962.2</v>
      </c>
      <c r="U82" s="99"/>
      <c r="V82" s="99" t="s">
        <v>275</v>
      </c>
      <c r="W82" s="116">
        <f>IF('附表1-面积统计表'!$D$29=0,"",IF(AND(V82="共同成本费用",Z82="总建筑面积法"),ROUND(T82/'附表1-面积统计表'!$D$29*'附表1-面积统计表'!$D$5,2),IF(AND(V82="共同成本费用",Z82="可售建筑面积法"),ROUND(T82/'附表1-面积统计表'!$F$29*'附表1-面积统计表'!$F$5,2),"请手工填写")))</f>
        <v>1152995.53</v>
      </c>
      <c r="X82" s="116">
        <f t="shared" si="12"/>
        <v>0</v>
      </c>
      <c r="Y82" s="116">
        <f>IF(SUM('附表1-面积统计表'!$D$6)=0,SUM(T82)-SUM(W82),IF('附表1-面积统计表'!$D$29=0,"",IF(AND(V82="共同成本费用",Z82="总建筑面积法"),ROUND(T82/'附表1-面积统计表'!$D$29*'附表1-面积统计表'!$D$7,2),IF(AND(V82="共同成本费用",Z82="可售建筑面积法"),ROUND(T82/'附表1-面积统计表'!$F$29*'附表1-面积统计表'!$F$7,2),"请手工填写"))))</f>
        <v>427966.67</v>
      </c>
      <c r="Z82" s="99" t="s">
        <v>251</v>
      </c>
      <c r="AA82" s="99"/>
      <c r="AB82" s="119" t="s">
        <v>1259</v>
      </c>
    </row>
    <row r="83" ht="24" hidden="1" customHeight="1" spans="1:28">
      <c r="A83" s="93">
        <v>77</v>
      </c>
      <c r="B83" s="99" t="s">
        <v>1390</v>
      </c>
      <c r="C83" s="99">
        <v>29</v>
      </c>
      <c r="D83" s="99" t="s">
        <v>1288</v>
      </c>
      <c r="E83" s="99" t="s">
        <v>1391</v>
      </c>
      <c r="F83" s="99"/>
      <c r="G83" s="99"/>
      <c r="H83" s="99"/>
      <c r="I83" s="99"/>
      <c r="J83" s="99" t="s">
        <v>1392</v>
      </c>
      <c r="K83" s="99" t="s">
        <v>1270</v>
      </c>
      <c r="L83" s="99" t="s">
        <v>1271</v>
      </c>
      <c r="M83" s="99" t="s">
        <v>1393</v>
      </c>
      <c r="N83" s="105">
        <v>8000</v>
      </c>
      <c r="O83" s="105">
        <v>8000</v>
      </c>
      <c r="P83" s="105">
        <v>8000</v>
      </c>
      <c r="Q83" s="117"/>
      <c r="R83" s="104">
        <f t="shared" si="10"/>
        <v>8000</v>
      </c>
      <c r="S83" s="114">
        <f>IFERROR(VLOOKUP(G83,'附表8-合同明细采集底稿'!B:M,12,0),100%)</f>
        <v>1</v>
      </c>
      <c r="T83" s="104">
        <f t="shared" si="11"/>
        <v>8000</v>
      </c>
      <c r="U83" s="99"/>
      <c r="V83" s="99" t="s">
        <v>275</v>
      </c>
      <c r="W83" s="116">
        <f>IF('附表1-面积统计表'!$D$29=0,"",IF(AND(V83="共同成本费用",Z83="总建筑面积法"),ROUND(T83/'附表1-面积统计表'!$D$29*'附表1-面积统计表'!$D$5,2),IF(AND(V83="共同成本费用",Z83="可售建筑面积法"),ROUND(T83/'附表1-面积统计表'!$F$29*'附表1-面积统计表'!$F$5,2),"请手工填写")))</f>
        <v>5834.4</v>
      </c>
      <c r="X83" s="116">
        <f t="shared" si="12"/>
        <v>0</v>
      </c>
      <c r="Y83" s="116">
        <f>IF(SUM('附表1-面积统计表'!$D$6)=0,SUM(T83)-SUM(W83),IF('附表1-面积统计表'!$D$29=0,"",IF(AND(V83="共同成本费用",Z83="总建筑面积法"),ROUND(T83/'附表1-面积统计表'!$D$29*'附表1-面积统计表'!$D$7,2),IF(AND(V83="共同成本费用",Z83="可售建筑面积法"),ROUND(T83/'附表1-面积统计表'!$F$29*'附表1-面积统计表'!$F$7,2),"请手工填写"))))</f>
        <v>2165.6</v>
      </c>
      <c r="Z83" s="99" t="s">
        <v>251</v>
      </c>
      <c r="AA83" s="99"/>
      <c r="AB83" s="119" t="s">
        <v>1259</v>
      </c>
    </row>
    <row r="84" ht="24" hidden="1" customHeight="1" spans="1:28">
      <c r="A84" s="93">
        <v>78</v>
      </c>
      <c r="B84" s="99" t="s">
        <v>1301</v>
      </c>
      <c r="C84" s="99">
        <v>20</v>
      </c>
      <c r="D84" s="99" t="s">
        <v>1288</v>
      </c>
      <c r="E84" s="99" t="s">
        <v>1391</v>
      </c>
      <c r="F84" s="99"/>
      <c r="G84" s="99"/>
      <c r="H84" s="99"/>
      <c r="I84" s="99"/>
      <c r="J84" s="99" t="s">
        <v>1394</v>
      </c>
      <c r="K84" s="99" t="s">
        <v>1270</v>
      </c>
      <c r="L84" s="99" t="s">
        <v>1271</v>
      </c>
      <c r="M84" s="99" t="s">
        <v>1395</v>
      </c>
      <c r="N84" s="105">
        <v>10000</v>
      </c>
      <c r="O84" s="105">
        <v>10000</v>
      </c>
      <c r="P84" s="105">
        <v>10000</v>
      </c>
      <c r="Q84" s="117"/>
      <c r="R84" s="104">
        <f t="shared" si="10"/>
        <v>10000</v>
      </c>
      <c r="S84" s="114">
        <f>IFERROR(VLOOKUP(G84,'附表8-合同明细采集底稿'!B:M,12,0),100%)</f>
        <v>1</v>
      </c>
      <c r="T84" s="104">
        <f t="shared" si="11"/>
        <v>10000</v>
      </c>
      <c r="U84" s="99"/>
      <c r="V84" s="99" t="s">
        <v>275</v>
      </c>
      <c r="W84" s="116">
        <f>IF('附表1-面积统计表'!$D$29=0,"",IF(AND(V84="共同成本费用",Z84="总建筑面积法"),ROUND(T84/'附表1-面积统计表'!$D$29*'附表1-面积统计表'!$D$5,2),IF(AND(V84="共同成本费用",Z84="可售建筑面积法"),ROUND(T84/'附表1-面积统计表'!$F$29*'附表1-面积统计表'!$F$5,2),"请手工填写")))</f>
        <v>7293</v>
      </c>
      <c r="X84" s="116">
        <f t="shared" si="12"/>
        <v>0</v>
      </c>
      <c r="Y84" s="116">
        <f>IF(SUM('附表1-面积统计表'!$D$6)=0,SUM(T84)-SUM(W84),IF('附表1-面积统计表'!$D$29=0,"",IF(AND(V84="共同成本费用",Z84="总建筑面积法"),ROUND(T84/'附表1-面积统计表'!$D$29*'附表1-面积统计表'!$D$7,2),IF(AND(V84="共同成本费用",Z84="可售建筑面积法"),ROUND(T84/'附表1-面积统计表'!$F$29*'附表1-面积统计表'!$F$7,2),"请手工填写"))))</f>
        <v>2707</v>
      </c>
      <c r="Z84" s="99" t="s">
        <v>251</v>
      </c>
      <c r="AA84" s="99"/>
      <c r="AB84" s="119" t="s">
        <v>1259</v>
      </c>
    </row>
    <row r="85" ht="24" customHeight="1" spans="1:28">
      <c r="A85" s="93">
        <v>79</v>
      </c>
      <c r="B85" s="99" t="s">
        <v>1396</v>
      </c>
      <c r="C85" s="99">
        <v>197</v>
      </c>
      <c r="D85" s="99" t="s">
        <v>1397</v>
      </c>
      <c r="E85" s="99" t="s">
        <v>1398</v>
      </c>
      <c r="F85" s="99"/>
      <c r="G85" s="99" t="s">
        <v>1399</v>
      </c>
      <c r="H85" s="99" t="s">
        <v>1400</v>
      </c>
      <c r="I85" s="99"/>
      <c r="J85" s="99" t="s">
        <v>1401</v>
      </c>
      <c r="K85" s="99" t="s">
        <v>1270</v>
      </c>
      <c r="L85" s="99" t="s">
        <v>1402</v>
      </c>
      <c r="M85" s="99" t="s">
        <v>1403</v>
      </c>
      <c r="N85" s="105">
        <v>7500000</v>
      </c>
      <c r="O85" s="105">
        <v>7500000</v>
      </c>
      <c r="P85" s="105">
        <v>7500000</v>
      </c>
      <c r="Q85" s="117"/>
      <c r="R85" s="104">
        <f t="shared" si="10"/>
        <v>7500000</v>
      </c>
      <c r="S85" s="114">
        <f>IFERROR(VLOOKUP(G85,'附表8-合同明细采集底稿'!B:M,12,0),100%)</f>
        <v>1</v>
      </c>
      <c r="T85" s="104">
        <f t="shared" si="11"/>
        <v>7500000</v>
      </c>
      <c r="U85" s="99"/>
      <c r="V85" s="99" t="s">
        <v>275</v>
      </c>
      <c r="W85" s="116">
        <f>IF('附表1-面积统计表'!$D$29=0,"",IF(AND(V85="共同成本费用",Z85="总建筑面积法"),ROUND(T85/'附表1-面积统计表'!$D$29*'附表1-面积统计表'!$D$5,2),IF(AND(V85="共同成本费用",Z85="可售建筑面积法"),ROUND(T85/'附表1-面积统计表'!$F$29*'附表1-面积统计表'!$F$5,2),"请手工填写")))</f>
        <v>5469749.02</v>
      </c>
      <c r="X85" s="116">
        <f t="shared" si="12"/>
        <v>0</v>
      </c>
      <c r="Y85" s="116">
        <f>IF(SUM('附表1-面积统计表'!$D$6)=0,SUM(T85)-SUM(W85),IF('附表1-面积统计表'!$D$29=0,"",IF(AND(V85="共同成本费用",Z85="总建筑面积法"),ROUND(T85/'附表1-面积统计表'!$D$29*'附表1-面积统计表'!$D$7,2),IF(AND(V85="共同成本费用",Z85="可售建筑面积法"),ROUND(T85/'附表1-面积统计表'!$F$29*'附表1-面积统计表'!$F$7,2),"请手工填写"))))</f>
        <v>2030250.98</v>
      </c>
      <c r="Z85" s="99" t="s">
        <v>251</v>
      </c>
      <c r="AA85" s="99"/>
      <c r="AB85" s="119" t="s">
        <v>1259</v>
      </c>
    </row>
    <row r="86" ht="24" customHeight="1" spans="1:28">
      <c r="A86" s="93">
        <v>80</v>
      </c>
      <c r="B86" s="99" t="s">
        <v>1404</v>
      </c>
      <c r="C86" s="99">
        <v>40</v>
      </c>
      <c r="D86" s="99" t="s">
        <v>1397</v>
      </c>
      <c r="E86" s="99" t="s">
        <v>1398</v>
      </c>
      <c r="F86" s="99"/>
      <c r="G86" s="99" t="s">
        <v>1399</v>
      </c>
      <c r="H86" s="99" t="s">
        <v>1400</v>
      </c>
      <c r="I86" s="99"/>
      <c r="J86" s="99" t="s">
        <v>1401</v>
      </c>
      <c r="K86" s="99" t="s">
        <v>1270</v>
      </c>
      <c r="L86" s="99" t="s">
        <v>1402</v>
      </c>
      <c r="M86" s="99" t="s">
        <v>1405</v>
      </c>
      <c r="N86" s="105">
        <v>20928003.75</v>
      </c>
      <c r="O86" s="105">
        <v>20928003.75</v>
      </c>
      <c r="P86" s="105">
        <v>20928003.75</v>
      </c>
      <c r="Q86" s="117"/>
      <c r="R86" s="104">
        <f t="shared" si="10"/>
        <v>20928003.75</v>
      </c>
      <c r="S86" s="114">
        <f>IFERROR(VLOOKUP(G86,'附表8-合同明细采集底稿'!B:M,12,0),100%)</f>
        <v>1</v>
      </c>
      <c r="T86" s="104">
        <f t="shared" si="11"/>
        <v>20928003.75</v>
      </c>
      <c r="U86" s="99"/>
      <c r="V86" s="99" t="s">
        <v>275</v>
      </c>
      <c r="W86" s="116">
        <f>IF('附表1-面积统计表'!$D$29=0,"",IF(AND(V86="共同成本费用",Z86="总建筑面积法"),ROUND(T86/'附表1-面积统计表'!$D$29*'附表1-面积统计表'!$D$5,2),IF(AND(V86="共同成本费用",Z86="可售建筑面积法"),ROUND(T86/'附表1-面积统计表'!$F$29*'附表1-面积统计表'!$F$5,2),"请手工填写")))</f>
        <v>15262790.39</v>
      </c>
      <c r="X86" s="116">
        <f t="shared" si="12"/>
        <v>0</v>
      </c>
      <c r="Y86" s="116">
        <f>IF(SUM('附表1-面积统计表'!$D$6)=0,SUM(T86)-SUM(W86),IF('附表1-面积统计表'!$D$29=0,"",IF(AND(V86="共同成本费用",Z86="总建筑面积法"),ROUND(T86/'附表1-面积统计表'!$D$29*'附表1-面积统计表'!$D$7,2),IF(AND(V86="共同成本费用",Z86="可售建筑面积法"),ROUND(T86/'附表1-面积统计表'!$F$29*'附表1-面积统计表'!$F$7,2),"请手工填写"))))</f>
        <v>5665213.36</v>
      </c>
      <c r="Z86" s="99" t="s">
        <v>251</v>
      </c>
      <c r="AA86" s="99"/>
      <c r="AB86" s="119" t="s">
        <v>1259</v>
      </c>
    </row>
    <row r="87" ht="24" customHeight="1" spans="1:28">
      <c r="A87" s="93">
        <v>81</v>
      </c>
      <c r="B87" s="99" t="s">
        <v>1406</v>
      </c>
      <c r="C87" s="99">
        <v>161</v>
      </c>
      <c r="D87" s="99" t="s">
        <v>1397</v>
      </c>
      <c r="E87" s="99" t="s">
        <v>1407</v>
      </c>
      <c r="F87" s="99"/>
      <c r="G87" s="99"/>
      <c r="H87" s="99"/>
      <c r="I87" s="99"/>
      <c r="J87" s="99" t="s">
        <v>1408</v>
      </c>
      <c r="K87" s="99" t="s">
        <v>1317</v>
      </c>
      <c r="L87" s="99">
        <v>6500153320</v>
      </c>
      <c r="M87" s="99" t="s">
        <v>1409</v>
      </c>
      <c r="N87" s="105">
        <v>1530000</v>
      </c>
      <c r="O87" s="105">
        <v>1530000</v>
      </c>
      <c r="P87" s="105">
        <v>1530000</v>
      </c>
      <c r="Q87" s="117"/>
      <c r="R87" s="104">
        <f t="shared" si="10"/>
        <v>1530000</v>
      </c>
      <c r="S87" s="114">
        <f>IFERROR(VLOOKUP(G87,'附表8-合同明细采集底稿'!B:M,12,0),100%)</f>
        <v>1</v>
      </c>
      <c r="T87" s="104">
        <f t="shared" si="11"/>
        <v>1530000</v>
      </c>
      <c r="U87" s="99"/>
      <c r="V87" s="99" t="s">
        <v>275</v>
      </c>
      <c r="W87" s="116">
        <f>IF('附表1-面积统计表'!$D$29=0,"",IF(AND(V87="共同成本费用",Z87="总建筑面积法"),ROUND(T87/'附表1-面积统计表'!$D$29*'附表1-面积统计表'!$D$5,2),IF(AND(V87="共同成本费用",Z87="可售建筑面积法"),ROUND(T87/'附表1-面积统计表'!$F$29*'附表1-面积统计表'!$F$5,2),"请手工填写")))</f>
        <v>1115828.8</v>
      </c>
      <c r="X87" s="116">
        <f t="shared" si="12"/>
        <v>0</v>
      </c>
      <c r="Y87" s="116">
        <f>IF(SUM('附表1-面积统计表'!$D$6)=0,SUM(T87)-SUM(W87),IF('附表1-面积统计表'!$D$29=0,"",IF(AND(V87="共同成本费用",Z87="总建筑面积法"),ROUND(T87/'附表1-面积统计表'!$D$29*'附表1-面积统计表'!$D$7,2),IF(AND(V87="共同成本费用",Z87="可售建筑面积法"),ROUND(T87/'附表1-面积统计表'!$F$29*'附表1-面积统计表'!$F$7,2),"请手工填写"))))</f>
        <v>414171.2</v>
      </c>
      <c r="Z87" s="99" t="s">
        <v>251</v>
      </c>
      <c r="AA87" s="99"/>
      <c r="AB87" s="119" t="s">
        <v>1259</v>
      </c>
    </row>
    <row r="88" ht="24" customHeight="1" spans="1:28">
      <c r="A88" s="93">
        <v>82</v>
      </c>
      <c r="B88" s="99" t="s">
        <v>1410</v>
      </c>
      <c r="C88" s="99">
        <v>86</v>
      </c>
      <c r="D88" s="99" t="s">
        <v>1397</v>
      </c>
      <c r="E88" s="99" t="s">
        <v>1398</v>
      </c>
      <c r="F88" s="99"/>
      <c r="G88" s="99" t="s">
        <v>1399</v>
      </c>
      <c r="H88" s="99" t="s">
        <v>1400</v>
      </c>
      <c r="I88" s="99"/>
      <c r="J88" s="99" t="s">
        <v>1401</v>
      </c>
      <c r="K88" s="99" t="s">
        <v>1317</v>
      </c>
      <c r="L88" s="99">
        <v>6500162320</v>
      </c>
      <c r="M88" s="99" t="s">
        <v>1411</v>
      </c>
      <c r="N88" s="105">
        <v>7107000.94</v>
      </c>
      <c r="O88" s="105">
        <v>7107000.94</v>
      </c>
      <c r="P88" s="105">
        <v>7107000.94</v>
      </c>
      <c r="Q88" s="117"/>
      <c r="R88" s="104">
        <f t="shared" si="10"/>
        <v>7107000.94</v>
      </c>
      <c r="S88" s="114">
        <f>IFERROR(VLOOKUP(G88,'附表8-合同明细采集底稿'!B:M,12,0),100%)</f>
        <v>1</v>
      </c>
      <c r="T88" s="104">
        <f t="shared" si="11"/>
        <v>7107000.94</v>
      </c>
      <c r="U88" s="99"/>
      <c r="V88" s="99" t="s">
        <v>275</v>
      </c>
      <c r="W88" s="116">
        <f>IF('附表1-面积统计表'!$D$29=0,"",IF(AND(V88="共同成本费用",Z88="总建筑面积法"),ROUND(T88/'附表1-面积统计表'!$D$29*'附表1-面积统计表'!$D$5,2),IF(AND(V88="共同成本费用",Z88="可售建筑面积法"),ROUND(T88/'附表1-面积统计表'!$F$29*'附表1-面积统计表'!$F$5,2),"请手工填写")))</f>
        <v>5183134.85</v>
      </c>
      <c r="X88" s="116">
        <f t="shared" si="12"/>
        <v>0</v>
      </c>
      <c r="Y88" s="116">
        <f>IF(SUM('附表1-面积统计表'!$D$6)=0,SUM(T88)-SUM(W88),IF('附表1-面积统计表'!$D$29=0,"",IF(AND(V88="共同成本费用",Z88="总建筑面积法"),ROUND(T88/'附表1-面积统计表'!$D$29*'附表1-面积统计表'!$D$7,2),IF(AND(V88="共同成本费用",Z88="可售建筑面积法"),ROUND(T88/'附表1-面积统计表'!$F$29*'附表1-面积统计表'!$F$7,2),"请手工填写"))))</f>
        <v>1923866.09</v>
      </c>
      <c r="Z88" s="99" t="s">
        <v>251</v>
      </c>
      <c r="AA88" s="99"/>
      <c r="AB88" s="119" t="s">
        <v>1259</v>
      </c>
    </row>
    <row r="89" ht="24" customHeight="1" spans="1:28">
      <c r="A89" s="93">
        <v>83</v>
      </c>
      <c r="B89" s="99" t="s">
        <v>1412</v>
      </c>
      <c r="C89" s="99">
        <v>36</v>
      </c>
      <c r="D89" s="99" t="s">
        <v>1397</v>
      </c>
      <c r="E89" s="99" t="s">
        <v>1398</v>
      </c>
      <c r="F89" s="99"/>
      <c r="G89" s="99" t="s">
        <v>1399</v>
      </c>
      <c r="H89" s="99" t="s">
        <v>1400</v>
      </c>
      <c r="I89" s="99"/>
      <c r="J89" s="99" t="s">
        <v>1401</v>
      </c>
      <c r="K89" s="99" t="s">
        <v>1317</v>
      </c>
      <c r="L89" s="99" t="s">
        <v>1413</v>
      </c>
      <c r="M89" s="99" t="s">
        <v>1414</v>
      </c>
      <c r="N89" s="105">
        <v>7867311.76</v>
      </c>
      <c r="O89" s="105">
        <v>7867311.76</v>
      </c>
      <c r="P89" s="105">
        <v>7867311.76</v>
      </c>
      <c r="Q89" s="117"/>
      <c r="R89" s="104">
        <f t="shared" si="10"/>
        <v>7867311.76</v>
      </c>
      <c r="S89" s="114">
        <f>IFERROR(VLOOKUP(G89,'附表8-合同明细采集底稿'!B:M,12,0),100%)</f>
        <v>1</v>
      </c>
      <c r="T89" s="104">
        <f t="shared" si="11"/>
        <v>7867311.76</v>
      </c>
      <c r="U89" s="99"/>
      <c r="V89" s="99" t="s">
        <v>275</v>
      </c>
      <c r="W89" s="116">
        <f>IF('附表1-面积统计表'!$D$29=0,"",IF(AND(V89="共同成本费用",Z89="总建筑面积法"),ROUND(T89/'附表1-面积统计表'!$D$29*'附表1-面积统计表'!$D$5,2),IF(AND(V89="共同成本费用",Z89="可售建筑面积法"),ROUND(T89/'附表1-面积统计表'!$F$29*'附表1-面积统计表'!$F$5,2),"请手工填写")))</f>
        <v>5737629.44</v>
      </c>
      <c r="X89" s="116">
        <f t="shared" si="12"/>
        <v>0</v>
      </c>
      <c r="Y89" s="116">
        <f>IF(SUM('附表1-面积统计表'!$D$6)=0,SUM(T89)-SUM(W89),IF('附表1-面积统计表'!$D$29=0,"",IF(AND(V89="共同成本费用",Z89="总建筑面积法"),ROUND(T89/'附表1-面积统计表'!$D$29*'附表1-面积统计表'!$D$7,2),IF(AND(V89="共同成本费用",Z89="可售建筑面积法"),ROUND(T89/'附表1-面积统计表'!$F$29*'附表1-面积统计表'!$F$7,2),"请手工填写"))))</f>
        <v>2129682.32</v>
      </c>
      <c r="Z89" s="99" t="s">
        <v>251</v>
      </c>
      <c r="AA89" s="99"/>
      <c r="AB89" s="119" t="s">
        <v>1259</v>
      </c>
    </row>
    <row r="90" ht="24" customHeight="1" spans="1:28">
      <c r="A90" s="93">
        <v>84</v>
      </c>
      <c r="B90" s="99" t="s">
        <v>1415</v>
      </c>
      <c r="C90" s="99">
        <v>41</v>
      </c>
      <c r="D90" s="99" t="s">
        <v>1397</v>
      </c>
      <c r="E90" s="99" t="s">
        <v>1407</v>
      </c>
      <c r="F90" s="99"/>
      <c r="G90" s="99"/>
      <c r="H90" s="99"/>
      <c r="I90" s="99"/>
      <c r="J90" s="99" t="s">
        <v>1416</v>
      </c>
      <c r="K90" s="99" t="s">
        <v>1317</v>
      </c>
      <c r="L90" s="99">
        <v>6500164320</v>
      </c>
      <c r="M90" s="99" t="s">
        <v>1417</v>
      </c>
      <c r="N90" s="105">
        <v>221000</v>
      </c>
      <c r="O90" s="105">
        <v>221000</v>
      </c>
      <c r="P90" s="105">
        <v>221000</v>
      </c>
      <c r="Q90" s="117"/>
      <c r="R90" s="104">
        <f t="shared" si="10"/>
        <v>221000</v>
      </c>
      <c r="S90" s="114">
        <f>IFERROR(VLOOKUP(G90,'附表8-合同明细采集底稿'!B:M,12,0),100%)</f>
        <v>1</v>
      </c>
      <c r="T90" s="104">
        <f t="shared" si="11"/>
        <v>221000</v>
      </c>
      <c r="U90" s="99"/>
      <c r="V90" s="99" t="s">
        <v>275</v>
      </c>
      <c r="W90" s="116">
        <f>IF('附表1-面积统计表'!$D$29=0,"",IF(AND(V90="共同成本费用",Z90="总建筑面积法"),ROUND(T90/'附表1-面积统计表'!$D$29*'附表1-面积统计表'!$D$5,2),IF(AND(V90="共同成本费用",Z90="可售建筑面积法"),ROUND(T90/'附表1-面积统计表'!$F$29*'附表1-面积统计表'!$F$5,2),"请手工填写")))</f>
        <v>161175.27</v>
      </c>
      <c r="X90" s="116"/>
      <c r="Y90" s="116">
        <f>IF(SUM('附表1-面积统计表'!$D$6)=0,SUM(T90)-SUM(W90),IF('附表1-面积统计表'!$D$29=0,"",IF(AND(V90="共同成本费用",Z90="总建筑面积法"),ROUND(T90/'附表1-面积统计表'!$D$29*'附表1-面积统计表'!$D$7,2),IF(AND(V90="共同成本费用",Z90="可售建筑面积法"),ROUND(T90/'附表1-面积统计表'!$F$29*'附表1-面积统计表'!$F$7,2),"请手工填写"))))</f>
        <v>59824.73</v>
      </c>
      <c r="Z90" s="99" t="s">
        <v>251</v>
      </c>
      <c r="AA90" s="99"/>
      <c r="AB90" s="119" t="s">
        <v>1259</v>
      </c>
    </row>
    <row r="91" ht="24" customHeight="1" spans="1:28">
      <c r="A91" s="93">
        <v>85</v>
      </c>
      <c r="B91" s="99" t="s">
        <v>1418</v>
      </c>
      <c r="C91" s="99">
        <v>1</v>
      </c>
      <c r="D91" s="99" t="s">
        <v>1397</v>
      </c>
      <c r="E91" s="99" t="s">
        <v>1407</v>
      </c>
      <c r="F91" s="99"/>
      <c r="G91" s="99"/>
      <c r="H91" s="99"/>
      <c r="I91" s="99"/>
      <c r="J91" s="99" t="s">
        <v>1416</v>
      </c>
      <c r="K91" s="99" t="s">
        <v>1317</v>
      </c>
      <c r="L91" s="99">
        <v>6500164320</v>
      </c>
      <c r="M91" s="99" t="s">
        <v>1419</v>
      </c>
      <c r="N91" s="105">
        <v>221000</v>
      </c>
      <c r="O91" s="105">
        <v>221000</v>
      </c>
      <c r="P91" s="105">
        <v>221000</v>
      </c>
      <c r="Q91" s="117"/>
      <c r="R91" s="104">
        <f t="shared" si="10"/>
        <v>221000</v>
      </c>
      <c r="S91" s="114">
        <f>IFERROR(VLOOKUP(G91,'附表8-合同明细采集底稿'!B:M,12,0),100%)</f>
        <v>1</v>
      </c>
      <c r="T91" s="104">
        <f t="shared" si="11"/>
        <v>221000</v>
      </c>
      <c r="U91" s="99"/>
      <c r="V91" s="99" t="s">
        <v>275</v>
      </c>
      <c r="W91" s="116">
        <f>IF('附表1-面积统计表'!$D$29=0,"",IF(AND(V91="共同成本费用",Z91="总建筑面积法"),ROUND(T91/'附表1-面积统计表'!$D$29*'附表1-面积统计表'!$D$5,2),IF(AND(V91="共同成本费用",Z91="可售建筑面积法"),ROUND(T91/'附表1-面积统计表'!$F$29*'附表1-面积统计表'!$F$5,2),"请手工填写")))</f>
        <v>161175.27</v>
      </c>
      <c r="X91" s="116">
        <f t="shared" si="12"/>
        <v>0</v>
      </c>
      <c r="Y91" s="116">
        <f>IF(SUM('附表1-面积统计表'!$D$6)=0,SUM(T91)-SUM(W91),IF('附表1-面积统计表'!$D$29=0,"",IF(AND(V91="共同成本费用",Z91="总建筑面积法"),ROUND(T91/'附表1-面积统计表'!$D$29*'附表1-面积统计表'!$D$7,2),IF(AND(V91="共同成本费用",Z91="可售建筑面积法"),ROUND(T91/'附表1-面积统计表'!$F$29*'附表1-面积统计表'!$F$7,2),"请手工填写"))))</f>
        <v>59824.73</v>
      </c>
      <c r="Z91" s="99" t="s">
        <v>251</v>
      </c>
      <c r="AA91" s="99"/>
      <c r="AB91" s="119" t="s">
        <v>1259</v>
      </c>
    </row>
    <row r="92" ht="24" customHeight="1" spans="1:28">
      <c r="A92" s="93">
        <v>86</v>
      </c>
      <c r="B92" s="99" t="s">
        <v>1420</v>
      </c>
      <c r="C92" s="99">
        <v>1</v>
      </c>
      <c r="D92" s="99" t="s">
        <v>1397</v>
      </c>
      <c r="E92" s="99" t="s">
        <v>1407</v>
      </c>
      <c r="F92" s="99"/>
      <c r="G92" s="99"/>
      <c r="H92" s="99"/>
      <c r="I92" s="99"/>
      <c r="J92" s="99" t="s">
        <v>1416</v>
      </c>
      <c r="K92" s="99" t="s">
        <v>1317</v>
      </c>
      <c r="L92" s="99">
        <v>6500174320</v>
      </c>
      <c r="M92" s="99">
        <v>12535649</v>
      </c>
      <c r="N92" s="105">
        <v>45000</v>
      </c>
      <c r="O92" s="105">
        <v>45000</v>
      </c>
      <c r="P92" s="105">
        <v>45000</v>
      </c>
      <c r="Q92" s="117"/>
      <c r="R92" s="104">
        <f t="shared" si="10"/>
        <v>45000</v>
      </c>
      <c r="S92" s="114">
        <f>IFERROR(VLOOKUP(G92,'附表8-合同明细采集底稿'!B:M,12,0),100%)</f>
        <v>1</v>
      </c>
      <c r="T92" s="104">
        <f t="shared" si="11"/>
        <v>45000</v>
      </c>
      <c r="U92" s="99"/>
      <c r="V92" s="99" t="s">
        <v>275</v>
      </c>
      <c r="W92" s="116">
        <f>IF('附表1-面积统计表'!$D$29=0,"",IF(AND(V92="共同成本费用",Z92="总建筑面积法"),ROUND(T92/'附表1-面积统计表'!$D$29*'附表1-面积统计表'!$D$5,2),IF(AND(V92="共同成本费用",Z92="可售建筑面积法"),ROUND(T92/'附表1-面积统计表'!$F$29*'附表1-面积统计表'!$F$5,2),"请手工填写")))</f>
        <v>32818.49</v>
      </c>
      <c r="X92" s="116">
        <f t="shared" si="12"/>
        <v>0</v>
      </c>
      <c r="Y92" s="116">
        <f>IF(SUM('附表1-面积统计表'!$D$6)=0,SUM(T92)-SUM(W92),IF('附表1-面积统计表'!$D$29=0,"",IF(AND(V92="共同成本费用",Z92="总建筑面积法"),ROUND(T92/'附表1-面积统计表'!$D$29*'附表1-面积统计表'!$D$7,2),IF(AND(V92="共同成本费用",Z92="可售建筑面积法"),ROUND(T92/'附表1-面积统计表'!$F$29*'附表1-面积统计表'!$F$7,2),"请手工填写"))))</f>
        <v>12181.51</v>
      </c>
      <c r="Z92" s="99" t="s">
        <v>251</v>
      </c>
      <c r="AA92" s="99"/>
      <c r="AB92" s="119" t="s">
        <v>1259</v>
      </c>
    </row>
    <row r="93" ht="24" hidden="1" customHeight="1" spans="1:28">
      <c r="A93" s="93">
        <v>87</v>
      </c>
      <c r="B93" s="99" t="s">
        <v>1421</v>
      </c>
      <c r="C93" s="99">
        <v>100</v>
      </c>
      <c r="D93" s="99" t="s">
        <v>1397</v>
      </c>
      <c r="E93" s="99" t="s">
        <v>1422</v>
      </c>
      <c r="F93" s="99"/>
      <c r="G93" s="99"/>
      <c r="H93" s="99"/>
      <c r="I93" s="99"/>
      <c r="J93" s="99" t="s">
        <v>1423</v>
      </c>
      <c r="K93" s="99" t="s">
        <v>1317</v>
      </c>
      <c r="L93" s="99">
        <v>65001600111</v>
      </c>
      <c r="M93" s="99" t="s">
        <v>1424</v>
      </c>
      <c r="N93" s="105">
        <v>29952</v>
      </c>
      <c r="O93" s="105">
        <v>29952</v>
      </c>
      <c r="P93" s="105">
        <v>29952</v>
      </c>
      <c r="Q93" s="105">
        <v>-29952</v>
      </c>
      <c r="R93" s="104">
        <f t="shared" ref="R93:R124" si="13">P93+Q93</f>
        <v>0</v>
      </c>
      <c r="S93" s="114">
        <f>IFERROR(VLOOKUP(G93,'附表8-合同明细采集底稿'!B:M,12,0),100%)</f>
        <v>1</v>
      </c>
      <c r="T93" s="104">
        <f t="shared" ref="T93:T124" si="14">ROUND(SUM(R93)*SUM(S93),2)</f>
        <v>0</v>
      </c>
      <c r="U93" s="99"/>
      <c r="V93" s="99" t="s">
        <v>274</v>
      </c>
      <c r="W93" s="120">
        <v>0</v>
      </c>
      <c r="X93" s="116">
        <f t="shared" si="12"/>
        <v>0</v>
      </c>
      <c r="Y93" s="120">
        <v>0</v>
      </c>
      <c r="Z93" s="99" t="s">
        <v>1425</v>
      </c>
      <c r="AA93" s="99"/>
      <c r="AB93" s="119" t="s">
        <v>1259</v>
      </c>
    </row>
    <row r="94" ht="24" hidden="1" customHeight="1" spans="1:28">
      <c r="A94" s="93">
        <v>88</v>
      </c>
      <c r="B94" s="99" t="s">
        <v>1421</v>
      </c>
      <c r="C94" s="99">
        <v>100</v>
      </c>
      <c r="D94" s="99" t="s">
        <v>1397</v>
      </c>
      <c r="E94" s="99" t="s">
        <v>1422</v>
      </c>
      <c r="F94" s="99"/>
      <c r="G94" s="99"/>
      <c r="H94" s="99"/>
      <c r="I94" s="99"/>
      <c r="J94" s="99" t="s">
        <v>1423</v>
      </c>
      <c r="K94" s="99" t="s">
        <v>1317</v>
      </c>
      <c r="L94" s="99">
        <v>65001800211</v>
      </c>
      <c r="M94" s="99" t="s">
        <v>1426</v>
      </c>
      <c r="N94" s="105">
        <v>199360</v>
      </c>
      <c r="O94" s="105">
        <v>199360</v>
      </c>
      <c r="P94" s="105">
        <v>199360</v>
      </c>
      <c r="Q94" s="105">
        <v>-199360</v>
      </c>
      <c r="R94" s="104">
        <f t="shared" si="13"/>
        <v>0</v>
      </c>
      <c r="S94" s="114">
        <f>IFERROR(VLOOKUP(G94,'附表8-合同明细采集底稿'!B:M,12,0),100%)</f>
        <v>1</v>
      </c>
      <c r="T94" s="104">
        <f t="shared" si="14"/>
        <v>0</v>
      </c>
      <c r="U94" s="99"/>
      <c r="V94" s="99" t="s">
        <v>274</v>
      </c>
      <c r="W94" s="120">
        <v>0</v>
      </c>
      <c r="X94" s="116">
        <f t="shared" si="12"/>
        <v>0</v>
      </c>
      <c r="Y94" s="120">
        <v>0</v>
      </c>
      <c r="Z94" s="99" t="s">
        <v>1425</v>
      </c>
      <c r="AA94" s="99"/>
      <c r="AB94" s="119" t="s">
        <v>1259</v>
      </c>
    </row>
    <row r="95" ht="24" hidden="1" customHeight="1" spans="1:28">
      <c r="A95" s="93">
        <v>89</v>
      </c>
      <c r="B95" s="99" t="s">
        <v>1421</v>
      </c>
      <c r="C95" s="99">
        <v>100</v>
      </c>
      <c r="D95" s="99" t="s">
        <v>1397</v>
      </c>
      <c r="E95" s="99" t="s">
        <v>1422</v>
      </c>
      <c r="F95" s="99"/>
      <c r="G95" s="99"/>
      <c r="H95" s="99"/>
      <c r="I95" s="99"/>
      <c r="J95" s="99" t="s">
        <v>1427</v>
      </c>
      <c r="K95" s="99" t="s">
        <v>1317</v>
      </c>
      <c r="L95" s="99">
        <v>65001800211</v>
      </c>
      <c r="M95" s="99" t="s">
        <v>1428</v>
      </c>
      <c r="N95" s="105">
        <v>143700</v>
      </c>
      <c r="O95" s="105">
        <v>143700</v>
      </c>
      <c r="P95" s="105">
        <v>143700</v>
      </c>
      <c r="Q95" s="105">
        <v>-143700</v>
      </c>
      <c r="R95" s="104">
        <f t="shared" si="13"/>
        <v>0</v>
      </c>
      <c r="S95" s="114">
        <f>IFERROR(VLOOKUP(G95,'附表8-合同明细采集底稿'!B:M,12,0),100%)</f>
        <v>1</v>
      </c>
      <c r="T95" s="104">
        <f t="shared" si="14"/>
        <v>0</v>
      </c>
      <c r="U95" s="99"/>
      <c r="V95" s="99" t="s">
        <v>274</v>
      </c>
      <c r="W95" s="120">
        <v>0</v>
      </c>
      <c r="X95" s="116">
        <f t="shared" si="12"/>
        <v>0</v>
      </c>
      <c r="Y95" s="120">
        <v>0</v>
      </c>
      <c r="Z95" s="99" t="s">
        <v>1425</v>
      </c>
      <c r="AA95" s="99"/>
      <c r="AB95" s="119" t="s">
        <v>1259</v>
      </c>
    </row>
    <row r="96" ht="24" hidden="1" customHeight="1" spans="1:28">
      <c r="A96" s="93">
        <v>90</v>
      </c>
      <c r="B96" s="99" t="s">
        <v>1421</v>
      </c>
      <c r="C96" s="99">
        <v>100</v>
      </c>
      <c r="D96" s="99" t="s">
        <v>1397</v>
      </c>
      <c r="E96" s="99" t="s">
        <v>1422</v>
      </c>
      <c r="F96" s="99"/>
      <c r="G96" s="99"/>
      <c r="H96" s="99"/>
      <c r="I96" s="99"/>
      <c r="J96" s="99" t="s">
        <v>1427</v>
      </c>
      <c r="K96" s="99" t="s">
        <v>1317</v>
      </c>
      <c r="L96" s="99">
        <v>65001800211</v>
      </c>
      <c r="M96" s="99">
        <v>37074303</v>
      </c>
      <c r="N96" s="105">
        <v>10240</v>
      </c>
      <c r="O96" s="105">
        <v>10240</v>
      </c>
      <c r="P96" s="105">
        <v>10240</v>
      </c>
      <c r="Q96" s="105">
        <v>-10240</v>
      </c>
      <c r="R96" s="104">
        <f t="shared" si="13"/>
        <v>0</v>
      </c>
      <c r="S96" s="114">
        <f>IFERROR(VLOOKUP(G96,'附表8-合同明细采集底稿'!B:M,12,0),100%)</f>
        <v>1</v>
      </c>
      <c r="T96" s="104">
        <f t="shared" si="14"/>
        <v>0</v>
      </c>
      <c r="U96" s="99"/>
      <c r="V96" s="99" t="s">
        <v>274</v>
      </c>
      <c r="W96" s="120">
        <v>0</v>
      </c>
      <c r="X96" s="116">
        <f t="shared" si="12"/>
        <v>0</v>
      </c>
      <c r="Y96" s="120">
        <v>0</v>
      </c>
      <c r="Z96" s="99" t="s">
        <v>1425</v>
      </c>
      <c r="AA96" s="99"/>
      <c r="AB96" s="119" t="s">
        <v>1259</v>
      </c>
    </row>
    <row r="97" ht="24" hidden="1" customHeight="1" spans="1:28">
      <c r="A97" s="93">
        <v>91</v>
      </c>
      <c r="B97" s="99" t="s">
        <v>1421</v>
      </c>
      <c r="C97" s="99">
        <v>100</v>
      </c>
      <c r="D97" s="99" t="s">
        <v>1397</v>
      </c>
      <c r="E97" s="99" t="s">
        <v>1422</v>
      </c>
      <c r="F97" s="99"/>
      <c r="G97" s="99"/>
      <c r="H97" s="99"/>
      <c r="I97" s="99"/>
      <c r="J97" s="99" t="s">
        <v>1429</v>
      </c>
      <c r="K97" s="99" t="s">
        <v>1317</v>
      </c>
      <c r="L97" s="99">
        <v>65001800211</v>
      </c>
      <c r="M97" s="99" t="s">
        <v>1430</v>
      </c>
      <c r="N97" s="105">
        <v>195330</v>
      </c>
      <c r="O97" s="105">
        <v>195330</v>
      </c>
      <c r="P97" s="105">
        <v>195330</v>
      </c>
      <c r="Q97" s="105">
        <v>-195330</v>
      </c>
      <c r="R97" s="104">
        <f t="shared" si="13"/>
        <v>0</v>
      </c>
      <c r="S97" s="114">
        <f>IFERROR(VLOOKUP(G97,'附表8-合同明细采集底稿'!B:M,12,0),100%)</f>
        <v>1</v>
      </c>
      <c r="T97" s="104">
        <f t="shared" si="14"/>
        <v>0</v>
      </c>
      <c r="U97" s="99"/>
      <c r="V97" s="99" t="s">
        <v>274</v>
      </c>
      <c r="W97" s="120">
        <v>0</v>
      </c>
      <c r="X97" s="116">
        <f t="shared" si="12"/>
        <v>0</v>
      </c>
      <c r="Y97" s="120">
        <v>0</v>
      </c>
      <c r="Z97" s="99" t="s">
        <v>1425</v>
      </c>
      <c r="AA97" s="99"/>
      <c r="AB97" s="119" t="s">
        <v>1259</v>
      </c>
    </row>
    <row r="98" ht="24" hidden="1" customHeight="1" spans="1:28">
      <c r="A98" s="93">
        <v>92</v>
      </c>
      <c r="B98" s="99" t="s">
        <v>1421</v>
      </c>
      <c r="C98" s="99">
        <v>100</v>
      </c>
      <c r="D98" s="99" t="s">
        <v>1397</v>
      </c>
      <c r="E98" s="99" t="s">
        <v>1422</v>
      </c>
      <c r="F98" s="99"/>
      <c r="G98" s="99"/>
      <c r="H98" s="99"/>
      <c r="I98" s="99"/>
      <c r="J98" s="99" t="s">
        <v>1431</v>
      </c>
      <c r="K98" s="99" t="s">
        <v>1317</v>
      </c>
      <c r="L98" s="99">
        <v>65001800211</v>
      </c>
      <c r="M98" s="99" t="s">
        <v>1432</v>
      </c>
      <c r="N98" s="105">
        <v>59726</v>
      </c>
      <c r="O98" s="105">
        <v>50000</v>
      </c>
      <c r="P98" s="105">
        <v>50000</v>
      </c>
      <c r="Q98" s="105">
        <v>-50000</v>
      </c>
      <c r="R98" s="104">
        <f t="shared" si="13"/>
        <v>0</v>
      </c>
      <c r="S98" s="114">
        <f>IFERROR(VLOOKUP(G98,'附表8-合同明细采集底稿'!B:M,12,0),100%)</f>
        <v>1</v>
      </c>
      <c r="T98" s="104">
        <f t="shared" si="14"/>
        <v>0</v>
      </c>
      <c r="U98" s="99"/>
      <c r="V98" s="99" t="s">
        <v>274</v>
      </c>
      <c r="W98" s="120">
        <v>0</v>
      </c>
      <c r="X98" s="116">
        <f t="shared" si="12"/>
        <v>0</v>
      </c>
      <c r="Y98" s="120">
        <v>0</v>
      </c>
      <c r="Z98" s="99" t="s">
        <v>1425</v>
      </c>
      <c r="AA98" s="99"/>
      <c r="AB98" s="119" t="s">
        <v>1259</v>
      </c>
    </row>
    <row r="99" ht="24" hidden="1" customHeight="1" spans="1:28">
      <c r="A99" s="93">
        <v>93</v>
      </c>
      <c r="B99" s="99" t="s">
        <v>1421</v>
      </c>
      <c r="C99" s="99">
        <v>100</v>
      </c>
      <c r="D99" s="99" t="s">
        <v>1397</v>
      </c>
      <c r="E99" s="99" t="s">
        <v>1422</v>
      </c>
      <c r="F99" s="99"/>
      <c r="G99" s="99"/>
      <c r="H99" s="99"/>
      <c r="I99" s="99"/>
      <c r="J99" s="99" t="s">
        <v>1433</v>
      </c>
      <c r="K99" s="99" t="s">
        <v>1317</v>
      </c>
      <c r="L99" s="99">
        <v>65001800211</v>
      </c>
      <c r="M99" s="99" t="s">
        <v>1434</v>
      </c>
      <c r="N99" s="105">
        <v>239649</v>
      </c>
      <c r="O99" s="105">
        <v>239649</v>
      </c>
      <c r="P99" s="105">
        <v>239649</v>
      </c>
      <c r="Q99" s="105">
        <v>-239649</v>
      </c>
      <c r="R99" s="104">
        <f t="shared" si="13"/>
        <v>0</v>
      </c>
      <c r="S99" s="114">
        <f>IFERROR(VLOOKUP(G99,'附表8-合同明细采集底稿'!B:M,12,0),100%)</f>
        <v>1</v>
      </c>
      <c r="T99" s="104">
        <f t="shared" si="14"/>
        <v>0</v>
      </c>
      <c r="U99" s="99"/>
      <c r="V99" s="99" t="s">
        <v>274</v>
      </c>
      <c r="W99" s="120">
        <v>0</v>
      </c>
      <c r="X99" s="116">
        <f t="shared" si="12"/>
        <v>0</v>
      </c>
      <c r="Y99" s="120">
        <v>0</v>
      </c>
      <c r="Z99" s="99" t="s">
        <v>1425</v>
      </c>
      <c r="AA99" s="99"/>
      <c r="AB99" s="119" t="s">
        <v>1259</v>
      </c>
    </row>
    <row r="100" ht="24" hidden="1" customHeight="1" spans="1:28">
      <c r="A100" s="93">
        <v>94</v>
      </c>
      <c r="B100" s="99" t="s">
        <v>1421</v>
      </c>
      <c r="C100" s="99">
        <v>100</v>
      </c>
      <c r="D100" s="99" t="s">
        <v>1397</v>
      </c>
      <c r="E100" s="99" t="s">
        <v>1422</v>
      </c>
      <c r="F100" s="99"/>
      <c r="G100" s="99"/>
      <c r="H100" s="99"/>
      <c r="I100" s="99"/>
      <c r="J100" s="99" t="s">
        <v>1435</v>
      </c>
      <c r="K100" s="99" t="s">
        <v>1317</v>
      </c>
      <c r="L100" s="99">
        <v>65001800211</v>
      </c>
      <c r="M100" s="99" t="s">
        <v>1436</v>
      </c>
      <c r="N100" s="105">
        <v>200000</v>
      </c>
      <c r="O100" s="105">
        <v>200000</v>
      </c>
      <c r="P100" s="105">
        <v>200000</v>
      </c>
      <c r="Q100" s="105">
        <v>-200000</v>
      </c>
      <c r="R100" s="104">
        <f t="shared" si="13"/>
        <v>0</v>
      </c>
      <c r="S100" s="114">
        <f>IFERROR(VLOOKUP(G100,'附表8-合同明细采集底稿'!B:M,12,0),100%)</f>
        <v>1</v>
      </c>
      <c r="T100" s="104">
        <f t="shared" si="14"/>
        <v>0</v>
      </c>
      <c r="U100" s="99"/>
      <c r="V100" s="99" t="s">
        <v>274</v>
      </c>
      <c r="W100" s="120">
        <v>0</v>
      </c>
      <c r="X100" s="116">
        <f t="shared" si="12"/>
        <v>0</v>
      </c>
      <c r="Y100" s="120">
        <v>0</v>
      </c>
      <c r="Z100" s="99" t="s">
        <v>1425</v>
      </c>
      <c r="AA100" s="99"/>
      <c r="AB100" s="119" t="s">
        <v>1259</v>
      </c>
    </row>
    <row r="101" ht="24" hidden="1" customHeight="1" spans="1:28">
      <c r="A101" s="93">
        <v>95</v>
      </c>
      <c r="B101" s="99" t="s">
        <v>1421</v>
      </c>
      <c r="C101" s="99">
        <v>100</v>
      </c>
      <c r="D101" s="99" t="s">
        <v>1397</v>
      </c>
      <c r="E101" s="99" t="s">
        <v>1422</v>
      </c>
      <c r="F101" s="99"/>
      <c r="G101" s="99"/>
      <c r="H101" s="99"/>
      <c r="I101" s="99"/>
      <c r="J101" s="99" t="s">
        <v>1437</v>
      </c>
      <c r="K101" s="99" t="s">
        <v>1317</v>
      </c>
      <c r="L101" s="99">
        <v>65001800211</v>
      </c>
      <c r="M101" s="99" t="s">
        <v>1438</v>
      </c>
      <c r="N101" s="105">
        <v>200000</v>
      </c>
      <c r="O101" s="105">
        <v>200000</v>
      </c>
      <c r="P101" s="105">
        <v>200000</v>
      </c>
      <c r="Q101" s="105">
        <v>-200000</v>
      </c>
      <c r="R101" s="104">
        <f t="shared" si="13"/>
        <v>0</v>
      </c>
      <c r="S101" s="114">
        <f>IFERROR(VLOOKUP(G101,'附表8-合同明细采集底稿'!B:M,12,0),100%)</f>
        <v>1</v>
      </c>
      <c r="T101" s="104">
        <f t="shared" si="14"/>
        <v>0</v>
      </c>
      <c r="U101" s="99"/>
      <c r="V101" s="99" t="s">
        <v>274</v>
      </c>
      <c r="W101" s="120">
        <v>0</v>
      </c>
      <c r="X101" s="116">
        <f t="shared" si="12"/>
        <v>0</v>
      </c>
      <c r="Y101" s="120">
        <v>0</v>
      </c>
      <c r="Z101" s="99" t="s">
        <v>1425</v>
      </c>
      <c r="AA101" s="99"/>
      <c r="AB101" s="119" t="s">
        <v>1259</v>
      </c>
    </row>
    <row r="102" ht="24" hidden="1" customHeight="1" spans="1:28">
      <c r="A102" s="93">
        <v>96</v>
      </c>
      <c r="B102" s="99" t="s">
        <v>1421</v>
      </c>
      <c r="C102" s="99">
        <v>100</v>
      </c>
      <c r="D102" s="99" t="s">
        <v>1397</v>
      </c>
      <c r="E102" s="99" t="s">
        <v>1422</v>
      </c>
      <c r="F102" s="99"/>
      <c r="G102" s="99"/>
      <c r="H102" s="99"/>
      <c r="I102" s="99"/>
      <c r="J102" s="99" t="s">
        <v>1439</v>
      </c>
      <c r="K102" s="99" t="s">
        <v>1317</v>
      </c>
      <c r="L102" s="99">
        <v>65001800211</v>
      </c>
      <c r="M102" s="99" t="s">
        <v>1440</v>
      </c>
      <c r="N102" s="105">
        <v>129618</v>
      </c>
      <c r="O102" s="105">
        <v>130937</v>
      </c>
      <c r="P102" s="105">
        <v>130937</v>
      </c>
      <c r="Q102" s="105">
        <v>-130937</v>
      </c>
      <c r="R102" s="104">
        <f t="shared" si="13"/>
        <v>0</v>
      </c>
      <c r="S102" s="114">
        <f>IFERROR(VLOOKUP(G102,'附表8-合同明细采集底稿'!B:M,12,0),100%)</f>
        <v>1</v>
      </c>
      <c r="T102" s="104">
        <f t="shared" si="14"/>
        <v>0</v>
      </c>
      <c r="U102" s="99"/>
      <c r="V102" s="99" t="s">
        <v>274</v>
      </c>
      <c r="W102" s="120">
        <v>0</v>
      </c>
      <c r="X102" s="116">
        <f t="shared" si="12"/>
        <v>0</v>
      </c>
      <c r="Y102" s="120">
        <v>0</v>
      </c>
      <c r="Z102" s="99" t="s">
        <v>1425</v>
      </c>
      <c r="AA102" s="99"/>
      <c r="AB102" s="119" t="s">
        <v>1259</v>
      </c>
    </row>
    <row r="103" ht="24" hidden="1" customHeight="1" spans="1:28">
      <c r="A103" s="93">
        <v>97</v>
      </c>
      <c r="B103" s="99" t="s">
        <v>1421</v>
      </c>
      <c r="C103" s="99">
        <v>100</v>
      </c>
      <c r="D103" s="99" t="s">
        <v>1397</v>
      </c>
      <c r="E103" s="99" t="s">
        <v>1422</v>
      </c>
      <c r="F103" s="99"/>
      <c r="G103" s="99"/>
      <c r="H103" s="99"/>
      <c r="I103" s="99"/>
      <c r="J103" s="99" t="s">
        <v>1441</v>
      </c>
      <c r="K103" s="99" t="s">
        <v>1317</v>
      </c>
      <c r="L103" s="99">
        <v>6500174320</v>
      </c>
      <c r="M103" s="99" t="s">
        <v>1442</v>
      </c>
      <c r="N103" s="105">
        <v>1605152.16</v>
      </c>
      <c r="O103" s="105">
        <v>1605152.16</v>
      </c>
      <c r="P103" s="105">
        <v>1605152.16</v>
      </c>
      <c r="Q103" s="105">
        <v>-1605152.16</v>
      </c>
      <c r="R103" s="104">
        <f t="shared" si="13"/>
        <v>0</v>
      </c>
      <c r="S103" s="114">
        <f>IFERROR(VLOOKUP(G103,'附表8-合同明细采集底稿'!B:M,12,0),100%)</f>
        <v>1</v>
      </c>
      <c r="T103" s="104">
        <f t="shared" si="14"/>
        <v>0</v>
      </c>
      <c r="U103" s="99"/>
      <c r="V103" s="99" t="s">
        <v>274</v>
      </c>
      <c r="W103" s="120">
        <v>0</v>
      </c>
      <c r="X103" s="116">
        <f t="shared" si="12"/>
        <v>0</v>
      </c>
      <c r="Y103" s="120">
        <v>0</v>
      </c>
      <c r="Z103" s="99" t="s">
        <v>1425</v>
      </c>
      <c r="AA103" s="99"/>
      <c r="AB103" s="119" t="s">
        <v>1259</v>
      </c>
    </row>
    <row r="104" ht="24" customHeight="1" spans="1:28">
      <c r="A104" s="93">
        <v>98</v>
      </c>
      <c r="B104" s="99" t="s">
        <v>1443</v>
      </c>
      <c r="C104" s="99">
        <v>41</v>
      </c>
      <c r="D104" s="99" t="s">
        <v>1397</v>
      </c>
      <c r="E104" s="99" t="s">
        <v>1407</v>
      </c>
      <c r="F104" s="99"/>
      <c r="G104" s="99"/>
      <c r="H104" s="99"/>
      <c r="I104" s="99"/>
      <c r="J104" s="99" t="s">
        <v>1416</v>
      </c>
      <c r="K104" s="99" t="s">
        <v>1317</v>
      </c>
      <c r="L104" s="99">
        <v>6500174320</v>
      </c>
      <c r="M104" s="99" t="s">
        <v>1444</v>
      </c>
      <c r="N104" s="105">
        <v>532650</v>
      </c>
      <c r="O104" s="105">
        <v>532650</v>
      </c>
      <c r="P104" s="105">
        <v>532650</v>
      </c>
      <c r="Q104" s="117">
        <v>-44650</v>
      </c>
      <c r="R104" s="104">
        <f t="shared" si="13"/>
        <v>488000</v>
      </c>
      <c r="S104" s="114">
        <f>IFERROR(VLOOKUP(G104,'附表8-合同明细采集底稿'!B:M,12,0),100%)</f>
        <v>1</v>
      </c>
      <c r="T104" s="104">
        <f t="shared" si="14"/>
        <v>488000</v>
      </c>
      <c r="U104" s="99"/>
      <c r="V104" s="99" t="s">
        <v>275</v>
      </c>
      <c r="W104" s="116">
        <f>IF('附表1-面积统计表'!$D$29=0,"",IF(AND(V104="共同成本费用",Z104="总建筑面积法"),ROUND(T104/'附表1-面积统计表'!$D$29*'附表1-面积统计表'!$D$5,2),IF(AND(V104="共同成本费用",Z104="可售建筑面积法"),ROUND(T104/'附表1-面积统计表'!$F$29*'附表1-面积统计表'!$F$5,2),"请手工填写")))</f>
        <v>355898.34</v>
      </c>
      <c r="X104" s="116">
        <f t="shared" ref="X104:X135" si="15">T104-W104-Y104</f>
        <v>0</v>
      </c>
      <c r="Y104" s="116">
        <f>IF(SUM('附表1-面积统计表'!$D$6)=0,SUM(T104)-SUM(W104),IF('附表1-面积统计表'!$D$29=0,"",IF(AND(V104="共同成本费用",Z104="总建筑面积法"),ROUND(T104/'附表1-面积统计表'!$D$29*'附表1-面积统计表'!$D$7,2),IF(AND(V104="共同成本费用",Z104="可售建筑面积法"),ROUND(T104/'附表1-面积统计表'!$F$29*'附表1-面积统计表'!$F$7,2),"请手工填写"))))</f>
        <v>132101.66</v>
      </c>
      <c r="Z104" s="99" t="s">
        <v>251</v>
      </c>
      <c r="AA104" s="99"/>
      <c r="AB104" s="119" t="s">
        <v>1259</v>
      </c>
    </row>
    <row r="105" ht="24" hidden="1" customHeight="1" spans="1:28">
      <c r="A105" s="93">
        <v>99</v>
      </c>
      <c r="B105" s="99" t="s">
        <v>1421</v>
      </c>
      <c r="C105" s="99">
        <v>100</v>
      </c>
      <c r="D105" s="99" t="s">
        <v>1397</v>
      </c>
      <c r="E105" s="99" t="s">
        <v>1422</v>
      </c>
      <c r="F105" s="99"/>
      <c r="G105" s="99"/>
      <c r="H105" s="99"/>
      <c r="I105" s="99"/>
      <c r="J105" s="99" t="s">
        <v>1445</v>
      </c>
      <c r="K105" s="99" t="s">
        <v>1317</v>
      </c>
      <c r="L105" s="99">
        <v>6500174320</v>
      </c>
      <c r="M105" s="99" t="s">
        <v>1446</v>
      </c>
      <c r="N105" s="105">
        <v>2400000</v>
      </c>
      <c r="O105" s="105">
        <v>1000000</v>
      </c>
      <c r="P105" s="105">
        <v>1000000</v>
      </c>
      <c r="Q105" s="117">
        <v>-1000000</v>
      </c>
      <c r="R105" s="104">
        <f t="shared" si="13"/>
        <v>0</v>
      </c>
      <c r="S105" s="114">
        <f>IFERROR(VLOOKUP(G105,'附表8-合同明细采集底稿'!B:M,12,0),100%)</f>
        <v>1</v>
      </c>
      <c r="T105" s="104">
        <f t="shared" si="14"/>
        <v>0</v>
      </c>
      <c r="U105" s="99"/>
      <c r="V105" s="99" t="s">
        <v>274</v>
      </c>
      <c r="W105" s="120">
        <v>0</v>
      </c>
      <c r="X105" s="116">
        <f t="shared" si="15"/>
        <v>0</v>
      </c>
      <c r="Y105" s="120">
        <v>0</v>
      </c>
      <c r="Z105" s="99" t="s">
        <v>1425</v>
      </c>
      <c r="AA105" s="99"/>
      <c r="AB105" s="119" t="s">
        <v>1259</v>
      </c>
    </row>
    <row r="106" ht="24" hidden="1" customHeight="1" spans="1:28">
      <c r="A106" s="93">
        <v>100</v>
      </c>
      <c r="B106" s="99" t="s">
        <v>1421</v>
      </c>
      <c r="C106" s="99">
        <v>100</v>
      </c>
      <c r="D106" s="99" t="s">
        <v>1397</v>
      </c>
      <c r="E106" s="99" t="s">
        <v>1422</v>
      </c>
      <c r="F106" s="99"/>
      <c r="G106" s="99" t="s">
        <v>1447</v>
      </c>
      <c r="H106" s="99" t="s">
        <v>1448</v>
      </c>
      <c r="I106" s="99"/>
      <c r="J106" s="99" t="s">
        <v>1449</v>
      </c>
      <c r="K106" s="99" t="s">
        <v>1317</v>
      </c>
      <c r="L106" s="99">
        <v>4403184130</v>
      </c>
      <c r="M106" s="99" t="s">
        <v>1450</v>
      </c>
      <c r="N106" s="105">
        <v>1300000</v>
      </c>
      <c r="O106" s="105">
        <v>1300000</v>
      </c>
      <c r="P106" s="105">
        <v>1300000</v>
      </c>
      <c r="Q106" s="105">
        <v>-1300000</v>
      </c>
      <c r="R106" s="104">
        <f t="shared" si="13"/>
        <v>0</v>
      </c>
      <c r="S106" s="114">
        <f>IFERROR(VLOOKUP(G106,'附表8-合同明细采集底稿'!B:M,12,0),100%)</f>
        <v>1</v>
      </c>
      <c r="T106" s="104">
        <f t="shared" si="14"/>
        <v>0</v>
      </c>
      <c r="U106" s="99"/>
      <c r="V106" s="99" t="s">
        <v>274</v>
      </c>
      <c r="W106" s="120">
        <v>0</v>
      </c>
      <c r="X106" s="116">
        <f t="shared" si="15"/>
        <v>0</v>
      </c>
      <c r="Y106" s="120">
        <v>0</v>
      </c>
      <c r="Z106" s="99" t="s">
        <v>1425</v>
      </c>
      <c r="AA106" s="99"/>
      <c r="AB106" s="119" t="s">
        <v>1259</v>
      </c>
    </row>
    <row r="107" ht="24" hidden="1" customHeight="1" spans="1:28">
      <c r="A107" s="93">
        <v>101</v>
      </c>
      <c r="B107" s="99" t="s">
        <v>1421</v>
      </c>
      <c r="C107" s="99">
        <v>100</v>
      </c>
      <c r="D107" s="99" t="s">
        <v>1397</v>
      </c>
      <c r="E107" s="99" t="s">
        <v>1422</v>
      </c>
      <c r="F107" s="99"/>
      <c r="G107" s="99" t="s">
        <v>1447</v>
      </c>
      <c r="H107" s="99" t="s">
        <v>1448</v>
      </c>
      <c r="I107" s="99"/>
      <c r="J107" s="99" t="s">
        <v>1449</v>
      </c>
      <c r="K107" s="99" t="s">
        <v>1317</v>
      </c>
      <c r="L107" s="99">
        <v>4403184130</v>
      </c>
      <c r="M107" s="99" t="s">
        <v>1451</v>
      </c>
      <c r="N107" s="105">
        <v>1100000</v>
      </c>
      <c r="O107" s="105">
        <v>1100000</v>
      </c>
      <c r="P107" s="105">
        <v>1100000</v>
      </c>
      <c r="Q107" s="105">
        <v>-1100000</v>
      </c>
      <c r="R107" s="104">
        <f t="shared" si="13"/>
        <v>0</v>
      </c>
      <c r="S107" s="114">
        <f>IFERROR(VLOOKUP(G107,'附表8-合同明细采集底稿'!B:M,12,0),100%)</f>
        <v>1</v>
      </c>
      <c r="T107" s="104">
        <f t="shared" si="14"/>
        <v>0</v>
      </c>
      <c r="U107" s="99"/>
      <c r="V107" s="99" t="s">
        <v>274</v>
      </c>
      <c r="W107" s="120">
        <v>0</v>
      </c>
      <c r="X107" s="116">
        <f t="shared" si="15"/>
        <v>0</v>
      </c>
      <c r="Y107" s="120">
        <v>0</v>
      </c>
      <c r="Z107" s="99" t="s">
        <v>1425</v>
      </c>
      <c r="AA107" s="99"/>
      <c r="AB107" s="119" t="s">
        <v>1259</v>
      </c>
    </row>
    <row r="108" ht="24" hidden="1" customHeight="1" spans="1:28">
      <c r="A108" s="93">
        <v>102</v>
      </c>
      <c r="B108" s="99" t="s">
        <v>1421</v>
      </c>
      <c r="C108" s="99">
        <v>100</v>
      </c>
      <c r="D108" s="99" t="s">
        <v>1397</v>
      </c>
      <c r="E108" s="99" t="s">
        <v>1422</v>
      </c>
      <c r="F108" s="99"/>
      <c r="G108" s="99" t="s">
        <v>1447</v>
      </c>
      <c r="H108" s="99" t="s">
        <v>1448</v>
      </c>
      <c r="I108" s="99"/>
      <c r="J108" s="99" t="s">
        <v>1449</v>
      </c>
      <c r="K108" s="99" t="s">
        <v>1317</v>
      </c>
      <c r="L108" s="99">
        <v>4403184130</v>
      </c>
      <c r="M108" s="99" t="s">
        <v>1452</v>
      </c>
      <c r="N108" s="105">
        <v>4900000</v>
      </c>
      <c r="O108" s="105">
        <v>4900000</v>
      </c>
      <c r="P108" s="105">
        <v>4900000</v>
      </c>
      <c r="Q108" s="105">
        <v>-4900000</v>
      </c>
      <c r="R108" s="104">
        <f t="shared" si="13"/>
        <v>0</v>
      </c>
      <c r="S108" s="114">
        <f>IFERROR(VLOOKUP(G108,'附表8-合同明细采集底稿'!B:M,12,0),100%)</f>
        <v>1</v>
      </c>
      <c r="T108" s="104">
        <f t="shared" si="14"/>
        <v>0</v>
      </c>
      <c r="U108" s="99"/>
      <c r="V108" s="99" t="s">
        <v>274</v>
      </c>
      <c r="W108" s="120">
        <v>0</v>
      </c>
      <c r="X108" s="116">
        <f t="shared" si="15"/>
        <v>0</v>
      </c>
      <c r="Y108" s="120">
        <v>0</v>
      </c>
      <c r="Z108" s="99" t="s">
        <v>1425</v>
      </c>
      <c r="AA108" s="99"/>
      <c r="AB108" s="119" t="s">
        <v>1259</v>
      </c>
    </row>
    <row r="109" ht="24" hidden="1" customHeight="1" spans="1:28">
      <c r="A109" s="93">
        <v>103</v>
      </c>
      <c r="B109" s="99" t="s">
        <v>1421</v>
      </c>
      <c r="C109" s="99">
        <v>100</v>
      </c>
      <c r="D109" s="99" t="s">
        <v>1397</v>
      </c>
      <c r="E109" s="99" t="s">
        <v>1422</v>
      </c>
      <c r="F109" s="99"/>
      <c r="G109" s="99" t="s">
        <v>1447</v>
      </c>
      <c r="H109" s="99" t="s">
        <v>1448</v>
      </c>
      <c r="I109" s="99"/>
      <c r="J109" s="99" t="s">
        <v>1449</v>
      </c>
      <c r="K109" s="99" t="s">
        <v>1317</v>
      </c>
      <c r="L109" s="99">
        <v>44031800104</v>
      </c>
      <c r="M109" s="99" t="s">
        <v>1453</v>
      </c>
      <c r="N109" s="105">
        <v>110000</v>
      </c>
      <c r="O109" s="105">
        <v>110000</v>
      </c>
      <c r="P109" s="105">
        <v>110000</v>
      </c>
      <c r="Q109" s="105">
        <v>-110000</v>
      </c>
      <c r="R109" s="104">
        <f t="shared" si="13"/>
        <v>0</v>
      </c>
      <c r="S109" s="114">
        <f>IFERROR(VLOOKUP(G109,'附表8-合同明细采集底稿'!B:M,12,0),100%)</f>
        <v>1</v>
      </c>
      <c r="T109" s="104">
        <f t="shared" si="14"/>
        <v>0</v>
      </c>
      <c r="U109" s="99"/>
      <c r="V109" s="99" t="s">
        <v>274</v>
      </c>
      <c r="W109" s="120">
        <v>0</v>
      </c>
      <c r="X109" s="116">
        <f t="shared" si="15"/>
        <v>0</v>
      </c>
      <c r="Y109" s="120">
        <v>0</v>
      </c>
      <c r="Z109" s="99" t="s">
        <v>1425</v>
      </c>
      <c r="AA109" s="99"/>
      <c r="AB109" s="119" t="s">
        <v>1259</v>
      </c>
    </row>
    <row r="110" ht="24" hidden="1" customHeight="1" spans="1:28">
      <c r="A110" s="93">
        <v>104</v>
      </c>
      <c r="B110" s="99" t="s">
        <v>1421</v>
      </c>
      <c r="C110" s="99">
        <v>100</v>
      </c>
      <c r="D110" s="99" t="s">
        <v>1397</v>
      </c>
      <c r="E110" s="99" t="s">
        <v>1422</v>
      </c>
      <c r="F110" s="99"/>
      <c r="G110" s="99" t="s">
        <v>1447</v>
      </c>
      <c r="H110" s="99" t="s">
        <v>1448</v>
      </c>
      <c r="I110" s="99"/>
      <c r="J110" s="99" t="s">
        <v>1449</v>
      </c>
      <c r="K110" s="99" t="s">
        <v>1317</v>
      </c>
      <c r="L110" s="99">
        <v>44031800104</v>
      </c>
      <c r="M110" s="99" t="s">
        <v>1454</v>
      </c>
      <c r="N110" s="105">
        <v>1200000</v>
      </c>
      <c r="O110" s="105">
        <v>1200000</v>
      </c>
      <c r="P110" s="105">
        <v>1200000</v>
      </c>
      <c r="Q110" s="105">
        <v>-1200000</v>
      </c>
      <c r="R110" s="104">
        <f t="shared" si="13"/>
        <v>0</v>
      </c>
      <c r="S110" s="114">
        <f>IFERROR(VLOOKUP(G110,'附表8-合同明细采集底稿'!B:M,12,0),100%)</f>
        <v>1</v>
      </c>
      <c r="T110" s="104">
        <f t="shared" si="14"/>
        <v>0</v>
      </c>
      <c r="U110" s="99"/>
      <c r="V110" s="99" t="s">
        <v>274</v>
      </c>
      <c r="W110" s="120">
        <v>0</v>
      </c>
      <c r="X110" s="116">
        <f t="shared" si="15"/>
        <v>0</v>
      </c>
      <c r="Y110" s="120">
        <v>0</v>
      </c>
      <c r="Z110" s="99" t="s">
        <v>1425</v>
      </c>
      <c r="AA110" s="99"/>
      <c r="AB110" s="119" t="s">
        <v>1259</v>
      </c>
    </row>
    <row r="111" ht="24" hidden="1" customHeight="1" spans="1:28">
      <c r="A111" s="93">
        <v>105</v>
      </c>
      <c r="B111" s="99" t="s">
        <v>1421</v>
      </c>
      <c r="C111" s="99">
        <v>100</v>
      </c>
      <c r="D111" s="99" t="s">
        <v>1397</v>
      </c>
      <c r="E111" s="99" t="s">
        <v>1422</v>
      </c>
      <c r="F111" s="99"/>
      <c r="G111" s="99" t="s">
        <v>1447</v>
      </c>
      <c r="H111" s="99" t="s">
        <v>1448</v>
      </c>
      <c r="I111" s="99"/>
      <c r="J111" s="99" t="s">
        <v>1449</v>
      </c>
      <c r="K111" s="99" t="s">
        <v>1317</v>
      </c>
      <c r="L111" s="99">
        <v>44031800104</v>
      </c>
      <c r="M111" s="99" t="s">
        <v>1455</v>
      </c>
      <c r="N111" s="105">
        <v>5005813.73</v>
      </c>
      <c r="O111" s="105">
        <v>5005813.73</v>
      </c>
      <c r="P111" s="105">
        <v>5005813.73</v>
      </c>
      <c r="Q111" s="105">
        <v>-5005813.73</v>
      </c>
      <c r="R111" s="104">
        <f t="shared" si="13"/>
        <v>0</v>
      </c>
      <c r="S111" s="114">
        <f>IFERROR(VLOOKUP(G111,'附表8-合同明细采集底稿'!B:M,12,0),100%)</f>
        <v>1</v>
      </c>
      <c r="T111" s="104">
        <f t="shared" si="14"/>
        <v>0</v>
      </c>
      <c r="U111" s="99"/>
      <c r="V111" s="99" t="s">
        <v>274</v>
      </c>
      <c r="W111" s="120">
        <v>0</v>
      </c>
      <c r="X111" s="116">
        <f t="shared" si="15"/>
        <v>0</v>
      </c>
      <c r="Y111" s="120">
        <v>0</v>
      </c>
      <c r="Z111" s="99" t="s">
        <v>1425</v>
      </c>
      <c r="AA111" s="99"/>
      <c r="AB111" s="119" t="s">
        <v>1259</v>
      </c>
    </row>
    <row r="112" ht="24" customHeight="1" spans="1:28">
      <c r="A112" s="93">
        <v>106</v>
      </c>
      <c r="B112" s="99" t="s">
        <v>1301</v>
      </c>
      <c r="C112" s="99">
        <v>8</v>
      </c>
      <c r="D112" s="99" t="s">
        <v>1397</v>
      </c>
      <c r="E112" s="99" t="s">
        <v>1398</v>
      </c>
      <c r="F112" s="99"/>
      <c r="G112" s="99"/>
      <c r="H112" s="99"/>
      <c r="I112" s="99"/>
      <c r="J112" s="99" t="s">
        <v>1456</v>
      </c>
      <c r="K112" s="99" t="s">
        <v>1270</v>
      </c>
      <c r="L112" s="99" t="s">
        <v>1271</v>
      </c>
      <c r="M112" s="99" t="s">
        <v>1457</v>
      </c>
      <c r="N112" s="105">
        <v>220000</v>
      </c>
      <c r="O112" s="105">
        <v>220000</v>
      </c>
      <c r="P112" s="105">
        <v>220000</v>
      </c>
      <c r="Q112" s="117"/>
      <c r="R112" s="104">
        <f t="shared" si="13"/>
        <v>220000</v>
      </c>
      <c r="S112" s="114">
        <f>IFERROR(VLOOKUP(G112,'附表8-合同明细采集底稿'!B:M,12,0),100%)</f>
        <v>1</v>
      </c>
      <c r="T112" s="104">
        <f t="shared" si="14"/>
        <v>220000</v>
      </c>
      <c r="U112" s="99"/>
      <c r="V112" s="99" t="s">
        <v>275</v>
      </c>
      <c r="W112" s="116">
        <f>IF('附表1-面积统计表'!$D$29=0,"",IF(AND(V112="共同成本费用",Z112="总建筑面积法"),ROUND(T112/'附表1-面积统计表'!$D$29*'附表1-面积统计表'!$D$5,2),IF(AND(V112="共同成本费用",Z112="可售建筑面积法"),ROUND(T112/'附表1-面积统计表'!$F$29*'附表1-面积统计表'!$F$5,2),"请手工填写")))</f>
        <v>160445.97</v>
      </c>
      <c r="X112" s="116">
        <f t="shared" si="15"/>
        <v>0</v>
      </c>
      <c r="Y112" s="116">
        <f>IF(SUM('附表1-面积统计表'!$D$6)=0,SUM(T112)-SUM(W112),IF('附表1-面积统计表'!$D$29=0,"",IF(AND(V112="共同成本费用",Z112="总建筑面积法"),ROUND(T112/'附表1-面积统计表'!$D$29*'附表1-面积统计表'!$D$7,2),IF(AND(V112="共同成本费用",Z112="可售建筑面积法"),ROUND(T112/'附表1-面积统计表'!$F$29*'附表1-面积统计表'!$F$7,2),"请手工填写"))))</f>
        <v>59554.03</v>
      </c>
      <c r="Z112" s="99" t="s">
        <v>251</v>
      </c>
      <c r="AA112" s="99"/>
      <c r="AB112" s="119" t="s">
        <v>1259</v>
      </c>
    </row>
    <row r="113" ht="24" customHeight="1" spans="1:28">
      <c r="A113" s="93">
        <v>107</v>
      </c>
      <c r="B113" s="99" t="s">
        <v>1303</v>
      </c>
      <c r="C113" s="99">
        <v>48</v>
      </c>
      <c r="D113" s="99" t="s">
        <v>1397</v>
      </c>
      <c r="E113" s="99" t="s">
        <v>1398</v>
      </c>
      <c r="F113" s="99"/>
      <c r="G113" s="99"/>
      <c r="H113" s="99"/>
      <c r="I113" s="99"/>
      <c r="J113" s="99" t="s">
        <v>1456</v>
      </c>
      <c r="K113" s="99" t="s">
        <v>1270</v>
      </c>
      <c r="L113" s="99" t="s">
        <v>1271</v>
      </c>
      <c r="M113" s="99" t="s">
        <v>1458</v>
      </c>
      <c r="N113" s="105">
        <v>330000</v>
      </c>
      <c r="O113" s="105">
        <v>330000</v>
      </c>
      <c r="P113" s="105">
        <v>330000</v>
      </c>
      <c r="Q113" s="117"/>
      <c r="R113" s="104">
        <f t="shared" si="13"/>
        <v>330000</v>
      </c>
      <c r="S113" s="114">
        <f>IFERROR(VLOOKUP(G113,'附表8-合同明细采集底稿'!B:M,12,0),100%)</f>
        <v>1</v>
      </c>
      <c r="T113" s="104">
        <f t="shared" si="14"/>
        <v>330000</v>
      </c>
      <c r="U113" s="99"/>
      <c r="V113" s="99" t="s">
        <v>275</v>
      </c>
      <c r="W113" s="116">
        <f>IF('附表1-面积统计表'!$D$29=0,"",IF(AND(V113="共同成本费用",Z113="总建筑面积法"),ROUND(T113/'附表1-面积统计表'!$D$29*'附表1-面积统计表'!$D$5,2),IF(AND(V113="共同成本费用",Z113="可售建筑面积法"),ROUND(T113/'附表1-面积统计表'!$F$29*'附表1-面积统计表'!$F$5,2),"请手工填写")))</f>
        <v>240668.96</v>
      </c>
      <c r="X113" s="116">
        <f t="shared" si="15"/>
        <v>0</v>
      </c>
      <c r="Y113" s="116">
        <f>IF(SUM('附表1-面积统计表'!$D$6)=0,SUM(T113)-SUM(W113),IF('附表1-面积统计表'!$D$29=0,"",IF(AND(V113="共同成本费用",Z113="总建筑面积法"),ROUND(T113/'附表1-面积统计表'!$D$29*'附表1-面积统计表'!$D$7,2),IF(AND(V113="共同成本费用",Z113="可售建筑面积法"),ROUND(T113/'附表1-面积统计表'!$F$29*'附表1-面积统计表'!$F$7,2),"请手工填写"))))</f>
        <v>89331.04</v>
      </c>
      <c r="Z113" s="99" t="s">
        <v>251</v>
      </c>
      <c r="AA113" s="99"/>
      <c r="AB113" s="119" t="s">
        <v>1259</v>
      </c>
    </row>
    <row r="114" ht="24" customHeight="1" spans="1:28">
      <c r="A114" s="93">
        <v>108</v>
      </c>
      <c r="B114" s="99" t="s">
        <v>1459</v>
      </c>
      <c r="C114" s="99">
        <v>27</v>
      </c>
      <c r="D114" s="99" t="s">
        <v>1397</v>
      </c>
      <c r="E114" s="99" t="s">
        <v>1398</v>
      </c>
      <c r="F114" s="99"/>
      <c r="G114" s="99"/>
      <c r="H114" s="99"/>
      <c r="I114" s="99"/>
      <c r="J114" s="99" t="s">
        <v>1456</v>
      </c>
      <c r="K114" s="99" t="s">
        <v>1270</v>
      </c>
      <c r="L114" s="99" t="s">
        <v>1309</v>
      </c>
      <c r="M114" s="99" t="s">
        <v>1460</v>
      </c>
      <c r="N114" s="105">
        <v>60000</v>
      </c>
      <c r="O114" s="105">
        <v>60000</v>
      </c>
      <c r="P114" s="105">
        <v>60000</v>
      </c>
      <c r="Q114" s="117"/>
      <c r="R114" s="104">
        <f t="shared" si="13"/>
        <v>60000</v>
      </c>
      <c r="S114" s="114">
        <f>IFERROR(VLOOKUP(G114,'附表8-合同明细采集底稿'!B:M,12,0),100%)</f>
        <v>1</v>
      </c>
      <c r="T114" s="104">
        <f t="shared" si="14"/>
        <v>60000</v>
      </c>
      <c r="U114" s="99"/>
      <c r="V114" s="99" t="s">
        <v>275</v>
      </c>
      <c r="W114" s="116">
        <f>IF('附表1-面积统计表'!$D$29=0,"",IF(AND(V114="共同成本费用",Z114="总建筑面积法"),ROUND(T114/'附表1-面积统计表'!$D$29*'附表1-面积统计表'!$D$5,2),IF(AND(V114="共同成本费用",Z114="可售建筑面积法"),ROUND(T114/'附表1-面积统计表'!$F$29*'附表1-面积统计表'!$F$5,2),"请手工填写")))</f>
        <v>43757.99</v>
      </c>
      <c r="X114" s="116">
        <f t="shared" si="15"/>
        <v>0</v>
      </c>
      <c r="Y114" s="116">
        <f>IF(SUM('附表1-面积统计表'!$D$6)=0,SUM(T114)-SUM(W114),IF('附表1-面积统计表'!$D$29=0,"",IF(AND(V114="共同成本费用",Z114="总建筑面积法"),ROUND(T114/'附表1-面积统计表'!$D$29*'附表1-面积统计表'!$D$7,2),IF(AND(V114="共同成本费用",Z114="可售建筑面积法"),ROUND(T114/'附表1-面积统计表'!$F$29*'附表1-面积统计表'!$F$7,2),"请手工填写"))))</f>
        <v>16242.01</v>
      </c>
      <c r="Z114" s="99" t="s">
        <v>251</v>
      </c>
      <c r="AA114" s="99"/>
      <c r="AB114" s="119" t="s">
        <v>1259</v>
      </c>
    </row>
    <row r="115" ht="24" customHeight="1" spans="1:28">
      <c r="A115" s="93">
        <v>109</v>
      </c>
      <c r="B115" s="99" t="s">
        <v>1461</v>
      </c>
      <c r="C115" s="99">
        <v>105</v>
      </c>
      <c r="D115" s="99" t="s">
        <v>1397</v>
      </c>
      <c r="E115" s="99" t="s">
        <v>1398</v>
      </c>
      <c r="F115" s="99"/>
      <c r="G115" s="99"/>
      <c r="H115" s="99"/>
      <c r="I115" s="99"/>
      <c r="J115" s="99" t="s">
        <v>1462</v>
      </c>
      <c r="K115" s="99" t="s">
        <v>1317</v>
      </c>
      <c r="L115" s="99">
        <v>6500153320</v>
      </c>
      <c r="M115" s="99" t="s">
        <v>1463</v>
      </c>
      <c r="N115" s="105">
        <v>490000</v>
      </c>
      <c r="O115" s="105">
        <v>490000</v>
      </c>
      <c r="P115" s="105">
        <v>490000</v>
      </c>
      <c r="Q115" s="117">
        <v>-212688</v>
      </c>
      <c r="R115" s="104">
        <f t="shared" si="13"/>
        <v>277312</v>
      </c>
      <c r="S115" s="114">
        <f>IFERROR(VLOOKUP(G115,'附表8-合同明细采集底稿'!B:M,12,0),100%)</f>
        <v>1</v>
      </c>
      <c r="T115" s="104">
        <f t="shared" si="14"/>
        <v>277312</v>
      </c>
      <c r="U115" s="99"/>
      <c r="V115" s="99" t="s">
        <v>275</v>
      </c>
      <c r="W115" s="116">
        <f>IF('附表1-面积统计表'!$D$29=0,"",IF(AND(V115="共同成本费用",Z115="总建筑面积法"),ROUND(T115/'附表1-面积统计表'!$D$29*'附表1-面积统计表'!$D$5,2),IF(AND(V115="共同成本费用",Z115="可售建筑面积法"),ROUND(T115/'附表1-面积统计表'!$F$29*'附表1-面积统计表'!$F$5,2),"请手工填写")))</f>
        <v>202243.61</v>
      </c>
      <c r="X115" s="116">
        <f t="shared" si="15"/>
        <v>0</v>
      </c>
      <c r="Y115" s="116">
        <f>IF(SUM('附表1-面积统计表'!$D$6)=0,SUM(T115)-SUM(W115),IF('附表1-面积统计表'!$D$29=0,"",IF(AND(V115="共同成本费用",Z115="总建筑面积法"),ROUND(T115/'附表1-面积统计表'!$D$29*'附表1-面积统计表'!$D$7,2),IF(AND(V115="共同成本费用",Z115="可售建筑面积法"),ROUND(T115/'附表1-面积统计表'!$F$29*'附表1-面积统计表'!$F$7,2),"请手工填写"))))</f>
        <v>75068.39</v>
      </c>
      <c r="Z115" s="99" t="s">
        <v>251</v>
      </c>
      <c r="AA115" s="99"/>
      <c r="AB115" s="119" t="s">
        <v>1259</v>
      </c>
    </row>
    <row r="116" ht="24" hidden="1" customHeight="1" spans="1:28">
      <c r="A116" s="93">
        <v>110</v>
      </c>
      <c r="B116" s="99" t="s">
        <v>1421</v>
      </c>
      <c r="C116" s="99">
        <v>100</v>
      </c>
      <c r="D116" s="99" t="s">
        <v>1397</v>
      </c>
      <c r="E116" s="99" t="s">
        <v>1398</v>
      </c>
      <c r="F116" s="99"/>
      <c r="G116" s="99"/>
      <c r="H116" s="99"/>
      <c r="I116" s="99"/>
      <c r="J116" s="99" t="s">
        <v>1464</v>
      </c>
      <c r="K116" s="99" t="s">
        <v>1317</v>
      </c>
      <c r="L116" s="99">
        <v>65001800211</v>
      </c>
      <c r="M116" s="99" t="s">
        <v>1465</v>
      </c>
      <c r="N116" s="105">
        <v>30730</v>
      </c>
      <c r="O116" s="105">
        <v>30730</v>
      </c>
      <c r="P116" s="105">
        <v>30730</v>
      </c>
      <c r="Q116" s="117">
        <v>-30730</v>
      </c>
      <c r="R116" s="104">
        <f t="shared" si="13"/>
        <v>0</v>
      </c>
      <c r="S116" s="114">
        <f>IFERROR(VLOOKUP(G116,'附表8-合同明细采集底稿'!B:M,12,0),100%)</f>
        <v>1</v>
      </c>
      <c r="T116" s="104">
        <f t="shared" si="14"/>
        <v>0</v>
      </c>
      <c r="U116" s="99"/>
      <c r="V116" s="99" t="s">
        <v>274</v>
      </c>
      <c r="W116" s="120">
        <v>0</v>
      </c>
      <c r="X116" s="116">
        <f t="shared" si="15"/>
        <v>0</v>
      </c>
      <c r="Y116" s="120">
        <v>0</v>
      </c>
      <c r="Z116" s="99" t="s">
        <v>1425</v>
      </c>
      <c r="AA116" s="99"/>
      <c r="AB116" s="119" t="s">
        <v>1259</v>
      </c>
    </row>
    <row r="117" ht="24" hidden="1" customHeight="1" spans="1:28">
      <c r="A117" s="93">
        <v>111</v>
      </c>
      <c r="B117" s="99" t="s">
        <v>1421</v>
      </c>
      <c r="C117" s="99">
        <v>100</v>
      </c>
      <c r="D117" s="99" t="s">
        <v>1397</v>
      </c>
      <c r="E117" s="99" t="s">
        <v>1422</v>
      </c>
      <c r="F117" s="99"/>
      <c r="G117" s="99"/>
      <c r="H117" s="99"/>
      <c r="I117" s="99"/>
      <c r="J117" s="99" t="s">
        <v>1466</v>
      </c>
      <c r="K117" s="99" t="s">
        <v>1317</v>
      </c>
      <c r="L117" s="99">
        <v>65001800211</v>
      </c>
      <c r="M117" s="99" t="s">
        <v>1467</v>
      </c>
      <c r="N117" s="105">
        <v>19992</v>
      </c>
      <c r="O117" s="105">
        <v>19992</v>
      </c>
      <c r="P117" s="105">
        <v>19992</v>
      </c>
      <c r="Q117" s="105">
        <v>-19992</v>
      </c>
      <c r="R117" s="104">
        <f t="shared" si="13"/>
        <v>0</v>
      </c>
      <c r="S117" s="114">
        <f>IFERROR(VLOOKUP(G117,'附表8-合同明细采集底稿'!B:M,12,0),100%)</f>
        <v>1</v>
      </c>
      <c r="T117" s="104">
        <f t="shared" si="14"/>
        <v>0</v>
      </c>
      <c r="U117" s="99"/>
      <c r="V117" s="99" t="s">
        <v>274</v>
      </c>
      <c r="W117" s="120">
        <v>0</v>
      </c>
      <c r="X117" s="116">
        <f t="shared" si="15"/>
        <v>0</v>
      </c>
      <c r="Y117" s="120">
        <v>0</v>
      </c>
      <c r="Z117" s="99" t="s">
        <v>1425</v>
      </c>
      <c r="AA117" s="99"/>
      <c r="AB117" s="119" t="s">
        <v>1259</v>
      </c>
    </row>
    <row r="118" ht="24" hidden="1" customHeight="1" spans="1:28">
      <c r="A118" s="93">
        <v>112</v>
      </c>
      <c r="B118" s="99" t="s">
        <v>1421</v>
      </c>
      <c r="C118" s="99">
        <v>100</v>
      </c>
      <c r="D118" s="99" t="s">
        <v>1397</v>
      </c>
      <c r="E118" s="99" t="s">
        <v>1422</v>
      </c>
      <c r="F118" s="99"/>
      <c r="G118" s="99"/>
      <c r="H118" s="99"/>
      <c r="I118" s="99"/>
      <c r="J118" s="99" t="s">
        <v>1468</v>
      </c>
      <c r="K118" s="99" t="s">
        <v>1317</v>
      </c>
      <c r="L118" s="99">
        <v>65001800211</v>
      </c>
      <c r="M118" s="99" t="s">
        <v>1469</v>
      </c>
      <c r="N118" s="105">
        <v>59925</v>
      </c>
      <c r="O118" s="105">
        <v>59925</v>
      </c>
      <c r="P118" s="105">
        <v>59925</v>
      </c>
      <c r="Q118" s="105">
        <v>-59925</v>
      </c>
      <c r="R118" s="104">
        <f t="shared" si="13"/>
        <v>0</v>
      </c>
      <c r="S118" s="114">
        <f>IFERROR(VLOOKUP(G118,'附表8-合同明细采集底稿'!B:M,12,0),100%)</f>
        <v>1</v>
      </c>
      <c r="T118" s="104">
        <f t="shared" si="14"/>
        <v>0</v>
      </c>
      <c r="U118" s="99"/>
      <c r="V118" s="99" t="s">
        <v>274</v>
      </c>
      <c r="W118" s="120">
        <v>0</v>
      </c>
      <c r="X118" s="116">
        <f t="shared" si="15"/>
        <v>0</v>
      </c>
      <c r="Y118" s="120">
        <v>0</v>
      </c>
      <c r="Z118" s="99" t="s">
        <v>1425</v>
      </c>
      <c r="AA118" s="99"/>
      <c r="AB118" s="119" t="s">
        <v>1259</v>
      </c>
    </row>
    <row r="119" ht="24" customHeight="1" spans="1:28">
      <c r="A119" s="93">
        <v>113</v>
      </c>
      <c r="B119" s="99" t="s">
        <v>1470</v>
      </c>
      <c r="C119" s="99">
        <v>38</v>
      </c>
      <c r="D119" s="99" t="s">
        <v>1397</v>
      </c>
      <c r="E119" s="99" t="s">
        <v>1422</v>
      </c>
      <c r="F119" s="99"/>
      <c r="G119" s="99"/>
      <c r="H119" s="99"/>
      <c r="I119" s="99"/>
      <c r="J119" s="99" t="s">
        <v>1471</v>
      </c>
      <c r="K119" s="99" t="s">
        <v>1317</v>
      </c>
      <c r="L119" s="99">
        <v>3200143350</v>
      </c>
      <c r="M119" s="99" t="s">
        <v>1472</v>
      </c>
      <c r="N119" s="105">
        <v>1000000</v>
      </c>
      <c r="O119" s="105">
        <v>1000000</v>
      </c>
      <c r="P119" s="105">
        <v>1000000</v>
      </c>
      <c r="Q119" s="117">
        <v>330000</v>
      </c>
      <c r="R119" s="104">
        <f t="shared" si="13"/>
        <v>1330000</v>
      </c>
      <c r="S119" s="114">
        <f>IFERROR(VLOOKUP(G119,'附表8-合同明细采集底稿'!B:M,12,0),100%)</f>
        <v>1</v>
      </c>
      <c r="T119" s="104">
        <f t="shared" si="14"/>
        <v>1330000</v>
      </c>
      <c r="U119" s="99"/>
      <c r="V119" s="99" t="s">
        <v>275</v>
      </c>
      <c r="W119" s="116">
        <f>IF('附表1-面积统计表'!$D$29=0,"",IF(AND(V119="共同成本费用",Z119="总建筑面积法"),ROUND(T119/'附表1-面积统计表'!$D$29*'附表1-面积统计表'!$D$5,2),IF(AND(V119="共同成本费用",Z119="可售建筑面积法"),ROUND(T119/'附表1-面积统计表'!$F$29*'附表1-面积统计表'!$F$5,2),"请手工填写")))</f>
        <v>969968.83</v>
      </c>
      <c r="X119" s="116">
        <f t="shared" si="15"/>
        <v>0</v>
      </c>
      <c r="Y119" s="116">
        <f>IF(SUM('附表1-面积统计表'!$D$6)=0,SUM(T119)-SUM(W119),IF('附表1-面积统计表'!$D$29=0,"",IF(AND(V119="共同成本费用",Z119="总建筑面积法"),ROUND(T119/'附表1-面积统计表'!$D$29*'附表1-面积统计表'!$D$7,2),IF(AND(V119="共同成本费用",Z119="可售建筑面积法"),ROUND(T119/'附表1-面积统计表'!$F$29*'附表1-面积统计表'!$F$7,2),"请手工填写"))))</f>
        <v>360031.17</v>
      </c>
      <c r="Z119" s="99" t="s">
        <v>251</v>
      </c>
      <c r="AA119" s="99"/>
      <c r="AB119" s="119" t="s">
        <v>1259</v>
      </c>
    </row>
    <row r="120" ht="24" customHeight="1" spans="1:28">
      <c r="A120" s="93">
        <v>114</v>
      </c>
      <c r="B120" s="99" t="s">
        <v>1473</v>
      </c>
      <c r="C120" s="99">
        <v>141</v>
      </c>
      <c r="D120" s="99" t="s">
        <v>1397</v>
      </c>
      <c r="E120" s="99" t="s">
        <v>1422</v>
      </c>
      <c r="F120" s="99"/>
      <c r="G120" s="99"/>
      <c r="H120" s="99"/>
      <c r="I120" s="99"/>
      <c r="J120" s="99" t="s">
        <v>1471</v>
      </c>
      <c r="K120" s="99" t="s">
        <v>1270</v>
      </c>
      <c r="L120" s="99" t="s">
        <v>1474</v>
      </c>
      <c r="M120" s="99" t="s">
        <v>1475</v>
      </c>
      <c r="N120" s="105">
        <v>320000</v>
      </c>
      <c r="O120" s="105">
        <v>320000</v>
      </c>
      <c r="P120" s="105">
        <v>320000</v>
      </c>
      <c r="Q120" s="117"/>
      <c r="R120" s="104">
        <f t="shared" si="13"/>
        <v>320000</v>
      </c>
      <c r="S120" s="114">
        <f>IFERROR(VLOOKUP(G120,'附表8-合同明细采集底稿'!B:M,12,0),100%)</f>
        <v>1</v>
      </c>
      <c r="T120" s="104">
        <f t="shared" si="14"/>
        <v>320000</v>
      </c>
      <c r="U120" s="99"/>
      <c r="V120" s="99" t="s">
        <v>275</v>
      </c>
      <c r="W120" s="116">
        <f>IF('附表1-面积统计表'!$D$29=0,"",IF(AND(V120="共同成本费用",Z120="总建筑面积法"),ROUND(T120/'附表1-面积统计表'!$D$29*'附表1-面积统计表'!$D$5,2),IF(AND(V120="共同成本费用",Z120="可售建筑面积法"),ROUND(T120/'附表1-面积统计表'!$F$29*'附表1-面积统计表'!$F$5,2),"请手工填写")))</f>
        <v>233375.96</v>
      </c>
      <c r="X120" s="116">
        <f t="shared" si="15"/>
        <v>0</v>
      </c>
      <c r="Y120" s="116">
        <f>IF(SUM('附表1-面积统计表'!$D$6)=0,SUM(T120)-SUM(W120),IF('附表1-面积统计表'!$D$29=0,"",IF(AND(V120="共同成本费用",Z120="总建筑面积法"),ROUND(T120/'附表1-面积统计表'!$D$29*'附表1-面积统计表'!$D$7,2),IF(AND(V120="共同成本费用",Z120="可售建筑面积法"),ROUND(T120/'附表1-面积统计表'!$F$29*'附表1-面积统计表'!$F$7,2),"请手工填写"))))</f>
        <v>86624.04</v>
      </c>
      <c r="Z120" s="99" t="s">
        <v>251</v>
      </c>
      <c r="AA120" s="99"/>
      <c r="AB120" s="119" t="s">
        <v>1259</v>
      </c>
    </row>
    <row r="121" ht="24" hidden="1" customHeight="1" spans="1:28">
      <c r="A121" s="93">
        <v>115</v>
      </c>
      <c r="B121" s="99" t="s">
        <v>1476</v>
      </c>
      <c r="C121" s="99">
        <v>39</v>
      </c>
      <c r="D121" s="99" t="s">
        <v>1477</v>
      </c>
      <c r="E121" s="99" t="s">
        <v>1478</v>
      </c>
      <c r="F121" s="99"/>
      <c r="G121" s="99"/>
      <c r="H121" s="99"/>
      <c r="I121" s="99"/>
      <c r="J121" s="99" t="s">
        <v>1479</v>
      </c>
      <c r="K121" s="99" t="s">
        <v>1317</v>
      </c>
      <c r="L121" s="99">
        <v>6500142620</v>
      </c>
      <c r="M121" s="99" t="s">
        <v>1480</v>
      </c>
      <c r="N121" s="105">
        <v>26600</v>
      </c>
      <c r="O121" s="105">
        <v>26600</v>
      </c>
      <c r="P121" s="105">
        <v>26600</v>
      </c>
      <c r="Q121" s="117">
        <v>-26600</v>
      </c>
      <c r="R121" s="104">
        <f t="shared" si="13"/>
        <v>0</v>
      </c>
      <c r="S121" s="114">
        <f>IFERROR(VLOOKUP(G121,'附表8-合同明细采集底稿'!B:M,12,0),100%)</f>
        <v>1</v>
      </c>
      <c r="T121" s="104">
        <f t="shared" si="14"/>
        <v>0</v>
      </c>
      <c r="U121" s="99"/>
      <c r="V121" s="99" t="s">
        <v>275</v>
      </c>
      <c r="W121" s="116">
        <f>IF('附表1-面积统计表'!$D$29=0,"",IF(AND(V121="共同成本费用",Z121="总建筑面积法"),ROUND(T121/'附表1-面积统计表'!$D$29*'附表1-面积统计表'!$D$5,2),IF(AND(V121="共同成本费用",Z121="可售建筑面积法"),ROUND(T121/'附表1-面积统计表'!$F$29*'附表1-面积统计表'!$F$5,2),"请手工填写")))</f>
        <v>0</v>
      </c>
      <c r="X121" s="116">
        <f t="shared" si="15"/>
        <v>0</v>
      </c>
      <c r="Y121" s="116">
        <f>IF(SUM('附表1-面积统计表'!$D$6)=0,SUM(T121)-SUM(W121),IF('附表1-面积统计表'!$D$29=0,"",IF(AND(V121="共同成本费用",Z121="总建筑面积法"),ROUND(T121/'附表1-面积统计表'!$D$29*'附表1-面积统计表'!$D$7,2),IF(AND(V121="共同成本费用",Z121="可售建筑面积法"),ROUND(T121/'附表1-面积统计表'!$F$29*'附表1-面积统计表'!$F$7,2),"请手工填写"))))</f>
        <v>0</v>
      </c>
      <c r="Z121" s="99" t="s">
        <v>251</v>
      </c>
      <c r="AA121" s="99"/>
      <c r="AB121" s="119" t="s">
        <v>1259</v>
      </c>
    </row>
    <row r="122" ht="24" hidden="1" customHeight="1" spans="1:28">
      <c r="A122" s="93">
        <v>116</v>
      </c>
      <c r="B122" s="99" t="s">
        <v>1481</v>
      </c>
      <c r="C122" s="99">
        <v>20</v>
      </c>
      <c r="D122" s="99" t="s">
        <v>1477</v>
      </c>
      <c r="E122" s="99" t="s">
        <v>1478</v>
      </c>
      <c r="F122" s="99"/>
      <c r="G122" s="99"/>
      <c r="H122" s="99"/>
      <c r="I122" s="99"/>
      <c r="J122" s="99" t="s">
        <v>1482</v>
      </c>
      <c r="K122" s="99" t="s">
        <v>1270</v>
      </c>
      <c r="L122" s="99" t="s">
        <v>1483</v>
      </c>
      <c r="M122" s="99" t="s">
        <v>1484</v>
      </c>
      <c r="N122" s="105">
        <v>7000</v>
      </c>
      <c r="O122" s="105">
        <v>7000</v>
      </c>
      <c r="P122" s="105">
        <v>7000</v>
      </c>
      <c r="Q122" s="117"/>
      <c r="R122" s="104">
        <f t="shared" si="13"/>
        <v>7000</v>
      </c>
      <c r="S122" s="114">
        <f>IFERROR(VLOOKUP(G122,'附表8-合同明细采集底稿'!B:M,12,0),100%)</f>
        <v>1</v>
      </c>
      <c r="T122" s="104">
        <f t="shared" si="14"/>
        <v>7000</v>
      </c>
      <c r="U122" s="99"/>
      <c r="V122" s="99" t="s">
        <v>275</v>
      </c>
      <c r="W122" s="116">
        <f>IF('附表1-面积统计表'!$D$29=0,"",IF(AND(V122="共同成本费用",Z122="总建筑面积法"),ROUND(T122/'附表1-面积统计表'!$D$29*'附表1-面积统计表'!$D$5,2),IF(AND(V122="共同成本费用",Z122="可售建筑面积法"),ROUND(T122/'附表1-面积统计表'!$F$29*'附表1-面积统计表'!$F$5,2),"请手工填写")))</f>
        <v>5105.1</v>
      </c>
      <c r="X122" s="116">
        <f t="shared" si="15"/>
        <v>0</v>
      </c>
      <c r="Y122" s="116">
        <f>IF(SUM('附表1-面积统计表'!$D$6)=0,SUM(T122)-SUM(W122),IF('附表1-面积统计表'!$D$29=0,"",IF(AND(V122="共同成本费用",Z122="总建筑面积法"),ROUND(T122/'附表1-面积统计表'!$D$29*'附表1-面积统计表'!$D$7,2),IF(AND(V122="共同成本费用",Z122="可售建筑面积法"),ROUND(T122/'附表1-面积统计表'!$F$29*'附表1-面积统计表'!$F$7,2),"请手工填写"))))</f>
        <v>1894.9</v>
      </c>
      <c r="Z122" s="99" t="s">
        <v>251</v>
      </c>
      <c r="AA122" s="99"/>
      <c r="AB122" s="119" t="s">
        <v>1259</v>
      </c>
    </row>
    <row r="123" ht="24" hidden="1" customHeight="1" spans="1:28">
      <c r="A123" s="93">
        <v>117</v>
      </c>
      <c r="B123" s="99" t="s">
        <v>1485</v>
      </c>
      <c r="C123" s="99">
        <v>50</v>
      </c>
      <c r="D123" s="99" t="s">
        <v>1477</v>
      </c>
      <c r="E123" s="99" t="s">
        <v>1478</v>
      </c>
      <c r="F123" s="99"/>
      <c r="G123" s="99"/>
      <c r="H123" s="99"/>
      <c r="I123" s="99"/>
      <c r="J123" s="99" t="s">
        <v>1486</v>
      </c>
      <c r="K123" s="99" t="s">
        <v>1317</v>
      </c>
      <c r="L123" s="99">
        <v>6500142620</v>
      </c>
      <c r="M123" s="99" t="s">
        <v>1487</v>
      </c>
      <c r="N123" s="105">
        <v>148000</v>
      </c>
      <c r="O123" s="105">
        <v>148000</v>
      </c>
      <c r="P123" s="105">
        <v>148000</v>
      </c>
      <c r="Q123" s="117">
        <v>-98000</v>
      </c>
      <c r="R123" s="104">
        <f t="shared" si="13"/>
        <v>50000</v>
      </c>
      <c r="S123" s="114">
        <f>IFERROR(VLOOKUP(G123,'附表8-合同明细采集底稿'!B:M,12,0),100%)</f>
        <v>1</v>
      </c>
      <c r="T123" s="104">
        <f t="shared" si="14"/>
        <v>50000</v>
      </c>
      <c r="U123" s="99"/>
      <c r="V123" s="99" t="s">
        <v>275</v>
      </c>
      <c r="W123" s="116">
        <f>IF('附表1-面积统计表'!$D$29=0,"",IF(AND(V123="共同成本费用",Z123="总建筑面积法"),ROUND(T123/'附表1-面积统计表'!$D$29*'附表1-面积统计表'!$D$5,2),IF(AND(V123="共同成本费用",Z123="可售建筑面积法"),ROUND(T123/'附表1-面积统计表'!$F$29*'附表1-面积统计表'!$F$5,2),"请手工填写")))</f>
        <v>36464.99</v>
      </c>
      <c r="X123" s="116">
        <f t="shared" si="15"/>
        <v>0</v>
      </c>
      <c r="Y123" s="116">
        <f>IF(SUM('附表1-面积统计表'!$D$6)=0,SUM(T123)-SUM(W123),IF('附表1-面积统计表'!$D$29=0,"",IF(AND(V123="共同成本费用",Z123="总建筑面积法"),ROUND(T123/'附表1-面积统计表'!$D$29*'附表1-面积统计表'!$D$7,2),IF(AND(V123="共同成本费用",Z123="可售建筑面积法"),ROUND(T123/'附表1-面积统计表'!$F$29*'附表1-面积统计表'!$F$7,2),"请手工填写"))))</f>
        <v>13535.01</v>
      </c>
      <c r="Z123" s="99" t="s">
        <v>251</v>
      </c>
      <c r="AA123" s="99"/>
      <c r="AB123" s="119" t="s">
        <v>1259</v>
      </c>
    </row>
    <row r="124" ht="24" hidden="1" customHeight="1" spans="1:28">
      <c r="A124" s="93">
        <v>118</v>
      </c>
      <c r="B124" s="99" t="s">
        <v>1488</v>
      </c>
      <c r="C124" s="99">
        <v>110</v>
      </c>
      <c r="D124" s="99" t="s">
        <v>1477</v>
      </c>
      <c r="E124" s="99" t="s">
        <v>1478</v>
      </c>
      <c r="F124" s="99"/>
      <c r="G124" s="99"/>
      <c r="H124" s="99"/>
      <c r="I124" s="99"/>
      <c r="J124" s="99" t="s">
        <v>1489</v>
      </c>
      <c r="K124" s="99" t="s">
        <v>1317</v>
      </c>
      <c r="L124" s="99" t="s">
        <v>1490</v>
      </c>
      <c r="M124" s="99" t="s">
        <v>1491</v>
      </c>
      <c r="N124" s="105">
        <v>356000</v>
      </c>
      <c r="O124" s="105">
        <v>356000</v>
      </c>
      <c r="P124" s="105">
        <v>356000</v>
      </c>
      <c r="Q124" s="117"/>
      <c r="R124" s="104">
        <f t="shared" si="13"/>
        <v>356000</v>
      </c>
      <c r="S124" s="114">
        <f>IFERROR(VLOOKUP(G124,'附表8-合同明细采集底稿'!B:M,12,0),100%)</f>
        <v>1</v>
      </c>
      <c r="T124" s="104">
        <f t="shared" si="14"/>
        <v>356000</v>
      </c>
      <c r="U124" s="99"/>
      <c r="V124" s="99" t="s">
        <v>275</v>
      </c>
      <c r="W124" s="116">
        <f>IF('附表1-面积统计表'!$D$29=0,"",IF(AND(V124="共同成本费用",Z124="总建筑面积法"),ROUND(T124/'附表1-面积统计表'!$D$29*'附表1-面积统计表'!$D$5,2),IF(AND(V124="共同成本费用",Z124="可售建筑面积法"),ROUND(T124/'附表1-面积统计表'!$F$29*'附表1-面积统计表'!$F$5,2),"请手工填写")))</f>
        <v>259630.75</v>
      </c>
      <c r="X124" s="116">
        <f t="shared" si="15"/>
        <v>0</v>
      </c>
      <c r="Y124" s="116">
        <f>IF(SUM('附表1-面积统计表'!$D$6)=0,SUM(T124)-SUM(W124),IF('附表1-面积统计表'!$D$29=0,"",IF(AND(V124="共同成本费用",Z124="总建筑面积法"),ROUND(T124/'附表1-面积统计表'!$D$29*'附表1-面积统计表'!$D$7,2),IF(AND(V124="共同成本费用",Z124="可售建筑面积法"),ROUND(T124/'附表1-面积统计表'!$F$29*'附表1-面积统计表'!$F$7,2),"请手工填写"))))</f>
        <v>96369.25</v>
      </c>
      <c r="Z124" s="99" t="s">
        <v>251</v>
      </c>
      <c r="AA124" s="99"/>
      <c r="AB124" s="119" t="s">
        <v>1259</v>
      </c>
    </row>
    <row r="125" ht="24" hidden="1" customHeight="1" spans="1:28">
      <c r="A125" s="93">
        <v>119</v>
      </c>
      <c r="B125" s="99" t="s">
        <v>1492</v>
      </c>
      <c r="C125" s="99">
        <v>28</v>
      </c>
      <c r="D125" s="99" t="s">
        <v>1477</v>
      </c>
      <c r="E125" s="99" t="s">
        <v>1478</v>
      </c>
      <c r="F125" s="99"/>
      <c r="G125" s="99"/>
      <c r="H125" s="99"/>
      <c r="I125" s="99"/>
      <c r="J125" s="99" t="s">
        <v>1493</v>
      </c>
      <c r="K125" s="99" t="s">
        <v>1317</v>
      </c>
      <c r="L125" s="99" t="s">
        <v>1318</v>
      </c>
      <c r="M125" s="99" t="s">
        <v>1494</v>
      </c>
      <c r="N125" s="105">
        <v>10500</v>
      </c>
      <c r="O125" s="105">
        <v>10500</v>
      </c>
      <c r="P125" s="105">
        <v>10500</v>
      </c>
      <c r="Q125" s="117">
        <v>-10500</v>
      </c>
      <c r="R125" s="104">
        <f t="shared" ref="R125:R158" si="16">P125+Q125</f>
        <v>0</v>
      </c>
      <c r="S125" s="114">
        <f>IFERROR(VLOOKUP(G125,'附表8-合同明细采集底稿'!B:M,12,0),100%)</f>
        <v>1</v>
      </c>
      <c r="T125" s="104">
        <f t="shared" ref="T125:T158" si="17">ROUND(SUM(R125)*SUM(S125),2)</f>
        <v>0</v>
      </c>
      <c r="U125" s="99"/>
      <c r="V125" s="99" t="s">
        <v>275</v>
      </c>
      <c r="W125" s="116">
        <f>IF('附表1-面积统计表'!$D$29=0,"",IF(AND(V125="共同成本费用",Z125="总建筑面积法"),ROUND(T125/'附表1-面积统计表'!$D$29*'附表1-面积统计表'!$D$5,2),IF(AND(V125="共同成本费用",Z125="可售建筑面积法"),ROUND(T125/'附表1-面积统计表'!$F$29*'附表1-面积统计表'!$F$5,2),"请手工填写")))</f>
        <v>0</v>
      </c>
      <c r="X125" s="116">
        <f t="shared" si="15"/>
        <v>0</v>
      </c>
      <c r="Y125" s="116">
        <f>IF(SUM('附表1-面积统计表'!$D$6)=0,SUM(T125)-SUM(W125),IF('附表1-面积统计表'!$D$29=0,"",IF(AND(V125="共同成本费用",Z125="总建筑面积法"),ROUND(T125/'附表1-面积统计表'!$D$29*'附表1-面积统计表'!$D$7,2),IF(AND(V125="共同成本费用",Z125="可售建筑面积法"),ROUND(T125/'附表1-面积统计表'!$F$29*'附表1-面积统计表'!$F$7,2),"请手工填写"))))</f>
        <v>0</v>
      </c>
      <c r="Z125" s="99" t="s">
        <v>251</v>
      </c>
      <c r="AA125" s="99"/>
      <c r="AB125" s="119" t="s">
        <v>1259</v>
      </c>
    </row>
    <row r="126" ht="24" hidden="1" customHeight="1" spans="1:28">
      <c r="A126" s="93">
        <v>120</v>
      </c>
      <c r="B126" s="99" t="s">
        <v>1495</v>
      </c>
      <c r="C126" s="99">
        <v>20</v>
      </c>
      <c r="D126" s="99" t="s">
        <v>1477</v>
      </c>
      <c r="E126" s="99" t="s">
        <v>1478</v>
      </c>
      <c r="F126" s="99"/>
      <c r="G126" s="99"/>
      <c r="H126" s="99"/>
      <c r="I126" s="99"/>
      <c r="J126" s="99" t="s">
        <v>1496</v>
      </c>
      <c r="K126" s="99" t="s">
        <v>1317</v>
      </c>
      <c r="L126" s="99">
        <v>6500172320</v>
      </c>
      <c r="M126" s="99">
        <v>18016072</v>
      </c>
      <c r="N126" s="105">
        <v>2000</v>
      </c>
      <c r="O126" s="105">
        <v>2000</v>
      </c>
      <c r="P126" s="105">
        <v>2000</v>
      </c>
      <c r="Q126" s="117">
        <v>-2000</v>
      </c>
      <c r="R126" s="104">
        <f t="shared" si="16"/>
        <v>0</v>
      </c>
      <c r="S126" s="114">
        <f>IFERROR(VLOOKUP(G126,'附表8-合同明细采集底稿'!B:M,12,0),100%)</f>
        <v>1</v>
      </c>
      <c r="T126" s="104">
        <f t="shared" si="17"/>
        <v>0</v>
      </c>
      <c r="U126" s="99"/>
      <c r="V126" s="99" t="s">
        <v>275</v>
      </c>
      <c r="W126" s="116">
        <f>IF('附表1-面积统计表'!$D$29=0,"",IF(AND(V126="共同成本费用",Z126="总建筑面积法"),ROUND(T126/'附表1-面积统计表'!$D$29*'附表1-面积统计表'!$D$5,2),IF(AND(V126="共同成本费用",Z126="可售建筑面积法"),ROUND(T126/'附表1-面积统计表'!$F$29*'附表1-面积统计表'!$F$5,2),"请手工填写")))</f>
        <v>0</v>
      </c>
      <c r="X126" s="116">
        <f t="shared" si="15"/>
        <v>0</v>
      </c>
      <c r="Y126" s="116">
        <f>IF(SUM('附表1-面积统计表'!$D$6)=0,SUM(T126)-SUM(W126),IF('附表1-面积统计表'!$D$29=0,"",IF(AND(V126="共同成本费用",Z126="总建筑面积法"),ROUND(T126/'附表1-面积统计表'!$D$29*'附表1-面积统计表'!$D$7,2),IF(AND(V126="共同成本费用",Z126="可售建筑面积法"),ROUND(T126/'附表1-面积统计表'!$F$29*'附表1-面积统计表'!$F$7,2),"请手工填写"))))</f>
        <v>0</v>
      </c>
      <c r="Z126" s="99" t="s">
        <v>251</v>
      </c>
      <c r="AA126" s="99"/>
      <c r="AB126" s="119" t="s">
        <v>1259</v>
      </c>
    </row>
    <row r="127" ht="24" hidden="1" customHeight="1" spans="1:28">
      <c r="A127" s="93">
        <v>121</v>
      </c>
      <c r="B127" s="99" t="s">
        <v>1497</v>
      </c>
      <c r="C127" s="99">
        <v>32</v>
      </c>
      <c r="D127" s="99" t="s">
        <v>1477</v>
      </c>
      <c r="E127" s="99" t="s">
        <v>1498</v>
      </c>
      <c r="F127" s="99"/>
      <c r="G127" s="99"/>
      <c r="H127" s="99"/>
      <c r="I127" s="99"/>
      <c r="J127" s="99" t="s">
        <v>1499</v>
      </c>
      <c r="K127" s="99" t="s">
        <v>1270</v>
      </c>
      <c r="L127" s="99" t="s">
        <v>1500</v>
      </c>
      <c r="M127" s="99" t="s">
        <v>1501</v>
      </c>
      <c r="N127" s="105">
        <v>50000</v>
      </c>
      <c r="O127" s="105">
        <v>50000</v>
      </c>
      <c r="P127" s="105">
        <v>50000</v>
      </c>
      <c r="Q127" s="117"/>
      <c r="R127" s="104">
        <f t="shared" si="16"/>
        <v>50000</v>
      </c>
      <c r="S127" s="114">
        <f>IFERROR(VLOOKUP(G127,'附表8-合同明细采集底稿'!B:M,12,0),100%)</f>
        <v>1</v>
      </c>
      <c r="T127" s="104">
        <f t="shared" si="17"/>
        <v>50000</v>
      </c>
      <c r="U127" s="99"/>
      <c r="V127" s="99" t="s">
        <v>275</v>
      </c>
      <c r="W127" s="116">
        <f>IF('附表1-面积统计表'!$D$29=0,"",IF(AND(V127="共同成本费用",Z127="总建筑面积法"),ROUND(T127/'附表1-面积统计表'!$D$29*'附表1-面积统计表'!$D$5,2),IF(AND(V127="共同成本费用",Z127="可售建筑面积法"),ROUND(T127/'附表1-面积统计表'!$F$29*'附表1-面积统计表'!$F$5,2),"请手工填写")))</f>
        <v>36464.99</v>
      </c>
      <c r="X127" s="116">
        <f t="shared" si="15"/>
        <v>0</v>
      </c>
      <c r="Y127" s="116">
        <f>IF(SUM('附表1-面积统计表'!$D$6)=0,SUM(T127)-SUM(W127),IF('附表1-面积统计表'!$D$29=0,"",IF(AND(V127="共同成本费用",Z127="总建筑面积法"),ROUND(T127/'附表1-面积统计表'!$D$29*'附表1-面积统计表'!$D$7,2),IF(AND(V127="共同成本费用",Z127="可售建筑面积法"),ROUND(T127/'附表1-面积统计表'!$F$29*'附表1-面积统计表'!$F$7,2),"请手工填写"))))</f>
        <v>13535.01</v>
      </c>
      <c r="Z127" s="99" t="s">
        <v>251</v>
      </c>
      <c r="AA127" s="99"/>
      <c r="AB127" s="119" t="s">
        <v>1259</v>
      </c>
    </row>
    <row r="128" ht="24" hidden="1" customHeight="1" spans="1:28">
      <c r="A128" s="93">
        <v>122</v>
      </c>
      <c r="B128" s="99" t="s">
        <v>1502</v>
      </c>
      <c r="C128" s="99">
        <v>49</v>
      </c>
      <c r="D128" s="99" t="s">
        <v>1477</v>
      </c>
      <c r="E128" s="99" t="s">
        <v>1498</v>
      </c>
      <c r="F128" s="99"/>
      <c r="G128" s="99"/>
      <c r="H128" s="99"/>
      <c r="I128" s="99"/>
      <c r="J128" s="99" t="s">
        <v>1503</v>
      </c>
      <c r="K128" s="99" t="s">
        <v>1270</v>
      </c>
      <c r="L128" s="99" t="s">
        <v>1483</v>
      </c>
      <c r="M128" s="99" t="s">
        <v>1504</v>
      </c>
      <c r="N128" s="105">
        <v>173765.01</v>
      </c>
      <c r="O128" s="105">
        <v>173765.01</v>
      </c>
      <c r="P128" s="105">
        <v>173765.01</v>
      </c>
      <c r="Q128" s="117"/>
      <c r="R128" s="104">
        <f t="shared" si="16"/>
        <v>173765.01</v>
      </c>
      <c r="S128" s="114">
        <f>IFERROR(VLOOKUP(G128,'附表8-合同明细采集底稿'!B:M,12,0),100%)</f>
        <v>1</v>
      </c>
      <c r="T128" s="104">
        <f t="shared" si="17"/>
        <v>173765.01</v>
      </c>
      <c r="U128" s="99"/>
      <c r="V128" s="99" t="s">
        <v>275</v>
      </c>
      <c r="W128" s="116">
        <f>IF('附表1-面积统计表'!$D$29=0,"",IF(AND(V128="共同成本费用",Z128="总建筑面积法"),ROUND(T128/'附表1-面积统计表'!$D$29*'附表1-面积统计表'!$D$5,2),IF(AND(V128="共同成本费用",Z128="可售建筑面积法"),ROUND(T128/'附表1-面积统计表'!$F$29*'附表1-面积统计表'!$F$5,2),"请手工填写")))</f>
        <v>126726.8</v>
      </c>
      <c r="X128" s="116">
        <f t="shared" si="15"/>
        <v>0</v>
      </c>
      <c r="Y128" s="116">
        <f>IF(SUM('附表1-面积统计表'!$D$6)=0,SUM(T128)-SUM(W128),IF('附表1-面积统计表'!$D$29=0,"",IF(AND(V128="共同成本费用",Z128="总建筑面积法"),ROUND(T128/'附表1-面积统计表'!$D$29*'附表1-面积统计表'!$D$7,2),IF(AND(V128="共同成本费用",Z128="可售建筑面积法"),ROUND(T128/'附表1-面积统计表'!$F$29*'附表1-面积统计表'!$F$7,2),"请手工填写"))))</f>
        <v>47038.21</v>
      </c>
      <c r="Z128" s="99" t="s">
        <v>251</v>
      </c>
      <c r="AA128" s="99"/>
      <c r="AB128" s="119" t="s">
        <v>1259</v>
      </c>
    </row>
    <row r="129" ht="24" hidden="1" customHeight="1" spans="1:28">
      <c r="A129" s="93">
        <v>123</v>
      </c>
      <c r="B129" s="99" t="s">
        <v>1505</v>
      </c>
      <c r="C129" s="99">
        <v>78</v>
      </c>
      <c r="D129" s="99" t="s">
        <v>1477</v>
      </c>
      <c r="E129" s="99" t="s">
        <v>1498</v>
      </c>
      <c r="F129" s="99"/>
      <c r="G129" s="99"/>
      <c r="H129" s="99"/>
      <c r="I129" s="99"/>
      <c r="J129" s="99"/>
      <c r="K129" s="99" t="s">
        <v>1317</v>
      </c>
      <c r="L129" s="99">
        <v>6500151320</v>
      </c>
      <c r="M129" s="99" t="s">
        <v>1506</v>
      </c>
      <c r="N129" s="105">
        <v>0.8</v>
      </c>
      <c r="O129" s="105">
        <v>0.8</v>
      </c>
      <c r="P129" s="105">
        <v>0.8</v>
      </c>
      <c r="Q129" s="117">
        <v>-0.8</v>
      </c>
      <c r="R129" s="104">
        <f t="shared" si="16"/>
        <v>0</v>
      </c>
      <c r="S129" s="114">
        <f>IFERROR(VLOOKUP(G129,'附表8-合同明细采集底稿'!B:M,12,0),100%)</f>
        <v>1</v>
      </c>
      <c r="T129" s="104">
        <f t="shared" si="17"/>
        <v>0</v>
      </c>
      <c r="U129" s="99"/>
      <c r="V129" s="99" t="s">
        <v>275</v>
      </c>
      <c r="W129" s="116">
        <f>IF('附表1-面积统计表'!$D$29=0,"",IF(AND(V129="共同成本费用",Z129="总建筑面积法"),ROUND(T129/'附表1-面积统计表'!$D$29*'附表1-面积统计表'!$D$5,2),IF(AND(V129="共同成本费用",Z129="可售建筑面积法"),ROUND(T129/'附表1-面积统计表'!$F$29*'附表1-面积统计表'!$F$5,2),"请手工填写")))</f>
        <v>0</v>
      </c>
      <c r="X129" s="116">
        <f t="shared" si="15"/>
        <v>0</v>
      </c>
      <c r="Y129" s="116">
        <f>IF(SUM('附表1-面积统计表'!$D$6)=0,SUM(T129)-SUM(W129),IF('附表1-面积统计表'!$D$29=0,"",IF(AND(V129="共同成本费用",Z129="总建筑面积法"),ROUND(T129/'附表1-面积统计表'!$D$29*'附表1-面积统计表'!$D$7,2),IF(AND(V129="共同成本费用",Z129="可售建筑面积法"),ROUND(T129/'附表1-面积统计表'!$F$29*'附表1-面积统计表'!$F$7,2),"请手工填写"))))</f>
        <v>0</v>
      </c>
      <c r="Z129" s="99" t="s">
        <v>251</v>
      </c>
      <c r="AA129" s="99"/>
      <c r="AB129" s="119" t="s">
        <v>1259</v>
      </c>
    </row>
    <row r="130" ht="24" hidden="1" customHeight="1" spans="1:28">
      <c r="A130" s="93">
        <v>124</v>
      </c>
      <c r="B130" s="99" t="s">
        <v>1485</v>
      </c>
      <c r="C130" s="99">
        <v>51</v>
      </c>
      <c r="D130" s="99" t="s">
        <v>1477</v>
      </c>
      <c r="E130" s="99" t="s">
        <v>1498</v>
      </c>
      <c r="F130" s="99"/>
      <c r="G130" s="99"/>
      <c r="H130" s="99"/>
      <c r="I130" s="99"/>
      <c r="J130" s="99" t="s">
        <v>1486</v>
      </c>
      <c r="K130" s="99" t="s">
        <v>1317</v>
      </c>
      <c r="L130" s="99" t="s">
        <v>1318</v>
      </c>
      <c r="M130" s="99" t="s">
        <v>1507</v>
      </c>
      <c r="N130" s="105">
        <v>11070</v>
      </c>
      <c r="O130" s="105">
        <v>11070</v>
      </c>
      <c r="P130" s="105">
        <v>11070</v>
      </c>
      <c r="Q130" s="117">
        <v>-5535</v>
      </c>
      <c r="R130" s="104">
        <f t="shared" si="16"/>
        <v>5535</v>
      </c>
      <c r="S130" s="114">
        <f>IFERROR(VLOOKUP(G130,'附表8-合同明细采集底稿'!B:M,12,0),100%)</f>
        <v>1</v>
      </c>
      <c r="T130" s="104">
        <f t="shared" si="17"/>
        <v>5535</v>
      </c>
      <c r="U130" s="99"/>
      <c r="V130" s="99" t="s">
        <v>275</v>
      </c>
      <c r="W130" s="116">
        <f>IF('附表1-面积统计表'!$D$29=0,"",IF(AND(V130="共同成本费用",Z130="总建筑面积法"),ROUND(T130/'附表1-面积统计表'!$D$29*'附表1-面积统计表'!$D$5,2),IF(AND(V130="共同成本费用",Z130="可售建筑面积法"),ROUND(T130/'附表1-面积统计表'!$F$29*'附表1-面积统计表'!$F$5,2),"请手工填写")))</f>
        <v>4036.67</v>
      </c>
      <c r="X130" s="116">
        <f t="shared" si="15"/>
        <v>0</v>
      </c>
      <c r="Y130" s="116">
        <f>IF(SUM('附表1-面积统计表'!$D$6)=0,SUM(T130)-SUM(W130),IF('附表1-面积统计表'!$D$29=0,"",IF(AND(V130="共同成本费用",Z130="总建筑面积法"),ROUND(T130/'附表1-面积统计表'!$D$29*'附表1-面积统计表'!$D$7,2),IF(AND(V130="共同成本费用",Z130="可售建筑面积法"),ROUND(T130/'附表1-面积统计表'!$F$29*'附表1-面积统计表'!$F$7,2),"请手工填写"))))</f>
        <v>1498.33</v>
      </c>
      <c r="Z130" s="99" t="s">
        <v>251</v>
      </c>
      <c r="AA130" s="99"/>
      <c r="AB130" s="119" t="s">
        <v>1259</v>
      </c>
    </row>
    <row r="131" ht="24" hidden="1" customHeight="1" spans="1:28">
      <c r="A131" s="93">
        <v>125</v>
      </c>
      <c r="B131" s="99" t="s">
        <v>1508</v>
      </c>
      <c r="C131" s="99">
        <v>76</v>
      </c>
      <c r="D131" s="99" t="s">
        <v>1477</v>
      </c>
      <c r="E131" s="99" t="s">
        <v>1498</v>
      </c>
      <c r="F131" s="99"/>
      <c r="G131" s="99"/>
      <c r="H131" s="99"/>
      <c r="I131" s="99"/>
      <c r="J131" s="99" t="s">
        <v>1499</v>
      </c>
      <c r="K131" s="99" t="s">
        <v>1270</v>
      </c>
      <c r="L131" s="99" t="s">
        <v>1483</v>
      </c>
      <c r="M131" s="99" t="s">
        <v>1509</v>
      </c>
      <c r="N131" s="105">
        <v>50000</v>
      </c>
      <c r="O131" s="105">
        <v>50000</v>
      </c>
      <c r="P131" s="105">
        <v>50000</v>
      </c>
      <c r="Q131" s="117"/>
      <c r="R131" s="104">
        <f t="shared" si="16"/>
        <v>50000</v>
      </c>
      <c r="S131" s="114">
        <f>IFERROR(VLOOKUP(G131,'附表8-合同明细采集底稿'!B:M,12,0),100%)</f>
        <v>1</v>
      </c>
      <c r="T131" s="104">
        <f t="shared" si="17"/>
        <v>50000</v>
      </c>
      <c r="U131" s="99"/>
      <c r="V131" s="99" t="s">
        <v>275</v>
      </c>
      <c r="W131" s="116">
        <f>IF('附表1-面积统计表'!$D$29=0,"",IF(AND(V131="共同成本费用",Z131="总建筑面积法"),ROUND(T131/'附表1-面积统计表'!$D$29*'附表1-面积统计表'!$D$5,2),IF(AND(V131="共同成本费用",Z131="可售建筑面积法"),ROUND(T131/'附表1-面积统计表'!$F$29*'附表1-面积统计表'!$F$5,2),"请手工填写")))</f>
        <v>36464.99</v>
      </c>
      <c r="X131" s="116">
        <f t="shared" si="15"/>
        <v>0</v>
      </c>
      <c r="Y131" s="116">
        <f>IF(SUM('附表1-面积统计表'!$D$6)=0,SUM(T131)-SUM(W131),IF('附表1-面积统计表'!$D$29=0,"",IF(AND(V131="共同成本费用",Z131="总建筑面积法"),ROUND(T131/'附表1-面积统计表'!$D$29*'附表1-面积统计表'!$D$7,2),IF(AND(V131="共同成本费用",Z131="可售建筑面积法"),ROUND(T131/'附表1-面积统计表'!$F$29*'附表1-面积统计表'!$F$7,2),"请手工填写"))))</f>
        <v>13535.01</v>
      </c>
      <c r="Z131" s="99" t="s">
        <v>251</v>
      </c>
      <c r="AA131" s="99"/>
      <c r="AB131" s="119" t="s">
        <v>1259</v>
      </c>
    </row>
    <row r="132" ht="24" hidden="1" customHeight="1" spans="1:28">
      <c r="A132" s="93">
        <v>126</v>
      </c>
      <c r="B132" s="99" t="s">
        <v>1510</v>
      </c>
      <c r="C132" s="99">
        <v>23</v>
      </c>
      <c r="D132" s="99" t="s">
        <v>1477</v>
      </c>
      <c r="E132" s="99" t="s">
        <v>1498</v>
      </c>
      <c r="F132" s="99"/>
      <c r="G132" s="99"/>
      <c r="H132" s="99"/>
      <c r="I132" s="99"/>
      <c r="J132" s="99" t="s">
        <v>1511</v>
      </c>
      <c r="K132" s="99" t="s">
        <v>1317</v>
      </c>
      <c r="L132" s="99" t="s">
        <v>1490</v>
      </c>
      <c r="M132" s="99" t="s">
        <v>1512</v>
      </c>
      <c r="N132" s="105">
        <v>47043</v>
      </c>
      <c r="O132" s="105">
        <v>10000</v>
      </c>
      <c r="P132" s="105">
        <v>10000</v>
      </c>
      <c r="Q132" s="117">
        <v>37043</v>
      </c>
      <c r="R132" s="104">
        <f t="shared" si="16"/>
        <v>47043</v>
      </c>
      <c r="S132" s="114">
        <f>IFERROR(VLOOKUP(G132,'附表8-合同明细采集底稿'!B:M,12,0),100%)</f>
        <v>1</v>
      </c>
      <c r="T132" s="104">
        <f t="shared" si="17"/>
        <v>47043</v>
      </c>
      <c r="U132" s="99"/>
      <c r="V132" s="99" t="s">
        <v>275</v>
      </c>
      <c r="W132" s="116">
        <f>IF('附表1-面积统计表'!$D$29=0,"",IF(AND(V132="共同成本费用",Z132="总建筑面积法"),ROUND(T132/'附表1-面积统计表'!$D$29*'附表1-面积统计表'!$D$5,2),IF(AND(V132="共同成本费用",Z132="可售建筑面积法"),ROUND(T132/'附表1-面积统计表'!$F$29*'附表1-面积统计表'!$F$5,2),"请手工填写")))</f>
        <v>34308.45</v>
      </c>
      <c r="X132" s="116">
        <f t="shared" si="15"/>
        <v>0</v>
      </c>
      <c r="Y132" s="116">
        <f>IF(SUM('附表1-面积统计表'!$D$6)=0,SUM(T132)-SUM(W132),IF('附表1-面积统计表'!$D$29=0,"",IF(AND(V132="共同成本费用",Z132="总建筑面积法"),ROUND(T132/'附表1-面积统计表'!$D$29*'附表1-面积统计表'!$D$7,2),IF(AND(V132="共同成本费用",Z132="可售建筑面积法"),ROUND(T132/'附表1-面积统计表'!$F$29*'附表1-面积统计表'!$F$7,2),"请手工填写"))))</f>
        <v>12734.55</v>
      </c>
      <c r="Z132" s="99" t="s">
        <v>251</v>
      </c>
      <c r="AA132" s="99"/>
      <c r="AB132" s="119" t="s">
        <v>1259</v>
      </c>
    </row>
    <row r="133" ht="24" hidden="1" customHeight="1" spans="1:28">
      <c r="A133" s="93">
        <v>127</v>
      </c>
      <c r="B133" s="99" t="s">
        <v>1513</v>
      </c>
      <c r="C133" s="99">
        <v>10</v>
      </c>
      <c r="D133" s="99" t="s">
        <v>1477</v>
      </c>
      <c r="E133" s="99" t="s">
        <v>1514</v>
      </c>
      <c r="F133" s="99"/>
      <c r="G133" s="99"/>
      <c r="H133" s="99"/>
      <c r="I133" s="99"/>
      <c r="J133" s="99" t="s">
        <v>1515</v>
      </c>
      <c r="K133" s="99" t="s">
        <v>1317</v>
      </c>
      <c r="L133" s="99" t="s">
        <v>1516</v>
      </c>
      <c r="M133" s="99" t="s">
        <v>1517</v>
      </c>
      <c r="N133" s="105">
        <v>9000</v>
      </c>
      <c r="O133" s="105">
        <v>9000</v>
      </c>
      <c r="P133" s="105">
        <v>9000</v>
      </c>
      <c r="Q133" s="117">
        <v>-9000</v>
      </c>
      <c r="R133" s="104">
        <f t="shared" si="16"/>
        <v>0</v>
      </c>
      <c r="S133" s="114">
        <f>IFERROR(VLOOKUP(G133,'附表8-合同明细采集底稿'!B:M,12,0),100%)</f>
        <v>1</v>
      </c>
      <c r="T133" s="104">
        <f t="shared" si="17"/>
        <v>0</v>
      </c>
      <c r="U133" s="99"/>
      <c r="V133" s="99" t="s">
        <v>275</v>
      </c>
      <c r="W133" s="116">
        <f>IF('附表1-面积统计表'!$D$29=0,"",IF(AND(V133="共同成本费用",Z133="总建筑面积法"),ROUND(T133/'附表1-面积统计表'!$D$29*'附表1-面积统计表'!$D$5,2),IF(AND(V133="共同成本费用",Z133="可售建筑面积法"),ROUND(T133/'附表1-面积统计表'!$F$29*'附表1-面积统计表'!$F$5,2),"请手工填写")))</f>
        <v>0</v>
      </c>
      <c r="X133" s="116">
        <f t="shared" si="15"/>
        <v>0</v>
      </c>
      <c r="Y133" s="116">
        <f>IF(SUM('附表1-面积统计表'!$D$6)=0,SUM(T133)-SUM(W133),IF('附表1-面积统计表'!$D$29=0,"",IF(AND(V133="共同成本费用",Z133="总建筑面积法"),ROUND(T133/'附表1-面积统计表'!$D$29*'附表1-面积统计表'!$D$7,2),IF(AND(V133="共同成本费用",Z133="可售建筑面积法"),ROUND(T133/'附表1-面积统计表'!$F$29*'附表1-面积统计表'!$F$7,2),"请手工填写"))))</f>
        <v>0</v>
      </c>
      <c r="Z133" s="99" t="s">
        <v>251</v>
      </c>
      <c r="AA133" s="99"/>
      <c r="AB133" s="119" t="s">
        <v>1259</v>
      </c>
    </row>
    <row r="134" ht="24" hidden="1" customHeight="1" spans="1:28">
      <c r="A134" s="93">
        <v>128</v>
      </c>
      <c r="B134" s="99" t="s">
        <v>1412</v>
      </c>
      <c r="C134" s="99">
        <v>37</v>
      </c>
      <c r="D134" s="99" t="s">
        <v>1477</v>
      </c>
      <c r="E134" s="99" t="s">
        <v>1518</v>
      </c>
      <c r="F134" s="99"/>
      <c r="G134" s="99"/>
      <c r="H134" s="99"/>
      <c r="I134" s="99"/>
      <c r="J134" s="99" t="s">
        <v>1519</v>
      </c>
      <c r="K134" s="99" t="s">
        <v>1317</v>
      </c>
      <c r="L134" s="99" t="s">
        <v>1413</v>
      </c>
      <c r="M134" s="99" t="s">
        <v>1520</v>
      </c>
      <c r="N134" s="105">
        <v>2586</v>
      </c>
      <c r="O134" s="105">
        <v>2586</v>
      </c>
      <c r="P134" s="105">
        <v>2586</v>
      </c>
      <c r="Q134" s="117"/>
      <c r="R134" s="104">
        <f t="shared" si="16"/>
        <v>2586</v>
      </c>
      <c r="S134" s="114">
        <f>IFERROR(VLOOKUP(G134,'附表8-合同明细采集底稿'!B:M,12,0),100%)</f>
        <v>1</v>
      </c>
      <c r="T134" s="104">
        <f t="shared" si="17"/>
        <v>2586</v>
      </c>
      <c r="U134" s="99"/>
      <c r="V134" s="99" t="s">
        <v>275</v>
      </c>
      <c r="W134" s="116">
        <f>IF('附表1-面积统计表'!$D$29=0,"",IF(AND(V134="共同成本费用",Z134="总建筑面积法"),ROUND(T134/'附表1-面积统计表'!$D$29*'附表1-面积统计表'!$D$5,2),IF(AND(V134="共同成本费用",Z134="可售建筑面积法"),ROUND(T134/'附表1-面积统计表'!$F$29*'附表1-面积统计表'!$F$5,2),"请手工填写")))</f>
        <v>1885.97</v>
      </c>
      <c r="X134" s="116">
        <f t="shared" si="15"/>
        <v>0</v>
      </c>
      <c r="Y134" s="116">
        <f>IF(SUM('附表1-面积统计表'!$D$6)=0,SUM(T134)-SUM(W134),IF('附表1-面积统计表'!$D$29=0,"",IF(AND(V134="共同成本费用",Z134="总建筑面积法"),ROUND(T134/'附表1-面积统计表'!$D$29*'附表1-面积统计表'!$D$7,2),IF(AND(V134="共同成本费用",Z134="可售建筑面积法"),ROUND(T134/'附表1-面积统计表'!$F$29*'附表1-面积统计表'!$F$7,2),"请手工填写"))))</f>
        <v>700.03</v>
      </c>
      <c r="Z134" s="99" t="s">
        <v>251</v>
      </c>
      <c r="AA134" s="99"/>
      <c r="AB134" s="119" t="s">
        <v>1259</v>
      </c>
    </row>
    <row r="135" ht="24" hidden="1" customHeight="1" spans="1:28">
      <c r="A135" s="93">
        <v>129</v>
      </c>
      <c r="B135" s="99" t="s">
        <v>1521</v>
      </c>
      <c r="C135" s="99">
        <v>12</v>
      </c>
      <c r="D135" s="99" t="s">
        <v>1477</v>
      </c>
      <c r="E135" s="99" t="s">
        <v>1518</v>
      </c>
      <c r="F135" s="99"/>
      <c r="G135" s="99"/>
      <c r="H135" s="99"/>
      <c r="I135" s="99"/>
      <c r="J135" s="99" t="s">
        <v>1522</v>
      </c>
      <c r="K135" s="99" t="s">
        <v>1270</v>
      </c>
      <c r="L135" s="99" t="s">
        <v>1271</v>
      </c>
      <c r="M135" s="99" t="s">
        <v>1523</v>
      </c>
      <c r="N135" s="105">
        <v>24714</v>
      </c>
      <c r="O135" s="105">
        <v>24714</v>
      </c>
      <c r="P135" s="105">
        <v>24714</v>
      </c>
      <c r="Q135" s="117"/>
      <c r="R135" s="104">
        <f t="shared" si="16"/>
        <v>24714</v>
      </c>
      <c r="S135" s="114">
        <f>IFERROR(VLOOKUP(G135,'附表8-合同明细采集底稿'!B:M,12,0),100%)</f>
        <v>1</v>
      </c>
      <c r="T135" s="104">
        <f t="shared" si="17"/>
        <v>24714</v>
      </c>
      <c r="U135" s="99"/>
      <c r="V135" s="99" t="s">
        <v>275</v>
      </c>
      <c r="W135" s="116">
        <f>IF('附表1-面积统计表'!$D$29=0,"",IF(AND(V135="共同成本费用",Z135="总建筑面积法"),ROUND(T135/'附表1-面积统计表'!$D$29*'附表1-面积统计表'!$D$5,2),IF(AND(V135="共同成本费用",Z135="可售建筑面积法"),ROUND(T135/'附表1-面积统计表'!$F$29*'附表1-面积统计表'!$F$5,2),"请手工填写")))</f>
        <v>18023.92</v>
      </c>
      <c r="X135" s="116">
        <f t="shared" si="15"/>
        <v>0</v>
      </c>
      <c r="Y135" s="116">
        <f>IF(SUM('附表1-面积统计表'!$D$6)=0,SUM(T135)-SUM(W135),IF('附表1-面积统计表'!$D$29=0,"",IF(AND(V135="共同成本费用",Z135="总建筑面积法"),ROUND(T135/'附表1-面积统计表'!$D$29*'附表1-面积统计表'!$D$7,2),IF(AND(V135="共同成本费用",Z135="可售建筑面积法"),ROUND(T135/'附表1-面积统计表'!$F$29*'附表1-面积统计表'!$F$7,2),"请手工填写"))))</f>
        <v>6690.08</v>
      </c>
      <c r="Z135" s="99" t="s">
        <v>251</v>
      </c>
      <c r="AA135" s="99"/>
      <c r="AB135" s="119" t="s">
        <v>1259</v>
      </c>
    </row>
    <row r="136" ht="24" hidden="1" customHeight="1" spans="1:28">
      <c r="A136" s="93">
        <v>130</v>
      </c>
      <c r="B136" s="99" t="s">
        <v>1524</v>
      </c>
      <c r="C136" s="99">
        <v>8</v>
      </c>
      <c r="D136" s="99" t="s">
        <v>1477</v>
      </c>
      <c r="E136" s="99" t="s">
        <v>1518</v>
      </c>
      <c r="F136" s="99"/>
      <c r="G136" s="99"/>
      <c r="H136" s="99"/>
      <c r="I136" s="99"/>
      <c r="J136" s="99" t="s">
        <v>1525</v>
      </c>
      <c r="K136" s="99" t="s">
        <v>1257</v>
      </c>
      <c r="L136" s="99" t="s">
        <v>1526</v>
      </c>
      <c r="M136" s="99" t="s">
        <v>1527</v>
      </c>
      <c r="N136" s="105">
        <v>1580962.2</v>
      </c>
      <c r="O136" s="105">
        <v>1580962.2</v>
      </c>
      <c r="P136" s="105">
        <v>1580962.2</v>
      </c>
      <c r="Q136" s="117">
        <f>-1580962.2+1228668.78</f>
        <v>-352293.42</v>
      </c>
      <c r="R136" s="104">
        <f t="shared" si="16"/>
        <v>1228668.78</v>
      </c>
      <c r="S136" s="114">
        <f>IFERROR(VLOOKUP(G136,'附表8-合同明细采集底稿'!B:M,12,0),100%)</f>
        <v>1</v>
      </c>
      <c r="T136" s="104">
        <f t="shared" si="17"/>
        <v>1228668.78</v>
      </c>
      <c r="U136" s="99"/>
      <c r="V136" s="99" t="s">
        <v>275</v>
      </c>
      <c r="W136" s="116">
        <f>IF('附表1-面积统计表'!$D$29=0,"",IF(AND(V136="共同成本费用",Z136="总建筑面积法"),ROUND(T136/'附表1-面积统计表'!$D$29*'附表1-面积统计表'!$D$5,2),IF(AND(V136="共同成本费用",Z136="可售建筑面积法"),ROUND(T136/'附表1-面积统计表'!$F$29*'附表1-面积统计表'!$F$5,2),"请手工填写")))</f>
        <v>896067.98</v>
      </c>
      <c r="X136" s="116">
        <f t="shared" ref="X136:X158" si="18">T136-W136-Y136</f>
        <v>0</v>
      </c>
      <c r="Y136" s="116">
        <f>IF(SUM('附表1-面积统计表'!$D$6)=0,SUM(T136)-SUM(W136),IF('附表1-面积统计表'!$D$29=0,"",IF(AND(V136="共同成本费用",Z136="总建筑面积法"),ROUND(T136/'附表1-面积统计表'!$D$29*'附表1-面积统计表'!$D$7,2),IF(AND(V136="共同成本费用",Z136="可售建筑面积法"),ROUND(T136/'附表1-面积统计表'!$F$29*'附表1-面积统计表'!$F$7,2),"请手工填写"))))</f>
        <v>332600.8</v>
      </c>
      <c r="Z136" s="99" t="s">
        <v>251</v>
      </c>
      <c r="AA136" s="99"/>
      <c r="AB136" s="119" t="s">
        <v>1259</v>
      </c>
    </row>
    <row r="137" ht="24" hidden="1" customHeight="1" spans="1:28">
      <c r="A137" s="93">
        <v>131</v>
      </c>
      <c r="B137" s="99" t="s">
        <v>1528</v>
      </c>
      <c r="C137" s="99">
        <v>11</v>
      </c>
      <c r="D137" s="99" t="s">
        <v>1477</v>
      </c>
      <c r="E137" s="99" t="s">
        <v>1518</v>
      </c>
      <c r="F137" s="99"/>
      <c r="G137" s="99"/>
      <c r="H137" s="99"/>
      <c r="I137" s="99"/>
      <c r="J137" s="99" t="s">
        <v>1529</v>
      </c>
      <c r="K137" s="99" t="s">
        <v>1317</v>
      </c>
      <c r="L137" s="99" t="s">
        <v>1309</v>
      </c>
      <c r="M137" s="99" t="s">
        <v>1530</v>
      </c>
      <c r="N137" s="105">
        <v>7735</v>
      </c>
      <c r="O137" s="105">
        <v>7735</v>
      </c>
      <c r="P137" s="105">
        <v>7735</v>
      </c>
      <c r="Q137" s="117"/>
      <c r="R137" s="104">
        <f t="shared" si="16"/>
        <v>7735</v>
      </c>
      <c r="S137" s="114">
        <f>IFERROR(VLOOKUP(G137,'附表8-合同明细采集底稿'!B:M,12,0),100%)</f>
        <v>1</v>
      </c>
      <c r="T137" s="104">
        <f t="shared" si="17"/>
        <v>7735</v>
      </c>
      <c r="U137" s="99"/>
      <c r="V137" s="99" t="s">
        <v>275</v>
      </c>
      <c r="W137" s="116">
        <f>IF('附表1-面积统计表'!$D$29=0,"",IF(AND(V137="共同成本费用",Z137="总建筑面积法"),ROUND(T137/'附表1-面积统计表'!$D$29*'附表1-面积统计表'!$D$5,2),IF(AND(V137="共同成本费用",Z137="可售建筑面积法"),ROUND(T137/'附表1-面积统计表'!$F$29*'附表1-面积统计表'!$F$5,2),"请手工填写")))</f>
        <v>5641.13</v>
      </c>
      <c r="X137" s="116">
        <f t="shared" si="18"/>
        <v>0</v>
      </c>
      <c r="Y137" s="116">
        <f>IF(SUM('附表1-面积统计表'!$D$6)=0,SUM(T137)-SUM(W137),IF('附表1-面积统计表'!$D$29=0,"",IF(AND(V137="共同成本费用",Z137="总建筑面积法"),ROUND(T137/'附表1-面积统计表'!$D$29*'附表1-面积统计表'!$D$7,2),IF(AND(V137="共同成本费用",Z137="可售建筑面积法"),ROUND(T137/'附表1-面积统计表'!$F$29*'附表1-面积统计表'!$F$7,2),"请手工填写"))))</f>
        <v>2093.87</v>
      </c>
      <c r="Z137" s="99" t="s">
        <v>251</v>
      </c>
      <c r="AA137" s="99"/>
      <c r="AB137" s="119" t="s">
        <v>1259</v>
      </c>
    </row>
    <row r="138" ht="24" hidden="1" customHeight="1" spans="1:28">
      <c r="A138" s="93">
        <v>132</v>
      </c>
      <c r="B138" s="99" t="s">
        <v>1531</v>
      </c>
      <c r="C138" s="99">
        <v>111</v>
      </c>
      <c r="D138" s="99" t="s">
        <v>1477</v>
      </c>
      <c r="E138" s="99" t="s">
        <v>1518</v>
      </c>
      <c r="F138" s="99"/>
      <c r="G138" s="99"/>
      <c r="H138" s="99"/>
      <c r="I138" s="99"/>
      <c r="J138" s="99" t="s">
        <v>1532</v>
      </c>
      <c r="K138" s="99" t="s">
        <v>1270</v>
      </c>
      <c r="L138" s="99" t="s">
        <v>1533</v>
      </c>
      <c r="M138" s="99" t="s">
        <v>1534</v>
      </c>
      <c r="N138" s="105">
        <v>184760</v>
      </c>
      <c r="O138" s="105">
        <v>184760</v>
      </c>
      <c r="P138" s="105">
        <v>184760</v>
      </c>
      <c r="Q138" s="117">
        <v>-2480</v>
      </c>
      <c r="R138" s="104">
        <f t="shared" si="16"/>
        <v>182280</v>
      </c>
      <c r="S138" s="114">
        <f>IFERROR(VLOOKUP(G138,'附表8-合同明细采集底稿'!B:M,12,0),100%)</f>
        <v>1</v>
      </c>
      <c r="T138" s="104">
        <f t="shared" si="17"/>
        <v>182280</v>
      </c>
      <c r="U138" s="99"/>
      <c r="V138" s="99" t="s">
        <v>275</v>
      </c>
      <c r="W138" s="116">
        <f>IF('附表1-面积统计表'!$D$29=0,"",IF(AND(V138="共同成本费用",Z138="总建筑面积法"),ROUND(T138/'附表1-面积统计表'!$D$29*'附表1-面积统计表'!$D$5,2),IF(AND(V138="共同成本费用",Z138="可售建筑面积法"),ROUND(T138/'附表1-面积统计表'!$F$29*'附表1-面积统计表'!$F$5,2),"请手工填写")))</f>
        <v>132936.78</v>
      </c>
      <c r="X138" s="116">
        <f t="shared" si="18"/>
        <v>0</v>
      </c>
      <c r="Y138" s="116">
        <f>IF(SUM('附表1-面积统计表'!$D$6)=0,SUM(T138)-SUM(W138),IF('附表1-面积统计表'!$D$29=0,"",IF(AND(V138="共同成本费用",Z138="总建筑面积法"),ROUND(T138/'附表1-面积统计表'!$D$29*'附表1-面积统计表'!$D$7,2),IF(AND(V138="共同成本费用",Z138="可售建筑面积法"),ROUND(T138/'附表1-面积统计表'!$F$29*'附表1-面积统计表'!$F$7,2),"请手工填写"))))</f>
        <v>49343.22</v>
      </c>
      <c r="Z138" s="99" t="s">
        <v>251</v>
      </c>
      <c r="AA138" s="99"/>
      <c r="AB138" s="119" t="s">
        <v>1259</v>
      </c>
    </row>
    <row r="139" ht="24" hidden="1" customHeight="1" spans="1:28">
      <c r="A139" s="93">
        <v>133</v>
      </c>
      <c r="B139" s="99" t="s">
        <v>1535</v>
      </c>
      <c r="C139" s="99">
        <v>31</v>
      </c>
      <c r="D139" s="99" t="s">
        <v>1477</v>
      </c>
      <c r="E139" s="99" t="s">
        <v>1518</v>
      </c>
      <c r="F139" s="99"/>
      <c r="G139" s="99"/>
      <c r="H139" s="99"/>
      <c r="I139" s="99"/>
      <c r="J139" s="99" t="s">
        <v>1536</v>
      </c>
      <c r="K139" s="99" t="s">
        <v>1270</v>
      </c>
      <c r="L139" s="99" t="s">
        <v>1537</v>
      </c>
      <c r="M139" s="99" t="s">
        <v>1538</v>
      </c>
      <c r="N139" s="105">
        <v>8000</v>
      </c>
      <c r="O139" s="105">
        <v>8000</v>
      </c>
      <c r="P139" s="105">
        <v>8000</v>
      </c>
      <c r="Q139" s="117">
        <v>-8000</v>
      </c>
      <c r="R139" s="104">
        <f t="shared" si="16"/>
        <v>0</v>
      </c>
      <c r="S139" s="114">
        <f>IFERROR(VLOOKUP(G139,'附表8-合同明细采集底稿'!B:M,12,0),100%)</f>
        <v>1</v>
      </c>
      <c r="T139" s="104">
        <f t="shared" si="17"/>
        <v>0</v>
      </c>
      <c r="U139" s="99"/>
      <c r="V139" s="99" t="s">
        <v>275</v>
      </c>
      <c r="W139" s="116">
        <f>IF('附表1-面积统计表'!$D$29=0,"",IF(AND(V139="共同成本费用",Z139="总建筑面积法"),ROUND(T139/'附表1-面积统计表'!$D$29*'附表1-面积统计表'!$D$5,2),IF(AND(V139="共同成本费用",Z139="可售建筑面积法"),ROUND(T139/'附表1-面积统计表'!$F$29*'附表1-面积统计表'!$F$5,2),"请手工填写")))</f>
        <v>0</v>
      </c>
      <c r="X139" s="116">
        <f t="shared" si="18"/>
        <v>0</v>
      </c>
      <c r="Y139" s="116">
        <f>IF(SUM('附表1-面积统计表'!$D$6)=0,SUM(T139)-SUM(W139),IF('附表1-面积统计表'!$D$29=0,"",IF(AND(V139="共同成本费用",Z139="总建筑面积法"),ROUND(T139/'附表1-面积统计表'!$D$29*'附表1-面积统计表'!$D$7,2),IF(AND(V139="共同成本费用",Z139="可售建筑面积法"),ROUND(T139/'附表1-面积统计表'!$F$29*'附表1-面积统计表'!$F$7,2),"请手工填写"))))</f>
        <v>0</v>
      </c>
      <c r="Z139" s="99" t="s">
        <v>251</v>
      </c>
      <c r="AA139" s="99"/>
      <c r="AB139" s="119" t="s">
        <v>1259</v>
      </c>
    </row>
    <row r="140" ht="24" hidden="1" customHeight="1" spans="1:28">
      <c r="A140" s="93">
        <v>134</v>
      </c>
      <c r="B140" s="99" t="s">
        <v>1535</v>
      </c>
      <c r="C140" s="99">
        <v>31</v>
      </c>
      <c r="D140" s="99" t="s">
        <v>1477</v>
      </c>
      <c r="E140" s="99" t="s">
        <v>1518</v>
      </c>
      <c r="F140" s="99"/>
      <c r="G140" s="99"/>
      <c r="H140" s="99"/>
      <c r="I140" s="99"/>
      <c r="J140" s="99" t="s">
        <v>1536</v>
      </c>
      <c r="K140" s="99" t="s">
        <v>1317</v>
      </c>
      <c r="L140" s="99" t="s">
        <v>1539</v>
      </c>
      <c r="M140" s="99" t="s">
        <v>1540</v>
      </c>
      <c r="N140" s="105">
        <v>4000</v>
      </c>
      <c r="O140" s="105">
        <v>4000</v>
      </c>
      <c r="P140" s="105">
        <v>4000</v>
      </c>
      <c r="Q140" s="117">
        <v>-4000</v>
      </c>
      <c r="R140" s="104">
        <f t="shared" si="16"/>
        <v>0</v>
      </c>
      <c r="S140" s="114">
        <f>IFERROR(VLOOKUP(G140,'附表8-合同明细采集底稿'!B:M,12,0),100%)</f>
        <v>1</v>
      </c>
      <c r="T140" s="104">
        <f t="shared" si="17"/>
        <v>0</v>
      </c>
      <c r="U140" s="99"/>
      <c r="V140" s="99" t="s">
        <v>275</v>
      </c>
      <c r="W140" s="116">
        <f>IF('附表1-面积统计表'!$D$29=0,"",IF(AND(V140="共同成本费用",Z140="总建筑面积法"),ROUND(T140/'附表1-面积统计表'!$D$29*'附表1-面积统计表'!$D$5,2),IF(AND(V140="共同成本费用",Z140="可售建筑面积法"),ROUND(T140/'附表1-面积统计表'!$F$29*'附表1-面积统计表'!$F$5,2),"请手工填写")))</f>
        <v>0</v>
      </c>
      <c r="X140" s="116">
        <f t="shared" si="18"/>
        <v>0</v>
      </c>
      <c r="Y140" s="116">
        <f>IF(SUM('附表1-面积统计表'!$D$6)=0,SUM(T140)-SUM(W140),IF('附表1-面积统计表'!$D$29=0,"",IF(AND(V140="共同成本费用",Z140="总建筑面积法"),ROUND(T140/'附表1-面积统计表'!$D$29*'附表1-面积统计表'!$D$7,2),IF(AND(V140="共同成本费用",Z140="可售建筑面积法"),ROUND(T140/'附表1-面积统计表'!$F$29*'附表1-面积统计表'!$F$7,2),"请手工填写"))))</f>
        <v>0</v>
      </c>
      <c r="Z140" s="99" t="s">
        <v>251</v>
      </c>
      <c r="AA140" s="99"/>
      <c r="AB140" s="119" t="s">
        <v>1259</v>
      </c>
    </row>
    <row r="141" ht="24" hidden="1" customHeight="1" spans="1:28">
      <c r="A141" s="93">
        <v>135</v>
      </c>
      <c r="B141" s="99" t="s">
        <v>1541</v>
      </c>
      <c r="C141" s="99">
        <v>68</v>
      </c>
      <c r="D141" s="99" t="s">
        <v>1477</v>
      </c>
      <c r="E141" s="99" t="s">
        <v>1518</v>
      </c>
      <c r="F141" s="99"/>
      <c r="G141" s="99"/>
      <c r="H141" s="99"/>
      <c r="I141" s="99"/>
      <c r="J141" s="99" t="s">
        <v>1542</v>
      </c>
      <c r="K141" s="99" t="s">
        <v>1317</v>
      </c>
      <c r="L141" s="99" t="s">
        <v>1543</v>
      </c>
      <c r="M141" s="99" t="s">
        <v>1544</v>
      </c>
      <c r="N141" s="105">
        <v>2084</v>
      </c>
      <c r="O141" s="105">
        <v>2084</v>
      </c>
      <c r="P141" s="105">
        <v>2084</v>
      </c>
      <c r="Q141" s="117">
        <v>-2084</v>
      </c>
      <c r="R141" s="104">
        <f t="shared" si="16"/>
        <v>0</v>
      </c>
      <c r="S141" s="114">
        <f>IFERROR(VLOOKUP(G141,'附表8-合同明细采集底稿'!B:M,12,0),100%)</f>
        <v>1</v>
      </c>
      <c r="T141" s="104">
        <f t="shared" si="17"/>
        <v>0</v>
      </c>
      <c r="U141" s="99"/>
      <c r="V141" s="99" t="s">
        <v>275</v>
      </c>
      <c r="W141" s="116">
        <f>IF('附表1-面积统计表'!$D$29=0,"",IF(AND(V141="共同成本费用",Z141="总建筑面积法"),ROUND(T141/'附表1-面积统计表'!$D$29*'附表1-面积统计表'!$D$5,2),IF(AND(V141="共同成本费用",Z141="可售建筑面积法"),ROUND(T141/'附表1-面积统计表'!$F$29*'附表1-面积统计表'!$F$5,2),"请手工填写")))</f>
        <v>0</v>
      </c>
      <c r="X141" s="116">
        <f t="shared" si="18"/>
        <v>0</v>
      </c>
      <c r="Y141" s="116">
        <f>IF(SUM('附表1-面积统计表'!$D$6)=0,SUM(T141)-SUM(W141),IF('附表1-面积统计表'!$D$29=0,"",IF(AND(V141="共同成本费用",Z141="总建筑面积法"),ROUND(T141/'附表1-面积统计表'!$D$29*'附表1-面积统计表'!$D$7,2),IF(AND(V141="共同成本费用",Z141="可售建筑面积法"),ROUND(T141/'附表1-面积统计表'!$F$29*'附表1-面积统计表'!$F$7,2),"请手工填写"))))</f>
        <v>0</v>
      </c>
      <c r="Z141" s="99" t="s">
        <v>251</v>
      </c>
      <c r="AA141" s="99"/>
      <c r="AB141" s="119" t="s">
        <v>1259</v>
      </c>
    </row>
    <row r="142" ht="24" hidden="1" customHeight="1" spans="1:28">
      <c r="A142" s="93">
        <v>136</v>
      </c>
      <c r="B142" s="99" t="s">
        <v>1545</v>
      </c>
      <c r="C142" s="99">
        <v>16</v>
      </c>
      <c r="D142" s="99" t="s">
        <v>1477</v>
      </c>
      <c r="E142" s="99" t="s">
        <v>1518</v>
      </c>
      <c r="F142" s="99"/>
      <c r="G142" s="99"/>
      <c r="H142" s="99"/>
      <c r="I142" s="99"/>
      <c r="J142" s="99" t="s">
        <v>1511</v>
      </c>
      <c r="K142" s="99" t="s">
        <v>1317</v>
      </c>
      <c r="L142" s="99" t="s">
        <v>1490</v>
      </c>
      <c r="M142" s="99" t="s">
        <v>1546</v>
      </c>
      <c r="N142" s="105">
        <v>37043</v>
      </c>
      <c r="O142" s="105">
        <v>37043</v>
      </c>
      <c r="P142" s="105">
        <v>37043</v>
      </c>
      <c r="Q142" s="117">
        <v>-37043</v>
      </c>
      <c r="R142" s="104">
        <f t="shared" si="16"/>
        <v>0</v>
      </c>
      <c r="S142" s="114">
        <f>IFERROR(VLOOKUP(G142,'附表8-合同明细采集底稿'!B:M,12,0),100%)</f>
        <v>1</v>
      </c>
      <c r="T142" s="104">
        <f t="shared" si="17"/>
        <v>0</v>
      </c>
      <c r="U142" s="99"/>
      <c r="V142" s="99" t="s">
        <v>275</v>
      </c>
      <c r="W142" s="116">
        <f>IF('附表1-面积统计表'!$D$29=0,"",IF(AND(V142="共同成本费用",Z142="总建筑面积法"),ROUND(T142/'附表1-面积统计表'!$D$29*'附表1-面积统计表'!$D$5,2),IF(AND(V142="共同成本费用",Z142="可售建筑面积法"),ROUND(T142/'附表1-面积统计表'!$F$29*'附表1-面积统计表'!$F$5,2),"请手工填写")))</f>
        <v>0</v>
      </c>
      <c r="X142" s="116">
        <f t="shared" si="18"/>
        <v>0</v>
      </c>
      <c r="Y142" s="116">
        <f>IF(SUM('附表1-面积统计表'!$D$6)=0,SUM(T142)-SUM(W142),IF('附表1-面积统计表'!$D$29=0,"",IF(AND(V142="共同成本费用",Z142="总建筑面积法"),ROUND(T142/'附表1-面积统计表'!$D$29*'附表1-面积统计表'!$D$7,2),IF(AND(V142="共同成本费用",Z142="可售建筑面积法"),ROUND(T142/'附表1-面积统计表'!$F$29*'附表1-面积统计表'!$F$7,2),"请手工填写"))))</f>
        <v>0</v>
      </c>
      <c r="Z142" s="99" t="s">
        <v>251</v>
      </c>
      <c r="AA142" s="99"/>
      <c r="AB142" s="119" t="s">
        <v>1259</v>
      </c>
    </row>
    <row r="143" ht="24" hidden="1" customHeight="1" spans="1:28">
      <c r="A143" s="93">
        <v>137</v>
      </c>
      <c r="B143" s="99" t="s">
        <v>1547</v>
      </c>
      <c r="C143" s="99">
        <v>59</v>
      </c>
      <c r="D143" s="99" t="s">
        <v>1477</v>
      </c>
      <c r="E143" s="99" t="s">
        <v>1518</v>
      </c>
      <c r="F143" s="99"/>
      <c r="G143" s="99"/>
      <c r="H143" s="99"/>
      <c r="I143" s="99"/>
      <c r="J143" s="99" t="s">
        <v>1548</v>
      </c>
      <c r="K143" s="99" t="s">
        <v>1317</v>
      </c>
      <c r="L143" s="99" t="s">
        <v>1490</v>
      </c>
      <c r="M143" s="99" t="s">
        <v>1549</v>
      </c>
      <c r="N143" s="105">
        <v>6000</v>
      </c>
      <c r="O143" s="105">
        <v>6000</v>
      </c>
      <c r="P143" s="105">
        <v>6000</v>
      </c>
      <c r="Q143" s="117">
        <v>-6000</v>
      </c>
      <c r="R143" s="104">
        <f t="shared" si="16"/>
        <v>0</v>
      </c>
      <c r="S143" s="114">
        <f>IFERROR(VLOOKUP(G143,'附表8-合同明细采集底稿'!B:M,12,0),100%)</f>
        <v>1</v>
      </c>
      <c r="T143" s="104">
        <f t="shared" si="17"/>
        <v>0</v>
      </c>
      <c r="U143" s="99"/>
      <c r="V143" s="99" t="s">
        <v>275</v>
      </c>
      <c r="W143" s="116">
        <f>IF('附表1-面积统计表'!$D$29=0,"",IF(AND(V143="共同成本费用",Z143="总建筑面积法"),ROUND(T143/'附表1-面积统计表'!$D$29*'附表1-面积统计表'!$D$5,2),IF(AND(V143="共同成本费用",Z143="可售建筑面积法"),ROUND(T143/'附表1-面积统计表'!$F$29*'附表1-面积统计表'!$F$5,2),"请手工填写")))</f>
        <v>0</v>
      </c>
      <c r="X143" s="116">
        <f t="shared" si="18"/>
        <v>0</v>
      </c>
      <c r="Y143" s="116">
        <f>IF(SUM('附表1-面积统计表'!$D$6)=0,SUM(T143)-SUM(W143),IF('附表1-面积统计表'!$D$29=0,"",IF(AND(V143="共同成本费用",Z143="总建筑面积法"),ROUND(T143/'附表1-面积统计表'!$D$29*'附表1-面积统计表'!$D$7,2),IF(AND(V143="共同成本费用",Z143="可售建筑面积法"),ROUND(T143/'附表1-面积统计表'!$F$29*'附表1-面积统计表'!$F$7,2),"请手工填写"))))</f>
        <v>0</v>
      </c>
      <c r="Z143" s="99" t="s">
        <v>251</v>
      </c>
      <c r="AA143" s="99"/>
      <c r="AB143" s="119" t="s">
        <v>1259</v>
      </c>
    </row>
    <row r="144" ht="24" hidden="1" customHeight="1" spans="1:28">
      <c r="A144" s="93">
        <v>138</v>
      </c>
      <c r="B144" s="99" t="s">
        <v>1550</v>
      </c>
      <c r="C144" s="99">
        <v>9</v>
      </c>
      <c r="D144" s="99" t="s">
        <v>1477</v>
      </c>
      <c r="E144" s="99" t="s">
        <v>1518</v>
      </c>
      <c r="F144" s="99"/>
      <c r="G144" s="99"/>
      <c r="H144" s="99"/>
      <c r="I144" s="99"/>
      <c r="J144" s="99" t="s">
        <v>1551</v>
      </c>
      <c r="K144" s="99" t="s">
        <v>1317</v>
      </c>
      <c r="L144" s="99">
        <v>6500153320</v>
      </c>
      <c r="M144" s="99">
        <v>9126257</v>
      </c>
      <c r="N144" s="105">
        <v>100</v>
      </c>
      <c r="O144" s="105">
        <v>100</v>
      </c>
      <c r="P144" s="105">
        <v>100</v>
      </c>
      <c r="Q144" s="117">
        <v>-100</v>
      </c>
      <c r="R144" s="104">
        <f t="shared" si="16"/>
        <v>0</v>
      </c>
      <c r="S144" s="114">
        <f>IFERROR(VLOOKUP(G144,'附表8-合同明细采集底稿'!B:M,12,0),100%)</f>
        <v>1</v>
      </c>
      <c r="T144" s="104">
        <f t="shared" si="17"/>
        <v>0</v>
      </c>
      <c r="U144" s="99"/>
      <c r="V144" s="99" t="s">
        <v>275</v>
      </c>
      <c r="W144" s="116">
        <f>IF('附表1-面积统计表'!$D$29=0,"",IF(AND(V144="共同成本费用",Z144="总建筑面积法"),ROUND(T144/'附表1-面积统计表'!$D$29*'附表1-面积统计表'!$D$5,2),IF(AND(V144="共同成本费用",Z144="可售建筑面积法"),ROUND(T144/'附表1-面积统计表'!$F$29*'附表1-面积统计表'!$F$5,2),"请手工填写")))</f>
        <v>0</v>
      </c>
      <c r="X144" s="116">
        <f t="shared" si="18"/>
        <v>0</v>
      </c>
      <c r="Y144" s="116">
        <f>IF(SUM('附表1-面积统计表'!$D$6)=0,SUM(T144)-SUM(W144),IF('附表1-面积统计表'!$D$29=0,"",IF(AND(V144="共同成本费用",Z144="总建筑面积法"),ROUND(T144/'附表1-面积统计表'!$D$29*'附表1-面积统计表'!$D$7,2),IF(AND(V144="共同成本费用",Z144="可售建筑面积法"),ROUND(T144/'附表1-面积统计表'!$F$29*'附表1-面积统计表'!$F$7,2),"请手工填写"))))</f>
        <v>0</v>
      </c>
      <c r="Z144" s="99" t="s">
        <v>251</v>
      </c>
      <c r="AA144" s="99"/>
      <c r="AB144" s="119" t="s">
        <v>1259</v>
      </c>
    </row>
    <row r="145" ht="24" hidden="1" customHeight="1" spans="1:28">
      <c r="A145" s="93">
        <v>139</v>
      </c>
      <c r="B145" s="99" t="s">
        <v>1552</v>
      </c>
      <c r="C145" s="99">
        <v>17</v>
      </c>
      <c r="D145" s="99" t="s">
        <v>1477</v>
      </c>
      <c r="E145" s="99" t="s">
        <v>1518</v>
      </c>
      <c r="F145" s="99"/>
      <c r="G145" s="99"/>
      <c r="H145" s="99"/>
      <c r="I145" s="99"/>
      <c r="J145" s="99" t="s">
        <v>1548</v>
      </c>
      <c r="K145" s="99" t="s">
        <v>1317</v>
      </c>
      <c r="L145" s="99" t="s">
        <v>1490</v>
      </c>
      <c r="M145" s="99" t="s">
        <v>1549</v>
      </c>
      <c r="N145" s="105">
        <v>9000</v>
      </c>
      <c r="O145" s="105">
        <v>9000</v>
      </c>
      <c r="P145" s="105">
        <v>9000</v>
      </c>
      <c r="Q145" s="117">
        <v>-9000</v>
      </c>
      <c r="R145" s="104">
        <f t="shared" si="16"/>
        <v>0</v>
      </c>
      <c r="S145" s="114">
        <f>IFERROR(VLOOKUP(G145,'附表8-合同明细采集底稿'!B:M,12,0),100%)</f>
        <v>1</v>
      </c>
      <c r="T145" s="104">
        <f t="shared" si="17"/>
        <v>0</v>
      </c>
      <c r="U145" s="99"/>
      <c r="V145" s="99" t="s">
        <v>275</v>
      </c>
      <c r="W145" s="116">
        <f>IF('附表1-面积统计表'!$D$29=0,"",IF(AND(V145="共同成本费用",Z145="总建筑面积法"),ROUND(T145/'附表1-面积统计表'!$D$29*'附表1-面积统计表'!$D$5,2),IF(AND(V145="共同成本费用",Z145="可售建筑面积法"),ROUND(T145/'附表1-面积统计表'!$F$29*'附表1-面积统计表'!$F$5,2),"请手工填写")))</f>
        <v>0</v>
      </c>
      <c r="X145" s="116">
        <f t="shared" si="18"/>
        <v>0</v>
      </c>
      <c r="Y145" s="116">
        <f>IF(SUM('附表1-面积统计表'!$D$6)=0,SUM(T145)-SUM(W145),IF('附表1-面积统计表'!$D$29=0,"",IF(AND(V145="共同成本费用",Z145="总建筑面积法"),ROUND(T145/'附表1-面积统计表'!$D$29*'附表1-面积统计表'!$D$7,2),IF(AND(V145="共同成本费用",Z145="可售建筑面积法"),ROUND(T145/'附表1-面积统计表'!$F$29*'附表1-面积统计表'!$F$7,2),"请手工填写"))))</f>
        <v>0</v>
      </c>
      <c r="Z145" s="99" t="s">
        <v>251</v>
      </c>
      <c r="AA145" s="99"/>
      <c r="AB145" s="119" t="s">
        <v>1259</v>
      </c>
    </row>
    <row r="146" ht="24" hidden="1" customHeight="1" spans="1:28">
      <c r="A146" s="93">
        <v>140</v>
      </c>
      <c r="B146" s="99" t="s">
        <v>1553</v>
      </c>
      <c r="C146" s="99">
        <v>65</v>
      </c>
      <c r="D146" s="99" t="s">
        <v>1477</v>
      </c>
      <c r="E146" s="99" t="s">
        <v>1518</v>
      </c>
      <c r="F146" s="99"/>
      <c r="G146" s="99"/>
      <c r="H146" s="99"/>
      <c r="I146" s="99"/>
      <c r="J146" s="99" t="s">
        <v>1493</v>
      </c>
      <c r="K146" s="99" t="s">
        <v>1317</v>
      </c>
      <c r="L146" s="99" t="s">
        <v>1318</v>
      </c>
      <c r="M146" s="99" t="s">
        <v>1554</v>
      </c>
      <c r="N146" s="105">
        <v>5000</v>
      </c>
      <c r="O146" s="105">
        <v>5000</v>
      </c>
      <c r="P146" s="105">
        <v>5000</v>
      </c>
      <c r="Q146" s="117">
        <v>-5000</v>
      </c>
      <c r="R146" s="104">
        <f t="shared" si="16"/>
        <v>0</v>
      </c>
      <c r="S146" s="114">
        <f>IFERROR(VLOOKUP(G146,'附表8-合同明细采集底稿'!B:M,12,0),100%)</f>
        <v>1</v>
      </c>
      <c r="T146" s="104">
        <f t="shared" si="17"/>
        <v>0</v>
      </c>
      <c r="U146" s="99"/>
      <c r="V146" s="99" t="s">
        <v>275</v>
      </c>
      <c r="W146" s="116">
        <f>IF('附表1-面积统计表'!$D$29=0,"",IF(AND(V146="共同成本费用",Z146="总建筑面积法"),ROUND(T146/'附表1-面积统计表'!$D$29*'附表1-面积统计表'!$D$5,2),IF(AND(V146="共同成本费用",Z146="可售建筑面积法"),ROUND(T146/'附表1-面积统计表'!$F$29*'附表1-面积统计表'!$F$5,2),"请手工填写")))</f>
        <v>0</v>
      </c>
      <c r="X146" s="116">
        <f t="shared" si="18"/>
        <v>0</v>
      </c>
      <c r="Y146" s="116">
        <f>IF(SUM('附表1-面积统计表'!$D$6)=0,SUM(T146)-SUM(W146),IF('附表1-面积统计表'!$D$29=0,"",IF(AND(V146="共同成本费用",Z146="总建筑面积法"),ROUND(T146/'附表1-面积统计表'!$D$29*'附表1-面积统计表'!$D$7,2),IF(AND(V146="共同成本费用",Z146="可售建筑面积法"),ROUND(T146/'附表1-面积统计表'!$F$29*'附表1-面积统计表'!$F$7,2),"请手工填写"))))</f>
        <v>0</v>
      </c>
      <c r="Z146" s="99" t="s">
        <v>251</v>
      </c>
      <c r="AA146" s="99"/>
      <c r="AB146" s="119" t="s">
        <v>1259</v>
      </c>
    </row>
    <row r="147" ht="24" hidden="1" customHeight="1" spans="1:28">
      <c r="A147" s="93">
        <v>141</v>
      </c>
      <c r="B147" s="99" t="s">
        <v>1555</v>
      </c>
      <c r="C147" s="99">
        <v>33</v>
      </c>
      <c r="D147" s="99" t="s">
        <v>1477</v>
      </c>
      <c r="E147" s="99" t="s">
        <v>1518</v>
      </c>
      <c r="F147" s="99"/>
      <c r="G147" s="99"/>
      <c r="H147" s="99"/>
      <c r="I147" s="99"/>
      <c r="J147" s="99" t="s">
        <v>1556</v>
      </c>
      <c r="K147" s="99" t="s">
        <v>1317</v>
      </c>
      <c r="L147" s="99" t="s">
        <v>1557</v>
      </c>
      <c r="M147" s="99" t="s">
        <v>1558</v>
      </c>
      <c r="N147" s="105">
        <v>22320</v>
      </c>
      <c r="O147" s="105">
        <v>22320</v>
      </c>
      <c r="P147" s="105">
        <v>22320</v>
      </c>
      <c r="Q147" s="117"/>
      <c r="R147" s="104">
        <f t="shared" si="16"/>
        <v>22320</v>
      </c>
      <c r="S147" s="114">
        <f>IFERROR(VLOOKUP(G147,'附表8-合同明细采集底稿'!B:M,12,0),100%)</f>
        <v>1</v>
      </c>
      <c r="T147" s="104">
        <f t="shared" si="17"/>
        <v>22320</v>
      </c>
      <c r="U147" s="99"/>
      <c r="V147" s="99" t="s">
        <v>275</v>
      </c>
      <c r="W147" s="116">
        <f>IF('附表1-面积统计表'!$D$29=0,"",IF(AND(V147="共同成本费用",Z147="总建筑面积法"),ROUND(T147/'附表1-面积统计表'!$D$29*'附表1-面积统计表'!$D$5,2),IF(AND(V147="共同成本费用",Z147="可售建筑面积法"),ROUND(T147/'附表1-面积统计表'!$F$29*'附表1-面积统计表'!$F$5,2),"请手工填写")))</f>
        <v>16277.97</v>
      </c>
      <c r="X147" s="116">
        <f t="shared" si="18"/>
        <v>0</v>
      </c>
      <c r="Y147" s="116">
        <f>IF(SUM('附表1-面积统计表'!$D$6)=0,SUM(T147)-SUM(W147),IF('附表1-面积统计表'!$D$29=0,"",IF(AND(V147="共同成本费用",Z147="总建筑面积法"),ROUND(T147/'附表1-面积统计表'!$D$29*'附表1-面积统计表'!$D$7,2),IF(AND(V147="共同成本费用",Z147="可售建筑面积法"),ROUND(T147/'附表1-面积统计表'!$F$29*'附表1-面积统计表'!$F$7,2),"请手工填写"))))</f>
        <v>6042.03</v>
      </c>
      <c r="Z147" s="99" t="s">
        <v>251</v>
      </c>
      <c r="AA147" s="99"/>
      <c r="AB147" s="119" t="s">
        <v>1259</v>
      </c>
    </row>
    <row r="148" ht="24" hidden="1" customHeight="1" spans="1:28">
      <c r="A148" s="93">
        <v>142</v>
      </c>
      <c r="B148" s="99" t="s">
        <v>1559</v>
      </c>
      <c r="C148" s="99">
        <v>46</v>
      </c>
      <c r="D148" s="99" t="s">
        <v>1477</v>
      </c>
      <c r="E148" s="99" t="s">
        <v>1518</v>
      </c>
      <c r="F148" s="99"/>
      <c r="G148" s="99"/>
      <c r="H148" s="99"/>
      <c r="I148" s="99"/>
      <c r="J148" s="99" t="s">
        <v>1560</v>
      </c>
      <c r="K148" s="99" t="s">
        <v>1317</v>
      </c>
      <c r="L148" s="99" t="s">
        <v>1561</v>
      </c>
      <c r="M148" s="99" t="s">
        <v>1562</v>
      </c>
      <c r="N148" s="105">
        <v>9500</v>
      </c>
      <c r="O148" s="105">
        <v>9500</v>
      </c>
      <c r="P148" s="105">
        <v>9500</v>
      </c>
      <c r="Q148" s="117"/>
      <c r="R148" s="104">
        <f t="shared" si="16"/>
        <v>9500</v>
      </c>
      <c r="S148" s="114">
        <f>IFERROR(VLOOKUP(G148,'附表8-合同明细采集底稿'!B:M,12,0),100%)</f>
        <v>1</v>
      </c>
      <c r="T148" s="104">
        <f t="shared" si="17"/>
        <v>9500</v>
      </c>
      <c r="U148" s="99"/>
      <c r="V148" s="99" t="s">
        <v>275</v>
      </c>
      <c r="W148" s="116">
        <f>IF('附表1-面积统计表'!$D$29=0,"",IF(AND(V148="共同成本费用",Z148="总建筑面积法"),ROUND(T148/'附表1-面积统计表'!$D$29*'附表1-面积统计表'!$D$5,2),IF(AND(V148="共同成本费用",Z148="可售建筑面积法"),ROUND(T148/'附表1-面积统计表'!$F$29*'附表1-面积统计表'!$F$5,2),"请手工填写")))</f>
        <v>6928.35</v>
      </c>
      <c r="X148" s="116">
        <f t="shared" si="18"/>
        <v>0</v>
      </c>
      <c r="Y148" s="116">
        <f>IF(SUM('附表1-面积统计表'!$D$6)=0,SUM(T148)-SUM(W148),IF('附表1-面积统计表'!$D$29=0,"",IF(AND(V148="共同成本费用",Z148="总建筑面积法"),ROUND(T148/'附表1-面积统计表'!$D$29*'附表1-面积统计表'!$D$7,2),IF(AND(V148="共同成本费用",Z148="可售建筑面积法"),ROUND(T148/'附表1-面积统计表'!$F$29*'附表1-面积统计表'!$F$7,2),"请手工填写"))))</f>
        <v>2571.65</v>
      </c>
      <c r="Z148" s="99" t="s">
        <v>251</v>
      </c>
      <c r="AA148" s="99"/>
      <c r="AB148" s="119" t="s">
        <v>1259</v>
      </c>
    </row>
    <row r="149" ht="24" hidden="1" customHeight="1" spans="1:28">
      <c r="A149" s="93">
        <v>143</v>
      </c>
      <c r="B149" s="99" t="s">
        <v>1410</v>
      </c>
      <c r="C149" s="99">
        <v>104</v>
      </c>
      <c r="D149" s="99" t="s">
        <v>1477</v>
      </c>
      <c r="E149" s="99" t="s">
        <v>1518</v>
      </c>
      <c r="F149" s="99"/>
      <c r="G149" s="99"/>
      <c r="H149" s="99"/>
      <c r="I149" s="99"/>
      <c r="J149" s="99" t="s">
        <v>1482</v>
      </c>
      <c r="K149" s="99" t="s">
        <v>1317</v>
      </c>
      <c r="L149" s="99" t="s">
        <v>1563</v>
      </c>
      <c r="M149" s="99" t="s">
        <v>1564</v>
      </c>
      <c r="N149" s="105">
        <v>1800</v>
      </c>
      <c r="O149" s="105">
        <v>1800</v>
      </c>
      <c r="P149" s="105">
        <v>1800</v>
      </c>
      <c r="Q149" s="117">
        <v>-1800</v>
      </c>
      <c r="R149" s="104">
        <f t="shared" si="16"/>
        <v>0</v>
      </c>
      <c r="S149" s="114">
        <f>IFERROR(VLOOKUP(G149,'附表8-合同明细采集底稿'!B:M,12,0),100%)</f>
        <v>1</v>
      </c>
      <c r="T149" s="104">
        <f t="shared" si="17"/>
        <v>0</v>
      </c>
      <c r="U149" s="99"/>
      <c r="V149" s="99" t="s">
        <v>275</v>
      </c>
      <c r="W149" s="116">
        <f>IF('附表1-面积统计表'!$D$29=0,"",IF(AND(V149="共同成本费用",Z149="总建筑面积法"),ROUND(T149/'附表1-面积统计表'!$D$29*'附表1-面积统计表'!$D$5,2),IF(AND(V149="共同成本费用",Z149="可售建筑面积法"),ROUND(T149/'附表1-面积统计表'!$F$29*'附表1-面积统计表'!$F$5,2),"请手工填写")))</f>
        <v>0</v>
      </c>
      <c r="X149" s="116">
        <f t="shared" si="18"/>
        <v>0</v>
      </c>
      <c r="Y149" s="116">
        <f>IF(SUM('附表1-面积统计表'!$D$6)=0,SUM(T149)-SUM(W149),IF('附表1-面积统计表'!$D$29=0,"",IF(AND(V149="共同成本费用",Z149="总建筑面积法"),ROUND(T149/'附表1-面积统计表'!$D$29*'附表1-面积统计表'!$D$7,2),IF(AND(V149="共同成本费用",Z149="可售建筑面积法"),ROUND(T149/'附表1-面积统计表'!$F$29*'附表1-面积统计表'!$F$7,2),"请手工填写"))))</f>
        <v>0</v>
      </c>
      <c r="Z149" s="99" t="s">
        <v>251</v>
      </c>
      <c r="AA149" s="99"/>
      <c r="AB149" s="119" t="s">
        <v>1259</v>
      </c>
    </row>
    <row r="150" ht="24" hidden="1" customHeight="1" spans="1:28">
      <c r="A150" s="93">
        <v>144</v>
      </c>
      <c r="B150" s="99" t="s">
        <v>1565</v>
      </c>
      <c r="C150" s="99">
        <v>38</v>
      </c>
      <c r="D150" s="99" t="s">
        <v>1477</v>
      </c>
      <c r="E150" s="99" t="s">
        <v>1518</v>
      </c>
      <c r="F150" s="99"/>
      <c r="G150" s="99"/>
      <c r="H150" s="99"/>
      <c r="I150" s="99"/>
      <c r="J150" s="99" t="s">
        <v>1566</v>
      </c>
      <c r="K150" s="99" t="s">
        <v>1317</v>
      </c>
      <c r="L150" s="99" t="s">
        <v>1516</v>
      </c>
      <c r="M150" s="99" t="s">
        <v>1567</v>
      </c>
      <c r="N150" s="105">
        <v>7500</v>
      </c>
      <c r="O150" s="105">
        <v>7500</v>
      </c>
      <c r="P150" s="105">
        <v>7500</v>
      </c>
      <c r="Q150" s="117"/>
      <c r="R150" s="104">
        <f t="shared" si="16"/>
        <v>7500</v>
      </c>
      <c r="S150" s="114">
        <f>IFERROR(VLOOKUP(G150,'附表8-合同明细采集底稿'!B:M,12,0),100%)</f>
        <v>1</v>
      </c>
      <c r="T150" s="104">
        <f t="shared" si="17"/>
        <v>7500</v>
      </c>
      <c r="U150" s="99"/>
      <c r="V150" s="99" t="s">
        <v>275</v>
      </c>
      <c r="W150" s="116">
        <f>IF('附表1-面积统计表'!$D$29=0,"",IF(AND(V150="共同成本费用",Z150="总建筑面积法"),ROUND(T150/'附表1-面积统计表'!$D$29*'附表1-面积统计表'!$D$5,2),IF(AND(V150="共同成本费用",Z150="可售建筑面积法"),ROUND(T150/'附表1-面积统计表'!$F$29*'附表1-面积统计表'!$F$5,2),"请手工填写")))</f>
        <v>5469.75</v>
      </c>
      <c r="X150" s="116">
        <f t="shared" si="18"/>
        <v>0</v>
      </c>
      <c r="Y150" s="116">
        <f>IF(SUM('附表1-面积统计表'!$D$6)=0,SUM(T150)-SUM(W150),IF('附表1-面积统计表'!$D$29=0,"",IF(AND(V150="共同成本费用",Z150="总建筑面积法"),ROUND(T150/'附表1-面积统计表'!$D$29*'附表1-面积统计表'!$D$7,2),IF(AND(V150="共同成本费用",Z150="可售建筑面积法"),ROUND(T150/'附表1-面积统计表'!$F$29*'附表1-面积统计表'!$F$7,2),"请手工填写"))))</f>
        <v>2030.25</v>
      </c>
      <c r="Z150" s="99" t="s">
        <v>251</v>
      </c>
      <c r="AA150" s="99"/>
      <c r="AB150" s="119" t="s">
        <v>1259</v>
      </c>
    </row>
    <row r="151" ht="24" hidden="1" customHeight="1" spans="1:28">
      <c r="A151" s="93">
        <v>145</v>
      </c>
      <c r="B151" s="99" t="s">
        <v>1568</v>
      </c>
      <c r="C151" s="99">
        <v>32</v>
      </c>
      <c r="D151" s="99" t="s">
        <v>1477</v>
      </c>
      <c r="E151" s="99" t="s">
        <v>1518</v>
      </c>
      <c r="F151" s="99"/>
      <c r="G151" s="99"/>
      <c r="H151" s="99"/>
      <c r="I151" s="99"/>
      <c r="J151" s="99" t="s">
        <v>1569</v>
      </c>
      <c r="K151" s="99" t="s">
        <v>1317</v>
      </c>
      <c r="L151" s="99" t="s">
        <v>1516</v>
      </c>
      <c r="M151" s="99">
        <v>11863536</v>
      </c>
      <c r="N151" s="105">
        <v>5600</v>
      </c>
      <c r="O151" s="105">
        <v>5600</v>
      </c>
      <c r="P151" s="105">
        <v>5600</v>
      </c>
      <c r="Q151" s="117">
        <v>-5600</v>
      </c>
      <c r="R151" s="104">
        <f t="shared" si="16"/>
        <v>0</v>
      </c>
      <c r="S151" s="114">
        <f>IFERROR(VLOOKUP(G151,'附表8-合同明细采集底稿'!B:M,12,0),100%)</f>
        <v>1</v>
      </c>
      <c r="T151" s="104">
        <f t="shared" si="17"/>
        <v>0</v>
      </c>
      <c r="U151" s="99"/>
      <c r="V151" s="99" t="s">
        <v>275</v>
      </c>
      <c r="W151" s="116">
        <f>IF('附表1-面积统计表'!$D$29=0,"",IF(AND(V151="共同成本费用",Z151="总建筑面积法"),ROUND(T151/'附表1-面积统计表'!$D$29*'附表1-面积统计表'!$D$5,2),IF(AND(V151="共同成本费用",Z151="可售建筑面积法"),ROUND(T151/'附表1-面积统计表'!$F$29*'附表1-面积统计表'!$F$5,2),"请手工填写")))</f>
        <v>0</v>
      </c>
      <c r="X151" s="116">
        <f t="shared" si="18"/>
        <v>0</v>
      </c>
      <c r="Y151" s="116">
        <f>IF(SUM('附表1-面积统计表'!$D$6)=0,SUM(T151)-SUM(W151),IF('附表1-面积统计表'!$D$29=0,"",IF(AND(V151="共同成本费用",Z151="总建筑面积法"),ROUND(T151/'附表1-面积统计表'!$D$29*'附表1-面积统计表'!$D$7,2),IF(AND(V151="共同成本费用",Z151="可售建筑面积法"),ROUND(T151/'附表1-面积统计表'!$F$29*'附表1-面积统计表'!$F$7,2),"请手工填写"))))</f>
        <v>0</v>
      </c>
      <c r="Z151" s="99" t="s">
        <v>251</v>
      </c>
      <c r="AA151" s="99"/>
      <c r="AB151" s="119" t="s">
        <v>1259</v>
      </c>
    </row>
    <row r="152" ht="24" hidden="1" customHeight="1" spans="1:28">
      <c r="A152" s="93">
        <v>146</v>
      </c>
      <c r="B152" s="99" t="s">
        <v>1570</v>
      </c>
      <c r="C152" s="99">
        <v>86</v>
      </c>
      <c r="D152" s="99" t="s">
        <v>1477</v>
      </c>
      <c r="E152" s="99" t="s">
        <v>1518</v>
      </c>
      <c r="F152" s="99"/>
      <c r="G152" s="99"/>
      <c r="H152" s="99"/>
      <c r="I152" s="99"/>
      <c r="J152" s="99" t="s">
        <v>1571</v>
      </c>
      <c r="K152" s="99" t="s">
        <v>1317</v>
      </c>
      <c r="L152" s="99">
        <v>6500172350</v>
      </c>
      <c r="M152" s="99">
        <v>3798158</v>
      </c>
      <c r="N152" s="105">
        <v>6000</v>
      </c>
      <c r="O152" s="105">
        <v>18000</v>
      </c>
      <c r="P152" s="105">
        <v>18000</v>
      </c>
      <c r="Q152" s="117">
        <v>-12000</v>
      </c>
      <c r="R152" s="104">
        <f t="shared" si="16"/>
        <v>6000</v>
      </c>
      <c r="S152" s="114">
        <f>IFERROR(VLOOKUP(G152,'附表8-合同明细采集底稿'!B:M,12,0),100%)</f>
        <v>1</v>
      </c>
      <c r="T152" s="104">
        <f t="shared" si="17"/>
        <v>6000</v>
      </c>
      <c r="U152" s="99"/>
      <c r="V152" s="99" t="s">
        <v>275</v>
      </c>
      <c r="W152" s="116">
        <f>IF('附表1-面积统计表'!$D$29=0,"",IF(AND(V152="共同成本费用",Z152="总建筑面积法"),ROUND(T152/'附表1-面积统计表'!$D$29*'附表1-面积统计表'!$D$5,2),IF(AND(V152="共同成本费用",Z152="可售建筑面积法"),ROUND(T152/'附表1-面积统计表'!$F$29*'附表1-面积统计表'!$F$5,2),"请手工填写")))</f>
        <v>4375.8</v>
      </c>
      <c r="X152" s="116">
        <f t="shared" si="18"/>
        <v>0</v>
      </c>
      <c r="Y152" s="116">
        <f>IF(SUM('附表1-面积统计表'!$D$6)=0,SUM(T152)-SUM(W152),IF('附表1-面积统计表'!$D$29=0,"",IF(AND(V152="共同成本费用",Z152="总建筑面积法"),ROUND(T152/'附表1-面积统计表'!$D$29*'附表1-面积统计表'!$D$7,2),IF(AND(V152="共同成本费用",Z152="可售建筑面积法"),ROUND(T152/'附表1-面积统计表'!$F$29*'附表1-面积统计表'!$F$7,2),"请手工填写"))))</f>
        <v>1624.2</v>
      </c>
      <c r="Z152" s="99" t="s">
        <v>251</v>
      </c>
      <c r="AA152" s="99"/>
      <c r="AB152" s="119" t="s">
        <v>1259</v>
      </c>
    </row>
    <row r="153" ht="24" hidden="1" customHeight="1" spans="1:28">
      <c r="A153" s="93">
        <v>147</v>
      </c>
      <c r="B153" s="99" t="s">
        <v>1572</v>
      </c>
      <c r="C153" s="99">
        <v>36</v>
      </c>
      <c r="D153" s="99" t="s">
        <v>1477</v>
      </c>
      <c r="E153" s="99" t="s">
        <v>1518</v>
      </c>
      <c r="F153" s="99"/>
      <c r="G153" s="99"/>
      <c r="H153" s="99"/>
      <c r="I153" s="99"/>
      <c r="J153" s="99" t="s">
        <v>1573</v>
      </c>
      <c r="K153" s="99" t="s">
        <v>1317</v>
      </c>
      <c r="L153" s="99">
        <v>6500172320</v>
      </c>
      <c r="M153" s="99">
        <v>17384744</v>
      </c>
      <c r="N153" s="105">
        <v>18000.2</v>
      </c>
      <c r="O153" s="105">
        <v>18000</v>
      </c>
      <c r="P153" s="105">
        <v>18000</v>
      </c>
      <c r="Q153" s="117"/>
      <c r="R153" s="104">
        <f t="shared" si="16"/>
        <v>18000</v>
      </c>
      <c r="S153" s="114">
        <f>IFERROR(VLOOKUP(G153,'附表8-合同明细采集底稿'!B:M,12,0),100%)</f>
        <v>1</v>
      </c>
      <c r="T153" s="104">
        <f t="shared" si="17"/>
        <v>18000</v>
      </c>
      <c r="U153" s="99"/>
      <c r="V153" s="99" t="s">
        <v>275</v>
      </c>
      <c r="W153" s="116">
        <f>IF('附表1-面积统计表'!$D$29=0,"",IF(AND(V153="共同成本费用",Z153="总建筑面积法"),ROUND(T153/'附表1-面积统计表'!$D$29*'附表1-面积统计表'!$D$5,2),IF(AND(V153="共同成本费用",Z153="可售建筑面积法"),ROUND(T153/'附表1-面积统计表'!$F$29*'附表1-面积统计表'!$F$5,2),"请手工填写")))</f>
        <v>13127.4</v>
      </c>
      <c r="X153" s="116">
        <f t="shared" si="18"/>
        <v>0</v>
      </c>
      <c r="Y153" s="116">
        <f>IF(SUM('附表1-面积统计表'!$D$6)=0,SUM(T153)-SUM(W153),IF('附表1-面积统计表'!$D$29=0,"",IF(AND(V153="共同成本费用",Z153="总建筑面积法"),ROUND(T153/'附表1-面积统计表'!$D$29*'附表1-面积统计表'!$D$7,2),IF(AND(V153="共同成本费用",Z153="可售建筑面积法"),ROUND(T153/'附表1-面积统计表'!$F$29*'附表1-面积统计表'!$F$7,2),"请手工填写"))))</f>
        <v>4872.6</v>
      </c>
      <c r="Z153" s="99" t="s">
        <v>251</v>
      </c>
      <c r="AA153" s="99"/>
      <c r="AB153" s="119" t="s">
        <v>1259</v>
      </c>
    </row>
    <row r="154" ht="24" hidden="1" customHeight="1" spans="1:28">
      <c r="A154" s="93">
        <v>148</v>
      </c>
      <c r="B154" s="99" t="s">
        <v>1574</v>
      </c>
      <c r="C154" s="99">
        <v>74</v>
      </c>
      <c r="D154" s="99" t="s">
        <v>1477</v>
      </c>
      <c r="E154" s="99" t="s">
        <v>1518</v>
      </c>
      <c r="F154" s="99"/>
      <c r="G154" s="99"/>
      <c r="H154" s="99"/>
      <c r="I154" s="99"/>
      <c r="J154" s="99" t="s">
        <v>1575</v>
      </c>
      <c r="K154" s="99" t="s">
        <v>1317</v>
      </c>
      <c r="L154" s="99">
        <v>65001800111</v>
      </c>
      <c r="M154" s="99">
        <v>2720543</v>
      </c>
      <c r="N154" s="105">
        <v>1400</v>
      </c>
      <c r="O154" s="105">
        <v>1400</v>
      </c>
      <c r="P154" s="105">
        <v>1400</v>
      </c>
      <c r="Q154" s="117">
        <v>-1400</v>
      </c>
      <c r="R154" s="104">
        <f t="shared" si="16"/>
        <v>0</v>
      </c>
      <c r="S154" s="114">
        <f>IFERROR(VLOOKUP(G154,'附表8-合同明细采集底稿'!B:M,12,0),100%)</f>
        <v>1</v>
      </c>
      <c r="T154" s="104">
        <f t="shared" si="17"/>
        <v>0</v>
      </c>
      <c r="U154" s="99"/>
      <c r="V154" s="99" t="s">
        <v>275</v>
      </c>
      <c r="W154" s="116">
        <f>IF('附表1-面积统计表'!$D$29=0,"",IF(AND(V154="共同成本费用",Z154="总建筑面积法"),ROUND(T154/'附表1-面积统计表'!$D$29*'附表1-面积统计表'!$D$5,2),IF(AND(V154="共同成本费用",Z154="可售建筑面积法"),ROUND(T154/'附表1-面积统计表'!$F$29*'附表1-面积统计表'!$F$5,2),"请手工填写")))</f>
        <v>0</v>
      </c>
      <c r="X154" s="116">
        <f t="shared" si="18"/>
        <v>0</v>
      </c>
      <c r="Y154" s="116">
        <f>IF(SUM('附表1-面积统计表'!$D$6)=0,SUM(T154)-SUM(W154),IF('附表1-面积统计表'!$D$29=0,"",IF(AND(V154="共同成本费用",Z154="总建筑面积法"),ROUND(T154/'附表1-面积统计表'!$D$29*'附表1-面积统计表'!$D$7,2),IF(AND(V154="共同成本费用",Z154="可售建筑面积法"),ROUND(T154/'附表1-面积统计表'!$F$29*'附表1-面积统计表'!$F$7,2),"请手工填写"))))</f>
        <v>0</v>
      </c>
      <c r="Z154" s="99" t="s">
        <v>251</v>
      </c>
      <c r="AA154" s="99"/>
      <c r="AB154" s="119" t="s">
        <v>1259</v>
      </c>
    </row>
    <row r="155" ht="24" hidden="1" customHeight="1" spans="1:28">
      <c r="A155" s="93">
        <v>149</v>
      </c>
      <c r="B155" s="99" t="s">
        <v>1574</v>
      </c>
      <c r="C155" s="99">
        <v>76</v>
      </c>
      <c r="D155" s="99" t="s">
        <v>1477</v>
      </c>
      <c r="E155" s="99" t="s">
        <v>1518</v>
      </c>
      <c r="F155" s="99"/>
      <c r="G155" s="99"/>
      <c r="H155" s="99"/>
      <c r="I155" s="99"/>
      <c r="J155" s="99" t="s">
        <v>1576</v>
      </c>
      <c r="K155" s="99" t="s">
        <v>1317</v>
      </c>
      <c r="L155" s="99">
        <v>6500174320</v>
      </c>
      <c r="M155" s="99">
        <v>6151930</v>
      </c>
      <c r="N155" s="105">
        <v>10000</v>
      </c>
      <c r="O155" s="105">
        <v>10000</v>
      </c>
      <c r="P155" s="105">
        <v>10000</v>
      </c>
      <c r="Q155" s="117">
        <v>-10000</v>
      </c>
      <c r="R155" s="104">
        <f t="shared" si="16"/>
        <v>0</v>
      </c>
      <c r="S155" s="114">
        <f>IFERROR(VLOOKUP(G155,'附表8-合同明细采集底稿'!B:M,12,0),100%)</f>
        <v>1</v>
      </c>
      <c r="T155" s="104">
        <f t="shared" si="17"/>
        <v>0</v>
      </c>
      <c r="U155" s="99"/>
      <c r="V155" s="99" t="s">
        <v>275</v>
      </c>
      <c r="W155" s="116">
        <f>IF('附表1-面积统计表'!$D$29=0,"",IF(AND(V155="共同成本费用",Z155="总建筑面积法"),ROUND(T155/'附表1-面积统计表'!$D$29*'附表1-面积统计表'!$D$5,2),IF(AND(V155="共同成本费用",Z155="可售建筑面积法"),ROUND(T155/'附表1-面积统计表'!$F$29*'附表1-面积统计表'!$F$5,2),"请手工填写")))</f>
        <v>0</v>
      </c>
      <c r="X155" s="116">
        <f t="shared" si="18"/>
        <v>0</v>
      </c>
      <c r="Y155" s="116">
        <f>IF(SUM('附表1-面积统计表'!$D$6)=0,SUM(T155)-SUM(W155),IF('附表1-面积统计表'!$D$29=0,"",IF(AND(V155="共同成本费用",Z155="总建筑面积法"),ROUND(T155/'附表1-面积统计表'!$D$29*'附表1-面积统计表'!$D$7,2),IF(AND(V155="共同成本费用",Z155="可售建筑面积法"),ROUND(T155/'附表1-面积统计表'!$F$29*'附表1-面积统计表'!$F$7,2),"请手工填写"))))</f>
        <v>0</v>
      </c>
      <c r="Z155" s="99" t="s">
        <v>251</v>
      </c>
      <c r="AA155" s="99"/>
      <c r="AB155" s="119" t="s">
        <v>1259</v>
      </c>
    </row>
    <row r="156" ht="24" hidden="1" customHeight="1" spans="1:28">
      <c r="A156" s="93">
        <v>150</v>
      </c>
      <c r="B156" s="99" t="s">
        <v>1577</v>
      </c>
      <c r="C156" s="99">
        <v>55</v>
      </c>
      <c r="D156" s="99" t="s">
        <v>1578</v>
      </c>
      <c r="E156" s="99" t="s">
        <v>1579</v>
      </c>
      <c r="F156" s="99"/>
      <c r="G156" s="99"/>
      <c r="H156" s="99"/>
      <c r="I156" s="99"/>
      <c r="J156" s="99" t="s">
        <v>1580</v>
      </c>
      <c r="K156" s="99" t="s">
        <v>1317</v>
      </c>
      <c r="L156" s="99" t="s">
        <v>1358</v>
      </c>
      <c r="M156" s="99" t="s">
        <v>1581</v>
      </c>
      <c r="N156" s="105">
        <v>216000</v>
      </c>
      <c r="O156" s="105">
        <v>216000</v>
      </c>
      <c r="P156" s="105">
        <v>216000</v>
      </c>
      <c r="Q156" s="117"/>
      <c r="R156" s="104">
        <f t="shared" si="16"/>
        <v>216000</v>
      </c>
      <c r="S156" s="114">
        <f>IFERROR(VLOOKUP(G156,'附表8-合同明细采集底稿'!B:M,12,0),100%)</f>
        <v>1</v>
      </c>
      <c r="T156" s="104">
        <f t="shared" si="17"/>
        <v>216000</v>
      </c>
      <c r="U156" s="99"/>
      <c r="V156" s="99" t="s">
        <v>275</v>
      </c>
      <c r="W156" s="116">
        <f>IF('附表1-面积统计表'!$D$29=0,"",IF(AND(V156="共同成本费用",Z156="总建筑面积法"),ROUND(T156/'附表1-面积统计表'!$D$29*'附表1-面积统计表'!$D$5,2),IF(AND(V156="共同成本费用",Z156="可售建筑面积法"),ROUND(T156/'附表1-面积统计表'!$F$29*'附表1-面积统计表'!$F$5,2),"请手工填写")))</f>
        <v>157528.77</v>
      </c>
      <c r="X156" s="116">
        <f t="shared" si="18"/>
        <v>0</v>
      </c>
      <c r="Y156" s="116">
        <f>IF(SUM('附表1-面积统计表'!$D$6)=0,SUM(T156)-SUM(W156),IF('附表1-面积统计表'!$D$29=0,"",IF(AND(V156="共同成本费用",Z156="总建筑面积法"),ROUND(T156/'附表1-面积统计表'!$D$29*'附表1-面积统计表'!$D$7,2),IF(AND(V156="共同成本费用",Z156="可售建筑面积法"),ROUND(T156/'附表1-面积统计表'!$F$29*'附表1-面积统计表'!$F$7,2),"请手工填写"))))</f>
        <v>58471.23</v>
      </c>
      <c r="Z156" s="99" t="s">
        <v>251</v>
      </c>
      <c r="AA156" s="99"/>
      <c r="AB156" s="119" t="s">
        <v>1259</v>
      </c>
    </row>
    <row r="157" ht="24" hidden="1" customHeight="1" spans="1:28">
      <c r="A157" s="93">
        <v>151</v>
      </c>
      <c r="B157" s="99" t="s">
        <v>1582</v>
      </c>
      <c r="C157" s="99">
        <v>8</v>
      </c>
      <c r="D157" s="99" t="s">
        <v>1578</v>
      </c>
      <c r="E157" s="99" t="s">
        <v>1583</v>
      </c>
      <c r="F157" s="99"/>
      <c r="G157" s="99"/>
      <c r="H157" s="99"/>
      <c r="I157" s="99"/>
      <c r="J157" s="99" t="s">
        <v>1584</v>
      </c>
      <c r="K157" s="99" t="s">
        <v>1270</v>
      </c>
      <c r="L157" s="99" t="s">
        <v>1585</v>
      </c>
      <c r="M157" s="99">
        <v>568380</v>
      </c>
      <c r="N157" s="105">
        <v>4860.5</v>
      </c>
      <c r="O157" s="105">
        <v>4860.5</v>
      </c>
      <c r="P157" s="105">
        <v>4860.5</v>
      </c>
      <c r="Q157" s="117">
        <v>-4860.5</v>
      </c>
      <c r="R157" s="104">
        <f t="shared" si="16"/>
        <v>0</v>
      </c>
      <c r="S157" s="114">
        <f>IFERROR(VLOOKUP(G157,'附表8-合同明细采集底稿'!B:M,12,0),100%)</f>
        <v>1</v>
      </c>
      <c r="T157" s="104">
        <f t="shared" si="17"/>
        <v>0</v>
      </c>
      <c r="U157" s="99"/>
      <c r="V157" s="99" t="s">
        <v>275</v>
      </c>
      <c r="W157" s="116">
        <f>IF('附表1-面积统计表'!$D$29=0,"",IF(AND(V157="共同成本费用",Z157="总建筑面积法"),ROUND(T157/'附表1-面积统计表'!$D$29*'附表1-面积统计表'!$D$5,2),IF(AND(V157="共同成本费用",Z157="可售建筑面积法"),ROUND(T157/'附表1-面积统计表'!$F$29*'附表1-面积统计表'!$F$5,2),"请手工填写")))</f>
        <v>0</v>
      </c>
      <c r="X157" s="116">
        <f t="shared" si="18"/>
        <v>0</v>
      </c>
      <c r="Y157" s="116">
        <f>IF(SUM('附表1-面积统计表'!$D$6)=0,SUM(T157)-SUM(W157),IF('附表1-面积统计表'!$D$29=0,"",IF(AND(V157="共同成本费用",Z157="总建筑面积法"),ROUND(T157/'附表1-面积统计表'!$D$29*'附表1-面积统计表'!$D$7,2),IF(AND(V157="共同成本费用",Z157="可售建筑面积法"),ROUND(T157/'附表1-面积统计表'!$F$29*'附表1-面积统计表'!$F$7,2),"请手工填写"))))</f>
        <v>0</v>
      </c>
      <c r="Z157" s="99" t="s">
        <v>251</v>
      </c>
      <c r="AA157" s="99"/>
      <c r="AB157" s="119" t="s">
        <v>1259</v>
      </c>
    </row>
    <row r="158" ht="24" hidden="1" customHeight="1" spans="1:28">
      <c r="A158" s="93">
        <v>152</v>
      </c>
      <c r="B158" s="99" t="s">
        <v>1586</v>
      </c>
      <c r="C158" s="99">
        <v>69</v>
      </c>
      <c r="D158" s="99" t="s">
        <v>1578</v>
      </c>
      <c r="E158" s="99" t="s">
        <v>1579</v>
      </c>
      <c r="F158" s="99"/>
      <c r="G158" s="99"/>
      <c r="H158" s="99"/>
      <c r="I158" s="99"/>
      <c r="J158" s="99" t="s">
        <v>1587</v>
      </c>
      <c r="K158" s="99" t="s">
        <v>1317</v>
      </c>
      <c r="L158" s="99">
        <v>6500153320</v>
      </c>
      <c r="M158" s="99">
        <v>2884160</v>
      </c>
      <c r="N158" s="105">
        <v>57090</v>
      </c>
      <c r="O158" s="105">
        <v>57090</v>
      </c>
      <c r="P158" s="105">
        <v>57090</v>
      </c>
      <c r="Q158" s="117"/>
      <c r="R158" s="104">
        <f t="shared" si="16"/>
        <v>57090</v>
      </c>
      <c r="S158" s="114">
        <f>IFERROR(VLOOKUP(G158,'附表8-合同明细采集底稿'!B:M,12,0),100%)</f>
        <v>1</v>
      </c>
      <c r="T158" s="104">
        <f t="shared" si="17"/>
        <v>57090</v>
      </c>
      <c r="U158" s="99"/>
      <c r="V158" s="99" t="s">
        <v>275</v>
      </c>
      <c r="W158" s="116">
        <f>IF('附表1-面积统计表'!$D$29=0,"",IF(AND(V158="共同成本费用",Z158="总建筑面积法"),ROUND(T158/'附表1-面积统计表'!$D$29*'附表1-面积统计表'!$D$5,2),IF(AND(V158="共同成本费用",Z158="可售建筑面积法"),ROUND(T158/'附表1-面积统计表'!$F$29*'附表1-面积统计表'!$F$5,2),"请手工填写")))</f>
        <v>41635.73</v>
      </c>
      <c r="X158" s="116">
        <f t="shared" si="18"/>
        <v>0</v>
      </c>
      <c r="Y158" s="116">
        <f>IF(SUM('附表1-面积统计表'!$D$6)=0,SUM(T158)-SUM(W158),IF('附表1-面积统计表'!$D$29=0,"",IF(AND(V158="共同成本费用",Z158="总建筑面积法"),ROUND(T158/'附表1-面积统计表'!$D$29*'附表1-面积统计表'!$D$7,2),IF(AND(V158="共同成本费用",Z158="可售建筑面积法"),ROUND(T158/'附表1-面积统计表'!$F$29*'附表1-面积统计表'!$F$7,2),"请手工填写"))))</f>
        <v>15454.27</v>
      </c>
      <c r="Z158" s="99" t="s">
        <v>251</v>
      </c>
      <c r="AA158" s="99"/>
      <c r="AB158" s="119" t="s">
        <v>1259</v>
      </c>
    </row>
  </sheetData>
  <autoFilter ref="A6:AB158">
    <filterColumn colId="3">
      <customFilters>
        <customFilter operator="equal" val="建筑安装工程费"/>
      </customFilters>
    </filterColumn>
    <filterColumn colId="19">
      <filters>
        <filter val="1,330,000.00"/>
        <filter val="1,530,000.00"/>
        <filter val="7,500,000.00"/>
        <filter val="320,000.00"/>
        <filter val="330,000.00"/>
        <filter val="488,000.00"/>
        <filter val="221,000.00"/>
        <filter val="220,000.00"/>
        <filter val="45,000.00"/>
        <filter val="60,000.00"/>
        <filter val="277,312.00"/>
        <filter val="7,107,000.94"/>
        <filter val="20,928,003.75"/>
        <filter val="7,867,311.76"/>
      </filters>
    </filterColumn>
    <extLst/>
  </autoFilter>
  <mergeCells count="2">
    <mergeCell ref="A1:AB1"/>
    <mergeCell ref="A2:AB2"/>
  </mergeCells>
  <dataValidations count="8">
    <dataValidation type="list" allowBlank="1" showInputMessage="1" showErrorMessage="1" sqref="D7:D1048576">
      <formula1>OFFSET(数据对照表!$B$1,,,1,COUNTA(数据对照表!$B$1:$I$1))</formula1>
    </dataValidation>
    <dataValidation type="list" allowBlank="1" showInputMessage="1" showErrorMessage="1" sqref="E7:E1048576">
      <formula1>OFFSET(数据对照表!$B$2,,MATCH($D7,数据对照表!$B$1:$I$1,0)-1,COUNTA(OFFSET(数据对照表!$B$2,,MATCH($D7,数据对照表!$B$1:$I$1,0)-1,255)))</formula1>
    </dataValidation>
    <dataValidation type="list" showInputMessage="1" showErrorMessage="1" sqref="G7:G1048576">
      <formula1>OFFSET('附表8-合同明细采集底稿'!$B$6,,,COUNTA('附表8-合同明细采集底稿'!$B$6:$B$244),1)</formula1>
    </dataValidation>
    <dataValidation type="list" allowBlank="1" showInputMessage="1" showErrorMessage="1" sqref="K7:K1048576">
      <formula1>OFFSET(数据对照表!$J$2,,,COUNTA(数据对照表!J:J)-1,1)</formula1>
    </dataValidation>
    <dataValidation type="list" allowBlank="1" showInputMessage="1" showErrorMessage="1" sqref="V7:V1048576">
      <formula1>OFFSET(数据对照表!$K$1,,,1,COUNTA(数据对照表!$K$1:$L$1))</formula1>
    </dataValidation>
    <dataValidation type="list" allowBlank="1" showInputMessage="1" showErrorMessage="1" sqref="Z7:Z1048576">
      <formula1>OFFSET(数据对照表!$K$2,,MATCH($V7,数据对照表!$K$1:$L$1,0)-1,COUNTA(OFFSET(数据对照表!$K$2,,MATCH($V7,数据对照表!$K$1:$L$1,0)-1,255)))</formula1>
    </dataValidation>
    <dataValidation type="list" allowBlank="1" showInputMessage="1" showErrorMessage="1" sqref="AB7:AB26 AB27:AB158 AB159:AB1048576">
      <formula1>OFFSET(数据对照表!$M$2,,MATCH($D7,数据对照表!$M$1:$T$1,0)-1,COUNTA(OFFSET(数据对照表!$M$2,,MATCH($D7,数据对照表!$M$1:$T$1,0)-1,255)))</formula1>
    </dataValidation>
    <dataValidation allowBlank="1" showInputMessage="1" sqref="H7:J28"/>
  </dataValidations>
  <printOptions horizontalCentered="1"/>
  <pageMargins left="0.747916666666667" right="0.511805555555556" top="0.984027777777778" bottom="0.984027777777778" header="0.511805555555556" footer="0.511805555555556"/>
  <pageSetup paperSize="9" scale="36" fitToHeight="0" orientation="landscape"/>
  <headerFooter>
    <oddFooter>&amp;C第 &amp;P 页，共 &amp;N 页</oddFooter>
  </headerFooter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7"/>
  <sheetViews>
    <sheetView workbookViewId="0">
      <selection activeCell="N13" sqref="N13"/>
    </sheetView>
  </sheetViews>
  <sheetFormatPr defaultColWidth="8.872" defaultRowHeight="15.65" outlineLevelRow="6"/>
  <cols>
    <col min="1" max="1" width="5.624" style="49" customWidth="1"/>
    <col min="2" max="3" width="9.376" style="49" customWidth="1"/>
    <col min="4" max="4" width="9.376" style="50" customWidth="1"/>
    <col min="5" max="6" width="9.376" customWidth="1"/>
    <col min="7" max="7" width="14.248" customWidth="1"/>
    <col min="8" max="8" width="14.624" style="51" customWidth="1"/>
    <col min="9" max="9" width="9.376" style="51" customWidth="1"/>
    <col min="14" max="14" width="12.616" customWidth="1"/>
    <col min="16" max="16" width="13.424" customWidth="1"/>
  </cols>
  <sheetData>
    <row r="1" ht="21.3" spans="1:28">
      <c r="A1" s="52" t="s">
        <v>1588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</row>
    <row r="2" spans="1:28">
      <c r="A2" s="53" t="str">
        <f>土地增值税税源明细表!F5&amp;"："&amp;土地增值税税源明细表!H5&amp;"          "&amp;土地增值税税源明细表!A5&amp;"："&amp;土地增值税税源明细表!B5&amp;"          "&amp;"金额单位:人民币元(列至角分)"</f>
        <v>项目编码：Z65280120160100          项目名称：通力华庭          金额单位:人民币元(列至角分)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</row>
    <row r="3" spans="1:28">
      <c r="A3" s="54" t="s">
        <v>37</v>
      </c>
      <c r="B3" s="54" t="s">
        <v>1589</v>
      </c>
      <c r="C3" s="54" t="s">
        <v>1590</v>
      </c>
      <c r="D3" s="54" t="s">
        <v>1232</v>
      </c>
      <c r="E3" s="54" t="s">
        <v>1591</v>
      </c>
      <c r="F3" s="54" t="s">
        <v>1592</v>
      </c>
      <c r="G3" s="54" t="s">
        <v>300</v>
      </c>
      <c r="H3" s="54" t="s">
        <v>1593</v>
      </c>
      <c r="I3" s="54" t="s">
        <v>1594</v>
      </c>
      <c r="J3" s="54" t="s">
        <v>1595</v>
      </c>
      <c r="K3" s="54" t="s">
        <v>1596</v>
      </c>
      <c r="L3" s="61" t="s">
        <v>1597</v>
      </c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</row>
    <row r="4" ht="45.1" spans="1:28">
      <c r="A4" s="54"/>
      <c r="B4" s="54"/>
      <c r="C4" s="54"/>
      <c r="D4" s="54"/>
      <c r="E4" s="54"/>
      <c r="F4" s="54"/>
      <c r="G4" s="54"/>
      <c r="H4" s="54"/>
      <c r="I4" s="54"/>
      <c r="J4" s="54"/>
      <c r="K4" s="54"/>
      <c r="L4" s="62" t="s">
        <v>1598</v>
      </c>
      <c r="M4" s="63" t="s">
        <v>1599</v>
      </c>
      <c r="N4" s="64" t="s">
        <v>1600</v>
      </c>
      <c r="O4" s="62" t="s">
        <v>1601</v>
      </c>
      <c r="P4" s="64" t="s">
        <v>1602</v>
      </c>
      <c r="Q4" s="64" t="s">
        <v>1603</v>
      </c>
      <c r="R4" s="62" t="s">
        <v>270</v>
      </c>
      <c r="S4" s="64" t="s">
        <v>1604</v>
      </c>
      <c r="T4" s="64"/>
      <c r="U4" s="64"/>
      <c r="V4" s="64"/>
      <c r="W4" s="64"/>
      <c r="X4" s="64"/>
      <c r="Y4" s="64"/>
      <c r="Z4" s="64"/>
      <c r="AA4" s="64"/>
      <c r="AB4" s="64"/>
    </row>
    <row r="5" ht="30.05" spans="1:28">
      <c r="A5" s="55"/>
      <c r="B5" s="376" t="s">
        <v>42</v>
      </c>
      <c r="C5" s="376" t="s">
        <v>210</v>
      </c>
      <c r="D5" s="376" t="s">
        <v>211</v>
      </c>
      <c r="E5" s="376" t="s">
        <v>212</v>
      </c>
      <c r="F5" s="376" t="s">
        <v>243</v>
      </c>
      <c r="G5" s="376" t="s">
        <v>214</v>
      </c>
      <c r="H5" s="376" t="s">
        <v>215</v>
      </c>
      <c r="I5" s="376" t="s">
        <v>216</v>
      </c>
      <c r="J5" s="376" t="s">
        <v>223</v>
      </c>
      <c r="K5" s="376" t="s">
        <v>224</v>
      </c>
      <c r="L5" s="376" t="s">
        <v>253</v>
      </c>
      <c r="M5" s="376" t="s">
        <v>226</v>
      </c>
      <c r="N5" s="376" t="s">
        <v>227</v>
      </c>
      <c r="O5" s="376" t="s">
        <v>228</v>
      </c>
      <c r="P5" s="376" t="s">
        <v>229</v>
      </c>
      <c r="Q5" s="376" t="s">
        <v>1605</v>
      </c>
      <c r="R5" s="376" t="s">
        <v>258</v>
      </c>
      <c r="S5" s="70" t="s">
        <v>1606</v>
      </c>
      <c r="T5" s="70" t="s">
        <v>1607</v>
      </c>
      <c r="U5" s="70" t="s">
        <v>1608</v>
      </c>
      <c r="V5" s="70" t="s">
        <v>1609</v>
      </c>
      <c r="W5" s="70" t="s">
        <v>1610</v>
      </c>
      <c r="X5" s="70" t="s">
        <v>1611</v>
      </c>
      <c r="Y5" s="70" t="s">
        <v>1612</v>
      </c>
      <c r="Z5" s="70" t="s">
        <v>1613</v>
      </c>
      <c r="AA5" s="70" t="s">
        <v>1614</v>
      </c>
      <c r="AB5" s="70" t="s">
        <v>1615</v>
      </c>
    </row>
    <row r="6" ht="35.7" spans="1:28">
      <c r="A6" s="56">
        <v>1</v>
      </c>
      <c r="B6" s="57" t="s">
        <v>1399</v>
      </c>
      <c r="C6" s="57" t="s">
        <v>1400</v>
      </c>
      <c r="D6" s="58" t="s">
        <v>1616</v>
      </c>
      <c r="E6" s="57" t="s">
        <v>91</v>
      </c>
      <c r="F6" s="59">
        <v>41599</v>
      </c>
      <c r="G6" s="60">
        <v>35535004.69</v>
      </c>
      <c r="H6" s="60">
        <v>43402316.45</v>
      </c>
      <c r="I6" s="65" t="s">
        <v>16</v>
      </c>
      <c r="J6" s="65" t="s">
        <v>16</v>
      </c>
      <c r="K6" s="65" t="s">
        <v>16</v>
      </c>
      <c r="L6" s="66"/>
      <c r="M6" s="67">
        <f>IFERROR(IF(COUNTIFS(S6:AB6,清算项目基本情况表!$D$6)&gt;=1,IF(L6="占地面积法",ROUND(SUM('附表4-项目间分摊信息采集表'!$E$5)/SUMPRODUCT(SUMIFS('附表4-项目间分摊信息采集表'!$E:$E,'附表4-项目间分摊信息采集表'!$B:$B,S6:AB6)),20),IF(L6="测绘总建筑面积法",ROUND(SUM('附表4-项目间分摊信息采集表'!$F$5)/SUMPRODUCT(SUMIFS('附表4-项目间分摊信息采集表'!$F:$F,'附表4-项目间分摊信息采集表'!$B:$B,S6:AB6)),20),IF(L6="可售建筑面积法",ROUND(SUM('附表4-项目间分摊信息采集表'!$G$5)/SUMPRODUCT(SUMIFS('附表4-项目间分摊信息采集表'!$G:$G,'附表4-项目间分摊信息采集表'!$B:$B,S6:AB6)),20),IF(L6="其他分摊方法",ROUND(SUM('附表4-项目间分摊信息采集表'!$H$5)/SUMPRODUCT(SUMIFS('附表4-项目间分摊信息采集表'!$H:$H,'附表4-项目间分摊信息采集表'!$B:$B,S6:AB6)),20),IF(L6="手工填写分摊比例","请填写分摊比例",100%))))),IF(COUNTA(S6:AB6)&gt;=1,0%,100%)),100%)</f>
        <v>1</v>
      </c>
      <c r="N6" s="68">
        <f>SUMIFS('附表7-扣除项目明细采集底稿'!$R:$R,'附表7-扣除项目明细采集底稿'!$G:$G,B6)</f>
        <v>43402316.45</v>
      </c>
      <c r="O6" s="66" t="s">
        <v>1617</v>
      </c>
      <c r="P6" s="69">
        <f>SUMIFS('附表7-扣除项目明细采集底稿'!$T:$T,'附表7-扣除项目明细采集底稿'!$G:$G,$B6)</f>
        <v>43402316.45</v>
      </c>
      <c r="Q6" s="71">
        <f>ROUND(SUM(N6)-SUM(O6)-SUM(P6),2)</f>
        <v>0</v>
      </c>
      <c r="R6" s="72"/>
      <c r="S6" s="66"/>
      <c r="T6" s="66"/>
      <c r="U6" s="66"/>
      <c r="V6" s="66"/>
      <c r="W6" s="66"/>
      <c r="X6" s="66"/>
      <c r="Y6" s="66"/>
      <c r="Z6" s="66"/>
      <c r="AA6" s="66"/>
      <c r="AB6" s="66"/>
    </row>
    <row r="7" ht="35.7" spans="1:28">
      <c r="A7" s="56">
        <v>2</v>
      </c>
      <c r="B7" s="57" t="s">
        <v>1447</v>
      </c>
      <c r="C7" s="57" t="s">
        <v>1448</v>
      </c>
      <c r="D7" s="58" t="s">
        <v>1616</v>
      </c>
      <c r="E7" s="57" t="s">
        <v>1449</v>
      </c>
      <c r="F7" s="59">
        <v>43221</v>
      </c>
      <c r="G7" s="60">
        <v>15500000</v>
      </c>
      <c r="H7" s="60">
        <v>13615813.73</v>
      </c>
      <c r="I7" s="65" t="s">
        <v>16</v>
      </c>
      <c r="J7" s="65" t="s">
        <v>16</v>
      </c>
      <c r="K7" s="65" t="s">
        <v>16</v>
      </c>
      <c r="L7" s="66"/>
      <c r="M7" s="67">
        <f>IFERROR(IF(COUNTIFS(S7:AB7,清算项目基本情况表!$D$6)&gt;=1,IF(L7="占地面积法",ROUND(SUM('附表4-项目间分摊信息采集表'!$E$5)/SUMPRODUCT(SUMIFS('附表4-项目间分摊信息采集表'!$E:$E,'附表4-项目间分摊信息采集表'!$B:$B,S7:AB7)),20),IF(L7="测绘总建筑面积法",ROUND(SUM('附表4-项目间分摊信息采集表'!$F$5)/SUMPRODUCT(SUMIFS('附表4-项目间分摊信息采集表'!$F:$F,'附表4-项目间分摊信息采集表'!$B:$B,S7:AB7)),20),IF(L7="可售建筑面积法",ROUND(SUM('附表4-项目间分摊信息采集表'!$G$5)/SUMPRODUCT(SUMIFS('附表4-项目间分摊信息采集表'!$G:$G,'附表4-项目间分摊信息采集表'!$B:$B,S7:AB7)),20),IF(L7="其他分摊方法",ROUND(SUM('附表4-项目间分摊信息采集表'!$H$5)/SUMPRODUCT(SUMIFS('附表4-项目间分摊信息采集表'!$H:$H,'附表4-项目间分摊信息采集表'!$B:$B,S7:AB7)),20),IF(L7="手工填写分摊比例","请填写分摊比例",100%))))),IF(COUNTA(S7:AB7)&gt;=1,0%,100%)),100%)</f>
        <v>1</v>
      </c>
      <c r="N7" s="68">
        <f>SUMIFS('附表7-扣除项目明细采集底稿'!$R:$R,'附表7-扣除项目明细采集底稿'!$G:$G,B7)</f>
        <v>0</v>
      </c>
      <c r="O7" s="66" t="s">
        <v>1617</v>
      </c>
      <c r="P7" s="69">
        <f>SUMIFS('附表7-扣除项目明细采集底稿'!$T:$T,'附表7-扣除项目明细采集底稿'!$G:$G,$B7)</f>
        <v>0</v>
      </c>
      <c r="Q7" s="71">
        <f>ROUND(SUM(N7)-SUM(O7)-SUM(P7),2)</f>
        <v>0</v>
      </c>
      <c r="R7" s="72"/>
      <c r="S7" s="66"/>
      <c r="T7" s="66"/>
      <c r="U7" s="66"/>
      <c r="V7" s="66"/>
      <c r="W7" s="66"/>
      <c r="X7" s="66"/>
      <c r="Y7" s="66"/>
      <c r="Z7" s="66"/>
      <c r="AA7" s="66"/>
      <c r="AB7" s="66"/>
    </row>
  </sheetData>
  <mergeCells count="15">
    <mergeCell ref="A1:AB1"/>
    <mergeCell ref="A2:AB2"/>
    <mergeCell ref="L3:AB3"/>
    <mergeCell ref="S4:AB4"/>
    <mergeCell ref="A3:A5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conditionalFormatting sqref="L6:AB7">
    <cfRule type="expression" dxfId="0" priority="1">
      <formula>OR($K6="否",$K6="")</formula>
    </cfRule>
  </conditionalFormatting>
  <dataValidations count="4">
    <dataValidation type="list" allowBlank="1" showInputMessage="1" showErrorMessage="1" sqref="D1:D2 D6:D7 D8:D1048576">
      <formula1>OFFSET(数据对照表!$U$2,,,COUNTA(数据对照表!$U:$U)-1,1)</formula1>
    </dataValidation>
    <dataValidation type="list" allowBlank="1" showInputMessage="1" showErrorMessage="1" sqref="L1:L2 L6:L7 L8:L1048576">
      <formula1>OFFSET(数据对照表!$AE$2,,,COUNTA(数据对照表!$AE:$AE)-1,1)</formula1>
    </dataValidation>
    <dataValidation type="list" allowBlank="1" showInputMessage="1" showErrorMessage="1" sqref="S1:AB2 S6:AB7 S8:AB1048576">
      <formula1>OFFSET('附表4-项目间分摊信息采集表'!$B$5,,,COUNTA('附表4-项目间分摊信息采集表'!$B:$B)-2,1)</formula1>
    </dataValidation>
    <dataValidation type="list" allowBlank="1" showInputMessage="1" showErrorMessage="1" sqref="I6:K7 I1:K2 I8:K1048576">
      <formula1>"是,否"</formula1>
    </dataValidation>
  </dataValidations>
  <printOptions horizontalCentered="1"/>
  <pageMargins left="0.747916666666667" right="0.747916666666667" top="0.984027777777778" bottom="0.984027777777778" header="0.511805555555556" footer="0.511805555555556"/>
  <pageSetup paperSize="9" fitToHeight="0" orientation="landscape"/>
  <headerFooter>
    <oddFooter>&amp;C第 &amp;P 页，共 &amp;N 页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26"/>
  <sheetViews>
    <sheetView zoomScale="85" zoomScaleNormal="85" workbookViewId="0">
      <selection activeCell="I4" sqref="I4:I6"/>
    </sheetView>
  </sheetViews>
  <sheetFormatPr defaultColWidth="7" defaultRowHeight="15.65"/>
  <cols>
    <col min="1" max="1" width="8.872" style="16" customWidth="1"/>
    <col min="2" max="2" width="14.128" style="16" customWidth="1"/>
    <col min="3" max="10" width="9.624" style="12" customWidth="1"/>
    <col min="11" max="11" width="11.376" style="12" customWidth="1"/>
    <col min="12" max="17" width="9.624" style="16" customWidth="1"/>
    <col min="18" max="19" width="9.624" style="12" customWidth="1"/>
    <col min="20" max="20" width="9.624" style="18" customWidth="1"/>
    <col min="21" max="21" width="9.624" style="19" customWidth="1"/>
    <col min="22" max="16384" width="7" style="20"/>
  </cols>
  <sheetData>
    <row r="1" s="12" customFormat="1" ht="24" customHeight="1" spans="1:21">
      <c r="A1" s="21" t="s">
        <v>1618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</row>
    <row r="2" s="12" customFormat="1" ht="24" customHeight="1" spans="1:21">
      <c r="A2" s="22" t="str">
        <f>土地增值税税源明细表!F5&amp;"："&amp;土地增值税税源明细表!H5&amp;"          "&amp;土地增值税税源明细表!A5&amp;"："&amp;土地增值税税源明细表!B5</f>
        <v>项目编码：Z65280120160100          项目名称：通力华庭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</row>
    <row r="3" s="13" customFormat="1" ht="24" customHeight="1" spans="1:21">
      <c r="A3" s="23" t="s">
        <v>1619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</row>
    <row r="4" s="14" customFormat="1" ht="24" customHeight="1" spans="1:21">
      <c r="A4" s="25" t="s">
        <v>1620</v>
      </c>
      <c r="B4" s="25" t="s">
        <v>1621</v>
      </c>
      <c r="C4" s="26" t="str">
        <f>"*"&amp;数据对照表!E2</f>
        <v>*桩基础工程费用</v>
      </c>
      <c r="D4" s="27" t="str">
        <f>"*"&amp;数据对照表!E3</f>
        <v>*地下室工程费用</v>
      </c>
      <c r="E4" s="27" t="str">
        <f>"*"&amp;数据对照表!E4</f>
        <v>*地上建筑工程费用</v>
      </c>
      <c r="F4" s="27" t="str">
        <f>"*"&amp;数据对照表!E5</f>
        <v>*户内装修费用</v>
      </c>
      <c r="G4" s="27" t="str">
        <f>"*"&amp;数据对照表!E6</f>
        <v>*高档外立面工程费用</v>
      </c>
      <c r="H4" s="27" t="str">
        <f>"*"&amp;数据对照表!F11</f>
        <v>*绿化费用</v>
      </c>
      <c r="I4" s="27" t="str">
        <f>"*"&amp;数据对照表!D3</f>
        <v>*设计费用</v>
      </c>
      <c r="J4" s="27" t="str">
        <f>数据对照表!F2</f>
        <v>开发小区内道路工程支出</v>
      </c>
      <c r="K4" s="27" t="s">
        <v>1622</v>
      </c>
      <c r="L4" s="27" t="s">
        <v>1623</v>
      </c>
      <c r="M4" s="27" t="s">
        <v>1624</v>
      </c>
      <c r="N4" s="27" t="s">
        <v>1625</v>
      </c>
      <c r="O4" s="43" t="s">
        <v>1626</v>
      </c>
      <c r="P4" s="27" t="s">
        <v>1627</v>
      </c>
      <c r="Q4" s="27" t="s">
        <v>1628</v>
      </c>
      <c r="R4" s="43" t="s">
        <v>1629</v>
      </c>
      <c r="S4" s="27" t="s">
        <v>1630</v>
      </c>
      <c r="T4" s="27" t="s">
        <v>1631</v>
      </c>
      <c r="U4" s="27" t="s">
        <v>1632</v>
      </c>
    </row>
    <row r="5" s="15" customFormat="1" ht="24" customHeight="1" spans="1:21">
      <c r="A5" s="25"/>
      <c r="B5" s="25"/>
      <c r="C5" s="28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43"/>
      <c r="P5" s="27"/>
      <c r="Q5" s="27"/>
      <c r="R5" s="43"/>
      <c r="S5" s="27"/>
      <c r="T5" s="27"/>
      <c r="U5" s="27"/>
    </row>
    <row r="6" s="15" customFormat="1" ht="39" customHeight="1" spans="1:21">
      <c r="A6" s="25"/>
      <c r="B6" s="25"/>
      <c r="C6" s="29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43"/>
      <c r="P6" s="27"/>
      <c r="Q6" s="27"/>
      <c r="R6" s="43"/>
      <c r="S6" s="27"/>
      <c r="T6" s="27"/>
      <c r="U6" s="27"/>
    </row>
    <row r="7" s="15" customFormat="1" ht="24" customHeight="1" spans="1:21">
      <c r="A7" s="25"/>
      <c r="B7" s="25"/>
      <c r="C7" s="377" t="s">
        <v>42</v>
      </c>
      <c r="D7" s="377" t="s">
        <v>210</v>
      </c>
      <c r="E7" s="377" t="s">
        <v>211</v>
      </c>
      <c r="F7" s="377" t="s">
        <v>212</v>
      </c>
      <c r="G7" s="377" t="s">
        <v>243</v>
      </c>
      <c r="H7" s="377" t="s">
        <v>214</v>
      </c>
      <c r="I7" s="377" t="s">
        <v>215</v>
      </c>
      <c r="J7" s="377" t="s">
        <v>216</v>
      </c>
      <c r="K7" s="377" t="s">
        <v>223</v>
      </c>
      <c r="L7" s="377" t="s">
        <v>224</v>
      </c>
      <c r="M7" s="377" t="s">
        <v>253</v>
      </c>
      <c r="N7" s="377" t="s">
        <v>226</v>
      </c>
      <c r="O7" s="377" t="s">
        <v>227</v>
      </c>
      <c r="P7" s="377" t="s">
        <v>228</v>
      </c>
      <c r="Q7" s="377" t="s">
        <v>229</v>
      </c>
      <c r="R7" s="377" t="s">
        <v>257</v>
      </c>
      <c r="S7" s="377" t="s">
        <v>258</v>
      </c>
      <c r="T7" s="377" t="s">
        <v>259</v>
      </c>
      <c r="U7" s="377" t="s">
        <v>261</v>
      </c>
    </row>
    <row r="8" s="16" customFormat="1" ht="24" customHeight="1" spans="1:21">
      <c r="A8" s="30" t="s">
        <v>1633</v>
      </c>
      <c r="B8" s="31" t="s">
        <v>1634</v>
      </c>
      <c r="C8" s="32" t="s">
        <v>1635</v>
      </c>
      <c r="D8" s="32" t="s">
        <v>1635</v>
      </c>
      <c r="E8" s="32" t="s">
        <v>1635</v>
      </c>
      <c r="F8" s="32" t="s">
        <v>1635</v>
      </c>
      <c r="G8" s="32" t="s">
        <v>1635</v>
      </c>
      <c r="H8" s="32" t="s">
        <v>1635</v>
      </c>
      <c r="I8" s="32" t="s">
        <v>1635</v>
      </c>
      <c r="J8" s="32" t="s">
        <v>1635</v>
      </c>
      <c r="K8" s="32" t="s">
        <v>1617</v>
      </c>
      <c r="L8" s="32" t="s">
        <v>1617</v>
      </c>
      <c r="M8" s="32" t="s">
        <v>1617</v>
      </c>
      <c r="N8" s="32" t="s">
        <v>1617</v>
      </c>
      <c r="O8" s="32" t="s">
        <v>1617</v>
      </c>
      <c r="P8" s="32" t="s">
        <v>1617</v>
      </c>
      <c r="Q8" s="32" t="s">
        <v>1617</v>
      </c>
      <c r="R8" s="32" t="s">
        <v>1617</v>
      </c>
      <c r="S8" s="32" t="s">
        <v>1617</v>
      </c>
      <c r="T8" s="32" t="s">
        <v>1617</v>
      </c>
      <c r="U8" s="32" t="s">
        <v>1617</v>
      </c>
    </row>
    <row r="9" s="17" customFormat="1" ht="24" customHeight="1" spans="1:21">
      <c r="A9" s="30"/>
      <c r="B9" s="33" t="s">
        <v>1636</v>
      </c>
      <c r="C9" s="34">
        <f>'附表1-面积统计表'!D29</f>
        <v>26212.41</v>
      </c>
      <c r="D9" s="34">
        <f>SUMIFS('附表6-收入明细采集底稿'!P:P,'附表6-收入明细采集底稿'!D:D,"&lt;0")</f>
        <v>0</v>
      </c>
      <c r="E9" s="34">
        <f>SUMIFS('附表6-收入明细采集底稿'!P:P,'附表6-收入明细采集底稿'!D:D,"&gt;0")</f>
        <v>0</v>
      </c>
      <c r="F9" s="34" t="s">
        <v>1617</v>
      </c>
      <c r="G9" s="34" t="s">
        <v>1617</v>
      </c>
      <c r="H9" s="32">
        <f>SUM(清算项目基本情况表!D9)*SUM(清算项目基本情况表!D10)</f>
        <v>178.9125</v>
      </c>
      <c r="I9" s="32">
        <f>'附表1-面积统计表'!D29</f>
        <v>26212.41</v>
      </c>
      <c r="J9" s="32" t="s">
        <v>1617</v>
      </c>
      <c r="K9" s="32" t="s">
        <v>1617</v>
      </c>
      <c r="L9" s="32" t="s">
        <v>1617</v>
      </c>
      <c r="M9" s="32" t="s">
        <v>1617</v>
      </c>
      <c r="N9" s="32" t="s">
        <v>1617</v>
      </c>
      <c r="O9" s="32" t="s">
        <v>1617</v>
      </c>
      <c r="P9" s="32" t="s">
        <v>1617</v>
      </c>
      <c r="Q9" s="32" t="s">
        <v>1617</v>
      </c>
      <c r="R9" s="32" t="s">
        <v>1617</v>
      </c>
      <c r="S9" s="32" t="s">
        <v>1617</v>
      </c>
      <c r="T9" s="32" t="s">
        <v>1617</v>
      </c>
      <c r="U9" s="32" t="s">
        <v>1617</v>
      </c>
    </row>
    <row r="10" s="17" customFormat="1" ht="24" customHeight="1" spans="1:21">
      <c r="A10" s="30"/>
      <c r="B10" s="33" t="s">
        <v>1637</v>
      </c>
      <c r="C10" s="34">
        <f>'附表5-扣除项目统计表'!M30</f>
        <v>44289628.45</v>
      </c>
      <c r="D10" s="34">
        <f>'附表5-扣除项目统计表'!M31</f>
        <v>2505000</v>
      </c>
      <c r="E10" s="34">
        <f>'附表5-扣除项目统计表'!M32</f>
        <v>0</v>
      </c>
      <c r="F10" s="34">
        <f>'附表5-扣除项目统计表'!M33</f>
        <v>0</v>
      </c>
      <c r="G10" s="34">
        <f>'附表5-扣除项目统计表'!M34</f>
        <v>0</v>
      </c>
      <c r="H10" s="32">
        <f>'附表5-扣除项目统计表'!M46</f>
        <v>0</v>
      </c>
      <c r="I10" s="32">
        <f>'附表5-扣除项目统计表'!M21</f>
        <v>568132</v>
      </c>
      <c r="J10" s="32">
        <f>'附表5-扣除项目统计表'!M37</f>
        <v>0</v>
      </c>
      <c r="K10" s="32" t="s">
        <v>1617</v>
      </c>
      <c r="L10" s="32" t="s">
        <v>1617</v>
      </c>
      <c r="M10" s="32" t="s">
        <v>1617</v>
      </c>
      <c r="N10" s="32" t="s">
        <v>1617</v>
      </c>
      <c r="O10" s="32" t="s">
        <v>1617</v>
      </c>
      <c r="P10" s="32" t="s">
        <v>1617</v>
      </c>
      <c r="Q10" s="32" t="s">
        <v>1617</v>
      </c>
      <c r="R10" s="32" t="s">
        <v>1617</v>
      </c>
      <c r="S10" s="32" t="s">
        <v>1617</v>
      </c>
      <c r="T10" s="32" t="s">
        <v>1617</v>
      </c>
      <c r="U10" s="32" t="s">
        <v>1617</v>
      </c>
    </row>
    <row r="11" s="17" customFormat="1" ht="24" customHeight="1" spans="1:21">
      <c r="A11" s="30"/>
      <c r="B11" s="33" t="s">
        <v>1638</v>
      </c>
      <c r="C11" s="34">
        <f t="shared" ref="C11:U11" si="0">IF(SUM(C9)=0,"",ROUND((SUM(C10)/SUM(C9)),2))</f>
        <v>1689.64</v>
      </c>
      <c r="D11" s="34" t="str">
        <f t="shared" si="0"/>
        <v/>
      </c>
      <c r="E11" s="34" t="str">
        <f t="shared" si="0"/>
        <v/>
      </c>
      <c r="F11" s="34" t="str">
        <f t="shared" si="0"/>
        <v/>
      </c>
      <c r="G11" s="34" t="str">
        <f t="shared" si="0"/>
        <v/>
      </c>
      <c r="H11" s="34">
        <f t="shared" si="0"/>
        <v>0</v>
      </c>
      <c r="I11" s="34">
        <f t="shared" si="0"/>
        <v>21.67</v>
      </c>
      <c r="J11" s="34" t="str">
        <f t="shared" si="0"/>
        <v/>
      </c>
      <c r="K11" s="34" t="str">
        <f t="shared" si="0"/>
        <v/>
      </c>
      <c r="L11" s="34" t="str">
        <f t="shared" si="0"/>
        <v/>
      </c>
      <c r="M11" s="34" t="str">
        <f t="shared" si="0"/>
        <v/>
      </c>
      <c r="N11" s="34" t="str">
        <f t="shared" si="0"/>
        <v/>
      </c>
      <c r="O11" s="34" t="str">
        <f t="shared" si="0"/>
        <v/>
      </c>
      <c r="P11" s="34" t="str">
        <f t="shared" si="0"/>
        <v/>
      </c>
      <c r="Q11" s="34" t="str">
        <f t="shared" si="0"/>
        <v/>
      </c>
      <c r="R11" s="34" t="str">
        <f t="shared" si="0"/>
        <v/>
      </c>
      <c r="S11" s="34" t="str">
        <f t="shared" si="0"/>
        <v/>
      </c>
      <c r="T11" s="34" t="str">
        <f t="shared" si="0"/>
        <v/>
      </c>
      <c r="U11" s="34" t="str">
        <f t="shared" si="0"/>
        <v/>
      </c>
    </row>
    <row r="12" s="15" customFormat="1" ht="24" customHeight="1" spans="1:21">
      <c r="A12" s="35" t="s">
        <v>1639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</row>
    <row r="13" s="13" customFormat="1" ht="24" customHeight="1" spans="1:21">
      <c r="A13" s="35" t="s">
        <v>37</v>
      </c>
      <c r="B13" s="35" t="s">
        <v>291</v>
      </c>
      <c r="C13" s="35" t="s">
        <v>1640</v>
      </c>
      <c r="D13" s="35" t="s">
        <v>1641</v>
      </c>
      <c r="E13" s="35" t="s">
        <v>1642</v>
      </c>
      <c r="F13" s="36" t="s">
        <v>1643</v>
      </c>
      <c r="G13" s="35" t="s">
        <v>1644</v>
      </c>
      <c r="H13" s="35" t="s">
        <v>1645</v>
      </c>
      <c r="I13" s="35" t="s">
        <v>1646</v>
      </c>
      <c r="J13" s="35" t="s">
        <v>1647</v>
      </c>
      <c r="K13" s="35" t="s">
        <v>1648</v>
      </c>
      <c r="L13" s="35" t="s">
        <v>1649</v>
      </c>
      <c r="M13" s="35"/>
      <c r="N13" s="35"/>
      <c r="O13" s="35" t="s">
        <v>1650</v>
      </c>
      <c r="P13" s="35"/>
      <c r="Q13" s="35"/>
      <c r="R13" s="46" t="s">
        <v>1651</v>
      </c>
      <c r="S13" s="35" t="s">
        <v>1652</v>
      </c>
      <c r="T13" s="47" t="s">
        <v>1653</v>
      </c>
      <c r="U13" s="47" t="s">
        <v>1654</v>
      </c>
    </row>
    <row r="14" s="13" customFormat="1" ht="24" customHeight="1" spans="1:21">
      <c r="A14" s="35"/>
      <c r="B14" s="35"/>
      <c r="C14" s="35"/>
      <c r="D14" s="35"/>
      <c r="E14" s="35"/>
      <c r="F14" s="36"/>
      <c r="G14" s="35"/>
      <c r="H14" s="35"/>
      <c r="I14" s="35"/>
      <c r="J14" s="35"/>
      <c r="K14" s="35"/>
      <c r="L14" s="378" t="s">
        <v>1655</v>
      </c>
      <c r="M14" s="378" t="s">
        <v>1656</v>
      </c>
      <c r="N14" s="378" t="s">
        <v>1657</v>
      </c>
      <c r="O14" s="378" t="s">
        <v>1655</v>
      </c>
      <c r="P14" s="378" t="s">
        <v>1656</v>
      </c>
      <c r="Q14" s="378" t="s">
        <v>1657</v>
      </c>
      <c r="R14" s="48"/>
      <c r="S14" s="35"/>
      <c r="T14" s="47"/>
      <c r="U14" s="47"/>
    </row>
    <row r="15" s="13" customFormat="1" ht="24" customHeight="1" spans="1:21">
      <c r="A15" s="35"/>
      <c r="B15" s="379" t="s">
        <v>263</v>
      </c>
      <c r="C15" s="379" t="s">
        <v>321</v>
      </c>
      <c r="D15" s="379" t="s">
        <v>265</v>
      </c>
      <c r="E15" s="379" t="s">
        <v>323</v>
      </c>
      <c r="F15" s="379" t="s">
        <v>385</v>
      </c>
      <c r="G15" s="379" t="s">
        <v>325</v>
      </c>
      <c r="H15" s="379" t="s">
        <v>394</v>
      </c>
      <c r="I15" s="379" t="s">
        <v>399</v>
      </c>
      <c r="J15" s="379" t="s">
        <v>404</v>
      </c>
      <c r="K15" s="379" t="s">
        <v>409</v>
      </c>
      <c r="L15" s="379" t="s">
        <v>414</v>
      </c>
      <c r="M15" s="379" t="s">
        <v>419</v>
      </c>
      <c r="N15" s="379" t="s">
        <v>424</v>
      </c>
      <c r="O15" s="379" t="s">
        <v>428</v>
      </c>
      <c r="P15" s="379" t="s">
        <v>433</v>
      </c>
      <c r="Q15" s="379" t="s">
        <v>438</v>
      </c>
      <c r="R15" s="379" t="s">
        <v>443</v>
      </c>
      <c r="S15" s="379" t="s">
        <v>448</v>
      </c>
      <c r="T15" s="379" t="s">
        <v>453</v>
      </c>
      <c r="U15" s="379" t="s">
        <v>458</v>
      </c>
    </row>
    <row r="16" s="12" customFormat="1" ht="24" customHeight="1" spans="1:21">
      <c r="A16" s="31"/>
      <c r="B16" s="37" t="s">
        <v>1617</v>
      </c>
      <c r="C16" s="38"/>
      <c r="D16" s="39"/>
      <c r="E16" s="39"/>
      <c r="F16" s="40"/>
      <c r="G16" s="31"/>
      <c r="H16" s="31"/>
      <c r="I16" s="45">
        <f>IF(_xlfn.MAXIFS('附表6-收入明细采集底稿'!D:D,'附表6-收入明细采集底稿'!B:B,B16)&gt;0,_xlfn.MAXIFS('附表6-收入明细采集底稿'!D:D,'附表6-收入明细采集底稿'!B:B,B16),0)</f>
        <v>0</v>
      </c>
      <c r="J16" s="45">
        <f>IF(_xlfn.MINIFS('附表6-收入明细采集底稿'!D:D,'附表6-收入明细采集底稿'!B:B,B16)&lt;0,ABS(_xlfn.MINIFS('附表6-收入明细采集底稿'!D:D,'附表6-收入明细采集底稿'!B:B,B16)),0)</f>
        <v>0</v>
      </c>
      <c r="K16" s="32">
        <f>SUMIFS('附表6-收入明细采集底稿'!P:P,'附表6-收入明细采集底稿'!B:B,B16,'附表6-收入明细采集底稿'!D:D,"&gt;0")</f>
        <v>0</v>
      </c>
      <c r="L16" s="32">
        <f>SUMIFS('附表6-收入明细采集底稿'!P:P,'附表6-收入明细采集底稿'!B:B,B16,'附表6-收入明细采集底稿'!D:D,"=-1")</f>
        <v>0</v>
      </c>
      <c r="M16" s="32">
        <f>SUMIFS('附表6-收入明细采集底稿'!P:P,'附表6-收入明细采集底稿'!B:B,B16,'附表6-收入明细采集底稿'!D:D,"=-2")</f>
        <v>0</v>
      </c>
      <c r="N16" s="32">
        <f>SUMIFS('附表6-收入明细采集底稿'!P:P,'附表6-收入明细采集底稿'!B:B,B16,'附表6-收入明细采集底稿'!D:D,"&lt;-2")</f>
        <v>0</v>
      </c>
      <c r="O16" s="32">
        <f>SUMIFS('附表6-收入明细采集底稿'!P:P,'附表6-收入明细采集底稿'!B:B,B16,'附表6-收入明细采集底稿'!D:D,"-1",'附表6-收入明细采集底稿'!G:G,数据对照表!$A$12)</f>
        <v>0</v>
      </c>
      <c r="P16" s="32">
        <f>SUMIFS('附表6-收入明细采集底稿'!P:P,'附表6-收入明细采集底稿'!B:B,B16,'附表6-收入明细采集底稿'!D:D,"-2",'附表6-收入明细采集底稿'!G:G,数据对照表!$A$12)</f>
        <v>0</v>
      </c>
      <c r="Q16" s="32">
        <f>SUMIFS('附表6-收入明细采集底稿'!P:P,'附表6-收入明细采集底稿'!B:B,B16,'附表6-收入明细采集底稿'!D:D,"&lt;-2",'附表6-收入明细采集底稿'!G:G,数据对照表!$A$12)</f>
        <v>0</v>
      </c>
      <c r="R16" s="32">
        <f>SUMIFS('附表6-收入明细采集底稿'!P:P,'附表6-收入明细采集底稿'!B:B,B16)</f>
        <v>0</v>
      </c>
      <c r="S16" s="34" t="s">
        <v>1617</v>
      </c>
      <c r="T16" s="42"/>
      <c r="U16" s="42"/>
    </row>
    <row r="17" s="12" customFormat="1" ht="24" customHeight="1" spans="1:21">
      <c r="A17" s="31"/>
      <c r="B17" s="37"/>
      <c r="C17" s="41"/>
      <c r="D17" s="39"/>
      <c r="E17" s="39"/>
      <c r="F17" s="42"/>
      <c r="G17" s="31"/>
      <c r="H17" s="31"/>
      <c r="I17" s="45">
        <f>IF(_xlfn.MAXIFS('附表6-收入明细采集底稿'!D:D,'附表6-收入明细采集底稿'!B:B,B17)&gt;0,_xlfn.MAXIFS('附表6-收入明细采集底稿'!D:D,'附表6-收入明细采集底稿'!B:B,B17),0)</f>
        <v>0</v>
      </c>
      <c r="J17" s="45">
        <f>IF(_xlfn.MINIFS('附表6-收入明细采集底稿'!D:D,'附表6-收入明细采集底稿'!B:B,B17)&lt;0,ABS(_xlfn.MINIFS('附表6-收入明细采集底稿'!D:D,'附表6-收入明细采集底稿'!B:B,B17)),0)</f>
        <v>0</v>
      </c>
      <c r="K17" s="32">
        <f>SUMIFS('附表6-收入明细采集底稿'!P:P,'附表6-收入明细采集底稿'!B:B,B17,'附表6-收入明细采集底稿'!D:D,"&gt;0")</f>
        <v>0</v>
      </c>
      <c r="L17" s="32">
        <f>SUMIFS('附表6-收入明细采集底稿'!P:P,'附表6-收入明细采集底稿'!B:B,B17,'附表6-收入明细采集底稿'!D:D,"=-1")</f>
        <v>0</v>
      </c>
      <c r="M17" s="32">
        <f>SUMIFS('附表6-收入明细采集底稿'!P:P,'附表6-收入明细采集底稿'!B:B,B17,'附表6-收入明细采集底稿'!D:D,"=-2")</f>
        <v>0</v>
      </c>
      <c r="N17" s="32">
        <f>SUMIFS('附表6-收入明细采集底稿'!P:P,'附表6-收入明细采集底稿'!B:B,B17,'附表6-收入明细采集底稿'!D:D,"&lt;-2")</f>
        <v>0</v>
      </c>
      <c r="O17" s="32">
        <f>SUMIFS('附表6-收入明细采集底稿'!P:P,'附表6-收入明细采集底稿'!B:B,B17,'附表6-收入明细采集底稿'!D:D,"-1",'附表6-收入明细采集底稿'!G:G,数据对照表!$A$12)</f>
        <v>0</v>
      </c>
      <c r="P17" s="32">
        <f>SUMIFS('附表6-收入明细采集底稿'!P:P,'附表6-收入明细采集底稿'!B:B,B17,'附表6-收入明细采集底稿'!D:D,"-2",'附表6-收入明细采集底稿'!G:G,数据对照表!$A$12)</f>
        <v>0</v>
      </c>
      <c r="Q17" s="32">
        <f>SUMIFS('附表6-收入明细采集底稿'!P:P,'附表6-收入明细采集底稿'!B:B,B17,'附表6-收入明细采集底稿'!D:D,"&lt;-2",'附表6-收入明细采集底稿'!G:G,数据对照表!$A$12)</f>
        <v>0</v>
      </c>
      <c r="R17" s="32">
        <f>SUMIFS('附表6-收入明细采集底稿'!P:P,'附表6-收入明细采集底稿'!B:B,B17)</f>
        <v>0</v>
      </c>
      <c r="S17" s="34"/>
      <c r="T17" s="42"/>
      <c r="U17" s="42"/>
    </row>
    <row r="18" s="12" customFormat="1" ht="24" customHeight="1" spans="1:21">
      <c r="A18" s="31"/>
      <c r="B18" s="37"/>
      <c r="C18" s="41"/>
      <c r="D18" s="39"/>
      <c r="E18" s="39"/>
      <c r="F18" s="42"/>
      <c r="G18" s="31"/>
      <c r="H18" s="31"/>
      <c r="I18" s="45">
        <f>IF(_xlfn.MAXIFS('附表6-收入明细采集底稿'!D:D,'附表6-收入明细采集底稿'!B:B,B18)&gt;0,_xlfn.MAXIFS('附表6-收入明细采集底稿'!D:D,'附表6-收入明细采集底稿'!B:B,B18),0)</f>
        <v>0</v>
      </c>
      <c r="J18" s="45">
        <f>IF(_xlfn.MINIFS('附表6-收入明细采集底稿'!D:D,'附表6-收入明细采集底稿'!B:B,B18)&lt;0,ABS(_xlfn.MINIFS('附表6-收入明细采集底稿'!D:D,'附表6-收入明细采集底稿'!B:B,B18)),0)</f>
        <v>0</v>
      </c>
      <c r="K18" s="32">
        <f>SUMIFS('附表6-收入明细采集底稿'!P:P,'附表6-收入明细采集底稿'!B:B,B18,'附表6-收入明细采集底稿'!D:D,"&gt;0")</f>
        <v>0</v>
      </c>
      <c r="L18" s="32">
        <f>SUMIFS('附表6-收入明细采集底稿'!P:P,'附表6-收入明细采集底稿'!B:B,B18,'附表6-收入明细采集底稿'!D:D,"=-1")</f>
        <v>0</v>
      </c>
      <c r="M18" s="32">
        <f>SUMIFS('附表6-收入明细采集底稿'!P:P,'附表6-收入明细采集底稿'!B:B,B18,'附表6-收入明细采集底稿'!D:D,"=-2")</f>
        <v>0</v>
      </c>
      <c r="N18" s="32">
        <f>SUMIFS('附表6-收入明细采集底稿'!P:P,'附表6-收入明细采集底稿'!B:B,B18,'附表6-收入明细采集底稿'!D:D,"&lt;-2")</f>
        <v>0</v>
      </c>
      <c r="O18" s="32">
        <f>SUMIFS('附表6-收入明细采集底稿'!P:P,'附表6-收入明细采集底稿'!B:B,B18,'附表6-收入明细采集底稿'!D:D,"-1",'附表6-收入明细采集底稿'!G:G,数据对照表!$A$12)</f>
        <v>0</v>
      </c>
      <c r="P18" s="32">
        <f>SUMIFS('附表6-收入明细采集底稿'!P:P,'附表6-收入明细采集底稿'!B:B,B18,'附表6-收入明细采集底稿'!D:D,"-2",'附表6-收入明细采集底稿'!G:G,数据对照表!$A$12)</f>
        <v>0</v>
      </c>
      <c r="Q18" s="32">
        <f>SUMIFS('附表6-收入明细采集底稿'!P:P,'附表6-收入明细采集底稿'!B:B,B18,'附表6-收入明细采集底稿'!D:D,"&lt;-2",'附表6-收入明细采集底稿'!G:G,数据对照表!$A$12)</f>
        <v>0</v>
      </c>
      <c r="R18" s="32">
        <f>SUMIFS('附表6-收入明细采集底稿'!P:P,'附表6-收入明细采集底稿'!B:B,B18)</f>
        <v>0</v>
      </c>
      <c r="S18" s="34"/>
      <c r="T18" s="42"/>
      <c r="U18" s="42"/>
    </row>
    <row r="19" s="12" customFormat="1" ht="24" customHeight="1" spans="1:21">
      <c r="A19" s="31"/>
      <c r="B19" s="37"/>
      <c r="C19" s="41"/>
      <c r="D19" s="39"/>
      <c r="E19" s="39"/>
      <c r="F19" s="42"/>
      <c r="G19" s="31"/>
      <c r="H19" s="31"/>
      <c r="I19" s="45">
        <f>IF(_xlfn.MAXIFS('附表6-收入明细采集底稿'!D:D,'附表6-收入明细采集底稿'!B:B,B19)&gt;0,_xlfn.MAXIFS('附表6-收入明细采集底稿'!D:D,'附表6-收入明细采集底稿'!B:B,B19),0)</f>
        <v>0</v>
      </c>
      <c r="J19" s="45">
        <f>IF(_xlfn.MINIFS('附表6-收入明细采集底稿'!D:D,'附表6-收入明细采集底稿'!B:B,B19)&lt;0,ABS(_xlfn.MINIFS('附表6-收入明细采集底稿'!D:D,'附表6-收入明细采集底稿'!B:B,B19)),0)</f>
        <v>0</v>
      </c>
      <c r="K19" s="32">
        <f>SUMIFS('附表6-收入明细采集底稿'!P:P,'附表6-收入明细采集底稿'!B:B,B19,'附表6-收入明细采集底稿'!D:D,"&gt;0")</f>
        <v>0</v>
      </c>
      <c r="L19" s="32">
        <f>SUMIFS('附表6-收入明细采集底稿'!P:P,'附表6-收入明细采集底稿'!B:B,B19,'附表6-收入明细采集底稿'!D:D,"=-1")</f>
        <v>0</v>
      </c>
      <c r="M19" s="32">
        <f>SUMIFS('附表6-收入明细采集底稿'!P:P,'附表6-收入明细采集底稿'!B:B,B19,'附表6-收入明细采集底稿'!D:D,"=-2")</f>
        <v>0</v>
      </c>
      <c r="N19" s="32">
        <f>SUMIFS('附表6-收入明细采集底稿'!P:P,'附表6-收入明细采集底稿'!B:B,B19,'附表6-收入明细采集底稿'!D:D,"&lt;-2")</f>
        <v>0</v>
      </c>
      <c r="O19" s="32">
        <f>SUMIFS('附表6-收入明细采集底稿'!P:P,'附表6-收入明细采集底稿'!B:B,B19,'附表6-收入明细采集底稿'!D:D,"-1",'附表6-收入明细采集底稿'!G:G,数据对照表!$A$12)</f>
        <v>0</v>
      </c>
      <c r="P19" s="32">
        <f>SUMIFS('附表6-收入明细采集底稿'!P:P,'附表6-收入明细采集底稿'!B:B,B19,'附表6-收入明细采集底稿'!D:D,"-2",'附表6-收入明细采集底稿'!G:G,数据对照表!$A$12)</f>
        <v>0</v>
      </c>
      <c r="Q19" s="32">
        <f>SUMIFS('附表6-收入明细采集底稿'!P:P,'附表6-收入明细采集底稿'!B:B,B19,'附表6-收入明细采集底稿'!D:D,"&lt;-2",'附表6-收入明细采集底稿'!G:G,数据对照表!$A$12)</f>
        <v>0</v>
      </c>
      <c r="R19" s="32">
        <f>SUMIFS('附表6-收入明细采集底稿'!P:P,'附表6-收入明细采集底稿'!B:B,B19)</f>
        <v>0</v>
      </c>
      <c r="S19" s="34"/>
      <c r="T19" s="42"/>
      <c r="U19" s="42"/>
    </row>
    <row r="20" s="12" customFormat="1" ht="24" customHeight="1" spans="1:21">
      <c r="A20" s="31"/>
      <c r="B20" s="37"/>
      <c r="C20" s="41"/>
      <c r="D20" s="39"/>
      <c r="E20" s="39"/>
      <c r="F20" s="42"/>
      <c r="G20" s="31"/>
      <c r="H20" s="31"/>
      <c r="I20" s="45">
        <f>IF(_xlfn.MAXIFS('附表6-收入明细采集底稿'!D:D,'附表6-收入明细采集底稿'!B:B,B20)&gt;0,_xlfn.MAXIFS('附表6-收入明细采集底稿'!D:D,'附表6-收入明细采集底稿'!B:B,B20),0)</f>
        <v>0</v>
      </c>
      <c r="J20" s="45">
        <f>IF(_xlfn.MINIFS('附表6-收入明细采集底稿'!D:D,'附表6-收入明细采集底稿'!B:B,B20)&lt;0,ABS(_xlfn.MINIFS('附表6-收入明细采集底稿'!D:D,'附表6-收入明细采集底稿'!B:B,B20)),0)</f>
        <v>0</v>
      </c>
      <c r="K20" s="32">
        <f>SUMIFS('附表6-收入明细采集底稿'!P:P,'附表6-收入明细采集底稿'!B:B,B20,'附表6-收入明细采集底稿'!D:D,"&gt;0")</f>
        <v>0</v>
      </c>
      <c r="L20" s="32">
        <f>SUMIFS('附表6-收入明细采集底稿'!P:P,'附表6-收入明细采集底稿'!B:B,B20,'附表6-收入明细采集底稿'!D:D,"=-1")</f>
        <v>0</v>
      </c>
      <c r="M20" s="32">
        <f>SUMIFS('附表6-收入明细采集底稿'!P:P,'附表6-收入明细采集底稿'!B:B,B20,'附表6-收入明细采集底稿'!D:D,"=-2")</f>
        <v>0</v>
      </c>
      <c r="N20" s="32">
        <f>SUMIFS('附表6-收入明细采集底稿'!P:P,'附表6-收入明细采集底稿'!B:B,B20,'附表6-收入明细采集底稿'!D:D,"&lt;-2")</f>
        <v>0</v>
      </c>
      <c r="O20" s="32">
        <f>SUMIFS('附表6-收入明细采集底稿'!P:P,'附表6-收入明细采集底稿'!B:B,B20,'附表6-收入明细采集底稿'!D:D,"-1",'附表6-收入明细采集底稿'!G:G,数据对照表!$A$12)</f>
        <v>0</v>
      </c>
      <c r="P20" s="32">
        <f>SUMIFS('附表6-收入明细采集底稿'!P:P,'附表6-收入明细采集底稿'!B:B,B20,'附表6-收入明细采集底稿'!D:D,"-2",'附表6-收入明细采集底稿'!G:G,数据对照表!$A$12)</f>
        <v>0</v>
      </c>
      <c r="Q20" s="32">
        <f>SUMIFS('附表6-收入明细采集底稿'!P:P,'附表6-收入明细采集底稿'!B:B,B20,'附表6-收入明细采集底稿'!D:D,"&lt;-2",'附表6-收入明细采集底稿'!G:G,数据对照表!$A$12)</f>
        <v>0</v>
      </c>
      <c r="R20" s="32">
        <f>SUMIFS('附表6-收入明细采集底稿'!P:P,'附表6-收入明细采集底稿'!B:B,B20)</f>
        <v>0</v>
      </c>
      <c r="S20" s="34"/>
      <c r="T20" s="42"/>
      <c r="U20" s="42"/>
    </row>
    <row r="21" s="12" customFormat="1" ht="24" customHeight="1" spans="1:21">
      <c r="A21" s="31"/>
      <c r="B21" s="37"/>
      <c r="C21" s="41"/>
      <c r="D21" s="39"/>
      <c r="E21" s="39"/>
      <c r="F21" s="42"/>
      <c r="G21" s="31"/>
      <c r="H21" s="31"/>
      <c r="I21" s="45">
        <f>IF(_xlfn.MAXIFS('附表6-收入明细采集底稿'!D:D,'附表6-收入明细采集底稿'!B:B,B21)&gt;0,_xlfn.MAXIFS('附表6-收入明细采集底稿'!D:D,'附表6-收入明细采集底稿'!B:B,B21),0)</f>
        <v>0</v>
      </c>
      <c r="J21" s="45">
        <f>IF(_xlfn.MINIFS('附表6-收入明细采集底稿'!D:D,'附表6-收入明细采集底稿'!B:B,B21)&lt;0,ABS(_xlfn.MINIFS('附表6-收入明细采集底稿'!D:D,'附表6-收入明细采集底稿'!B:B,B21)),0)</f>
        <v>0</v>
      </c>
      <c r="K21" s="32">
        <f>SUMIFS('附表6-收入明细采集底稿'!P:P,'附表6-收入明细采集底稿'!B:B,B21,'附表6-收入明细采集底稿'!D:D,"&gt;0")</f>
        <v>0</v>
      </c>
      <c r="L21" s="32">
        <f>SUMIFS('附表6-收入明细采集底稿'!P:P,'附表6-收入明细采集底稿'!B:B,B21,'附表6-收入明细采集底稿'!D:D,"=-1")</f>
        <v>0</v>
      </c>
      <c r="M21" s="32">
        <f>SUMIFS('附表6-收入明细采集底稿'!P:P,'附表6-收入明细采集底稿'!B:B,B21,'附表6-收入明细采集底稿'!D:D,"=-2")</f>
        <v>0</v>
      </c>
      <c r="N21" s="32">
        <f>SUMIFS('附表6-收入明细采集底稿'!P:P,'附表6-收入明细采集底稿'!B:B,B21,'附表6-收入明细采集底稿'!D:D,"&lt;-2")</f>
        <v>0</v>
      </c>
      <c r="O21" s="32">
        <f>SUMIFS('附表6-收入明细采集底稿'!P:P,'附表6-收入明细采集底稿'!B:B,B21,'附表6-收入明细采集底稿'!D:D,"-1",'附表6-收入明细采集底稿'!G:G,数据对照表!$A$12)</f>
        <v>0</v>
      </c>
      <c r="P21" s="32">
        <f>SUMIFS('附表6-收入明细采集底稿'!P:P,'附表6-收入明细采集底稿'!B:B,B21,'附表6-收入明细采集底稿'!D:D,"-2",'附表6-收入明细采集底稿'!G:G,数据对照表!$A$12)</f>
        <v>0</v>
      </c>
      <c r="Q21" s="32">
        <f>SUMIFS('附表6-收入明细采集底稿'!P:P,'附表6-收入明细采集底稿'!B:B,B21,'附表6-收入明细采集底稿'!D:D,"&lt;-2",'附表6-收入明细采集底稿'!G:G,数据对照表!$A$12)</f>
        <v>0</v>
      </c>
      <c r="R21" s="32">
        <f>SUMIFS('附表6-收入明细采集底稿'!P:P,'附表6-收入明细采集底稿'!B:B,B21)</f>
        <v>0</v>
      </c>
      <c r="S21" s="34"/>
      <c r="T21" s="42"/>
      <c r="U21" s="42"/>
    </row>
    <row r="22" s="12" customFormat="1" ht="24" customHeight="1" spans="1:21">
      <c r="A22" s="31"/>
      <c r="B22" s="37"/>
      <c r="C22" s="41"/>
      <c r="D22" s="39"/>
      <c r="E22" s="39"/>
      <c r="F22" s="42"/>
      <c r="G22" s="31"/>
      <c r="H22" s="31"/>
      <c r="I22" s="45">
        <f>IF(_xlfn.MAXIFS('附表6-收入明细采集底稿'!D:D,'附表6-收入明细采集底稿'!B:B,B22)&gt;0,_xlfn.MAXIFS('附表6-收入明细采集底稿'!D:D,'附表6-收入明细采集底稿'!B:B,B22),0)</f>
        <v>0</v>
      </c>
      <c r="J22" s="45">
        <f>IF(_xlfn.MINIFS('附表6-收入明细采集底稿'!D:D,'附表6-收入明细采集底稿'!B:B,B22)&lt;0,ABS(_xlfn.MINIFS('附表6-收入明细采集底稿'!D:D,'附表6-收入明细采集底稿'!B:B,B22)),0)</f>
        <v>0</v>
      </c>
      <c r="K22" s="32">
        <f>SUMIFS('附表6-收入明细采集底稿'!P:P,'附表6-收入明细采集底稿'!B:B,B22,'附表6-收入明细采集底稿'!D:D,"&gt;0")</f>
        <v>0</v>
      </c>
      <c r="L22" s="32">
        <f>SUMIFS('附表6-收入明细采集底稿'!P:P,'附表6-收入明细采集底稿'!B:B,B22,'附表6-收入明细采集底稿'!D:D,"=-1")</f>
        <v>0</v>
      </c>
      <c r="M22" s="32">
        <f>SUMIFS('附表6-收入明细采集底稿'!P:P,'附表6-收入明细采集底稿'!B:B,B22,'附表6-收入明细采集底稿'!D:D,"=-2")</f>
        <v>0</v>
      </c>
      <c r="N22" s="32">
        <f>SUMIFS('附表6-收入明细采集底稿'!P:P,'附表6-收入明细采集底稿'!B:B,B22,'附表6-收入明细采集底稿'!D:D,"&lt;-2")</f>
        <v>0</v>
      </c>
      <c r="O22" s="32">
        <f>SUMIFS('附表6-收入明细采集底稿'!P:P,'附表6-收入明细采集底稿'!B:B,B22,'附表6-收入明细采集底稿'!D:D,"-1",'附表6-收入明细采集底稿'!G:G,数据对照表!$A$12)</f>
        <v>0</v>
      </c>
      <c r="P22" s="32">
        <f>SUMIFS('附表6-收入明细采集底稿'!P:P,'附表6-收入明细采集底稿'!B:B,B22,'附表6-收入明细采集底稿'!D:D,"-2",'附表6-收入明细采集底稿'!G:G,数据对照表!$A$12)</f>
        <v>0</v>
      </c>
      <c r="Q22" s="32">
        <f>SUMIFS('附表6-收入明细采集底稿'!P:P,'附表6-收入明细采集底稿'!B:B,B22,'附表6-收入明细采集底稿'!D:D,"&lt;-2",'附表6-收入明细采集底稿'!G:G,数据对照表!$A$12)</f>
        <v>0</v>
      </c>
      <c r="R22" s="32">
        <f>SUMIFS('附表6-收入明细采集底稿'!P:P,'附表6-收入明细采集底稿'!B:B,B22)</f>
        <v>0</v>
      </c>
      <c r="S22" s="34"/>
      <c r="T22" s="42"/>
      <c r="U22" s="42"/>
    </row>
    <row r="23" s="12" customFormat="1" ht="24" customHeight="1" spans="1:21">
      <c r="A23" s="31"/>
      <c r="B23" s="37"/>
      <c r="C23" s="41"/>
      <c r="D23" s="39"/>
      <c r="E23" s="39"/>
      <c r="F23" s="42"/>
      <c r="G23" s="31"/>
      <c r="H23" s="31"/>
      <c r="I23" s="45">
        <f>IF(_xlfn.MAXIFS('附表6-收入明细采集底稿'!D:D,'附表6-收入明细采集底稿'!B:B,B23)&gt;0,_xlfn.MAXIFS('附表6-收入明细采集底稿'!D:D,'附表6-收入明细采集底稿'!B:B,B23),0)</f>
        <v>0</v>
      </c>
      <c r="J23" s="45">
        <f>IF(_xlfn.MINIFS('附表6-收入明细采集底稿'!D:D,'附表6-收入明细采集底稿'!B:B,B23)&lt;0,ABS(_xlfn.MINIFS('附表6-收入明细采集底稿'!D:D,'附表6-收入明细采集底稿'!B:B,B23)),0)</f>
        <v>0</v>
      </c>
      <c r="K23" s="32">
        <f>SUMIFS('附表6-收入明细采集底稿'!P:P,'附表6-收入明细采集底稿'!B:B,B23,'附表6-收入明细采集底稿'!D:D,"&gt;0")</f>
        <v>0</v>
      </c>
      <c r="L23" s="32">
        <f>SUMIFS('附表6-收入明细采集底稿'!P:P,'附表6-收入明细采集底稿'!B:B,B23,'附表6-收入明细采集底稿'!D:D,"=-1")</f>
        <v>0</v>
      </c>
      <c r="M23" s="32">
        <f>SUMIFS('附表6-收入明细采集底稿'!P:P,'附表6-收入明细采集底稿'!B:B,B23,'附表6-收入明细采集底稿'!D:D,"=-2")</f>
        <v>0</v>
      </c>
      <c r="N23" s="32">
        <f>SUMIFS('附表6-收入明细采集底稿'!P:P,'附表6-收入明细采集底稿'!B:B,B23,'附表6-收入明细采集底稿'!D:D,"&lt;-2")</f>
        <v>0</v>
      </c>
      <c r="O23" s="32">
        <f>SUMIFS('附表6-收入明细采集底稿'!P:P,'附表6-收入明细采集底稿'!B:B,B23,'附表6-收入明细采集底稿'!D:D,"-1",'附表6-收入明细采集底稿'!G:G,数据对照表!$A$12)</f>
        <v>0</v>
      </c>
      <c r="P23" s="32">
        <f>SUMIFS('附表6-收入明细采集底稿'!P:P,'附表6-收入明细采集底稿'!B:B,B23,'附表6-收入明细采集底稿'!D:D,"-2",'附表6-收入明细采集底稿'!G:G,数据对照表!$A$12)</f>
        <v>0</v>
      </c>
      <c r="Q23" s="32">
        <f>SUMIFS('附表6-收入明细采集底稿'!P:P,'附表6-收入明细采集底稿'!B:B,B23,'附表6-收入明细采集底稿'!D:D,"&lt;-2",'附表6-收入明细采集底稿'!G:G,数据对照表!$A$12)</f>
        <v>0</v>
      </c>
      <c r="R23" s="32">
        <f>SUMIFS('附表6-收入明细采集底稿'!P:P,'附表6-收入明细采集底稿'!B:B,B23)</f>
        <v>0</v>
      </c>
      <c r="S23" s="34"/>
      <c r="T23" s="42"/>
      <c r="U23" s="42"/>
    </row>
    <row r="24" s="12" customFormat="1" ht="24" customHeight="1" spans="1:21">
      <c r="A24" s="31"/>
      <c r="B24" s="37"/>
      <c r="C24" s="41"/>
      <c r="D24" s="39"/>
      <c r="E24" s="39"/>
      <c r="F24" s="42"/>
      <c r="G24" s="31"/>
      <c r="H24" s="31"/>
      <c r="I24" s="45">
        <f>IF(_xlfn.MAXIFS('附表6-收入明细采集底稿'!D:D,'附表6-收入明细采集底稿'!B:B,B24)&gt;0,_xlfn.MAXIFS('附表6-收入明细采集底稿'!D:D,'附表6-收入明细采集底稿'!B:B,B24),0)</f>
        <v>0</v>
      </c>
      <c r="J24" s="45">
        <f>IF(_xlfn.MINIFS('附表6-收入明细采集底稿'!D:D,'附表6-收入明细采集底稿'!B:B,B24)&lt;0,ABS(_xlfn.MINIFS('附表6-收入明细采集底稿'!D:D,'附表6-收入明细采集底稿'!B:B,B24)),0)</f>
        <v>0</v>
      </c>
      <c r="K24" s="32">
        <f>SUMIFS('附表6-收入明细采集底稿'!P:P,'附表6-收入明细采集底稿'!B:B,B24,'附表6-收入明细采集底稿'!D:D,"&gt;0")</f>
        <v>0</v>
      </c>
      <c r="L24" s="32">
        <f>SUMIFS('附表6-收入明细采集底稿'!P:P,'附表6-收入明细采集底稿'!B:B,B24,'附表6-收入明细采集底稿'!D:D,"=-1")</f>
        <v>0</v>
      </c>
      <c r="M24" s="32">
        <f>SUMIFS('附表6-收入明细采集底稿'!P:P,'附表6-收入明细采集底稿'!B:B,B24,'附表6-收入明细采集底稿'!D:D,"=-2")</f>
        <v>0</v>
      </c>
      <c r="N24" s="32">
        <f>SUMIFS('附表6-收入明细采集底稿'!P:P,'附表6-收入明细采集底稿'!B:B,B24,'附表6-收入明细采集底稿'!D:D,"&lt;-2")</f>
        <v>0</v>
      </c>
      <c r="O24" s="32">
        <f>SUMIFS('附表6-收入明细采集底稿'!P:P,'附表6-收入明细采集底稿'!B:B,B24,'附表6-收入明细采集底稿'!D:D,"-1",'附表6-收入明细采集底稿'!G:G,数据对照表!$A$12)</f>
        <v>0</v>
      </c>
      <c r="P24" s="32">
        <f>SUMIFS('附表6-收入明细采集底稿'!P:P,'附表6-收入明细采集底稿'!B:B,B24,'附表6-收入明细采集底稿'!D:D,"-2",'附表6-收入明细采集底稿'!G:G,数据对照表!$A$12)</f>
        <v>0</v>
      </c>
      <c r="Q24" s="32">
        <f>SUMIFS('附表6-收入明细采集底稿'!P:P,'附表6-收入明细采集底稿'!B:B,B24,'附表6-收入明细采集底稿'!D:D,"&lt;-2",'附表6-收入明细采集底稿'!G:G,数据对照表!$A$12)</f>
        <v>0</v>
      </c>
      <c r="R24" s="32">
        <f>SUMIFS('附表6-收入明细采集底稿'!P:P,'附表6-收入明细采集底稿'!B:B,B24)</f>
        <v>0</v>
      </c>
      <c r="S24" s="34"/>
      <c r="T24" s="42"/>
      <c r="U24" s="42"/>
    </row>
    <row r="25" s="12" customFormat="1" ht="24" customHeight="1" spans="1:21">
      <c r="A25" s="31"/>
      <c r="B25" s="37"/>
      <c r="C25" s="41"/>
      <c r="D25" s="39"/>
      <c r="E25" s="39"/>
      <c r="F25" s="42"/>
      <c r="G25" s="31"/>
      <c r="H25" s="31"/>
      <c r="I25" s="45">
        <f>IF(_xlfn.MAXIFS('附表6-收入明细采集底稿'!D:D,'附表6-收入明细采集底稿'!B:B,B25)&gt;0,_xlfn.MAXIFS('附表6-收入明细采集底稿'!D:D,'附表6-收入明细采集底稿'!B:B,B25),0)</f>
        <v>0</v>
      </c>
      <c r="J25" s="45">
        <f>IF(_xlfn.MINIFS('附表6-收入明细采集底稿'!D:D,'附表6-收入明细采集底稿'!B:B,B25)&lt;0,ABS(_xlfn.MINIFS('附表6-收入明细采集底稿'!D:D,'附表6-收入明细采集底稿'!B:B,B25)),0)</f>
        <v>0</v>
      </c>
      <c r="K25" s="32">
        <f>SUMIFS('附表6-收入明细采集底稿'!P:P,'附表6-收入明细采集底稿'!B:B,B25,'附表6-收入明细采集底稿'!D:D,"&gt;0")</f>
        <v>0</v>
      </c>
      <c r="L25" s="32">
        <f>SUMIFS('附表6-收入明细采集底稿'!P:P,'附表6-收入明细采集底稿'!B:B,B25,'附表6-收入明细采集底稿'!D:D,"=-1")</f>
        <v>0</v>
      </c>
      <c r="M25" s="32">
        <f>SUMIFS('附表6-收入明细采集底稿'!P:P,'附表6-收入明细采集底稿'!B:B,B25,'附表6-收入明细采集底稿'!D:D,"=-2")</f>
        <v>0</v>
      </c>
      <c r="N25" s="32">
        <f>SUMIFS('附表6-收入明细采集底稿'!P:P,'附表6-收入明细采集底稿'!B:B,B25,'附表6-收入明细采集底稿'!D:D,"&lt;-2")</f>
        <v>0</v>
      </c>
      <c r="O25" s="32">
        <f>SUMIFS('附表6-收入明细采集底稿'!P:P,'附表6-收入明细采集底稿'!B:B,B25,'附表6-收入明细采集底稿'!D:D,"-1",'附表6-收入明细采集底稿'!G:G,数据对照表!$A$12)</f>
        <v>0</v>
      </c>
      <c r="P25" s="32">
        <f>SUMIFS('附表6-收入明细采集底稿'!P:P,'附表6-收入明细采集底稿'!B:B,B25,'附表6-收入明细采集底稿'!D:D,"-2",'附表6-收入明细采集底稿'!G:G,数据对照表!$A$12)</f>
        <v>0</v>
      </c>
      <c r="Q25" s="32">
        <f>SUMIFS('附表6-收入明细采集底稿'!P:P,'附表6-收入明细采集底稿'!B:B,B25,'附表6-收入明细采集底稿'!D:D,"&lt;-2",'附表6-收入明细采集底稿'!G:G,数据对照表!$A$12)</f>
        <v>0</v>
      </c>
      <c r="R25" s="32">
        <f>SUMIFS('附表6-收入明细采集底稿'!P:P,'附表6-收入明细采集底稿'!B:B,B25)</f>
        <v>0</v>
      </c>
      <c r="S25" s="34"/>
      <c r="T25" s="42"/>
      <c r="U25" s="42"/>
    </row>
    <row r="26" s="12" customFormat="1" ht="24" customHeight="1" spans="1:21">
      <c r="A26" s="31"/>
      <c r="B26" s="37"/>
      <c r="C26" s="41"/>
      <c r="D26" s="39"/>
      <c r="E26" s="39"/>
      <c r="F26" s="42"/>
      <c r="G26" s="31"/>
      <c r="H26" s="31"/>
      <c r="I26" s="45">
        <f>IF(_xlfn.MAXIFS('附表6-收入明细采集底稿'!D:D,'附表6-收入明细采集底稿'!B:B,B26)&gt;0,_xlfn.MAXIFS('附表6-收入明细采集底稿'!D:D,'附表6-收入明细采集底稿'!B:B,B26),0)</f>
        <v>0</v>
      </c>
      <c r="J26" s="45">
        <f>IF(_xlfn.MINIFS('附表6-收入明细采集底稿'!D:D,'附表6-收入明细采集底稿'!B:B,B26)&lt;0,ABS(_xlfn.MINIFS('附表6-收入明细采集底稿'!D:D,'附表6-收入明细采集底稿'!B:B,B26)),0)</f>
        <v>0</v>
      </c>
      <c r="K26" s="32">
        <f>SUMIFS('附表6-收入明细采集底稿'!P:P,'附表6-收入明细采集底稿'!B:B,B26,'附表6-收入明细采集底稿'!D:D,"&gt;0")</f>
        <v>0</v>
      </c>
      <c r="L26" s="32">
        <f>SUMIFS('附表6-收入明细采集底稿'!P:P,'附表6-收入明细采集底稿'!B:B,B26,'附表6-收入明细采集底稿'!D:D,"=-1")</f>
        <v>0</v>
      </c>
      <c r="M26" s="32">
        <f>SUMIFS('附表6-收入明细采集底稿'!P:P,'附表6-收入明细采集底稿'!B:B,B26,'附表6-收入明细采集底稿'!D:D,"=-2")</f>
        <v>0</v>
      </c>
      <c r="N26" s="32">
        <f>SUMIFS('附表6-收入明细采集底稿'!P:P,'附表6-收入明细采集底稿'!B:B,B26,'附表6-收入明细采集底稿'!D:D,"&lt;-2")</f>
        <v>0</v>
      </c>
      <c r="O26" s="32">
        <f>SUMIFS('附表6-收入明细采集底稿'!P:P,'附表6-收入明细采集底稿'!B:B,B26,'附表6-收入明细采集底稿'!D:D,"-1",'附表6-收入明细采集底稿'!G:G,数据对照表!$A$12)</f>
        <v>0</v>
      </c>
      <c r="P26" s="32">
        <f>SUMIFS('附表6-收入明细采集底稿'!P:P,'附表6-收入明细采集底稿'!B:B,B26,'附表6-收入明细采集底稿'!D:D,"-2",'附表6-收入明细采集底稿'!G:G,数据对照表!$A$12)</f>
        <v>0</v>
      </c>
      <c r="Q26" s="32">
        <f>SUMIFS('附表6-收入明细采集底稿'!P:P,'附表6-收入明细采集底稿'!B:B,B26,'附表6-收入明细采集底稿'!D:D,"&lt;-2",'附表6-收入明细采集底稿'!G:G,数据对照表!$A$12)</f>
        <v>0</v>
      </c>
      <c r="R26" s="32">
        <f>SUMIFS('附表6-收入明细采集底稿'!P:P,'附表6-收入明细采集底稿'!B:B,B26)</f>
        <v>0</v>
      </c>
      <c r="S26" s="34"/>
      <c r="T26" s="42"/>
      <c r="U26" s="42"/>
    </row>
  </sheetData>
  <mergeCells count="43">
    <mergeCell ref="A1:U1"/>
    <mergeCell ref="A2:U2"/>
    <mergeCell ref="A3:U3"/>
    <mergeCell ref="A12:U12"/>
    <mergeCell ref="L13:N13"/>
    <mergeCell ref="O13:Q13"/>
    <mergeCell ref="A4:A7"/>
    <mergeCell ref="A8:A11"/>
    <mergeCell ref="A13:A15"/>
    <mergeCell ref="B4:B7"/>
    <mergeCell ref="B13:B14"/>
    <mergeCell ref="C4:C6"/>
    <mergeCell ref="C13:C14"/>
    <mergeCell ref="D4:D6"/>
    <mergeCell ref="D13:D14"/>
    <mergeCell ref="E4:E6"/>
    <mergeCell ref="E13:E14"/>
    <mergeCell ref="F4:F6"/>
    <mergeCell ref="F13:F14"/>
    <mergeCell ref="G4:G6"/>
    <mergeCell ref="G13:G14"/>
    <mergeCell ref="H4:H6"/>
    <mergeCell ref="H13:H14"/>
    <mergeCell ref="I4:I6"/>
    <mergeCell ref="I13:I14"/>
    <mergeCell ref="J4:J6"/>
    <mergeCell ref="J13:J14"/>
    <mergeCell ref="K4:K6"/>
    <mergeCell ref="K13:K14"/>
    <mergeCell ref="L4:L6"/>
    <mergeCell ref="M4:M6"/>
    <mergeCell ref="N4:N6"/>
    <mergeCell ref="O4:O6"/>
    <mergeCell ref="P4:P6"/>
    <mergeCell ref="Q4:Q6"/>
    <mergeCell ref="R4:R6"/>
    <mergeCell ref="R13:R14"/>
    <mergeCell ref="S4:S6"/>
    <mergeCell ref="S13:S14"/>
    <mergeCell ref="T4:T6"/>
    <mergeCell ref="T13:T14"/>
    <mergeCell ref="U4:U6"/>
    <mergeCell ref="U13:U14"/>
  </mergeCells>
  <dataValidations count="7">
    <dataValidation type="list" allowBlank="1" showInputMessage="1" showErrorMessage="1" sqref="C16:C26">
      <formula1>OFFSET(数据对照表!$V$2,,,COUNTA(数据对照表!$V:$V)-1,1)</formula1>
    </dataValidation>
    <dataValidation type="list" allowBlank="1" showInputMessage="1" showErrorMessage="1" sqref="D16:D26">
      <formula1>OFFSET(数据对照表!$W$2,,,COUNTA(数据对照表!$W:$W)-1,1)</formula1>
    </dataValidation>
    <dataValidation type="list" allowBlank="1" showInputMessage="1" showErrorMessage="1" sqref="E16:E26">
      <formula1>OFFSET(数据对照表!$X$2,,,COUNTA(数据对照表!$X:$X)-1,1)</formula1>
    </dataValidation>
    <dataValidation type="list" allowBlank="1" showInputMessage="1" showErrorMessage="1" sqref="F16:F26">
      <formula1>OFFSET(数据对照表!$Y$2,,,COUNTA(数据对照表!$Y:$Y)-1,1)</formula1>
    </dataValidation>
    <dataValidation type="list" allowBlank="1" showInputMessage="1" showErrorMessage="1" sqref="G16:G26">
      <formula1>OFFSET(数据对照表!$Z$2,,,COUNTA(数据对照表!$Z:$Z)-1,1)</formula1>
    </dataValidation>
    <dataValidation type="list" allowBlank="1" showInputMessage="1" showErrorMessage="1" sqref="H16:H26">
      <formula1>OFFSET(数据对照表!$AA$2,,,COUNTA(数据对照表!$AA:$AA)-1,1)</formula1>
    </dataValidation>
    <dataValidation allowBlank="1" showInputMessage="1" showErrorMessage="1" sqref="T16:U26"/>
  </dataValidations>
  <pageMargins left="0.747916666666667" right="0.747916666666667" top="0.984027777777778" bottom="0.984027777777778" header="0.511805555555556" footer="0.511805555555556"/>
  <pageSetup paperSize="9" scale="96" fitToHeight="0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23"/>
  <sheetViews>
    <sheetView workbookViewId="0">
      <selection activeCell="AD12" sqref="AD12"/>
    </sheetView>
  </sheetViews>
  <sheetFormatPr defaultColWidth="15.624" defaultRowHeight="11.85"/>
  <cols>
    <col min="1" max="1" width="15" style="1" customWidth="1"/>
    <col min="2" max="2" width="29.376" style="1" customWidth="1"/>
    <col min="3" max="3" width="22.624" style="1" customWidth="1"/>
    <col min="4" max="4" width="15.624" style="1" customWidth="1"/>
    <col min="5" max="6" width="15.624" style="1"/>
    <col min="7" max="7" width="19.128" style="1" customWidth="1"/>
    <col min="8" max="24" width="15.624" style="1"/>
    <col min="25" max="27" width="15.624" style="2"/>
    <col min="28" max="28" width="13.752" style="1" customWidth="1"/>
    <col min="29" max="29" width="23.248" style="1" customWidth="1"/>
    <col min="30" max="16384" width="15.624" style="1"/>
  </cols>
  <sheetData>
    <row r="1" ht="24.95" customHeight="1" spans="1:31">
      <c r="A1" s="3" t="s">
        <v>200</v>
      </c>
      <c r="B1" s="3" t="s">
        <v>1255</v>
      </c>
      <c r="C1" s="3" t="s">
        <v>1274</v>
      </c>
      <c r="D1" s="3" t="s">
        <v>1288</v>
      </c>
      <c r="E1" s="3" t="s">
        <v>1397</v>
      </c>
      <c r="F1" s="3" t="s">
        <v>1477</v>
      </c>
      <c r="G1" s="3" t="s">
        <v>1658</v>
      </c>
      <c r="H1" s="3" t="s">
        <v>1578</v>
      </c>
      <c r="I1" s="3" t="s">
        <v>1659</v>
      </c>
      <c r="J1" s="3" t="s">
        <v>1660</v>
      </c>
      <c r="K1" s="3" t="s">
        <v>274</v>
      </c>
      <c r="L1" s="3" t="s">
        <v>275</v>
      </c>
      <c r="M1" s="3" t="s">
        <v>1255</v>
      </c>
      <c r="N1" s="3" t="s">
        <v>1274</v>
      </c>
      <c r="O1" s="3" t="s">
        <v>1288</v>
      </c>
      <c r="P1" s="3" t="s">
        <v>1397</v>
      </c>
      <c r="Q1" s="3" t="s">
        <v>1477</v>
      </c>
      <c r="R1" s="3" t="s">
        <v>1658</v>
      </c>
      <c r="S1" s="3" t="s">
        <v>1578</v>
      </c>
      <c r="T1" s="3" t="s">
        <v>1659</v>
      </c>
      <c r="U1" s="3" t="s">
        <v>1232</v>
      </c>
      <c r="V1" s="3" t="s">
        <v>1640</v>
      </c>
      <c r="W1" s="3" t="s">
        <v>1641</v>
      </c>
      <c r="X1" s="3" t="s">
        <v>1642</v>
      </c>
      <c r="Y1" s="3" t="s">
        <v>1643</v>
      </c>
      <c r="Z1" s="3" t="s">
        <v>1644</v>
      </c>
      <c r="AA1" s="3" t="s">
        <v>1645</v>
      </c>
      <c r="AB1" s="3" t="s">
        <v>129</v>
      </c>
      <c r="AC1" s="3" t="s">
        <v>1661</v>
      </c>
      <c r="AD1" s="9" t="s">
        <v>1662</v>
      </c>
      <c r="AE1" s="9" t="s">
        <v>1598</v>
      </c>
    </row>
    <row r="2" ht="24.95" customHeight="1" spans="1:31">
      <c r="A2" s="4" t="s">
        <v>142</v>
      </c>
      <c r="B2" s="4" t="s">
        <v>1256</v>
      </c>
      <c r="C2" s="5" t="s">
        <v>1663</v>
      </c>
      <c r="D2" s="5" t="s">
        <v>1664</v>
      </c>
      <c r="E2" s="5" t="s">
        <v>1398</v>
      </c>
      <c r="F2" s="5" t="s">
        <v>1665</v>
      </c>
      <c r="G2" s="5" t="s">
        <v>1666</v>
      </c>
      <c r="H2" s="5" t="s">
        <v>1667</v>
      </c>
      <c r="I2" s="6" t="s">
        <v>1668</v>
      </c>
      <c r="J2" s="6" t="s">
        <v>1257</v>
      </c>
      <c r="K2" s="6" t="s">
        <v>1425</v>
      </c>
      <c r="L2" s="6" t="s">
        <v>1669</v>
      </c>
      <c r="M2" s="6" t="s">
        <v>1259</v>
      </c>
      <c r="N2" s="6" t="s">
        <v>1259</v>
      </c>
      <c r="O2" s="6" t="s">
        <v>1259</v>
      </c>
      <c r="P2" s="6" t="s">
        <v>1259</v>
      </c>
      <c r="Q2" s="6" t="s">
        <v>1259</v>
      </c>
      <c r="R2" s="6" t="s">
        <v>1259</v>
      </c>
      <c r="S2" s="6" t="s">
        <v>1259</v>
      </c>
      <c r="T2" s="6" t="s">
        <v>1425</v>
      </c>
      <c r="U2" s="6" t="s">
        <v>1616</v>
      </c>
      <c r="V2" s="7" t="s">
        <v>1670</v>
      </c>
      <c r="W2" s="5" t="s">
        <v>1671</v>
      </c>
      <c r="X2" s="5" t="s">
        <v>1672</v>
      </c>
      <c r="Y2" s="5" t="s">
        <v>1673</v>
      </c>
      <c r="Z2" s="5" t="s">
        <v>1674</v>
      </c>
      <c r="AA2" s="5" t="s">
        <v>1675</v>
      </c>
      <c r="AB2" s="8" t="s">
        <v>251</v>
      </c>
      <c r="AC2" s="8" t="s">
        <v>251</v>
      </c>
      <c r="AD2" s="10" t="s">
        <v>255</v>
      </c>
      <c r="AE2" s="8" t="s">
        <v>1669</v>
      </c>
    </row>
    <row r="3" ht="24.95" customHeight="1" spans="1:31">
      <c r="A3" s="4" t="s">
        <v>143</v>
      </c>
      <c r="B3" s="4" t="s">
        <v>1676</v>
      </c>
      <c r="C3" s="5" t="s">
        <v>1677</v>
      </c>
      <c r="D3" s="5" t="s">
        <v>1289</v>
      </c>
      <c r="E3" s="5" t="s">
        <v>1407</v>
      </c>
      <c r="F3" s="5" t="s">
        <v>1498</v>
      </c>
      <c r="G3" s="5" t="s">
        <v>1678</v>
      </c>
      <c r="H3" s="5" t="s">
        <v>1679</v>
      </c>
      <c r="J3" s="6" t="s">
        <v>1680</v>
      </c>
      <c r="L3" s="6" t="s">
        <v>1681</v>
      </c>
      <c r="M3" s="6" t="s">
        <v>1682</v>
      </c>
      <c r="N3" s="6" t="s">
        <v>1682</v>
      </c>
      <c r="O3" s="6" t="s">
        <v>1682</v>
      </c>
      <c r="P3" s="6" t="s">
        <v>1682</v>
      </c>
      <c r="Q3" s="6" t="s">
        <v>1682</v>
      </c>
      <c r="R3" s="6" t="s">
        <v>1682</v>
      </c>
      <c r="S3" s="6" t="s">
        <v>1682</v>
      </c>
      <c r="U3" s="6" t="s">
        <v>1683</v>
      </c>
      <c r="V3" s="7" t="s">
        <v>1684</v>
      </c>
      <c r="W3" s="5" t="s">
        <v>1685</v>
      </c>
      <c r="X3" s="5" t="s">
        <v>1686</v>
      </c>
      <c r="Y3" s="5" t="s">
        <v>1687</v>
      </c>
      <c r="Z3" s="5" t="s">
        <v>1688</v>
      </c>
      <c r="AA3" s="5" t="s">
        <v>1689</v>
      </c>
      <c r="AB3" s="8" t="s">
        <v>250</v>
      </c>
      <c r="AC3" s="8" t="s">
        <v>1690</v>
      </c>
      <c r="AD3" s="8" t="s">
        <v>1691</v>
      </c>
      <c r="AE3" s="8" t="s">
        <v>1692</v>
      </c>
    </row>
    <row r="4" ht="24.95" customHeight="1" spans="1:31">
      <c r="A4" s="4" t="s">
        <v>101</v>
      </c>
      <c r="B4" s="4" t="s">
        <v>1267</v>
      </c>
      <c r="C4" s="5" t="s">
        <v>1693</v>
      </c>
      <c r="D4" s="5" t="s">
        <v>1391</v>
      </c>
      <c r="E4" s="5" t="s">
        <v>1694</v>
      </c>
      <c r="F4" s="5" t="s">
        <v>1478</v>
      </c>
      <c r="G4" s="5" t="s">
        <v>1695</v>
      </c>
      <c r="H4" s="5" t="s">
        <v>1696</v>
      </c>
      <c r="J4" s="6" t="s">
        <v>1317</v>
      </c>
      <c r="L4" s="6" t="s">
        <v>251</v>
      </c>
      <c r="U4" s="6" t="s">
        <v>1697</v>
      </c>
      <c r="V4" s="7" t="s">
        <v>1698</v>
      </c>
      <c r="W4" s="8" t="s">
        <v>1699</v>
      </c>
      <c r="X4" s="5" t="s">
        <v>1700</v>
      </c>
      <c r="Y4" s="5" t="s">
        <v>1701</v>
      </c>
      <c r="Z4" s="5" t="s">
        <v>1702</v>
      </c>
      <c r="AA4" s="5" t="s">
        <v>1703</v>
      </c>
      <c r="AC4" s="8" t="s">
        <v>250</v>
      </c>
      <c r="AE4" s="8" t="s">
        <v>251</v>
      </c>
    </row>
    <row r="5" ht="24.95" customHeight="1" spans="1:31">
      <c r="A5" s="4" t="s">
        <v>102</v>
      </c>
      <c r="C5" s="5" t="s">
        <v>1704</v>
      </c>
      <c r="D5" s="5" t="s">
        <v>1705</v>
      </c>
      <c r="E5" s="5" t="s">
        <v>1706</v>
      </c>
      <c r="F5" s="5" t="s">
        <v>1707</v>
      </c>
      <c r="G5" s="5" t="s">
        <v>1708</v>
      </c>
      <c r="H5" s="5" t="s">
        <v>1583</v>
      </c>
      <c r="J5" s="6" t="s">
        <v>1270</v>
      </c>
      <c r="L5" s="6" t="s">
        <v>1709</v>
      </c>
      <c r="U5" s="6" t="s">
        <v>1710</v>
      </c>
      <c r="V5" s="7" t="s">
        <v>1711</v>
      </c>
      <c r="W5" s="5" t="s">
        <v>1712</v>
      </c>
      <c r="X5" s="8" t="s">
        <v>1713</v>
      </c>
      <c r="Y5" s="5" t="s">
        <v>1714</v>
      </c>
      <c r="Z5" s="1"/>
      <c r="AA5" s="5" t="s">
        <v>1715</v>
      </c>
      <c r="AE5" s="8" t="s">
        <v>1716</v>
      </c>
    </row>
    <row r="6" ht="24.95" customHeight="1" spans="1:31">
      <c r="A6" s="4" t="s">
        <v>103</v>
      </c>
      <c r="C6" s="5" t="s">
        <v>1275</v>
      </c>
      <c r="D6" s="5" t="s">
        <v>1717</v>
      </c>
      <c r="E6" s="5" t="s">
        <v>1718</v>
      </c>
      <c r="F6" s="5" t="s">
        <v>1719</v>
      </c>
      <c r="G6" s="5" t="s">
        <v>1720</v>
      </c>
      <c r="H6" s="5" t="s">
        <v>1721</v>
      </c>
      <c r="J6" s="6" t="s">
        <v>1268</v>
      </c>
      <c r="L6" s="6" t="s">
        <v>1722</v>
      </c>
      <c r="U6" s="6" t="s">
        <v>1723</v>
      </c>
      <c r="V6" s="7" t="s">
        <v>1724</v>
      </c>
      <c r="W6" s="5" t="s">
        <v>1725</v>
      </c>
      <c r="Y6" s="8" t="s">
        <v>1726</v>
      </c>
      <c r="Z6" s="1"/>
      <c r="AA6" s="11"/>
      <c r="AE6" s="8" t="s">
        <v>1727</v>
      </c>
    </row>
    <row r="7" ht="24.95" customHeight="1" spans="1:27">
      <c r="A7" s="4" t="s">
        <v>1728</v>
      </c>
      <c r="C7" s="5" t="s">
        <v>1281</v>
      </c>
      <c r="D7" s="5" t="s">
        <v>1337</v>
      </c>
      <c r="E7" s="5" t="s">
        <v>1422</v>
      </c>
      <c r="F7" s="5" t="s">
        <v>1729</v>
      </c>
      <c r="G7" s="5" t="s">
        <v>1730</v>
      </c>
      <c r="H7" s="5" t="s">
        <v>1731</v>
      </c>
      <c r="J7" s="6" t="s">
        <v>1276</v>
      </c>
      <c r="L7" s="6" t="s">
        <v>250</v>
      </c>
      <c r="U7" s="6" t="s">
        <v>1732</v>
      </c>
      <c r="V7" s="7" t="s">
        <v>1733</v>
      </c>
      <c r="W7" s="8" t="s">
        <v>1734</v>
      </c>
      <c r="Y7" s="1"/>
      <c r="Z7" s="1"/>
      <c r="AA7" s="11"/>
    </row>
    <row r="8" ht="24.95" customHeight="1" spans="1:27">
      <c r="A8" s="4" t="s">
        <v>1735</v>
      </c>
      <c r="D8" s="5" t="s">
        <v>1373</v>
      </c>
      <c r="F8" s="5" t="s">
        <v>1736</v>
      </c>
      <c r="G8" s="5" t="s">
        <v>1737</v>
      </c>
      <c r="H8" s="5" t="s">
        <v>1738</v>
      </c>
      <c r="J8" s="6" t="s">
        <v>1739</v>
      </c>
      <c r="U8" s="6" t="s">
        <v>1740</v>
      </c>
      <c r="V8" s="7" t="s">
        <v>1741</v>
      </c>
      <c r="W8" s="8" t="s">
        <v>104</v>
      </c>
      <c r="Y8" s="1"/>
      <c r="Z8" s="1"/>
      <c r="AA8" s="1"/>
    </row>
    <row r="9" ht="24.95" customHeight="1" spans="1:27">
      <c r="A9" s="4" t="s">
        <v>1742</v>
      </c>
      <c r="D9" s="5" t="s">
        <v>1385</v>
      </c>
      <c r="F9" s="5" t="s">
        <v>1743</v>
      </c>
      <c r="G9" s="5" t="s">
        <v>1744</v>
      </c>
      <c r="H9" s="5" t="s">
        <v>1745</v>
      </c>
      <c r="U9" s="6" t="s">
        <v>1746</v>
      </c>
      <c r="Y9" s="1"/>
      <c r="Z9" s="1"/>
      <c r="AA9" s="1"/>
    </row>
    <row r="10" ht="24.95" customHeight="1" spans="1:27">
      <c r="A10" s="4" t="s">
        <v>1747</v>
      </c>
      <c r="D10" s="5" t="s">
        <v>1352</v>
      </c>
      <c r="F10" s="5" t="s">
        <v>1514</v>
      </c>
      <c r="G10" s="5" t="s">
        <v>1748</v>
      </c>
      <c r="H10" s="5" t="s">
        <v>1579</v>
      </c>
      <c r="U10" s="6" t="s">
        <v>1749</v>
      </c>
      <c r="Y10" s="1"/>
      <c r="Z10" s="1"/>
      <c r="AA10" s="1"/>
    </row>
    <row r="11" ht="24.95" customHeight="1" spans="1:27">
      <c r="A11" s="4" t="s">
        <v>1750</v>
      </c>
      <c r="F11" s="5" t="s">
        <v>1751</v>
      </c>
      <c r="G11" s="5" t="s">
        <v>1752</v>
      </c>
      <c r="U11" s="6" t="s">
        <v>1753</v>
      </c>
      <c r="Y11" s="1"/>
      <c r="Z11" s="1"/>
      <c r="AA11" s="1"/>
    </row>
    <row r="12" ht="24.95" customHeight="1" spans="1:27">
      <c r="A12" s="4" t="s">
        <v>1754</v>
      </c>
      <c r="F12" s="5" t="s">
        <v>1518</v>
      </c>
      <c r="G12" s="5" t="s">
        <v>1755</v>
      </c>
      <c r="U12" s="6" t="s">
        <v>1756</v>
      </c>
      <c r="Y12" s="1"/>
      <c r="Z12" s="1"/>
      <c r="AA12" s="1"/>
    </row>
    <row r="13" ht="24.95" customHeight="1" spans="1:27">
      <c r="A13" s="4" t="s">
        <v>1757</v>
      </c>
      <c r="G13" s="5" t="s">
        <v>1758</v>
      </c>
      <c r="U13" s="6" t="s">
        <v>1759</v>
      </c>
      <c r="Y13" s="1"/>
      <c r="Z13" s="1"/>
      <c r="AA13" s="1"/>
    </row>
    <row r="14" ht="24.95" customHeight="1" spans="1:27">
      <c r="A14" s="4" t="s">
        <v>1760</v>
      </c>
      <c r="G14" s="5" t="s">
        <v>1761</v>
      </c>
      <c r="U14" s="6" t="s">
        <v>1762</v>
      </c>
      <c r="Y14" s="1"/>
      <c r="Z14" s="1"/>
      <c r="AA14" s="1"/>
    </row>
    <row r="15" ht="24.95" customHeight="1" spans="1:27">
      <c r="A15" s="4" t="s">
        <v>1763</v>
      </c>
      <c r="G15" s="5" t="s">
        <v>1764</v>
      </c>
      <c r="Y15" s="1"/>
      <c r="Z15" s="1"/>
      <c r="AA15" s="1"/>
    </row>
    <row r="16" ht="24.95" customHeight="1" spans="1:27">
      <c r="A16" s="4" t="s">
        <v>1765</v>
      </c>
      <c r="G16" s="5" t="s">
        <v>1766</v>
      </c>
      <c r="Y16" s="1"/>
      <c r="Z16" s="1"/>
      <c r="AA16" s="1"/>
    </row>
    <row r="17" ht="24.95" customHeight="1" spans="1:27">
      <c r="A17" s="4" t="s">
        <v>1767</v>
      </c>
      <c r="G17" s="5" t="s">
        <v>1768</v>
      </c>
      <c r="Y17" s="1"/>
      <c r="Z17" s="1"/>
      <c r="AA17" s="1"/>
    </row>
    <row r="18" ht="24.95" customHeight="1" spans="1:27">
      <c r="A18" s="4" t="s">
        <v>1769</v>
      </c>
      <c r="Y18" s="1"/>
      <c r="Z18" s="1"/>
      <c r="AA18" s="1"/>
    </row>
    <row r="19" ht="24.95" customHeight="1" spans="1:27">
      <c r="A19" s="4" t="s">
        <v>1770</v>
      </c>
      <c r="Y19" s="1"/>
      <c r="Z19" s="1"/>
      <c r="AA19" s="1"/>
    </row>
    <row r="20" ht="24.95" customHeight="1" spans="1:27">
      <c r="A20" s="4" t="s">
        <v>1771</v>
      </c>
      <c r="Y20" s="1"/>
      <c r="Z20" s="1"/>
      <c r="AA20" s="1"/>
    </row>
    <row r="21" ht="24.95" customHeight="1" spans="1:27">
      <c r="A21" s="4" t="s">
        <v>1772</v>
      </c>
      <c r="Y21" s="1"/>
      <c r="Z21" s="1"/>
      <c r="AA21" s="1"/>
    </row>
    <row r="22" ht="24.95" customHeight="1" spans="1:27">
      <c r="A22" s="4" t="s">
        <v>1773</v>
      </c>
      <c r="Y22" s="1"/>
      <c r="Z22" s="1"/>
      <c r="AA22" s="1"/>
    </row>
    <row r="23" ht="24.95" customHeight="1" spans="1:27">
      <c r="A23" s="4" t="s">
        <v>328</v>
      </c>
      <c r="Y23" s="1"/>
      <c r="Z23" s="1"/>
      <c r="AA23" s="1"/>
    </row>
  </sheetData>
  <dataValidations count="1">
    <dataValidation type="list" allowBlank="1" showInputMessage="1" showErrorMessage="1" sqref="I2">
      <formula1>"利息支出"</formula1>
    </dataValidation>
  </dataValidations>
  <pageMargins left="0.75" right="0.75" top="1" bottom="1" header="0.511805555555556" footer="0.511805555555556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9" master="">
    <arrUserId title="A6:AI17" rangeCreator="" othersAccessPermission="edit"/>
  </rangeList>
  <rangeList sheetStid="5" master=""/>
  <rangeList sheetStid="32" master=""/>
  <rangeList sheetStid="8" master=""/>
  <rangeList sheetStid="6" master=""/>
  <rangeList sheetStid="38" master=""/>
  <rangeList sheetStid="30" master=""/>
  <rangeList sheetStid="9" master=""/>
  <rangeList sheetStid="31" master=""/>
  <rangeList sheetStid="37" master=""/>
  <rangeList sheetStid="42" master=""/>
  <rangeList sheetStid="39" master="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清算项目基本情况表</vt:lpstr>
      <vt:lpstr>土地增值税税源明细表</vt:lpstr>
      <vt:lpstr>附表1-面积统计表</vt:lpstr>
      <vt:lpstr>附表2-收入统计表</vt:lpstr>
      <vt:lpstr>附表3-扣除项目分摊表</vt:lpstr>
      <vt:lpstr>附表4-项目间分摊信息采集表</vt:lpstr>
      <vt:lpstr>附表5-扣除项目统计表</vt:lpstr>
      <vt:lpstr>附表6-收入明细采集底稿</vt:lpstr>
      <vt:lpstr>附表7-扣除项目明细采集底稿</vt:lpstr>
      <vt:lpstr>附表8-合同明细采集底稿</vt:lpstr>
      <vt:lpstr>工程造价采集表</vt:lpstr>
      <vt:lpstr>数据对照表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aa</cp:lastModifiedBy>
  <dcterms:created xsi:type="dcterms:W3CDTF">2016-12-14T00:54:00Z</dcterms:created>
  <cp:lastPrinted>2021-07-06T13:57:00Z</cp:lastPrinted>
  <dcterms:modified xsi:type="dcterms:W3CDTF">2024-08-09T11:16:16Z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19F6A1CA79724593B1AF3FE3C5548795_13</vt:lpwstr>
  </property>
  <property fmtid="{D5CDD505-2E9C-101B-9397-08002B2CF9AE}" pid="4" name="KSOReadingLayout">
    <vt:bool>true</vt:bool>
  </property>
</Properties>
</file>