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225" activeTab="1"/>
  </bookViews>
  <sheets>
    <sheet name="工资汇总表" sheetId="5" r:id="rId1"/>
    <sheet name="工资表" sheetId="1" r:id="rId2"/>
    <sheet name="考勤" sheetId="4" r:id="rId3"/>
    <sheet name="校验" sheetId="6" r:id="rId4"/>
    <sheet name="职务序列取数" sheetId="3" r:id="rId5"/>
  </sheets>
  <externalReferences>
    <externalReference r:id="rId6"/>
    <externalReference r:id="rId7"/>
  </externalReferences>
  <definedNames>
    <definedName name="_xlnm._FilterDatabase" localSheetId="2" hidden="1">考勤!$A$5:$AY$11</definedName>
    <definedName name="_xlnm.Print_Area" localSheetId="2">考勤!$A$1:$AZ$25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38333</author>
  </authors>
  <commentList>
    <comment ref="E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手工维护</t>
        </r>
      </text>
    </comment>
    <comment ref="F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月度手工维护
法假按全勤
调休不计入</t>
        </r>
      </text>
    </comment>
    <comment ref="G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
</t>
        </r>
      </text>
    </comment>
    <comment ref="H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I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K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月度或专项绩效考核
奖励正数
扣罚负数</t>
        </r>
      </text>
    </comment>
    <comment ref="L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指特殊考勤如婚丧假、病假等</t>
        </r>
      </text>
    </comment>
    <comment ref="M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特殊类扣款或特殊类补贴，须在备注栏载明详细</t>
        </r>
      </text>
    </comment>
    <comment ref="O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月度基本工资公式算法</t>
        </r>
      </text>
    </comment>
    <comment ref="P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月度奖金公式计算</t>
        </r>
      </text>
    </comment>
    <comment ref="Q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考勤表导入</t>
        </r>
      </text>
    </comment>
    <comment ref="W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财务核算</t>
        </r>
      </text>
    </comment>
  </commentList>
</comments>
</file>

<file path=xl/sharedStrings.xml><?xml version="1.0" encoding="utf-8"?>
<sst xmlns="http://schemas.openxmlformats.org/spreadsheetml/2006/main" count="703" uniqueCount="109">
  <si>
    <t>基本信息</t>
  </si>
  <si>
    <t>其他项核算</t>
  </si>
  <si>
    <t>应发核算</t>
  </si>
  <si>
    <t>社保、公积金及个税</t>
  </si>
  <si>
    <t>实发总额</t>
  </si>
  <si>
    <t>备注</t>
  </si>
  <si>
    <t>单位名称</t>
  </si>
  <si>
    <t>月末人数</t>
  </si>
  <si>
    <t>月工资标准</t>
  </si>
  <si>
    <t>应出勤天数</t>
  </si>
  <si>
    <t>基本薪资</t>
  </si>
  <si>
    <t>绩效奖金</t>
  </si>
  <si>
    <t>年度奖金</t>
  </si>
  <si>
    <t>加班工资</t>
  </si>
  <si>
    <t>绩效考核</t>
  </si>
  <si>
    <t>假期工资</t>
  </si>
  <si>
    <t>其他</t>
  </si>
  <si>
    <t>小计</t>
  </si>
  <si>
    <t>当月日均工资</t>
  </si>
  <si>
    <t>当月日均奖金</t>
  </si>
  <si>
    <t>实际出勤天数</t>
  </si>
  <si>
    <t>应发总额</t>
  </si>
  <si>
    <t>养老金</t>
  </si>
  <si>
    <t>失业金</t>
  </si>
  <si>
    <t>医疗金</t>
  </si>
  <si>
    <t>大额医疗保险</t>
  </si>
  <si>
    <t>税金</t>
  </si>
  <si>
    <t>库尔勒创智源房地产经纪有限公司</t>
  </si>
  <si>
    <t>库尔勒创智源房地产经纪有限公司2025年2月工资表</t>
  </si>
  <si>
    <t>序号</t>
  </si>
  <si>
    <t>姓名</t>
  </si>
  <si>
    <t>岗位</t>
  </si>
  <si>
    <t>职务序列</t>
  </si>
  <si>
    <t>王玉慧</t>
  </si>
  <si>
    <t>案场销售经理</t>
  </si>
  <si>
    <t>PM</t>
  </si>
  <si>
    <t>师艳莉</t>
  </si>
  <si>
    <t>招商主管</t>
  </si>
  <si>
    <t>谢华军</t>
  </si>
  <si>
    <t>招商专员</t>
  </si>
  <si>
    <t>PB</t>
  </si>
  <si>
    <t>4355为1月工资</t>
  </si>
  <si>
    <t>张志慧</t>
  </si>
  <si>
    <t>置业顾问</t>
  </si>
  <si>
    <t>PA</t>
  </si>
  <si>
    <t>张玉琴</t>
  </si>
  <si>
    <t>王荣</t>
  </si>
  <si>
    <t>肖陶丽</t>
  </si>
  <si>
    <t>李秀莲</t>
  </si>
  <si>
    <t>霍苒</t>
  </si>
  <si>
    <t>连阵阵</t>
  </si>
  <si>
    <t>闫金秀</t>
  </si>
  <si>
    <t>潘亦玹</t>
  </si>
  <si>
    <t>赵江龙</t>
  </si>
  <si>
    <t>张新艳</t>
  </si>
  <si>
    <t>刘宁宁</t>
  </si>
  <si>
    <t>米云鹤</t>
  </si>
  <si>
    <t>刘思汉</t>
  </si>
  <si>
    <t>直播专员</t>
  </si>
  <si>
    <t>李福晴</t>
  </si>
  <si>
    <t>合计</t>
  </si>
  <si>
    <t>注</t>
  </si>
  <si>
    <t>谢华军其他项为1.2-1.31日工资，霍苒、赵江龙为1月小组排名调整</t>
  </si>
  <si>
    <t>单位领导：</t>
  </si>
  <si>
    <t>审核：</t>
  </si>
  <si>
    <t>制表：</t>
  </si>
  <si>
    <t>月职工考勤表</t>
  </si>
  <si>
    <t>单位:</t>
  </si>
  <si>
    <t>职务工种</t>
  </si>
  <si>
    <t>出   勤  情   况</t>
  </si>
  <si>
    <t>公休节日天数</t>
  </si>
  <si>
    <t>考  勤  天  数</t>
  </si>
  <si>
    <t>员工本人
签字</t>
  </si>
  <si>
    <t>月</t>
  </si>
  <si>
    <t>出勤√</t>
  </si>
  <si>
    <t>出差</t>
  </si>
  <si>
    <t>公休</t>
  </si>
  <si>
    <t>病假</t>
  </si>
  <si>
    <t>事假</t>
  </si>
  <si>
    <t>旷工</t>
  </si>
  <si>
    <t>工伤</t>
  </si>
  <si>
    <t>培训</t>
  </si>
  <si>
    <t>冬休</t>
  </si>
  <si>
    <t>休假</t>
  </si>
  <si>
    <t>探亲</t>
  </si>
  <si>
    <t xml:space="preserve">产假 </t>
  </si>
  <si>
    <t>陪护假</t>
  </si>
  <si>
    <t>婚丧假</t>
  </si>
  <si>
    <t>待岗</t>
  </si>
  <si>
    <t>√</t>
  </si>
  <si>
    <t>注：</t>
  </si>
  <si>
    <t>本月肖陶丽事假6天；李秀莲事假4天；刘宁宁事假9天；李福晴事假10天</t>
  </si>
  <si>
    <t>月度应发</t>
  </si>
  <si>
    <t>差额</t>
  </si>
  <si>
    <t>163绩效</t>
  </si>
  <si>
    <t>4355为1月工资补发</t>
  </si>
  <si>
    <t>奖励</t>
  </si>
  <si>
    <t>扣罚</t>
  </si>
  <si>
    <t>月度基本工资比例</t>
  </si>
  <si>
    <t>月度绩效奖金比例</t>
  </si>
  <si>
    <t>年度奖金比例</t>
  </si>
  <si>
    <t>A1</t>
  </si>
  <si>
    <t>A2</t>
  </si>
  <si>
    <t>A3</t>
  </si>
  <si>
    <t>A4</t>
  </si>
  <si>
    <t>A5</t>
  </si>
  <si>
    <t>M1</t>
  </si>
  <si>
    <t>M2</t>
  </si>
  <si>
    <t>M3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</si>
</sst>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 ;[Red]\-0.00\ "/>
  </numFmts>
  <fonts count="4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b/>
      <sz val="12"/>
      <name val="仿宋_GB2312"/>
      <charset val="134"/>
    </font>
    <font>
      <sz val="9"/>
      <name val="宋体"/>
      <charset val="134"/>
    </font>
    <font>
      <sz val="9"/>
      <name val="仿宋_GB2312"/>
      <charset val="134"/>
    </font>
    <font>
      <b/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1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7" borderId="16" applyNumberFormat="0" applyAlignment="0" applyProtection="0">
      <alignment vertical="center"/>
    </xf>
    <xf numFmtId="0" fontId="30" fillId="7" borderId="15" applyNumberFormat="0" applyAlignment="0" applyProtection="0">
      <alignment vertical="center"/>
    </xf>
    <xf numFmtId="0" fontId="31" fillId="8" borderId="17" applyNumberFormat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0" xfId="50" applyFont="1" applyFill="1" applyAlignment="1">
      <alignment horizontal="right" vertical="center" wrapText="1"/>
    </xf>
    <xf numFmtId="0" fontId="3" fillId="0" borderId="0" xfId="50" applyFont="1" applyFill="1" applyAlignment="1">
      <alignment horizontal="center" vertical="center" wrapText="1"/>
    </xf>
    <xf numFmtId="0" fontId="4" fillId="0" borderId="2" xfId="50" applyFont="1" applyFill="1" applyBorder="1" applyAlignment="1">
      <alignment horizontal="left" vertical="center"/>
    </xf>
    <xf numFmtId="0" fontId="4" fillId="0" borderId="2" xfId="50" applyFont="1" applyFill="1" applyBorder="1" applyAlignment="1">
      <alignment horizontal="center" vertical="center"/>
    </xf>
    <xf numFmtId="0" fontId="5" fillId="2" borderId="3" xfId="50" applyFont="1" applyFill="1" applyBorder="1" applyAlignment="1">
      <alignment horizontal="center" vertical="center" wrapText="1"/>
    </xf>
    <xf numFmtId="0" fontId="5" fillId="2" borderId="4" xfId="50" applyFont="1" applyFill="1" applyBorder="1" applyAlignment="1">
      <alignment horizontal="center" vertical="center" wrapText="1"/>
    </xf>
    <xf numFmtId="0" fontId="5" fillId="2" borderId="5" xfId="50" applyFont="1" applyFill="1" applyBorder="1" applyAlignment="1">
      <alignment horizontal="center" vertical="center" wrapText="1"/>
    </xf>
    <xf numFmtId="0" fontId="5" fillId="2" borderId="6" xfId="50" applyFont="1" applyFill="1" applyBorder="1" applyAlignment="1">
      <alignment horizontal="center" vertical="center" wrapText="1"/>
    </xf>
    <xf numFmtId="0" fontId="5" fillId="2" borderId="4" xfId="50" applyFont="1" applyFill="1" applyBorder="1" applyAlignment="1">
      <alignment horizontal="right" vertical="center" wrapText="1"/>
    </xf>
    <xf numFmtId="0" fontId="5" fillId="2" borderId="5" xfId="50" applyFont="1" applyFill="1" applyBorder="1" applyAlignment="1">
      <alignment horizontal="right" vertical="center" wrapText="1"/>
    </xf>
    <xf numFmtId="0" fontId="5" fillId="2" borderId="7" xfId="50" applyFont="1" applyFill="1" applyBorder="1" applyAlignment="1">
      <alignment horizontal="center" vertical="center" wrapText="1"/>
    </xf>
    <xf numFmtId="0" fontId="5" fillId="2" borderId="1" xfId="5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52" applyFont="1" applyFill="1" applyBorder="1" applyAlignment="1">
      <alignment horizontal="center" vertical="center" wrapText="1"/>
    </xf>
    <xf numFmtId="0" fontId="6" fillId="0" borderId="0" xfId="51" applyFont="1" applyFill="1" applyBorder="1" applyAlignment="1">
      <alignment horizontal="center" vertical="center"/>
    </xf>
    <xf numFmtId="0" fontId="5" fillId="0" borderId="0" xfId="50" applyFont="1" applyFill="1" applyBorder="1" applyAlignment="1">
      <alignment horizontal="left" vertical="center"/>
    </xf>
    <xf numFmtId="0" fontId="6" fillId="0" borderId="0" xfId="52" applyFont="1" applyFill="1" applyBorder="1" applyAlignment="1">
      <alignment horizontal="center" vertical="center"/>
    </xf>
    <xf numFmtId="0" fontId="4" fillId="0" borderId="2" xfId="50" applyFont="1" applyFill="1" applyBorder="1" applyAlignment="1">
      <alignment horizontal="center" vertical="center" wrapText="1"/>
    </xf>
    <xf numFmtId="0" fontId="8" fillId="0" borderId="2" xfId="50" applyFont="1" applyFill="1" applyBorder="1" applyAlignment="1">
      <alignment horizontal="center" vertical="center" wrapText="1"/>
    </xf>
    <xf numFmtId="0" fontId="3" fillId="0" borderId="0" xfId="50" applyFont="1" applyFill="1" applyAlignment="1">
      <alignment horizontal="left" vertical="center" wrapText="1"/>
    </xf>
    <xf numFmtId="0" fontId="5" fillId="2" borderId="5" xfId="5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4" fillId="0" borderId="0" xfId="50" applyFont="1" applyFill="1" applyBorder="1" applyAlignment="1">
      <alignment horizontal="center" vertical="center" wrapText="1"/>
    </xf>
    <xf numFmtId="31" fontId="1" fillId="0" borderId="2" xfId="0" applyNumberFormat="1" applyFont="1" applyFill="1" applyBorder="1" applyAlignment="1">
      <alignment horizontal="center" vertical="center" wrapText="1"/>
    </xf>
    <xf numFmtId="0" fontId="5" fillId="2" borderId="8" xfId="50" applyFont="1" applyFill="1" applyBorder="1" applyAlignment="1">
      <alignment horizontal="center" vertical="center" wrapText="1"/>
    </xf>
    <xf numFmtId="0" fontId="4" fillId="2" borderId="9" xfId="50" applyFont="1" applyFill="1" applyBorder="1" applyAlignment="1">
      <alignment horizontal="center" vertical="center" wrapText="1"/>
    </xf>
    <xf numFmtId="0" fontId="4" fillId="2" borderId="10" xfId="50" applyFont="1" applyFill="1" applyBorder="1" applyAlignment="1">
      <alignment horizontal="center" vertical="center" wrapText="1"/>
    </xf>
    <xf numFmtId="0" fontId="5" fillId="2" borderId="8" xfId="50" applyFont="1" applyFill="1" applyBorder="1" applyAlignment="1">
      <alignment horizontal="left" vertical="center" wrapText="1"/>
    </xf>
    <xf numFmtId="0" fontId="4" fillId="2" borderId="11" xfId="50" applyFont="1" applyFill="1" applyBorder="1" applyAlignment="1">
      <alignment horizontal="center" vertical="center" wrapText="1"/>
    </xf>
    <xf numFmtId="0" fontId="4" fillId="2" borderId="2" xfId="50" applyFont="1" applyFill="1" applyBorder="1" applyAlignment="1">
      <alignment horizontal="center" vertical="center" wrapText="1"/>
    </xf>
    <xf numFmtId="0" fontId="5" fillId="2" borderId="1" xfId="50" applyFont="1" applyFill="1" applyBorder="1" applyAlignment="1">
      <alignment horizontal="center" vertical="center" wrapText="1"/>
    </xf>
    <xf numFmtId="0" fontId="9" fillId="0" borderId="1" xfId="53" applyFont="1" applyFill="1" applyBorder="1" applyAlignment="1">
      <alignment horizontal="center" vertical="center"/>
    </xf>
    <xf numFmtId="0" fontId="9" fillId="0" borderId="0" xfId="53" applyFont="1" applyFill="1" applyBorder="1" applyAlignment="1">
      <alignment horizontal="center" vertical="center"/>
    </xf>
    <xf numFmtId="0" fontId="9" fillId="0" borderId="0" xfId="53" applyFont="1" applyFill="1" applyBorder="1" applyAlignment="1">
      <alignment horizontal="center" vertical="center" wrapText="1"/>
    </xf>
    <xf numFmtId="0" fontId="10" fillId="2" borderId="1" xfId="5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43" fontId="14" fillId="0" borderId="1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center" vertical="center"/>
    </xf>
    <xf numFmtId="43" fontId="13" fillId="2" borderId="1" xfId="0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Fill="1" applyAlignment="1">
      <alignment horizontal="left" vertical="center" wrapText="1" shrinkToFit="1"/>
    </xf>
    <xf numFmtId="0" fontId="17" fillId="0" borderId="0" xfId="0" applyFont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77" fontId="14" fillId="3" borderId="1" xfId="0" applyNumberFormat="1" applyFont="1" applyFill="1" applyBorder="1" applyAlignment="1">
      <alignment vertical="center" shrinkToFit="1"/>
    </xf>
    <xf numFmtId="0" fontId="14" fillId="4" borderId="1" xfId="0" applyFont="1" applyFill="1" applyBorder="1" applyAlignment="1">
      <alignment horizontal="center" vertical="center"/>
    </xf>
    <xf numFmtId="176" fontId="18" fillId="0" borderId="0" xfId="0" applyNumberFormat="1" applyFont="1" applyAlignment="1">
      <alignment horizontal="center" vertical="center"/>
    </xf>
    <xf numFmtId="43" fontId="19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2" borderId="1" xfId="50" applyFont="1" applyFill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  <cellStyle name="常规 11" xfId="51"/>
    <cellStyle name="常规 14 8" xfId="52"/>
    <cellStyle name="常规_Sheet1_1" xfId="53"/>
    <cellStyle name="常规 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2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38333\Desktop\2025.2&#24037;&#36164;&#34920;\&#36890;&#21147;&#24314;&#35774;\1.&#12304;&#32929;&#20221;&#12305;&#38598;&#22242;&#26426;&#20851;2025&#24180;1&#26376;&#24037;&#36164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360MoveData\Users\GLP\Documents\WeChat%20Files\wxid_vztpuzmf7fbt21\FileStorage\File\2025-03\12.&#12304;&#25151;&#20135;&#12305;&#21019;&#26234;&#28304;&#24037;&#36164;&#34920;&#65288;2025.2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表一"/>
      <sheetName val="表二"/>
      <sheetName val="Sheet1"/>
      <sheetName val="平均收入"/>
      <sheetName val="工资表"/>
      <sheetName val="考勤"/>
      <sheetName val="校验"/>
    </sheetNames>
    <sheetDataSet>
      <sheetData sheetId="0">
        <row r="10">
          <cell r="A10" t="str">
            <v>2025年</v>
          </cell>
        </row>
      </sheetData>
      <sheetData sheetId="1"/>
      <sheetData sheetId="2"/>
      <sheetData sheetId="3"/>
      <sheetData sheetId="4"/>
      <sheetData sheetId="5">
        <row r="1">
          <cell r="M1">
            <v>2</v>
          </cell>
        </row>
        <row r="2">
          <cell r="C2" t="str">
            <v>集团公司机关</v>
          </cell>
        </row>
      </sheetData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表一"/>
      <sheetName val="表二"/>
      <sheetName val="Sheet1"/>
      <sheetName val="平均收入"/>
      <sheetName val="工资表"/>
      <sheetName val="考勤"/>
      <sheetName val="校验"/>
    </sheetNames>
    <sheetDataSet>
      <sheetData sheetId="0"/>
      <sheetData sheetId="1"/>
      <sheetData sheetId="2"/>
      <sheetData sheetId="3"/>
      <sheetData sheetId="4"/>
      <sheetData sheetId="5">
        <row r="5">
          <cell r="B5" t="str">
            <v>王玉慧</v>
          </cell>
          <cell r="C5" t="str">
            <v>案场销售经理</v>
          </cell>
        </row>
        <row r="6">
          <cell r="B6" t="str">
            <v>师艳莉</v>
          </cell>
          <cell r="C6" t="str">
            <v>案场销售经理</v>
          </cell>
        </row>
        <row r="7">
          <cell r="B7" t="str">
            <v>谢华军</v>
          </cell>
          <cell r="C7" t="str">
            <v>招商专员</v>
          </cell>
        </row>
        <row r="8">
          <cell r="B8" t="str">
            <v>张志慧</v>
          </cell>
          <cell r="C8" t="str">
            <v>置业顾问</v>
          </cell>
        </row>
        <row r="9">
          <cell r="B9" t="str">
            <v>张玉琴</v>
          </cell>
          <cell r="C9" t="str">
            <v>置业顾问</v>
          </cell>
        </row>
        <row r="10">
          <cell r="B10" t="str">
            <v>王荣</v>
          </cell>
          <cell r="C10" t="str">
            <v>置业顾问</v>
          </cell>
        </row>
        <row r="11">
          <cell r="B11" t="str">
            <v>肖陶丽</v>
          </cell>
          <cell r="C11" t="str">
            <v>置业顾问</v>
          </cell>
        </row>
        <row r="12">
          <cell r="B12" t="str">
            <v>李秀莲</v>
          </cell>
          <cell r="C12" t="str">
            <v>置业顾问</v>
          </cell>
        </row>
        <row r="13">
          <cell r="B13" t="str">
            <v>霍苒</v>
          </cell>
          <cell r="C13" t="str">
            <v>置业顾问</v>
          </cell>
        </row>
        <row r="14">
          <cell r="B14" t="str">
            <v>连阵阵</v>
          </cell>
          <cell r="C14" t="str">
            <v>置业顾问</v>
          </cell>
        </row>
        <row r="15">
          <cell r="B15" t="str">
            <v>闫金秀</v>
          </cell>
          <cell r="C15" t="str">
            <v>置业顾问</v>
          </cell>
        </row>
        <row r="16">
          <cell r="B16" t="str">
            <v>潘亦玹</v>
          </cell>
          <cell r="C16" t="str">
            <v>置业顾问</v>
          </cell>
        </row>
        <row r="17">
          <cell r="B17" t="str">
            <v>赵江龙</v>
          </cell>
          <cell r="C17" t="str">
            <v>置业顾问</v>
          </cell>
        </row>
        <row r="18">
          <cell r="B18" t="str">
            <v>张新艳</v>
          </cell>
          <cell r="C18" t="str">
            <v>置业顾问</v>
          </cell>
        </row>
        <row r="19">
          <cell r="B19" t="str">
            <v>刘宁宁</v>
          </cell>
          <cell r="C19" t="str">
            <v>置业顾问</v>
          </cell>
        </row>
        <row r="20">
          <cell r="B20" t="str">
            <v>米云鹤</v>
          </cell>
          <cell r="C20" t="str">
            <v>置业顾问</v>
          </cell>
        </row>
        <row r="21">
          <cell r="B21" t="str">
            <v>刘思汉</v>
          </cell>
          <cell r="C21" t="str">
            <v>置业顾问</v>
          </cell>
        </row>
        <row r="22">
          <cell r="B22" t="str">
            <v>李福晴</v>
          </cell>
          <cell r="C22" t="str">
            <v>置业顾问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Y10"/>
  <sheetViews>
    <sheetView workbookViewId="0">
      <selection activeCell="A6" sqref="A6"/>
    </sheetView>
  </sheetViews>
  <sheetFormatPr defaultColWidth="9" defaultRowHeight="13.5"/>
  <cols>
    <col min="1" max="1" width="49.625" style="1" customWidth="1"/>
    <col min="2" max="2" width="9" style="1"/>
    <col min="3" max="4" width="11.5" style="1" customWidth="1"/>
    <col min="5" max="7" width="9.375" style="1" customWidth="1"/>
    <col min="8" max="12" width="9" style="1"/>
    <col min="13" max="15" width="13.75" style="1" customWidth="1"/>
    <col min="16" max="16" width="9.375" style="1" customWidth="1"/>
    <col min="17" max="19" width="9" style="1"/>
    <col min="20" max="20" width="13.75" style="1" customWidth="1"/>
    <col min="21" max="23" width="9" style="1"/>
    <col min="24" max="24" width="13" style="1" customWidth="1"/>
    <col min="25" max="16384" width="9" style="1"/>
  </cols>
  <sheetData>
    <row r="2" s="51" customFormat="1" ht="50" customHeight="1" spans="1:25">
      <c r="A2" s="75" t="s">
        <v>0</v>
      </c>
      <c r="B2" s="75"/>
      <c r="C2" s="75"/>
      <c r="D2" s="75"/>
      <c r="E2" s="75"/>
      <c r="F2" s="75"/>
      <c r="G2" s="75"/>
      <c r="H2" s="75" t="s">
        <v>1</v>
      </c>
      <c r="I2" s="75"/>
      <c r="J2" s="75"/>
      <c r="K2" s="75"/>
      <c r="L2" s="75"/>
      <c r="M2" s="75" t="s">
        <v>2</v>
      </c>
      <c r="N2" s="75"/>
      <c r="O2" s="75"/>
      <c r="P2" s="75"/>
      <c r="Q2" s="75" t="s">
        <v>3</v>
      </c>
      <c r="R2" s="75"/>
      <c r="S2" s="75"/>
      <c r="T2" s="75"/>
      <c r="U2" s="75"/>
      <c r="V2" s="75"/>
      <c r="W2" s="75"/>
      <c r="X2" s="75" t="s">
        <v>4</v>
      </c>
      <c r="Y2" s="75" t="s">
        <v>5</v>
      </c>
    </row>
    <row r="3" s="51" customFormat="1" ht="50" customHeight="1" spans="1:25">
      <c r="A3" s="75" t="s">
        <v>6</v>
      </c>
      <c r="B3" s="75" t="s">
        <v>7</v>
      </c>
      <c r="C3" s="75" t="s">
        <v>8</v>
      </c>
      <c r="D3" s="75" t="s">
        <v>9</v>
      </c>
      <c r="E3" s="75" t="s">
        <v>10</v>
      </c>
      <c r="F3" s="75" t="s">
        <v>11</v>
      </c>
      <c r="G3" s="75" t="s">
        <v>12</v>
      </c>
      <c r="H3" s="75" t="s">
        <v>13</v>
      </c>
      <c r="I3" s="75" t="s">
        <v>14</v>
      </c>
      <c r="J3" s="75" t="s">
        <v>15</v>
      </c>
      <c r="K3" s="75" t="s">
        <v>16</v>
      </c>
      <c r="L3" s="75" t="s">
        <v>17</v>
      </c>
      <c r="M3" s="75" t="s">
        <v>18</v>
      </c>
      <c r="N3" s="75" t="s">
        <v>19</v>
      </c>
      <c r="O3" s="75" t="s">
        <v>20</v>
      </c>
      <c r="P3" s="75" t="s">
        <v>21</v>
      </c>
      <c r="Q3" s="75" t="s">
        <v>22</v>
      </c>
      <c r="R3" s="75" t="s">
        <v>23</v>
      </c>
      <c r="S3" s="75" t="s">
        <v>24</v>
      </c>
      <c r="T3" s="75" t="s">
        <v>25</v>
      </c>
      <c r="U3" s="75" t="s">
        <v>26</v>
      </c>
      <c r="V3" s="75" t="s">
        <v>16</v>
      </c>
      <c r="W3" s="75" t="s">
        <v>17</v>
      </c>
      <c r="X3" s="75"/>
      <c r="Y3" s="75"/>
    </row>
    <row r="4" s="50" customFormat="1" ht="50" customHeight="1" spans="1:25">
      <c r="A4" s="2" t="s">
        <v>27</v>
      </c>
      <c r="B4" s="2">
        <v>18</v>
      </c>
      <c r="C4" s="2">
        <v>71000</v>
      </c>
      <c r="D4" s="2"/>
      <c r="E4" s="2">
        <v>49450</v>
      </c>
      <c r="F4" s="2">
        <v>21550</v>
      </c>
      <c r="G4" s="2">
        <v>0</v>
      </c>
      <c r="H4" s="2">
        <v>541.666666666667</v>
      </c>
      <c r="I4" s="2">
        <v>163</v>
      </c>
      <c r="J4" s="2">
        <v>0</v>
      </c>
      <c r="K4" s="2">
        <v>4355</v>
      </c>
      <c r="L4" s="2">
        <v>5059.66666666667</v>
      </c>
      <c r="M4" s="2"/>
      <c r="N4" s="2"/>
      <c r="O4" s="2"/>
      <c r="P4" s="2">
        <v>72392.9999999999</v>
      </c>
      <c r="Q4" s="2">
        <v>6798.64</v>
      </c>
      <c r="R4" s="2">
        <v>425</v>
      </c>
      <c r="S4" s="2">
        <v>1699.66</v>
      </c>
      <c r="T4" s="2">
        <v>354.11</v>
      </c>
      <c r="U4" s="2">
        <v>0</v>
      </c>
      <c r="V4" s="2">
        <v>0</v>
      </c>
      <c r="W4" s="2">
        <v>9277.41</v>
      </c>
      <c r="X4" s="2">
        <v>63115.5899999999</v>
      </c>
      <c r="Y4" s="2"/>
    </row>
    <row r="5" ht="50" customHeight="1"/>
    <row r="6" ht="50" customHeight="1"/>
    <row r="7" ht="50" customHeight="1"/>
    <row r="8" ht="50" customHeight="1"/>
    <row r="9" ht="50" customHeight="1"/>
    <row r="10" ht="50" customHeight="1"/>
  </sheetData>
  <mergeCells count="6">
    <mergeCell ref="A2:G2"/>
    <mergeCell ref="H2:L2"/>
    <mergeCell ref="M2:P2"/>
    <mergeCell ref="Q2:W2"/>
    <mergeCell ref="X2:X3"/>
    <mergeCell ref="Y2:Y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5"/>
  <sheetViews>
    <sheetView tabSelected="1" zoomScale="40" zoomScaleNormal="40" workbookViewId="0">
      <selection activeCell="W17" sqref="W17"/>
    </sheetView>
  </sheetViews>
  <sheetFormatPr defaultColWidth="9" defaultRowHeight="20" customHeight="1"/>
  <cols>
    <col min="1" max="1" width="9" style="1"/>
    <col min="2" max="2" width="14.375" style="1" customWidth="1"/>
    <col min="3" max="3" width="22.25" style="1" customWidth="1"/>
    <col min="4" max="4" width="14" style="1" customWidth="1"/>
    <col min="5" max="5" width="19" style="1" customWidth="1"/>
    <col min="6" max="6" width="11.75" style="1" customWidth="1"/>
    <col min="7" max="8" width="19" style="1"/>
    <col min="9" max="9" width="14.6916666666667" style="1" customWidth="1"/>
    <col min="10" max="10" width="14.875" style="1"/>
    <col min="11" max="11" width="14" style="1"/>
    <col min="12" max="12" width="9.06666666666667" style="1" customWidth="1"/>
    <col min="13" max="13" width="17.5" style="1"/>
    <col min="14" max="14" width="17.375" style="1"/>
    <col min="15" max="16" width="19.75" style="1" customWidth="1"/>
    <col min="17" max="17" width="14.25" style="1" customWidth="1"/>
    <col min="18" max="18" width="19" style="1"/>
    <col min="19" max="19" width="17.375" style="1"/>
    <col min="20" max="20" width="14" style="1"/>
    <col min="21" max="21" width="17.375" style="1"/>
    <col min="22" max="22" width="22.5" style="1" customWidth="1"/>
    <col min="23" max="23" width="17.75" style="1" customWidth="1"/>
    <col min="24" max="24" width="9.125" style="1"/>
    <col min="25" max="25" width="17.375" style="1"/>
    <col min="26" max="26" width="22" style="1" customWidth="1"/>
    <col min="27" max="27" width="19.9916666666667" style="1" customWidth="1"/>
    <col min="28" max="16384" width="9" style="1"/>
  </cols>
  <sheetData>
    <row r="1" s="50" customFormat="1" ht="71" customHeight="1" spans="1:27">
      <c r="A1" s="52" t="s">
        <v>28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="51" customFormat="1" ht="51" customHeight="1" spans="1:27">
      <c r="A2" s="53" t="s">
        <v>29</v>
      </c>
      <c r="B2" s="54" t="s">
        <v>0</v>
      </c>
      <c r="C2" s="54"/>
      <c r="D2" s="54"/>
      <c r="E2" s="54"/>
      <c r="F2" s="54"/>
      <c r="G2" s="54"/>
      <c r="H2" s="54"/>
      <c r="I2" s="54"/>
      <c r="J2" s="61" t="s">
        <v>1</v>
      </c>
      <c r="K2" s="67"/>
      <c r="L2" s="67"/>
      <c r="M2" s="67"/>
      <c r="N2" s="62"/>
      <c r="O2" s="61" t="s">
        <v>2</v>
      </c>
      <c r="P2" s="67"/>
      <c r="Q2" s="67"/>
      <c r="R2" s="62"/>
      <c r="S2" s="61" t="s">
        <v>3</v>
      </c>
      <c r="T2" s="67"/>
      <c r="U2" s="67"/>
      <c r="V2" s="67"/>
      <c r="W2" s="67"/>
      <c r="X2" s="67"/>
      <c r="Y2" s="62"/>
      <c r="Z2" s="54" t="s">
        <v>4</v>
      </c>
      <c r="AA2" s="54" t="s">
        <v>5</v>
      </c>
    </row>
    <row r="3" s="51" customFormat="1" ht="51" customHeight="1" spans="1:27">
      <c r="A3" s="55"/>
      <c r="B3" s="54" t="s">
        <v>30</v>
      </c>
      <c r="C3" s="54" t="s">
        <v>31</v>
      </c>
      <c r="D3" s="56" t="s">
        <v>32</v>
      </c>
      <c r="E3" s="56" t="s">
        <v>8</v>
      </c>
      <c r="F3" s="56" t="s">
        <v>9</v>
      </c>
      <c r="G3" s="56" t="s">
        <v>10</v>
      </c>
      <c r="H3" s="56" t="s">
        <v>11</v>
      </c>
      <c r="I3" s="56" t="s">
        <v>12</v>
      </c>
      <c r="J3" s="56" t="s">
        <v>13</v>
      </c>
      <c r="K3" s="56" t="s">
        <v>14</v>
      </c>
      <c r="L3" s="56" t="s">
        <v>15</v>
      </c>
      <c r="M3" s="54" t="s">
        <v>16</v>
      </c>
      <c r="N3" s="54" t="s">
        <v>17</v>
      </c>
      <c r="O3" s="56" t="s">
        <v>18</v>
      </c>
      <c r="P3" s="56" t="s">
        <v>19</v>
      </c>
      <c r="Q3" s="56" t="s">
        <v>20</v>
      </c>
      <c r="R3" s="69" t="s">
        <v>21</v>
      </c>
      <c r="S3" s="54" t="s">
        <v>22</v>
      </c>
      <c r="T3" s="54" t="s">
        <v>23</v>
      </c>
      <c r="U3" s="54" t="s">
        <v>24</v>
      </c>
      <c r="V3" s="56" t="s">
        <v>25</v>
      </c>
      <c r="W3" s="54" t="s">
        <v>26</v>
      </c>
      <c r="X3" s="54" t="s">
        <v>16</v>
      </c>
      <c r="Y3" s="54" t="s">
        <v>17</v>
      </c>
      <c r="Z3" s="54"/>
      <c r="AA3" s="54"/>
    </row>
    <row r="4" s="50" customFormat="1" ht="51" customHeight="1" spans="1:27">
      <c r="A4" s="57">
        <v>1</v>
      </c>
      <c r="B4" s="57" t="s">
        <v>33</v>
      </c>
      <c r="C4" s="57" t="s">
        <v>34</v>
      </c>
      <c r="D4" s="57" t="s">
        <v>35</v>
      </c>
      <c r="E4" s="58">
        <v>6000</v>
      </c>
      <c r="F4" s="59">
        <v>24</v>
      </c>
      <c r="G4" s="58">
        <f>E4*VLOOKUP(D4,职务序列取数!B:E,2,0)</f>
        <v>4200</v>
      </c>
      <c r="H4" s="58">
        <f>E4*VLOOKUP(D4,职务序列取数!B:E,3,0)</f>
        <v>1800</v>
      </c>
      <c r="I4" s="58">
        <f>E4*VLOOKUP(D4,职务序列取数!B:E,4,0)</f>
        <v>0</v>
      </c>
      <c r="J4" s="58"/>
      <c r="K4" s="58">
        <v>163</v>
      </c>
      <c r="L4" s="58"/>
      <c r="M4" s="58"/>
      <c r="N4" s="68">
        <f>SUM(J4:M4)</f>
        <v>163</v>
      </c>
      <c r="O4" s="58">
        <f>G4/F4</f>
        <v>175</v>
      </c>
      <c r="P4" s="58">
        <f>H4/F4</f>
        <v>75</v>
      </c>
      <c r="Q4" s="70">
        <f>VLOOKUP(B4,考勤!B:AI,34,0)</f>
        <v>24</v>
      </c>
      <c r="R4" s="60">
        <f>(O4*Q4)+(P4*Q4)+N4</f>
        <v>6163</v>
      </c>
      <c r="S4" s="71">
        <v>399.92</v>
      </c>
      <c r="T4" s="71">
        <v>25</v>
      </c>
      <c r="U4" s="71">
        <v>99.98</v>
      </c>
      <c r="V4" s="71">
        <v>20.83</v>
      </c>
      <c r="W4" s="72">
        <v>500.6</v>
      </c>
      <c r="X4" s="58"/>
      <c r="Y4" s="70">
        <f>SUM(S4:X4)</f>
        <v>1046.33</v>
      </c>
      <c r="Z4" s="69">
        <f>R4-Y4</f>
        <v>5116.67</v>
      </c>
      <c r="AA4" s="58"/>
    </row>
    <row r="5" s="50" customFormat="1" ht="51" customHeight="1" spans="1:27">
      <c r="A5" s="57">
        <v>2</v>
      </c>
      <c r="B5" s="57" t="s">
        <v>36</v>
      </c>
      <c r="C5" s="57" t="s">
        <v>37</v>
      </c>
      <c r="D5" s="57" t="s">
        <v>35</v>
      </c>
      <c r="E5" s="58">
        <v>7000</v>
      </c>
      <c r="F5" s="59">
        <v>19</v>
      </c>
      <c r="G5" s="58">
        <f>E5*VLOOKUP(D5,职务序列取数!B:E,2,0)</f>
        <v>4900</v>
      </c>
      <c r="H5" s="58">
        <f>E5*VLOOKUP(D5,职务序列取数!B:E,3,0)</f>
        <v>2100</v>
      </c>
      <c r="I5" s="58">
        <f>E5*VLOOKUP(D5,职务序列取数!B:E,4,0)</f>
        <v>0</v>
      </c>
      <c r="J5" s="58"/>
      <c r="K5" s="58"/>
      <c r="L5" s="58"/>
      <c r="M5" s="58"/>
      <c r="N5" s="68">
        <f t="shared" ref="N5:N26" si="0">SUM(J5:M5)</f>
        <v>0</v>
      </c>
      <c r="O5" s="58">
        <f t="shared" ref="O5:O26" si="1">G5/F5</f>
        <v>257.894736842105</v>
      </c>
      <c r="P5" s="58">
        <f t="shared" ref="P5:P26" si="2">H5/F5</f>
        <v>110.526315789474</v>
      </c>
      <c r="Q5" s="70">
        <f>VLOOKUP(B5,考勤!B:AI,34,0)</f>
        <v>19</v>
      </c>
      <c r="R5" s="60">
        <f t="shared" ref="R5:R26" si="3">(O5*Q5)+(P5*Q5)+N5</f>
        <v>7000</v>
      </c>
      <c r="S5" s="71">
        <v>399.92</v>
      </c>
      <c r="T5" s="71">
        <v>25</v>
      </c>
      <c r="U5" s="71">
        <v>99.98</v>
      </c>
      <c r="V5" s="71">
        <v>20.83</v>
      </c>
      <c r="W5" s="72">
        <v>13.63</v>
      </c>
      <c r="X5" s="58"/>
      <c r="Y5" s="70">
        <f t="shared" ref="Y5:Y26" si="4">SUM(S5:X5)</f>
        <v>559.36</v>
      </c>
      <c r="Z5" s="69">
        <f t="shared" ref="Z5:Z26" si="5">R5-Y5</f>
        <v>6440.64</v>
      </c>
      <c r="AA5" s="58"/>
    </row>
    <row r="6" s="50" customFormat="1" ht="51" customHeight="1" spans="1:27">
      <c r="A6" s="57">
        <v>3</v>
      </c>
      <c r="B6" s="57" t="s">
        <v>38</v>
      </c>
      <c r="C6" s="57" t="s">
        <v>39</v>
      </c>
      <c r="D6" s="57" t="s">
        <v>40</v>
      </c>
      <c r="E6" s="58">
        <v>4500</v>
      </c>
      <c r="F6" s="59">
        <v>19</v>
      </c>
      <c r="G6" s="58">
        <f>E6*VLOOKUP(D6,职务序列取数!B:E,2,0)</f>
        <v>3600</v>
      </c>
      <c r="H6" s="58">
        <f>E6*VLOOKUP(D6,职务序列取数!B:E,3,0)</f>
        <v>900</v>
      </c>
      <c r="I6" s="58">
        <f>E6*VLOOKUP(D6,职务序列取数!B:E,4,0)</f>
        <v>0</v>
      </c>
      <c r="J6" s="58"/>
      <c r="K6" s="58"/>
      <c r="L6" s="58"/>
      <c r="M6" s="58">
        <v>4355</v>
      </c>
      <c r="N6" s="68">
        <f t="shared" si="0"/>
        <v>4355</v>
      </c>
      <c r="O6" s="58">
        <f t="shared" si="1"/>
        <v>189.473684210526</v>
      </c>
      <c r="P6" s="58">
        <f t="shared" si="2"/>
        <v>47.3684210526316</v>
      </c>
      <c r="Q6" s="70">
        <f>VLOOKUP(B6,考勤!B:AI,34,0)</f>
        <v>19</v>
      </c>
      <c r="R6" s="60">
        <f t="shared" si="3"/>
        <v>8855</v>
      </c>
      <c r="S6" s="71">
        <v>799.84</v>
      </c>
      <c r="T6" s="71">
        <v>50</v>
      </c>
      <c r="U6" s="71">
        <v>199.96</v>
      </c>
      <c r="V6" s="71">
        <v>41.66</v>
      </c>
      <c r="W6" s="72"/>
      <c r="X6" s="58"/>
      <c r="Y6" s="70">
        <f t="shared" si="4"/>
        <v>1091.46</v>
      </c>
      <c r="Z6" s="69">
        <f t="shared" si="5"/>
        <v>7763.54</v>
      </c>
      <c r="AA6" s="74" t="s">
        <v>41</v>
      </c>
    </row>
    <row r="7" s="50" customFormat="1" ht="51" customHeight="1" spans="1:27">
      <c r="A7" s="57">
        <v>4</v>
      </c>
      <c r="B7" s="57" t="s">
        <v>42</v>
      </c>
      <c r="C7" s="57" t="s">
        <v>43</v>
      </c>
      <c r="D7" s="57" t="s">
        <v>44</v>
      </c>
      <c r="E7" s="58">
        <v>5000</v>
      </c>
      <c r="F7" s="59">
        <v>24</v>
      </c>
      <c r="G7" s="58">
        <v>2450</v>
      </c>
      <c r="H7" s="58">
        <f t="shared" ref="H7:H21" si="6">E7-G7</f>
        <v>2550</v>
      </c>
      <c r="I7" s="58">
        <f>E7*VLOOKUP(D7,职务序列取数!B:E,4,0)</f>
        <v>0</v>
      </c>
      <c r="J7" s="58"/>
      <c r="K7" s="58"/>
      <c r="L7" s="58"/>
      <c r="M7" s="58"/>
      <c r="N7" s="68">
        <f t="shared" si="0"/>
        <v>0</v>
      </c>
      <c r="O7" s="58">
        <f t="shared" si="1"/>
        <v>102.083333333333</v>
      </c>
      <c r="P7" s="58">
        <f t="shared" si="2"/>
        <v>106.25</v>
      </c>
      <c r="Q7" s="70">
        <f>VLOOKUP(B7,考勤!B:AI,34,0)</f>
        <v>24</v>
      </c>
      <c r="R7" s="60">
        <f t="shared" si="3"/>
        <v>5000</v>
      </c>
      <c r="S7" s="71"/>
      <c r="T7" s="71"/>
      <c r="U7" s="71"/>
      <c r="V7" s="71"/>
      <c r="W7" s="72"/>
      <c r="X7" s="58"/>
      <c r="Y7" s="70">
        <f t="shared" si="4"/>
        <v>0</v>
      </c>
      <c r="Z7" s="69">
        <f t="shared" si="5"/>
        <v>5000</v>
      </c>
      <c r="AA7" s="58"/>
    </row>
    <row r="8" s="50" customFormat="1" ht="51" customHeight="1" spans="1:27">
      <c r="A8" s="57">
        <v>5</v>
      </c>
      <c r="B8" s="57" t="s">
        <v>45</v>
      </c>
      <c r="C8" s="57" t="s">
        <v>43</v>
      </c>
      <c r="D8" s="57" t="s">
        <v>44</v>
      </c>
      <c r="E8" s="58">
        <v>3000</v>
      </c>
      <c r="F8" s="59">
        <v>24</v>
      </c>
      <c r="G8" s="58">
        <v>2450</v>
      </c>
      <c r="H8" s="58">
        <f t="shared" si="6"/>
        <v>550</v>
      </c>
      <c r="I8" s="58">
        <f>E8*VLOOKUP(D8,职务序列取数!B:E,4,0)</f>
        <v>0</v>
      </c>
      <c r="J8" s="58"/>
      <c r="K8" s="58"/>
      <c r="L8" s="58"/>
      <c r="M8" s="58"/>
      <c r="N8" s="68">
        <f t="shared" si="0"/>
        <v>0</v>
      </c>
      <c r="O8" s="58">
        <f t="shared" si="1"/>
        <v>102.083333333333</v>
      </c>
      <c r="P8" s="58">
        <f t="shared" si="2"/>
        <v>22.9166666666667</v>
      </c>
      <c r="Q8" s="70">
        <f>VLOOKUP(B8,考勤!B:AI,34,0)</f>
        <v>24</v>
      </c>
      <c r="R8" s="60">
        <f t="shared" si="3"/>
        <v>3000</v>
      </c>
      <c r="S8" s="71">
        <v>399.92</v>
      </c>
      <c r="T8" s="71">
        <v>25</v>
      </c>
      <c r="U8" s="71">
        <v>99.98</v>
      </c>
      <c r="V8" s="71">
        <v>20.83</v>
      </c>
      <c r="W8" s="72">
        <v>328.43</v>
      </c>
      <c r="X8" s="58"/>
      <c r="Y8" s="70">
        <f t="shared" si="4"/>
        <v>874.16</v>
      </c>
      <c r="Z8" s="69">
        <f t="shared" si="5"/>
        <v>2125.84</v>
      </c>
      <c r="AA8" s="58"/>
    </row>
    <row r="9" s="50" customFormat="1" ht="51" customHeight="1" spans="1:27">
      <c r="A9" s="57">
        <v>6</v>
      </c>
      <c r="B9" s="57" t="s">
        <v>46</v>
      </c>
      <c r="C9" s="57" t="s">
        <v>43</v>
      </c>
      <c r="D9" s="57" t="s">
        <v>44</v>
      </c>
      <c r="E9" s="58">
        <v>3000</v>
      </c>
      <c r="F9" s="59">
        <v>24</v>
      </c>
      <c r="G9" s="58">
        <v>2450</v>
      </c>
      <c r="H9" s="58">
        <f t="shared" si="6"/>
        <v>550</v>
      </c>
      <c r="I9" s="58">
        <f>E9*VLOOKUP(D9,职务序列取数!B:E,4,0)</f>
        <v>0</v>
      </c>
      <c r="J9" s="58"/>
      <c r="K9" s="58"/>
      <c r="L9" s="58"/>
      <c r="M9" s="58"/>
      <c r="N9" s="68">
        <f t="shared" si="0"/>
        <v>0</v>
      </c>
      <c r="O9" s="58">
        <f t="shared" si="1"/>
        <v>102.083333333333</v>
      </c>
      <c r="P9" s="58">
        <f t="shared" si="2"/>
        <v>22.9166666666667</v>
      </c>
      <c r="Q9" s="70">
        <f>VLOOKUP(B9,考勤!B:AI,34,0)</f>
        <v>24</v>
      </c>
      <c r="R9" s="60">
        <f t="shared" si="3"/>
        <v>3000</v>
      </c>
      <c r="S9" s="71">
        <v>399.92</v>
      </c>
      <c r="T9" s="71">
        <v>25</v>
      </c>
      <c r="U9" s="71">
        <v>99.98</v>
      </c>
      <c r="V9" s="71">
        <v>20.83</v>
      </c>
      <c r="W9" s="72">
        <v>500.23</v>
      </c>
      <c r="X9" s="58"/>
      <c r="Y9" s="70">
        <f t="shared" si="4"/>
        <v>1045.96</v>
      </c>
      <c r="Z9" s="69">
        <f t="shared" si="5"/>
        <v>1954.04</v>
      </c>
      <c r="AA9" s="58"/>
    </row>
    <row r="10" s="50" customFormat="1" ht="51" customHeight="1" spans="1:27">
      <c r="A10" s="57">
        <v>7</v>
      </c>
      <c r="B10" s="57" t="s">
        <v>47</v>
      </c>
      <c r="C10" s="57" t="s">
        <v>43</v>
      </c>
      <c r="D10" s="57" t="s">
        <v>44</v>
      </c>
      <c r="E10" s="58">
        <v>3000</v>
      </c>
      <c r="F10" s="59">
        <v>24</v>
      </c>
      <c r="G10" s="58">
        <v>2450</v>
      </c>
      <c r="H10" s="58">
        <f t="shared" si="6"/>
        <v>550</v>
      </c>
      <c r="I10" s="58">
        <f>E10*VLOOKUP(D10,职务序列取数!B:E,4,0)</f>
        <v>0</v>
      </c>
      <c r="J10" s="58"/>
      <c r="K10" s="58"/>
      <c r="L10" s="58"/>
      <c r="M10" s="58"/>
      <c r="N10" s="68">
        <f t="shared" si="0"/>
        <v>0</v>
      </c>
      <c r="O10" s="58">
        <f t="shared" si="1"/>
        <v>102.083333333333</v>
      </c>
      <c r="P10" s="58">
        <f t="shared" si="2"/>
        <v>22.9166666666667</v>
      </c>
      <c r="Q10" s="70">
        <f>VLOOKUP(B10,考勤!B:AI,34,0)</f>
        <v>18</v>
      </c>
      <c r="R10" s="60">
        <f t="shared" si="3"/>
        <v>2250</v>
      </c>
      <c r="S10" s="71">
        <v>399.92</v>
      </c>
      <c r="T10" s="71">
        <v>25</v>
      </c>
      <c r="U10" s="71">
        <v>99.98</v>
      </c>
      <c r="V10" s="71">
        <v>20.83</v>
      </c>
      <c r="W10" s="72"/>
      <c r="X10" s="58"/>
      <c r="Y10" s="70">
        <f t="shared" si="4"/>
        <v>545.73</v>
      </c>
      <c r="Z10" s="69">
        <f t="shared" si="5"/>
        <v>1704.27</v>
      </c>
      <c r="AA10" s="58"/>
    </row>
    <row r="11" s="50" customFormat="1" ht="51" customHeight="1" spans="1:27">
      <c r="A11" s="57">
        <v>8</v>
      </c>
      <c r="B11" s="57" t="s">
        <v>48</v>
      </c>
      <c r="C11" s="57" t="s">
        <v>43</v>
      </c>
      <c r="D11" s="57" t="s">
        <v>44</v>
      </c>
      <c r="E11" s="58">
        <v>3000</v>
      </c>
      <c r="F11" s="59">
        <v>24</v>
      </c>
      <c r="G11" s="58">
        <v>2450</v>
      </c>
      <c r="H11" s="58">
        <f t="shared" si="6"/>
        <v>550</v>
      </c>
      <c r="I11" s="58">
        <f>E11*VLOOKUP(D11,职务序列取数!B:E,4,0)</f>
        <v>0</v>
      </c>
      <c r="J11" s="58"/>
      <c r="K11" s="58"/>
      <c r="L11" s="58"/>
      <c r="M11" s="58"/>
      <c r="N11" s="68">
        <f t="shared" si="0"/>
        <v>0</v>
      </c>
      <c r="O11" s="58">
        <f t="shared" si="1"/>
        <v>102.083333333333</v>
      </c>
      <c r="P11" s="58">
        <f t="shared" si="2"/>
        <v>22.9166666666667</v>
      </c>
      <c r="Q11" s="70">
        <f>VLOOKUP(B11,考勤!B:AI,34,0)</f>
        <v>20</v>
      </c>
      <c r="R11" s="60">
        <f t="shared" si="3"/>
        <v>2500</v>
      </c>
      <c r="S11" s="71">
        <v>399.92</v>
      </c>
      <c r="T11" s="71">
        <v>25</v>
      </c>
      <c r="U11" s="71">
        <v>99.98</v>
      </c>
      <c r="V11" s="71">
        <v>20.83</v>
      </c>
      <c r="W11" s="72"/>
      <c r="X11" s="58"/>
      <c r="Y11" s="70">
        <f t="shared" si="4"/>
        <v>545.73</v>
      </c>
      <c r="Z11" s="69">
        <f t="shared" si="5"/>
        <v>1954.27</v>
      </c>
      <c r="AA11" s="58"/>
    </row>
    <row r="12" s="50" customFormat="1" ht="51" customHeight="1" spans="1:27">
      <c r="A12" s="57">
        <v>9</v>
      </c>
      <c r="B12" s="57" t="s">
        <v>49</v>
      </c>
      <c r="C12" s="57" t="s">
        <v>43</v>
      </c>
      <c r="D12" s="57" t="s">
        <v>44</v>
      </c>
      <c r="E12" s="58">
        <v>5000</v>
      </c>
      <c r="F12" s="59">
        <v>24</v>
      </c>
      <c r="G12" s="58">
        <v>2450</v>
      </c>
      <c r="H12" s="58">
        <f t="shared" si="6"/>
        <v>2550</v>
      </c>
      <c r="I12" s="58">
        <v>0</v>
      </c>
      <c r="J12" s="58"/>
      <c r="K12" s="58"/>
      <c r="L12" s="58"/>
      <c r="M12" s="58">
        <v>2000</v>
      </c>
      <c r="N12" s="68">
        <f t="shared" si="0"/>
        <v>2000</v>
      </c>
      <c r="O12" s="58">
        <f t="shared" si="1"/>
        <v>102.083333333333</v>
      </c>
      <c r="P12" s="58">
        <f t="shared" si="2"/>
        <v>106.25</v>
      </c>
      <c r="Q12" s="70">
        <f>VLOOKUP(B12,考勤!B:AI,34,0)</f>
        <v>24</v>
      </c>
      <c r="R12" s="60">
        <f t="shared" si="3"/>
        <v>7000</v>
      </c>
      <c r="S12" s="71">
        <v>399.92</v>
      </c>
      <c r="T12" s="71">
        <v>25</v>
      </c>
      <c r="U12" s="71">
        <v>99.98</v>
      </c>
      <c r="V12" s="71">
        <v>20.83</v>
      </c>
      <c r="W12" s="72">
        <v>102.4</v>
      </c>
      <c r="X12" s="58"/>
      <c r="Y12" s="70">
        <f t="shared" si="4"/>
        <v>648.13</v>
      </c>
      <c r="Z12" s="69">
        <f t="shared" si="5"/>
        <v>6351.87</v>
      </c>
      <c r="AA12" s="58"/>
    </row>
    <row r="13" s="50" customFormat="1" ht="51" customHeight="1" spans="1:27">
      <c r="A13" s="57">
        <v>10</v>
      </c>
      <c r="B13" s="57" t="s">
        <v>50</v>
      </c>
      <c r="C13" s="57" t="s">
        <v>43</v>
      </c>
      <c r="D13" s="57" t="s">
        <v>44</v>
      </c>
      <c r="E13" s="58">
        <v>3000</v>
      </c>
      <c r="F13" s="59">
        <v>24</v>
      </c>
      <c r="G13" s="58">
        <v>2450</v>
      </c>
      <c r="H13" s="58">
        <f t="shared" si="6"/>
        <v>550</v>
      </c>
      <c r="I13" s="58">
        <f>E13*VLOOKUP(D13,职务序列取数!B:E,4,0)</f>
        <v>0</v>
      </c>
      <c r="J13" s="58"/>
      <c r="K13" s="58"/>
      <c r="L13" s="58"/>
      <c r="M13" s="58"/>
      <c r="N13" s="68">
        <f t="shared" si="0"/>
        <v>0</v>
      </c>
      <c r="O13" s="58">
        <f t="shared" si="1"/>
        <v>102.083333333333</v>
      </c>
      <c r="P13" s="58">
        <f t="shared" si="2"/>
        <v>22.9166666666667</v>
      </c>
      <c r="Q13" s="70">
        <f>VLOOKUP(B13,考勤!B:AI,34,0)</f>
        <v>24</v>
      </c>
      <c r="R13" s="60">
        <f t="shared" si="3"/>
        <v>3000</v>
      </c>
      <c r="S13" s="71">
        <v>399.92</v>
      </c>
      <c r="T13" s="71">
        <v>25</v>
      </c>
      <c r="U13" s="71">
        <v>99.98</v>
      </c>
      <c r="V13" s="71">
        <v>20.83</v>
      </c>
      <c r="W13" s="72"/>
      <c r="X13" s="58"/>
      <c r="Y13" s="70">
        <f t="shared" si="4"/>
        <v>545.73</v>
      </c>
      <c r="Z13" s="69">
        <f t="shared" si="5"/>
        <v>2454.27</v>
      </c>
      <c r="AA13" s="58"/>
    </row>
    <row r="14" s="50" customFormat="1" ht="51" customHeight="1" spans="1:27">
      <c r="A14" s="57">
        <v>11</v>
      </c>
      <c r="B14" s="57" t="s">
        <v>51</v>
      </c>
      <c r="C14" s="57" t="s">
        <v>43</v>
      </c>
      <c r="D14" s="57" t="s">
        <v>44</v>
      </c>
      <c r="E14" s="58">
        <v>4000</v>
      </c>
      <c r="F14" s="59">
        <v>24</v>
      </c>
      <c r="G14" s="58">
        <v>2450</v>
      </c>
      <c r="H14" s="58">
        <f t="shared" si="6"/>
        <v>1550</v>
      </c>
      <c r="I14" s="58">
        <f>E14*VLOOKUP(D14,职务序列取数!B:E,4,0)</f>
        <v>0</v>
      </c>
      <c r="J14" s="58"/>
      <c r="K14" s="58"/>
      <c r="L14" s="58"/>
      <c r="M14" s="58"/>
      <c r="N14" s="68">
        <f t="shared" si="0"/>
        <v>0</v>
      </c>
      <c r="O14" s="58">
        <f t="shared" si="1"/>
        <v>102.083333333333</v>
      </c>
      <c r="P14" s="58">
        <f t="shared" si="2"/>
        <v>64.5833333333333</v>
      </c>
      <c r="Q14" s="70">
        <v>24</v>
      </c>
      <c r="R14" s="60">
        <f t="shared" si="3"/>
        <v>4000</v>
      </c>
      <c r="S14" s="71">
        <v>399.92</v>
      </c>
      <c r="T14" s="71">
        <v>25</v>
      </c>
      <c r="U14" s="71">
        <v>99.98</v>
      </c>
      <c r="V14" s="71">
        <v>20.83</v>
      </c>
      <c r="W14" s="72">
        <v>513.1</v>
      </c>
      <c r="X14" s="58"/>
      <c r="Y14" s="70">
        <f t="shared" si="4"/>
        <v>1058.83</v>
      </c>
      <c r="Z14" s="69">
        <f t="shared" si="5"/>
        <v>2941.17</v>
      </c>
      <c r="AA14" s="58"/>
    </row>
    <row r="15" s="50" customFormat="1" ht="51" customHeight="1" spans="1:27">
      <c r="A15" s="57">
        <v>12</v>
      </c>
      <c r="B15" s="57" t="s">
        <v>52</v>
      </c>
      <c r="C15" s="57" t="s">
        <v>43</v>
      </c>
      <c r="D15" s="57" t="s">
        <v>44</v>
      </c>
      <c r="E15" s="58">
        <v>3000</v>
      </c>
      <c r="F15" s="59">
        <v>24</v>
      </c>
      <c r="G15" s="58">
        <v>2450</v>
      </c>
      <c r="H15" s="58">
        <f t="shared" si="6"/>
        <v>550</v>
      </c>
      <c r="I15" s="58">
        <f>E15*VLOOKUP(D15,职务序列取数!B:E,4,0)</f>
        <v>0</v>
      </c>
      <c r="J15" s="58"/>
      <c r="K15" s="58"/>
      <c r="L15" s="58"/>
      <c r="M15" s="58"/>
      <c r="N15" s="68">
        <f t="shared" si="0"/>
        <v>0</v>
      </c>
      <c r="O15" s="58">
        <f t="shared" si="1"/>
        <v>102.083333333333</v>
      </c>
      <c r="P15" s="58">
        <f t="shared" si="2"/>
        <v>22.9166666666667</v>
      </c>
      <c r="Q15" s="70">
        <f>VLOOKUP(B15,考勤!B:AI,34,0)</f>
        <v>24</v>
      </c>
      <c r="R15" s="60">
        <f t="shared" si="3"/>
        <v>3000</v>
      </c>
      <c r="S15" s="71">
        <v>399.92</v>
      </c>
      <c r="T15" s="71">
        <v>25</v>
      </c>
      <c r="U15" s="71">
        <v>99.98</v>
      </c>
      <c r="V15" s="71">
        <v>20.83</v>
      </c>
      <c r="W15" s="72"/>
      <c r="X15" s="58"/>
      <c r="Y15" s="70">
        <f t="shared" si="4"/>
        <v>545.73</v>
      </c>
      <c r="Z15" s="69">
        <f t="shared" si="5"/>
        <v>2454.27</v>
      </c>
      <c r="AA15" s="58"/>
    </row>
    <row r="16" s="50" customFormat="1" ht="51" customHeight="1" spans="1:27">
      <c r="A16" s="57">
        <v>13</v>
      </c>
      <c r="B16" s="57" t="s">
        <v>53</v>
      </c>
      <c r="C16" s="57" t="s">
        <v>43</v>
      </c>
      <c r="D16" s="57" t="s">
        <v>44</v>
      </c>
      <c r="E16" s="58">
        <v>3000</v>
      </c>
      <c r="F16" s="59">
        <v>24</v>
      </c>
      <c r="G16" s="58">
        <v>2450</v>
      </c>
      <c r="H16" s="58">
        <f t="shared" si="6"/>
        <v>550</v>
      </c>
      <c r="I16" s="58">
        <f>E16*VLOOKUP(D16,职务序列取数!B:E,4,0)</f>
        <v>0</v>
      </c>
      <c r="J16" s="58"/>
      <c r="K16" s="58"/>
      <c r="L16" s="58"/>
      <c r="M16" s="58">
        <v>-2000</v>
      </c>
      <c r="N16" s="68">
        <f t="shared" si="0"/>
        <v>-2000</v>
      </c>
      <c r="O16" s="58">
        <f t="shared" si="1"/>
        <v>102.083333333333</v>
      </c>
      <c r="P16" s="58">
        <f t="shared" si="2"/>
        <v>22.9166666666667</v>
      </c>
      <c r="Q16" s="70">
        <f>VLOOKUP(B16,考勤!B:AI,34,0)</f>
        <v>24</v>
      </c>
      <c r="R16" s="60">
        <f t="shared" si="3"/>
        <v>1000</v>
      </c>
      <c r="S16" s="71">
        <v>399.92</v>
      </c>
      <c r="T16" s="71">
        <v>25</v>
      </c>
      <c r="U16" s="71">
        <v>99.98</v>
      </c>
      <c r="V16" s="71">
        <v>20.83</v>
      </c>
      <c r="W16" s="72"/>
      <c r="X16" s="58"/>
      <c r="Y16" s="70">
        <f t="shared" si="4"/>
        <v>545.73</v>
      </c>
      <c r="Z16" s="69">
        <f t="shared" si="5"/>
        <v>454.27</v>
      </c>
      <c r="AA16" s="58"/>
    </row>
    <row r="17" s="50" customFormat="1" ht="51" customHeight="1" spans="1:27">
      <c r="A17" s="57">
        <v>14</v>
      </c>
      <c r="B17" s="57" t="s">
        <v>54</v>
      </c>
      <c r="C17" s="57" t="s">
        <v>43</v>
      </c>
      <c r="D17" s="57" t="s">
        <v>44</v>
      </c>
      <c r="E17" s="58">
        <v>4500</v>
      </c>
      <c r="F17" s="59">
        <v>24</v>
      </c>
      <c r="G17" s="58">
        <v>2450</v>
      </c>
      <c r="H17" s="58">
        <f t="shared" si="6"/>
        <v>2050</v>
      </c>
      <c r="I17" s="58">
        <f>E17*VLOOKUP(D17,职务序列取数!B:E,4,0)</f>
        <v>0</v>
      </c>
      <c r="J17" s="58"/>
      <c r="K17" s="58"/>
      <c r="L17" s="58"/>
      <c r="M17" s="58"/>
      <c r="N17" s="68">
        <f t="shared" si="0"/>
        <v>0</v>
      </c>
      <c r="O17" s="58">
        <f t="shared" si="1"/>
        <v>102.083333333333</v>
      </c>
      <c r="P17" s="58">
        <f t="shared" si="2"/>
        <v>85.4166666666667</v>
      </c>
      <c r="Q17" s="70">
        <f>VLOOKUP(B17,考勤!B:AI,34,0)</f>
        <v>24</v>
      </c>
      <c r="R17" s="60">
        <f t="shared" si="3"/>
        <v>4500</v>
      </c>
      <c r="S17" s="71">
        <v>399.92</v>
      </c>
      <c r="T17" s="71">
        <v>25</v>
      </c>
      <c r="U17" s="71">
        <v>99.98</v>
      </c>
      <c r="V17" s="71">
        <v>20.83</v>
      </c>
      <c r="W17" s="72">
        <v>7.03</v>
      </c>
      <c r="X17" s="58"/>
      <c r="Y17" s="70">
        <f t="shared" si="4"/>
        <v>552.76</v>
      </c>
      <c r="Z17" s="69">
        <f t="shared" si="5"/>
        <v>3947.24</v>
      </c>
      <c r="AA17" s="58"/>
    </row>
    <row r="18" s="50" customFormat="1" ht="51" customHeight="1" spans="1:27">
      <c r="A18" s="57">
        <v>15</v>
      </c>
      <c r="B18" s="57" t="s">
        <v>55</v>
      </c>
      <c r="C18" s="57" t="s">
        <v>43</v>
      </c>
      <c r="D18" s="57" t="s">
        <v>44</v>
      </c>
      <c r="E18" s="58">
        <v>3000</v>
      </c>
      <c r="F18" s="59">
        <v>24</v>
      </c>
      <c r="G18" s="58">
        <v>2450</v>
      </c>
      <c r="H18" s="58">
        <f t="shared" si="6"/>
        <v>550</v>
      </c>
      <c r="I18" s="58">
        <f>E18*VLOOKUP(D18,职务序列取数!B:E,4,0)</f>
        <v>0</v>
      </c>
      <c r="J18" s="58"/>
      <c r="K18" s="58"/>
      <c r="L18" s="58"/>
      <c r="M18" s="58"/>
      <c r="N18" s="68">
        <f t="shared" si="0"/>
        <v>0</v>
      </c>
      <c r="O18" s="58">
        <f t="shared" si="1"/>
        <v>102.083333333333</v>
      </c>
      <c r="P18" s="58">
        <f t="shared" si="2"/>
        <v>22.9166666666667</v>
      </c>
      <c r="Q18" s="70">
        <f>VLOOKUP(B18,考勤!B:AI,34,0)</f>
        <v>15</v>
      </c>
      <c r="R18" s="60">
        <f t="shared" si="3"/>
        <v>1875</v>
      </c>
      <c r="S18" s="71"/>
      <c r="T18" s="71"/>
      <c r="U18" s="71"/>
      <c r="V18" s="71"/>
      <c r="W18" s="72">
        <v>85.83</v>
      </c>
      <c r="X18" s="58"/>
      <c r="Y18" s="70">
        <f t="shared" si="4"/>
        <v>85.83</v>
      </c>
      <c r="Z18" s="69">
        <f t="shared" si="5"/>
        <v>1789.17</v>
      </c>
      <c r="AA18" s="58"/>
    </row>
    <row r="19" s="50" customFormat="1" ht="51" customHeight="1" spans="1:27">
      <c r="A19" s="57">
        <v>16</v>
      </c>
      <c r="B19" s="57" t="s">
        <v>56</v>
      </c>
      <c r="C19" s="57" t="s">
        <v>43</v>
      </c>
      <c r="D19" s="57" t="s">
        <v>44</v>
      </c>
      <c r="E19" s="58">
        <v>3000</v>
      </c>
      <c r="F19" s="59">
        <v>24</v>
      </c>
      <c r="G19" s="58">
        <v>2450</v>
      </c>
      <c r="H19" s="58">
        <f t="shared" si="6"/>
        <v>550</v>
      </c>
      <c r="I19" s="58">
        <f>E19*VLOOKUP(D19,职务序列取数!B:E,4,0)</f>
        <v>0</v>
      </c>
      <c r="J19" s="58"/>
      <c r="K19" s="58"/>
      <c r="L19" s="58"/>
      <c r="M19" s="58"/>
      <c r="N19" s="68">
        <f t="shared" si="0"/>
        <v>0</v>
      </c>
      <c r="O19" s="58">
        <f t="shared" si="1"/>
        <v>102.083333333333</v>
      </c>
      <c r="P19" s="58">
        <f t="shared" si="2"/>
        <v>22.9166666666667</v>
      </c>
      <c r="Q19" s="70">
        <v>24</v>
      </c>
      <c r="R19" s="60">
        <f t="shared" si="3"/>
        <v>3000</v>
      </c>
      <c r="S19" s="71">
        <v>399.92</v>
      </c>
      <c r="T19" s="71">
        <v>25</v>
      </c>
      <c r="U19" s="71">
        <v>99.98</v>
      </c>
      <c r="V19" s="71">
        <v>20.83</v>
      </c>
      <c r="W19" s="72"/>
      <c r="X19" s="58"/>
      <c r="Y19" s="70">
        <f t="shared" si="4"/>
        <v>545.73</v>
      </c>
      <c r="Z19" s="69">
        <f t="shared" si="5"/>
        <v>2454.27</v>
      </c>
      <c r="AA19" s="58"/>
    </row>
    <row r="20" s="50" customFormat="1" ht="51" customHeight="1" spans="1:27">
      <c r="A20" s="57">
        <v>17</v>
      </c>
      <c r="B20" s="57" t="s">
        <v>57</v>
      </c>
      <c r="C20" s="57" t="s">
        <v>43</v>
      </c>
      <c r="D20" s="57" t="s">
        <v>44</v>
      </c>
      <c r="E20" s="58">
        <v>4000</v>
      </c>
      <c r="F20" s="59">
        <v>24</v>
      </c>
      <c r="G20" s="58">
        <v>2450</v>
      </c>
      <c r="H20" s="58">
        <f t="shared" si="6"/>
        <v>1550</v>
      </c>
      <c r="I20" s="58">
        <f>E20*VLOOKUP(D20,职务序列取数!B:E,4,0)</f>
        <v>0</v>
      </c>
      <c r="J20" s="58"/>
      <c r="K20" s="58"/>
      <c r="L20" s="58"/>
      <c r="M20" s="58"/>
      <c r="N20" s="68">
        <f t="shared" si="0"/>
        <v>0</v>
      </c>
      <c r="O20" s="58">
        <f t="shared" si="1"/>
        <v>102.083333333333</v>
      </c>
      <c r="P20" s="58">
        <f t="shared" si="2"/>
        <v>64.5833333333333</v>
      </c>
      <c r="Q20" s="70">
        <f>VLOOKUP(B20,考勤!B:AI,34,0)</f>
        <v>24</v>
      </c>
      <c r="R20" s="60">
        <f t="shared" si="3"/>
        <v>4000</v>
      </c>
      <c r="S20" s="71">
        <v>399.92</v>
      </c>
      <c r="T20" s="71">
        <v>25</v>
      </c>
      <c r="U20" s="71">
        <v>99.98</v>
      </c>
      <c r="V20" s="71">
        <v>20.83</v>
      </c>
      <c r="W20" s="72">
        <v>22.8</v>
      </c>
      <c r="X20" s="58"/>
      <c r="Y20" s="70">
        <f t="shared" si="4"/>
        <v>568.53</v>
      </c>
      <c r="Z20" s="69">
        <f t="shared" si="5"/>
        <v>3431.47</v>
      </c>
      <c r="AA20" s="58" t="s">
        <v>58</v>
      </c>
    </row>
    <row r="21" s="50" customFormat="1" ht="51" customHeight="1" spans="1:27">
      <c r="A21" s="57">
        <v>18</v>
      </c>
      <c r="B21" s="57" t="s">
        <v>59</v>
      </c>
      <c r="C21" s="57" t="s">
        <v>43</v>
      </c>
      <c r="D21" s="57" t="s">
        <v>44</v>
      </c>
      <c r="E21" s="58">
        <v>4000</v>
      </c>
      <c r="F21" s="59">
        <v>24</v>
      </c>
      <c r="G21" s="58">
        <v>2450</v>
      </c>
      <c r="H21" s="58">
        <f t="shared" si="6"/>
        <v>1550</v>
      </c>
      <c r="I21" s="58">
        <f>E21*VLOOKUP(D21,职务序列取数!B:E,4,0)</f>
        <v>0</v>
      </c>
      <c r="J21" s="58"/>
      <c r="K21" s="58"/>
      <c r="L21" s="58"/>
      <c r="M21" s="58"/>
      <c r="N21" s="68">
        <f t="shared" si="0"/>
        <v>0</v>
      </c>
      <c r="O21" s="58">
        <f t="shared" si="1"/>
        <v>102.083333333333</v>
      </c>
      <c r="P21" s="58">
        <f t="shared" si="2"/>
        <v>64.5833333333333</v>
      </c>
      <c r="Q21" s="70">
        <f>VLOOKUP(B21,考勤!B:AI,34,0)</f>
        <v>14</v>
      </c>
      <c r="R21" s="60">
        <f t="shared" si="3"/>
        <v>2333.33333333333</v>
      </c>
      <c r="S21" s="71">
        <v>399.92</v>
      </c>
      <c r="T21" s="71">
        <v>25</v>
      </c>
      <c r="U21" s="71">
        <v>99.98</v>
      </c>
      <c r="V21" s="71">
        <v>20.83</v>
      </c>
      <c r="W21" s="72">
        <v>147.05</v>
      </c>
      <c r="X21" s="58"/>
      <c r="Y21" s="70">
        <f t="shared" si="4"/>
        <v>692.78</v>
      </c>
      <c r="Z21" s="69">
        <f t="shared" si="5"/>
        <v>1640.55333333333</v>
      </c>
      <c r="AA21" s="58" t="s">
        <v>58</v>
      </c>
    </row>
    <row r="22" ht="51" customHeight="1" spans="1:27">
      <c r="A22" s="60"/>
      <c r="B22" s="61" t="s">
        <v>60</v>
      </c>
      <c r="C22" s="62"/>
      <c r="D22" s="57"/>
      <c r="E22" s="60">
        <f>SUM(E4:E21)</f>
        <v>71000</v>
      </c>
      <c r="F22" s="63"/>
      <c r="G22" s="60">
        <f>SUM(G4:G21)</f>
        <v>49450</v>
      </c>
      <c r="H22" s="60">
        <f>SUM(H4:H21)</f>
        <v>21550</v>
      </c>
      <c r="I22" s="60">
        <f>SUM(I4:I21)</f>
        <v>0</v>
      </c>
      <c r="J22" s="60">
        <f t="shared" ref="J22:Z22" si="7">SUM(J4:J21)</f>
        <v>0</v>
      </c>
      <c r="K22" s="60">
        <f t="shared" si="7"/>
        <v>163</v>
      </c>
      <c r="L22" s="60">
        <f t="shared" si="7"/>
        <v>0</v>
      </c>
      <c r="M22" s="60">
        <f t="shared" si="7"/>
        <v>4355</v>
      </c>
      <c r="N22" s="60">
        <f t="shared" si="7"/>
        <v>4518</v>
      </c>
      <c r="O22" s="60"/>
      <c r="P22" s="60"/>
      <c r="Q22" s="60"/>
      <c r="R22" s="60">
        <f t="shared" si="7"/>
        <v>71476.3333333333</v>
      </c>
      <c r="S22" s="60">
        <f t="shared" si="7"/>
        <v>6798.64</v>
      </c>
      <c r="T22" s="60">
        <f t="shared" si="7"/>
        <v>425</v>
      </c>
      <c r="U22" s="60">
        <f t="shared" si="7"/>
        <v>1699.66</v>
      </c>
      <c r="V22" s="60">
        <f t="shared" si="7"/>
        <v>354.11</v>
      </c>
      <c r="W22" s="60">
        <f t="shared" si="7"/>
        <v>2221.1</v>
      </c>
      <c r="X22" s="60">
        <f t="shared" si="7"/>
        <v>0</v>
      </c>
      <c r="Y22" s="60">
        <f t="shared" si="7"/>
        <v>11498.51</v>
      </c>
      <c r="Z22" s="60">
        <f t="shared" si="7"/>
        <v>59977.8233333333</v>
      </c>
      <c r="AA22" s="60"/>
    </row>
    <row r="23" ht="72" customHeight="1" spans="1:33">
      <c r="A23" s="64" t="s">
        <v>61</v>
      </c>
      <c r="B23" s="65" t="s">
        <v>62</v>
      </c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</row>
    <row r="25" ht="52" customHeight="1" spans="2:22">
      <c r="B25" s="66" t="s">
        <v>63</v>
      </c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 t="s">
        <v>64</v>
      </c>
      <c r="O25" s="66"/>
      <c r="P25" s="66"/>
      <c r="Q25" s="66"/>
      <c r="R25" s="73"/>
      <c r="S25" s="66"/>
      <c r="T25" s="66"/>
      <c r="U25" s="66"/>
      <c r="V25" s="66" t="s">
        <v>65</v>
      </c>
    </row>
  </sheetData>
  <mergeCells count="10">
    <mergeCell ref="A1:AA1"/>
    <mergeCell ref="B2:I2"/>
    <mergeCell ref="J2:N2"/>
    <mergeCell ref="O2:R2"/>
    <mergeCell ref="S2:Y2"/>
    <mergeCell ref="B22:C22"/>
    <mergeCell ref="B23:AG23"/>
    <mergeCell ref="A2:A3"/>
    <mergeCell ref="Z2:Z3"/>
    <mergeCell ref="AA2:AA3"/>
  </mergeCells>
  <printOptions horizontalCentered="1"/>
  <pageMargins left="0.109722222222222" right="0.109722222222222" top="0.751388888888889" bottom="0.751388888888889" header="0.298611111111111" footer="0.298611111111111"/>
  <pageSetup paperSize="9" scale="33" orientation="landscape" horizontalDpi="600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IQ26"/>
  <sheetViews>
    <sheetView showZeros="0" view="pageBreakPreview" zoomScale="85" zoomScaleNormal="115" workbookViewId="0">
      <pane xSplit="3" ySplit="5" topLeftCell="D16" activePane="bottomRight" state="frozen"/>
      <selection/>
      <selection pane="topRight"/>
      <selection pane="bottomLeft"/>
      <selection pane="bottomRight" activeCell="R23" sqref="R23"/>
    </sheetView>
  </sheetViews>
  <sheetFormatPr defaultColWidth="2.88333333333333" defaultRowHeight="15" customHeight="1"/>
  <cols>
    <col min="1" max="1" width="4.83333333333333" style="7" customWidth="1"/>
    <col min="2" max="2" width="7" style="7" customWidth="1"/>
    <col min="3" max="3" width="15.6666666666667" style="7" customWidth="1"/>
    <col min="4" max="5" width="4.10833333333333" style="9" customWidth="1"/>
    <col min="6" max="10" width="4.10833333333333" style="7" customWidth="1"/>
    <col min="11" max="14" width="4.10833333333333" style="9" customWidth="1"/>
    <col min="15" max="17" width="4.10833333333333" style="7" customWidth="1"/>
    <col min="18" max="19" width="4.10833333333333" style="9" customWidth="1"/>
    <col min="20" max="24" width="4.10833333333333" style="7" customWidth="1"/>
    <col min="25" max="26" width="4.10833333333333" style="9" customWidth="1"/>
    <col min="27" max="31" width="4.10833333333333" style="7" customWidth="1"/>
    <col min="32" max="33" width="4.10833333333333" style="9" customWidth="1"/>
    <col min="34" max="34" width="4.10833333333333" style="7" customWidth="1"/>
    <col min="35" max="35" width="4.25" style="7" customWidth="1"/>
    <col min="36" max="36" width="2.88333333333333" style="7" customWidth="1"/>
    <col min="37" max="39" width="3.21666666666667" style="7"/>
    <col min="40" max="44" width="3" style="7" customWidth="1"/>
    <col min="45" max="47" width="3.125" style="7" customWidth="1"/>
    <col min="48" max="48" width="3.21666666666667" style="7" customWidth="1"/>
    <col min="49" max="51" width="3.125" style="7" customWidth="1"/>
    <col min="52" max="52" width="8.63333333333333" style="7" customWidth="1"/>
    <col min="53" max="255" width="2.88333333333333" style="7"/>
    <col min="256" max="16384" width="2.88333333333333" style="10"/>
  </cols>
  <sheetData>
    <row r="1" ht="34.5" customHeight="1" spans="1:52">
      <c r="A1" s="11" t="str">
        <f>[1]封面!A10</f>
        <v>2025年</v>
      </c>
      <c r="B1" s="12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2">
        <f>[1]工资表!M1</f>
        <v>2</v>
      </c>
      <c r="W1" s="12"/>
      <c r="X1" s="32" t="s">
        <v>66</v>
      </c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</row>
    <row r="2" customHeight="1" spans="1:51">
      <c r="A2" s="13"/>
      <c r="B2" s="14" t="s">
        <v>67</v>
      </c>
      <c r="C2" s="13" t="str">
        <f>[1]工资表!C2</f>
        <v>集团公司机关</v>
      </c>
      <c r="D2" s="13"/>
      <c r="E2" s="13"/>
      <c r="F2" s="13"/>
      <c r="G2" s="13"/>
      <c r="H2" s="13"/>
      <c r="I2" s="13"/>
      <c r="J2" s="30"/>
      <c r="K2" s="31"/>
      <c r="L2" s="31"/>
      <c r="M2" s="31"/>
      <c r="N2" s="31"/>
      <c r="O2" s="30"/>
      <c r="P2" s="30"/>
      <c r="Q2" s="30"/>
      <c r="R2" s="31"/>
      <c r="S2" s="31"/>
      <c r="T2" s="30"/>
      <c r="U2" s="30"/>
      <c r="V2" s="30"/>
      <c r="W2" s="30"/>
      <c r="X2" s="30"/>
      <c r="Y2" s="31"/>
      <c r="Z2" s="31"/>
      <c r="AA2" s="30"/>
      <c r="AB2" s="30"/>
      <c r="AC2" s="30"/>
      <c r="AD2" s="30"/>
      <c r="AE2" s="30"/>
      <c r="AF2" s="31"/>
      <c r="AG2" s="31"/>
      <c r="AH2" s="30"/>
      <c r="AI2" s="30"/>
      <c r="AJ2" s="35"/>
      <c r="AK2" s="36">
        <v>45720</v>
      </c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</row>
    <row r="3" ht="30" customHeight="1" spans="1:52">
      <c r="A3" s="15" t="s">
        <v>29</v>
      </c>
      <c r="B3" s="15" t="s">
        <v>30</v>
      </c>
      <c r="C3" s="15" t="s">
        <v>68</v>
      </c>
      <c r="D3" s="16" t="s">
        <v>69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37"/>
      <c r="AI3" s="15" t="s">
        <v>20</v>
      </c>
      <c r="AJ3" s="15" t="s">
        <v>70</v>
      </c>
      <c r="AK3" s="38" t="s">
        <v>71</v>
      </c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15" t="s">
        <v>72</v>
      </c>
    </row>
    <row r="4" ht="20.1" customHeight="1" spans="1:52">
      <c r="A4" s="18"/>
      <c r="B4" s="18"/>
      <c r="C4" s="18"/>
      <c r="D4" s="19">
        <f>V1</f>
        <v>2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33" t="s">
        <v>73</v>
      </c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40"/>
      <c r="AI4" s="18"/>
      <c r="AJ4" s="18"/>
      <c r="AK4" s="41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18"/>
    </row>
    <row r="5" ht="78" customHeight="1" spans="1:52">
      <c r="A5" s="21"/>
      <c r="B5" s="21"/>
      <c r="C5" s="21"/>
      <c r="D5" s="22">
        <v>1</v>
      </c>
      <c r="E5" s="22">
        <v>2</v>
      </c>
      <c r="F5" s="22">
        <v>3</v>
      </c>
      <c r="G5" s="22">
        <v>4</v>
      </c>
      <c r="H5" s="22">
        <v>5</v>
      </c>
      <c r="I5" s="22">
        <v>6</v>
      </c>
      <c r="J5" s="22">
        <v>7</v>
      </c>
      <c r="K5" s="22">
        <v>8</v>
      </c>
      <c r="L5" s="22">
        <v>9</v>
      </c>
      <c r="M5" s="22">
        <v>10</v>
      </c>
      <c r="N5" s="22">
        <v>11</v>
      </c>
      <c r="O5" s="22">
        <v>12</v>
      </c>
      <c r="P5" s="22">
        <v>13</v>
      </c>
      <c r="Q5" s="22">
        <v>14</v>
      </c>
      <c r="R5" s="22">
        <v>15</v>
      </c>
      <c r="S5" s="22">
        <v>16</v>
      </c>
      <c r="T5" s="22">
        <v>17</v>
      </c>
      <c r="U5" s="22">
        <v>18</v>
      </c>
      <c r="V5" s="22">
        <v>19</v>
      </c>
      <c r="W5" s="22">
        <v>20</v>
      </c>
      <c r="X5" s="22">
        <v>21</v>
      </c>
      <c r="Y5" s="22">
        <v>22</v>
      </c>
      <c r="Z5" s="22">
        <v>23</v>
      </c>
      <c r="AA5" s="22">
        <v>24</v>
      </c>
      <c r="AB5" s="22">
        <v>25</v>
      </c>
      <c r="AC5" s="22">
        <v>26</v>
      </c>
      <c r="AD5" s="22">
        <v>27</v>
      </c>
      <c r="AE5" s="22">
        <v>28</v>
      </c>
      <c r="AF5" s="22">
        <v>29</v>
      </c>
      <c r="AG5" s="22">
        <v>30</v>
      </c>
      <c r="AH5" s="22">
        <v>31</v>
      </c>
      <c r="AI5" s="21"/>
      <c r="AJ5" s="21"/>
      <c r="AK5" s="76" t="s">
        <v>74</v>
      </c>
      <c r="AL5" s="43" t="s">
        <v>75</v>
      </c>
      <c r="AM5" s="43" t="s">
        <v>76</v>
      </c>
      <c r="AN5" s="43" t="s">
        <v>77</v>
      </c>
      <c r="AO5" s="43" t="s">
        <v>78</v>
      </c>
      <c r="AP5" s="43" t="s">
        <v>79</v>
      </c>
      <c r="AQ5" s="43" t="s">
        <v>80</v>
      </c>
      <c r="AR5" s="43" t="s">
        <v>81</v>
      </c>
      <c r="AS5" s="47" t="s">
        <v>82</v>
      </c>
      <c r="AT5" s="47" t="s">
        <v>83</v>
      </c>
      <c r="AU5" s="47" t="s">
        <v>84</v>
      </c>
      <c r="AV5" s="47" t="s">
        <v>85</v>
      </c>
      <c r="AW5" s="47" t="s">
        <v>86</v>
      </c>
      <c r="AX5" s="47" t="s">
        <v>87</v>
      </c>
      <c r="AY5" s="47" t="s">
        <v>88</v>
      </c>
      <c r="AZ5" s="21"/>
    </row>
    <row r="6" s="7" customFormat="1" ht="32" customHeight="1" spans="1:52">
      <c r="A6" s="23">
        <v>1</v>
      </c>
      <c r="B6" s="24" t="str">
        <f>[2]工资表!B5</f>
        <v>王玉慧</v>
      </c>
      <c r="C6" s="25" t="str">
        <f>[2]工资表!C5</f>
        <v>案场销售经理</v>
      </c>
      <c r="D6" s="26" t="s">
        <v>76</v>
      </c>
      <c r="E6" s="26" t="s">
        <v>76</v>
      </c>
      <c r="F6" s="26" t="s">
        <v>76</v>
      </c>
      <c r="G6" s="26" t="s">
        <v>76</v>
      </c>
      <c r="H6" s="26" t="s">
        <v>89</v>
      </c>
      <c r="I6" s="26" t="s">
        <v>89</v>
      </c>
      <c r="J6" s="26" t="s">
        <v>89</v>
      </c>
      <c r="K6" s="26" t="s">
        <v>89</v>
      </c>
      <c r="L6" s="26" t="s">
        <v>89</v>
      </c>
      <c r="M6" s="26" t="s">
        <v>89</v>
      </c>
      <c r="N6" s="26" t="s">
        <v>89</v>
      </c>
      <c r="O6" s="26" t="s">
        <v>89</v>
      </c>
      <c r="P6" s="26" t="s">
        <v>89</v>
      </c>
      <c r="Q6" s="26" t="s">
        <v>89</v>
      </c>
      <c r="R6" s="26" t="s">
        <v>89</v>
      </c>
      <c r="S6" s="26" t="s">
        <v>89</v>
      </c>
      <c r="T6" s="26" t="s">
        <v>89</v>
      </c>
      <c r="U6" s="26" t="s">
        <v>89</v>
      </c>
      <c r="V6" s="26" t="s">
        <v>89</v>
      </c>
      <c r="W6" s="26" t="s">
        <v>89</v>
      </c>
      <c r="X6" s="26" t="s">
        <v>89</v>
      </c>
      <c r="Y6" s="26" t="s">
        <v>89</v>
      </c>
      <c r="Z6" s="26" t="s">
        <v>89</v>
      </c>
      <c r="AA6" s="26" t="s">
        <v>89</v>
      </c>
      <c r="AB6" s="26" t="s">
        <v>89</v>
      </c>
      <c r="AC6" s="26" t="s">
        <v>89</v>
      </c>
      <c r="AD6" s="26" t="s">
        <v>89</v>
      </c>
      <c r="AE6" s="26" t="s">
        <v>89</v>
      </c>
      <c r="AF6" s="26"/>
      <c r="AG6" s="26"/>
      <c r="AH6" s="26"/>
      <c r="AI6" s="23">
        <f t="shared" ref="AI6:AI23" si="0">AK6+AL6+AR6</f>
        <v>24</v>
      </c>
      <c r="AJ6" s="23">
        <f t="shared" ref="AJ6:AJ23" si="1">AM6</f>
        <v>4</v>
      </c>
      <c r="AK6" s="44">
        <f t="shared" ref="AK6:AK23" si="2">COUNTIF($D6:$AH6,"√")</f>
        <v>24</v>
      </c>
      <c r="AL6" s="44">
        <f t="shared" ref="AL6:AL23" si="3">COUNTIF($D6:$AH6,"出差")</f>
        <v>0</v>
      </c>
      <c r="AM6" s="44">
        <f t="shared" ref="AM6:AM23" si="4">COUNTIF($D6:$AH6,"公休")</f>
        <v>4</v>
      </c>
      <c r="AN6" s="44">
        <f t="shared" ref="AN6:AN23" si="5">COUNTIF($D6:$AH6,"病假")</f>
        <v>0</v>
      </c>
      <c r="AO6" s="44">
        <f t="shared" ref="AO6:AO23" si="6">COUNTIF($D6:$AH6,"事假")</f>
        <v>0</v>
      </c>
      <c r="AP6" s="44">
        <f t="shared" ref="AP6:AP23" si="7">COUNTIF($D6:$AH6,"旷工")</f>
        <v>0</v>
      </c>
      <c r="AQ6" s="44">
        <f t="shared" ref="AQ6:AQ23" si="8">COUNTIF($D6:$AH6,"工伤")</f>
        <v>0</v>
      </c>
      <c r="AR6" s="44">
        <f t="shared" ref="AR6:AR28" si="9">COUNTIF($D6:$AH6,"培训")</f>
        <v>0</v>
      </c>
      <c r="AS6" s="44">
        <f t="shared" ref="AS6:AS28" si="10">COUNTIF($D6:$AH6,"冬休")</f>
        <v>0</v>
      </c>
      <c r="AT6" s="44">
        <f t="shared" ref="AT6:AT28" si="11">COUNTIF($D6:$AH6,"休假")</f>
        <v>0</v>
      </c>
      <c r="AU6" s="44">
        <f t="shared" ref="AU6:AU28" si="12">COUNTIF($D6:$AH6,"探亲")</f>
        <v>0</v>
      </c>
      <c r="AV6" s="44">
        <f t="shared" ref="AV6:AV28" si="13">COUNTIF($D6:$AH6,"产假")</f>
        <v>0</v>
      </c>
      <c r="AW6" s="44">
        <f t="shared" ref="AW6:AW28" si="14">COUNTIF($D6:$AH6,"陪护假")</f>
        <v>0</v>
      </c>
      <c r="AX6" s="44">
        <f t="shared" ref="AX6:AX28" si="15">COUNTIF($D6:$AH6,"婚丧假")</f>
        <v>0</v>
      </c>
      <c r="AY6" s="44">
        <f t="shared" ref="AY6:AY28" si="16">COUNTIF($D6:$AH6,"待岗")</f>
        <v>0</v>
      </c>
      <c r="AZ6" s="48"/>
    </row>
    <row r="7" s="7" customFormat="1" ht="32" customHeight="1" spans="1:52">
      <c r="A7" s="23">
        <v>2</v>
      </c>
      <c r="B7" s="24" t="str">
        <f>[2]工资表!B6</f>
        <v>师艳莉</v>
      </c>
      <c r="C7" s="25" t="str">
        <f>[2]工资表!C6</f>
        <v>案场销售经理</v>
      </c>
      <c r="D7" s="26" t="s">
        <v>76</v>
      </c>
      <c r="E7" s="26" t="s">
        <v>76</v>
      </c>
      <c r="F7" s="26" t="s">
        <v>76</v>
      </c>
      <c r="G7" s="26" t="s">
        <v>76</v>
      </c>
      <c r="H7" s="26" t="s">
        <v>89</v>
      </c>
      <c r="I7" s="26" t="s">
        <v>89</v>
      </c>
      <c r="J7" s="26" t="s">
        <v>89</v>
      </c>
      <c r="K7" s="26" t="s">
        <v>89</v>
      </c>
      <c r="L7" s="26" t="s">
        <v>76</v>
      </c>
      <c r="M7" s="26" t="s">
        <v>89</v>
      </c>
      <c r="N7" s="26" t="s">
        <v>89</v>
      </c>
      <c r="O7" s="26" t="s">
        <v>89</v>
      </c>
      <c r="P7" s="26" t="s">
        <v>89</v>
      </c>
      <c r="Q7" s="26" t="s">
        <v>89</v>
      </c>
      <c r="R7" s="26" t="s">
        <v>76</v>
      </c>
      <c r="S7" s="26" t="s">
        <v>76</v>
      </c>
      <c r="T7" s="26" t="s">
        <v>89</v>
      </c>
      <c r="U7" s="26" t="s">
        <v>89</v>
      </c>
      <c r="V7" s="26" t="s">
        <v>89</v>
      </c>
      <c r="W7" s="26" t="s">
        <v>89</v>
      </c>
      <c r="X7" s="26" t="s">
        <v>89</v>
      </c>
      <c r="Y7" s="26" t="s">
        <v>76</v>
      </c>
      <c r="Z7" s="26" t="s">
        <v>76</v>
      </c>
      <c r="AA7" s="26" t="s">
        <v>89</v>
      </c>
      <c r="AB7" s="26" t="s">
        <v>89</v>
      </c>
      <c r="AC7" s="26" t="s">
        <v>89</v>
      </c>
      <c r="AD7" s="26" t="s">
        <v>89</v>
      </c>
      <c r="AE7" s="26" t="s">
        <v>89</v>
      </c>
      <c r="AF7" s="26"/>
      <c r="AG7" s="26"/>
      <c r="AH7" s="26"/>
      <c r="AI7" s="23">
        <f t="shared" si="0"/>
        <v>19</v>
      </c>
      <c r="AJ7" s="23">
        <f t="shared" si="1"/>
        <v>9</v>
      </c>
      <c r="AK7" s="44">
        <f t="shared" si="2"/>
        <v>19</v>
      </c>
      <c r="AL7" s="44">
        <f t="shared" si="3"/>
        <v>0</v>
      </c>
      <c r="AM7" s="44">
        <f t="shared" si="4"/>
        <v>9</v>
      </c>
      <c r="AN7" s="44">
        <f t="shared" si="5"/>
        <v>0</v>
      </c>
      <c r="AO7" s="44">
        <f t="shared" si="6"/>
        <v>0</v>
      </c>
      <c r="AP7" s="44">
        <f t="shared" si="7"/>
        <v>0</v>
      </c>
      <c r="AQ7" s="44">
        <f t="shared" si="8"/>
        <v>0</v>
      </c>
      <c r="AR7" s="44">
        <f t="shared" si="9"/>
        <v>0</v>
      </c>
      <c r="AS7" s="44">
        <f t="shared" si="10"/>
        <v>0</v>
      </c>
      <c r="AT7" s="44">
        <f t="shared" si="11"/>
        <v>0</v>
      </c>
      <c r="AU7" s="44">
        <f t="shared" si="12"/>
        <v>0</v>
      </c>
      <c r="AV7" s="44">
        <f t="shared" si="13"/>
        <v>0</v>
      </c>
      <c r="AW7" s="44">
        <f t="shared" si="14"/>
        <v>0</v>
      </c>
      <c r="AX7" s="44">
        <f t="shared" si="15"/>
        <v>0</v>
      </c>
      <c r="AY7" s="44">
        <f t="shared" si="16"/>
        <v>0</v>
      </c>
      <c r="AZ7" s="48"/>
    </row>
    <row r="8" s="7" customFormat="1" ht="32" customHeight="1" spans="1:52">
      <c r="A8" s="23">
        <v>3</v>
      </c>
      <c r="B8" s="24" t="str">
        <f>[2]工资表!B7</f>
        <v>谢华军</v>
      </c>
      <c r="C8" s="25" t="str">
        <f>[2]工资表!C7</f>
        <v>招商专员</v>
      </c>
      <c r="D8" s="26" t="s">
        <v>76</v>
      </c>
      <c r="E8" s="26" t="s">
        <v>76</v>
      </c>
      <c r="F8" s="26" t="s">
        <v>76</v>
      </c>
      <c r="G8" s="26" t="s">
        <v>76</v>
      </c>
      <c r="H8" s="26" t="s">
        <v>89</v>
      </c>
      <c r="I8" s="26" t="s">
        <v>89</v>
      </c>
      <c r="J8" s="26" t="s">
        <v>89</v>
      </c>
      <c r="K8" s="26" t="s">
        <v>89</v>
      </c>
      <c r="L8" s="26" t="s">
        <v>76</v>
      </c>
      <c r="M8" s="26" t="s">
        <v>89</v>
      </c>
      <c r="N8" s="26" t="s">
        <v>89</v>
      </c>
      <c r="O8" s="26" t="s">
        <v>89</v>
      </c>
      <c r="P8" s="26" t="s">
        <v>89</v>
      </c>
      <c r="Q8" s="26" t="s">
        <v>89</v>
      </c>
      <c r="R8" s="26" t="s">
        <v>76</v>
      </c>
      <c r="S8" s="26" t="s">
        <v>76</v>
      </c>
      <c r="T8" s="26" t="s">
        <v>89</v>
      </c>
      <c r="U8" s="26" t="s">
        <v>89</v>
      </c>
      <c r="V8" s="26" t="s">
        <v>89</v>
      </c>
      <c r="W8" s="26" t="s">
        <v>89</v>
      </c>
      <c r="X8" s="26" t="s">
        <v>89</v>
      </c>
      <c r="Y8" s="26" t="s">
        <v>76</v>
      </c>
      <c r="Z8" s="26" t="s">
        <v>76</v>
      </c>
      <c r="AA8" s="26" t="s">
        <v>89</v>
      </c>
      <c r="AB8" s="26" t="s">
        <v>89</v>
      </c>
      <c r="AC8" s="26" t="s">
        <v>89</v>
      </c>
      <c r="AD8" s="26" t="s">
        <v>89</v>
      </c>
      <c r="AE8" s="26" t="s">
        <v>89</v>
      </c>
      <c r="AF8" s="26"/>
      <c r="AG8" s="26"/>
      <c r="AH8" s="26"/>
      <c r="AI8" s="23">
        <f t="shared" si="0"/>
        <v>19</v>
      </c>
      <c r="AJ8" s="23">
        <f t="shared" si="1"/>
        <v>9</v>
      </c>
      <c r="AK8" s="44">
        <f t="shared" si="2"/>
        <v>19</v>
      </c>
      <c r="AL8" s="44">
        <f t="shared" si="3"/>
        <v>0</v>
      </c>
      <c r="AM8" s="44">
        <f t="shared" si="4"/>
        <v>9</v>
      </c>
      <c r="AN8" s="44">
        <f t="shared" si="5"/>
        <v>0</v>
      </c>
      <c r="AO8" s="44">
        <f t="shared" si="6"/>
        <v>0</v>
      </c>
      <c r="AP8" s="44">
        <f t="shared" si="7"/>
        <v>0</v>
      </c>
      <c r="AQ8" s="44">
        <f t="shared" si="8"/>
        <v>0</v>
      </c>
      <c r="AR8" s="44">
        <f t="shared" si="9"/>
        <v>0</v>
      </c>
      <c r="AS8" s="44">
        <f t="shared" si="10"/>
        <v>0</v>
      </c>
      <c r="AT8" s="44">
        <f t="shared" si="11"/>
        <v>0</v>
      </c>
      <c r="AU8" s="44">
        <f t="shared" si="12"/>
        <v>0</v>
      </c>
      <c r="AV8" s="44">
        <f t="shared" si="13"/>
        <v>0</v>
      </c>
      <c r="AW8" s="44">
        <f t="shared" si="14"/>
        <v>0</v>
      </c>
      <c r="AX8" s="44">
        <f t="shared" si="15"/>
        <v>0</v>
      </c>
      <c r="AY8" s="44">
        <f t="shared" si="16"/>
        <v>0</v>
      </c>
      <c r="AZ8" s="48"/>
    </row>
    <row r="9" s="7" customFormat="1" ht="32" customHeight="1" spans="1:52">
      <c r="A9" s="23">
        <v>4</v>
      </c>
      <c r="B9" s="24" t="str">
        <f>[2]工资表!B8</f>
        <v>张志慧</v>
      </c>
      <c r="C9" s="25" t="str">
        <f>[2]工资表!C8</f>
        <v>置业顾问</v>
      </c>
      <c r="D9" s="26" t="s">
        <v>76</v>
      </c>
      <c r="E9" s="26" t="s">
        <v>76</v>
      </c>
      <c r="F9" s="26" t="s">
        <v>76</v>
      </c>
      <c r="G9" s="26" t="s">
        <v>76</v>
      </c>
      <c r="H9" s="26" t="s">
        <v>89</v>
      </c>
      <c r="I9" s="26" t="s">
        <v>89</v>
      </c>
      <c r="J9" s="26" t="s">
        <v>89</v>
      </c>
      <c r="K9" s="26" t="s">
        <v>89</v>
      </c>
      <c r="L9" s="26" t="s">
        <v>89</v>
      </c>
      <c r="M9" s="26" t="s">
        <v>89</v>
      </c>
      <c r="N9" s="26" t="s">
        <v>89</v>
      </c>
      <c r="O9" s="26" t="s">
        <v>89</v>
      </c>
      <c r="P9" s="26" t="s">
        <v>89</v>
      </c>
      <c r="Q9" s="26" t="s">
        <v>89</v>
      </c>
      <c r="R9" s="26" t="s">
        <v>89</v>
      </c>
      <c r="S9" s="26" t="s">
        <v>89</v>
      </c>
      <c r="T9" s="26" t="s">
        <v>89</v>
      </c>
      <c r="U9" s="26" t="s">
        <v>89</v>
      </c>
      <c r="V9" s="26" t="s">
        <v>89</v>
      </c>
      <c r="W9" s="26" t="s">
        <v>89</v>
      </c>
      <c r="X9" s="26" t="s">
        <v>89</v>
      </c>
      <c r="Y9" s="26" t="s">
        <v>89</v>
      </c>
      <c r="Z9" s="26" t="s">
        <v>89</v>
      </c>
      <c r="AA9" s="26" t="s">
        <v>89</v>
      </c>
      <c r="AB9" s="26" t="s">
        <v>89</v>
      </c>
      <c r="AC9" s="26" t="s">
        <v>89</v>
      </c>
      <c r="AD9" s="26" t="s">
        <v>89</v>
      </c>
      <c r="AE9" s="26" t="s">
        <v>89</v>
      </c>
      <c r="AF9" s="26"/>
      <c r="AG9" s="26"/>
      <c r="AH9" s="26"/>
      <c r="AI9" s="23">
        <f t="shared" si="0"/>
        <v>24</v>
      </c>
      <c r="AJ9" s="23">
        <f t="shared" si="1"/>
        <v>4</v>
      </c>
      <c r="AK9" s="44">
        <f t="shared" si="2"/>
        <v>24</v>
      </c>
      <c r="AL9" s="44">
        <f t="shared" si="3"/>
        <v>0</v>
      </c>
      <c r="AM9" s="44">
        <f t="shared" si="4"/>
        <v>4</v>
      </c>
      <c r="AN9" s="44">
        <f t="shared" si="5"/>
        <v>0</v>
      </c>
      <c r="AO9" s="44">
        <f t="shared" si="6"/>
        <v>0</v>
      </c>
      <c r="AP9" s="44">
        <f t="shared" si="7"/>
        <v>0</v>
      </c>
      <c r="AQ9" s="44">
        <f t="shared" si="8"/>
        <v>0</v>
      </c>
      <c r="AR9" s="44">
        <f t="shared" si="9"/>
        <v>0</v>
      </c>
      <c r="AS9" s="44">
        <f t="shared" si="10"/>
        <v>0</v>
      </c>
      <c r="AT9" s="44">
        <f t="shared" si="11"/>
        <v>0</v>
      </c>
      <c r="AU9" s="44">
        <f t="shared" si="12"/>
        <v>0</v>
      </c>
      <c r="AV9" s="44">
        <f t="shared" si="13"/>
        <v>0</v>
      </c>
      <c r="AW9" s="44">
        <f t="shared" si="14"/>
        <v>0</v>
      </c>
      <c r="AX9" s="44">
        <f t="shared" si="15"/>
        <v>0</v>
      </c>
      <c r="AY9" s="44">
        <f t="shared" si="16"/>
        <v>0</v>
      </c>
      <c r="AZ9" s="48"/>
    </row>
    <row r="10" s="7" customFormat="1" ht="32" customHeight="1" spans="1:52">
      <c r="A10" s="23">
        <v>5</v>
      </c>
      <c r="B10" s="24" t="str">
        <f>[2]工资表!B9</f>
        <v>张玉琴</v>
      </c>
      <c r="C10" s="25" t="str">
        <f>[2]工资表!C9</f>
        <v>置业顾问</v>
      </c>
      <c r="D10" s="26" t="s">
        <v>76</v>
      </c>
      <c r="E10" s="26" t="s">
        <v>89</v>
      </c>
      <c r="F10" s="26" t="s">
        <v>89</v>
      </c>
      <c r="G10" s="26" t="s">
        <v>89</v>
      </c>
      <c r="H10" s="26" t="s">
        <v>89</v>
      </c>
      <c r="I10" s="26" t="s">
        <v>89</v>
      </c>
      <c r="J10" s="26" t="s">
        <v>89</v>
      </c>
      <c r="K10" s="26" t="s">
        <v>89</v>
      </c>
      <c r="L10" s="26" t="s">
        <v>76</v>
      </c>
      <c r="M10" s="26" t="s">
        <v>89</v>
      </c>
      <c r="N10" s="26" t="s">
        <v>89</v>
      </c>
      <c r="O10" s="26" t="s">
        <v>89</v>
      </c>
      <c r="P10" s="26" t="s">
        <v>89</v>
      </c>
      <c r="Q10" s="26" t="s">
        <v>89</v>
      </c>
      <c r="R10" s="26" t="s">
        <v>89</v>
      </c>
      <c r="S10" s="26" t="s">
        <v>89</v>
      </c>
      <c r="T10" s="26" t="s">
        <v>89</v>
      </c>
      <c r="U10" s="26" t="s">
        <v>76</v>
      </c>
      <c r="V10" s="26" t="s">
        <v>89</v>
      </c>
      <c r="W10" s="26" t="s">
        <v>89</v>
      </c>
      <c r="X10" s="26" t="s">
        <v>89</v>
      </c>
      <c r="Y10" s="26" t="s">
        <v>89</v>
      </c>
      <c r="Z10" s="26" t="s">
        <v>89</v>
      </c>
      <c r="AA10" s="26" t="s">
        <v>76</v>
      </c>
      <c r="AB10" s="26" t="s">
        <v>89</v>
      </c>
      <c r="AC10" s="26" t="s">
        <v>89</v>
      </c>
      <c r="AD10" s="26" t="s">
        <v>89</v>
      </c>
      <c r="AE10" s="26" t="s">
        <v>89</v>
      </c>
      <c r="AF10" s="26"/>
      <c r="AG10" s="26"/>
      <c r="AH10" s="26"/>
      <c r="AI10" s="23">
        <f t="shared" si="0"/>
        <v>24</v>
      </c>
      <c r="AJ10" s="23">
        <f t="shared" si="1"/>
        <v>4</v>
      </c>
      <c r="AK10" s="44">
        <f t="shared" si="2"/>
        <v>24</v>
      </c>
      <c r="AL10" s="44">
        <f t="shared" si="3"/>
        <v>0</v>
      </c>
      <c r="AM10" s="44">
        <f t="shared" si="4"/>
        <v>4</v>
      </c>
      <c r="AN10" s="44">
        <f t="shared" si="5"/>
        <v>0</v>
      </c>
      <c r="AO10" s="44">
        <f t="shared" si="6"/>
        <v>0</v>
      </c>
      <c r="AP10" s="44">
        <f t="shared" si="7"/>
        <v>0</v>
      </c>
      <c r="AQ10" s="44">
        <f t="shared" si="8"/>
        <v>0</v>
      </c>
      <c r="AR10" s="44">
        <f t="shared" si="9"/>
        <v>0</v>
      </c>
      <c r="AS10" s="44">
        <f t="shared" si="10"/>
        <v>0</v>
      </c>
      <c r="AT10" s="44">
        <f t="shared" si="11"/>
        <v>0</v>
      </c>
      <c r="AU10" s="44">
        <f t="shared" si="12"/>
        <v>0</v>
      </c>
      <c r="AV10" s="44">
        <f t="shared" si="13"/>
        <v>0</v>
      </c>
      <c r="AW10" s="44">
        <f t="shared" si="14"/>
        <v>0</v>
      </c>
      <c r="AX10" s="44">
        <f t="shared" si="15"/>
        <v>0</v>
      </c>
      <c r="AY10" s="44">
        <f t="shared" si="16"/>
        <v>0</v>
      </c>
      <c r="AZ10" s="48"/>
    </row>
    <row r="11" s="7" customFormat="1" ht="32" customHeight="1" spans="1:52">
      <c r="A11" s="23">
        <v>6</v>
      </c>
      <c r="B11" s="24" t="str">
        <f>[2]工资表!B10</f>
        <v>王荣</v>
      </c>
      <c r="C11" s="25" t="str">
        <f>[2]工资表!C10</f>
        <v>置业顾问</v>
      </c>
      <c r="D11" s="26" t="s">
        <v>89</v>
      </c>
      <c r="E11" s="26" t="s">
        <v>89</v>
      </c>
      <c r="F11" s="26" t="s">
        <v>89</v>
      </c>
      <c r="G11" s="26" t="s">
        <v>89</v>
      </c>
      <c r="H11" s="26" t="s">
        <v>89</v>
      </c>
      <c r="I11" s="26" t="s">
        <v>89</v>
      </c>
      <c r="J11" s="26" t="s">
        <v>89</v>
      </c>
      <c r="K11" s="26" t="s">
        <v>89</v>
      </c>
      <c r="L11" s="26" t="s">
        <v>89</v>
      </c>
      <c r="M11" s="26" t="s">
        <v>89</v>
      </c>
      <c r="N11" s="26" t="s">
        <v>89</v>
      </c>
      <c r="O11" s="26" t="s">
        <v>89</v>
      </c>
      <c r="P11" s="26" t="s">
        <v>89</v>
      </c>
      <c r="Q11" s="26" t="s">
        <v>89</v>
      </c>
      <c r="R11" s="26" t="s">
        <v>89</v>
      </c>
      <c r="S11" s="26" t="s">
        <v>89</v>
      </c>
      <c r="T11" s="26" t="s">
        <v>76</v>
      </c>
      <c r="U11" s="26" t="s">
        <v>76</v>
      </c>
      <c r="V11" s="26" t="s">
        <v>76</v>
      </c>
      <c r="W11" s="26" t="s">
        <v>76</v>
      </c>
      <c r="X11" s="26" t="s">
        <v>89</v>
      </c>
      <c r="Y11" s="26" t="s">
        <v>89</v>
      </c>
      <c r="Z11" s="26" t="s">
        <v>89</v>
      </c>
      <c r="AA11" s="26" t="s">
        <v>89</v>
      </c>
      <c r="AB11" s="26" t="s">
        <v>89</v>
      </c>
      <c r="AC11" s="26" t="s">
        <v>89</v>
      </c>
      <c r="AD11" s="26" t="s">
        <v>89</v>
      </c>
      <c r="AE11" s="26" t="s">
        <v>89</v>
      </c>
      <c r="AF11" s="26"/>
      <c r="AG11" s="26"/>
      <c r="AH11" s="26"/>
      <c r="AI11" s="23">
        <f t="shared" si="0"/>
        <v>24</v>
      </c>
      <c r="AJ11" s="23">
        <f t="shared" si="1"/>
        <v>4</v>
      </c>
      <c r="AK11" s="44">
        <f t="shared" si="2"/>
        <v>24</v>
      </c>
      <c r="AL11" s="44">
        <f t="shared" si="3"/>
        <v>0</v>
      </c>
      <c r="AM11" s="44">
        <f t="shared" si="4"/>
        <v>4</v>
      </c>
      <c r="AN11" s="44">
        <f t="shared" si="5"/>
        <v>0</v>
      </c>
      <c r="AO11" s="44">
        <f t="shared" si="6"/>
        <v>0</v>
      </c>
      <c r="AP11" s="44">
        <f t="shared" si="7"/>
        <v>0</v>
      </c>
      <c r="AQ11" s="44">
        <f t="shared" si="8"/>
        <v>0</v>
      </c>
      <c r="AR11" s="44">
        <f t="shared" si="9"/>
        <v>0</v>
      </c>
      <c r="AS11" s="44">
        <f t="shared" si="10"/>
        <v>0</v>
      </c>
      <c r="AT11" s="44">
        <f t="shared" si="11"/>
        <v>0</v>
      </c>
      <c r="AU11" s="44">
        <f t="shared" si="12"/>
        <v>0</v>
      </c>
      <c r="AV11" s="44">
        <f t="shared" si="13"/>
        <v>0</v>
      </c>
      <c r="AW11" s="44">
        <f t="shared" si="14"/>
        <v>0</v>
      </c>
      <c r="AX11" s="44">
        <f t="shared" si="15"/>
        <v>0</v>
      </c>
      <c r="AY11" s="44">
        <f t="shared" si="16"/>
        <v>0</v>
      </c>
      <c r="AZ11" s="48"/>
    </row>
    <row r="12" s="7" customFormat="1" ht="32" customHeight="1" spans="1:52">
      <c r="A12" s="23">
        <v>7</v>
      </c>
      <c r="B12" s="24" t="str">
        <f>[2]工资表!B11</f>
        <v>肖陶丽</v>
      </c>
      <c r="C12" s="25" t="str">
        <f>[2]工资表!C11</f>
        <v>置业顾问</v>
      </c>
      <c r="D12" s="26" t="s">
        <v>76</v>
      </c>
      <c r="E12" s="26" t="s">
        <v>76</v>
      </c>
      <c r="F12" s="26" t="s">
        <v>76</v>
      </c>
      <c r="G12" s="26" t="s">
        <v>76</v>
      </c>
      <c r="H12" s="26" t="s">
        <v>78</v>
      </c>
      <c r="I12" s="26" t="s">
        <v>78</v>
      </c>
      <c r="J12" s="26" t="s">
        <v>78</v>
      </c>
      <c r="K12" s="26" t="s">
        <v>78</v>
      </c>
      <c r="L12" s="26" t="s">
        <v>78</v>
      </c>
      <c r="M12" s="26" t="s">
        <v>78</v>
      </c>
      <c r="N12" s="26" t="s">
        <v>89</v>
      </c>
      <c r="O12" s="26" t="s">
        <v>89</v>
      </c>
      <c r="P12" s="26" t="s">
        <v>89</v>
      </c>
      <c r="Q12" s="26" t="s">
        <v>89</v>
      </c>
      <c r="R12" s="26" t="s">
        <v>89</v>
      </c>
      <c r="S12" s="26" t="s">
        <v>89</v>
      </c>
      <c r="T12" s="26" t="s">
        <v>89</v>
      </c>
      <c r="U12" s="26" t="s">
        <v>89</v>
      </c>
      <c r="V12" s="26" t="s">
        <v>89</v>
      </c>
      <c r="W12" s="26" t="s">
        <v>89</v>
      </c>
      <c r="X12" s="26" t="s">
        <v>89</v>
      </c>
      <c r="Y12" s="26" t="s">
        <v>89</v>
      </c>
      <c r="Z12" s="26" t="s">
        <v>89</v>
      </c>
      <c r="AA12" s="26" t="s">
        <v>89</v>
      </c>
      <c r="AB12" s="26" t="s">
        <v>89</v>
      </c>
      <c r="AC12" s="26" t="s">
        <v>89</v>
      </c>
      <c r="AD12" s="26" t="s">
        <v>89</v>
      </c>
      <c r="AE12" s="26" t="s">
        <v>89</v>
      </c>
      <c r="AF12" s="26"/>
      <c r="AG12" s="26"/>
      <c r="AH12" s="26"/>
      <c r="AI12" s="23">
        <f t="shared" si="0"/>
        <v>18</v>
      </c>
      <c r="AJ12" s="23">
        <f t="shared" si="1"/>
        <v>4</v>
      </c>
      <c r="AK12" s="44">
        <f t="shared" si="2"/>
        <v>18</v>
      </c>
      <c r="AL12" s="44">
        <f t="shared" si="3"/>
        <v>0</v>
      </c>
      <c r="AM12" s="44">
        <f t="shared" si="4"/>
        <v>4</v>
      </c>
      <c r="AN12" s="44">
        <f t="shared" si="5"/>
        <v>0</v>
      </c>
      <c r="AO12" s="44">
        <f t="shared" si="6"/>
        <v>6</v>
      </c>
      <c r="AP12" s="44">
        <f t="shared" si="7"/>
        <v>0</v>
      </c>
      <c r="AQ12" s="44">
        <f t="shared" si="8"/>
        <v>0</v>
      </c>
      <c r="AR12" s="44">
        <f t="shared" si="9"/>
        <v>0</v>
      </c>
      <c r="AS12" s="44">
        <f t="shared" si="10"/>
        <v>0</v>
      </c>
      <c r="AT12" s="44">
        <f t="shared" si="11"/>
        <v>0</v>
      </c>
      <c r="AU12" s="44">
        <f t="shared" si="12"/>
        <v>0</v>
      </c>
      <c r="AV12" s="44">
        <f t="shared" si="13"/>
        <v>0</v>
      </c>
      <c r="AW12" s="44">
        <f t="shared" si="14"/>
        <v>0</v>
      </c>
      <c r="AX12" s="44">
        <f t="shared" si="15"/>
        <v>0</v>
      </c>
      <c r="AY12" s="44">
        <f t="shared" si="16"/>
        <v>0</v>
      </c>
      <c r="AZ12" s="48"/>
    </row>
    <row r="13" s="7" customFormat="1" ht="32" customHeight="1" spans="1:52">
      <c r="A13" s="23">
        <v>8</v>
      </c>
      <c r="B13" s="24" t="str">
        <f>[2]工资表!B12</f>
        <v>李秀莲</v>
      </c>
      <c r="C13" s="25" t="str">
        <f>[2]工资表!C12</f>
        <v>置业顾问</v>
      </c>
      <c r="D13" s="26" t="s">
        <v>76</v>
      </c>
      <c r="E13" s="26" t="s">
        <v>76</v>
      </c>
      <c r="F13" s="26" t="s">
        <v>76</v>
      </c>
      <c r="G13" s="26" t="s">
        <v>76</v>
      </c>
      <c r="H13" s="26" t="s">
        <v>78</v>
      </c>
      <c r="I13" s="26" t="s">
        <v>78</v>
      </c>
      <c r="J13" s="26" t="s">
        <v>78</v>
      </c>
      <c r="K13" s="26" t="s">
        <v>78</v>
      </c>
      <c r="L13" s="26" t="s">
        <v>89</v>
      </c>
      <c r="M13" s="26" t="s">
        <v>89</v>
      </c>
      <c r="N13" s="26" t="s">
        <v>89</v>
      </c>
      <c r="O13" s="26" t="s">
        <v>89</v>
      </c>
      <c r="P13" s="26" t="s">
        <v>89</v>
      </c>
      <c r="Q13" s="26" t="s">
        <v>89</v>
      </c>
      <c r="R13" s="26" t="s">
        <v>89</v>
      </c>
      <c r="S13" s="26" t="s">
        <v>89</v>
      </c>
      <c r="T13" s="26" t="s">
        <v>89</v>
      </c>
      <c r="U13" s="26" t="s">
        <v>89</v>
      </c>
      <c r="V13" s="26" t="s">
        <v>89</v>
      </c>
      <c r="W13" s="26" t="s">
        <v>89</v>
      </c>
      <c r="X13" s="26" t="s">
        <v>89</v>
      </c>
      <c r="Y13" s="26" t="s">
        <v>89</v>
      </c>
      <c r="Z13" s="26" t="s">
        <v>89</v>
      </c>
      <c r="AA13" s="26" t="s">
        <v>89</v>
      </c>
      <c r="AB13" s="26" t="s">
        <v>89</v>
      </c>
      <c r="AC13" s="26" t="s">
        <v>89</v>
      </c>
      <c r="AD13" s="26" t="s">
        <v>89</v>
      </c>
      <c r="AE13" s="26" t="s">
        <v>89</v>
      </c>
      <c r="AF13" s="26"/>
      <c r="AG13" s="26"/>
      <c r="AH13" s="26"/>
      <c r="AI13" s="23">
        <f t="shared" si="0"/>
        <v>20</v>
      </c>
      <c r="AJ13" s="23">
        <f t="shared" si="1"/>
        <v>4</v>
      </c>
      <c r="AK13" s="44">
        <f t="shared" si="2"/>
        <v>20</v>
      </c>
      <c r="AL13" s="44">
        <f t="shared" si="3"/>
        <v>0</v>
      </c>
      <c r="AM13" s="44">
        <f t="shared" si="4"/>
        <v>4</v>
      </c>
      <c r="AN13" s="44">
        <f t="shared" si="5"/>
        <v>0</v>
      </c>
      <c r="AO13" s="44">
        <f t="shared" si="6"/>
        <v>4</v>
      </c>
      <c r="AP13" s="44">
        <f t="shared" si="7"/>
        <v>0</v>
      </c>
      <c r="AQ13" s="44">
        <f t="shared" si="8"/>
        <v>0</v>
      </c>
      <c r="AR13" s="44">
        <f t="shared" si="9"/>
        <v>0</v>
      </c>
      <c r="AS13" s="44">
        <f t="shared" si="10"/>
        <v>0</v>
      </c>
      <c r="AT13" s="44">
        <f t="shared" si="11"/>
        <v>0</v>
      </c>
      <c r="AU13" s="44">
        <f t="shared" si="12"/>
        <v>0</v>
      </c>
      <c r="AV13" s="44">
        <f t="shared" si="13"/>
        <v>0</v>
      </c>
      <c r="AW13" s="44">
        <f t="shared" si="14"/>
        <v>0</v>
      </c>
      <c r="AX13" s="44">
        <f t="shared" si="15"/>
        <v>0</v>
      </c>
      <c r="AY13" s="44">
        <f t="shared" si="16"/>
        <v>0</v>
      </c>
      <c r="AZ13" s="48"/>
    </row>
    <row r="14" s="7" customFormat="1" ht="32" customHeight="1" spans="1:52">
      <c r="A14" s="23">
        <v>9</v>
      </c>
      <c r="B14" s="24" t="str">
        <f>[2]工资表!B13</f>
        <v>霍苒</v>
      </c>
      <c r="C14" s="25" t="str">
        <f>[2]工资表!C13</f>
        <v>置业顾问</v>
      </c>
      <c r="D14" s="26" t="s">
        <v>76</v>
      </c>
      <c r="E14" s="26" t="s">
        <v>76</v>
      </c>
      <c r="F14" s="26" t="s">
        <v>76</v>
      </c>
      <c r="G14" s="26" t="s">
        <v>76</v>
      </c>
      <c r="H14" s="26" t="s">
        <v>89</v>
      </c>
      <c r="I14" s="26" t="s">
        <v>89</v>
      </c>
      <c r="J14" s="26" t="s">
        <v>89</v>
      </c>
      <c r="K14" s="26" t="s">
        <v>89</v>
      </c>
      <c r="L14" s="26" t="s">
        <v>89</v>
      </c>
      <c r="M14" s="26" t="s">
        <v>89</v>
      </c>
      <c r="N14" s="26" t="s">
        <v>89</v>
      </c>
      <c r="O14" s="26" t="s">
        <v>89</v>
      </c>
      <c r="P14" s="26" t="s">
        <v>89</v>
      </c>
      <c r="Q14" s="26" t="s">
        <v>89</v>
      </c>
      <c r="R14" s="26" t="s">
        <v>89</v>
      </c>
      <c r="S14" s="26" t="s">
        <v>89</v>
      </c>
      <c r="T14" s="26" t="s">
        <v>89</v>
      </c>
      <c r="U14" s="26" t="s">
        <v>89</v>
      </c>
      <c r="V14" s="26" t="s">
        <v>89</v>
      </c>
      <c r="W14" s="26" t="s">
        <v>89</v>
      </c>
      <c r="X14" s="26" t="s">
        <v>89</v>
      </c>
      <c r="Y14" s="26" t="s">
        <v>89</v>
      </c>
      <c r="Z14" s="26" t="s">
        <v>89</v>
      </c>
      <c r="AA14" s="26" t="s">
        <v>89</v>
      </c>
      <c r="AB14" s="26" t="s">
        <v>89</v>
      </c>
      <c r="AC14" s="26" t="s">
        <v>89</v>
      </c>
      <c r="AD14" s="26" t="s">
        <v>89</v>
      </c>
      <c r="AE14" s="26" t="s">
        <v>89</v>
      </c>
      <c r="AF14" s="26"/>
      <c r="AG14" s="26"/>
      <c r="AH14" s="26"/>
      <c r="AI14" s="23">
        <f t="shared" si="0"/>
        <v>24</v>
      </c>
      <c r="AJ14" s="23">
        <f t="shared" si="1"/>
        <v>4</v>
      </c>
      <c r="AK14" s="44">
        <f t="shared" si="2"/>
        <v>24</v>
      </c>
      <c r="AL14" s="44">
        <f t="shared" si="3"/>
        <v>0</v>
      </c>
      <c r="AM14" s="44">
        <f t="shared" si="4"/>
        <v>4</v>
      </c>
      <c r="AN14" s="44">
        <f t="shared" si="5"/>
        <v>0</v>
      </c>
      <c r="AO14" s="44">
        <f t="shared" si="6"/>
        <v>0</v>
      </c>
      <c r="AP14" s="44">
        <f t="shared" si="7"/>
        <v>0</v>
      </c>
      <c r="AQ14" s="44">
        <f t="shared" si="8"/>
        <v>0</v>
      </c>
      <c r="AR14" s="44">
        <f t="shared" si="9"/>
        <v>0</v>
      </c>
      <c r="AS14" s="44">
        <f t="shared" si="10"/>
        <v>0</v>
      </c>
      <c r="AT14" s="44">
        <f t="shared" si="11"/>
        <v>0</v>
      </c>
      <c r="AU14" s="44">
        <f t="shared" si="12"/>
        <v>0</v>
      </c>
      <c r="AV14" s="44">
        <f t="shared" si="13"/>
        <v>0</v>
      </c>
      <c r="AW14" s="44">
        <f t="shared" si="14"/>
        <v>0</v>
      </c>
      <c r="AX14" s="44">
        <f t="shared" si="15"/>
        <v>0</v>
      </c>
      <c r="AY14" s="44">
        <f t="shared" si="16"/>
        <v>0</v>
      </c>
      <c r="AZ14" s="48"/>
    </row>
    <row r="15" s="7" customFormat="1" ht="32" customHeight="1" spans="1:52">
      <c r="A15" s="23">
        <v>10</v>
      </c>
      <c r="B15" s="24" t="str">
        <f>[2]工资表!B14</f>
        <v>连阵阵</v>
      </c>
      <c r="C15" s="25" t="str">
        <f>[2]工资表!C14</f>
        <v>置业顾问</v>
      </c>
      <c r="D15" s="26" t="s">
        <v>76</v>
      </c>
      <c r="E15" s="26" t="s">
        <v>76</v>
      </c>
      <c r="F15" s="26" t="s">
        <v>76</v>
      </c>
      <c r="G15" s="26" t="s">
        <v>76</v>
      </c>
      <c r="H15" s="26" t="s">
        <v>89</v>
      </c>
      <c r="I15" s="26" t="s">
        <v>89</v>
      </c>
      <c r="J15" s="26" t="s">
        <v>89</v>
      </c>
      <c r="K15" s="26" t="s">
        <v>89</v>
      </c>
      <c r="L15" s="26" t="s">
        <v>89</v>
      </c>
      <c r="M15" s="26" t="s">
        <v>89</v>
      </c>
      <c r="N15" s="26" t="s">
        <v>89</v>
      </c>
      <c r="O15" s="26" t="s">
        <v>89</v>
      </c>
      <c r="P15" s="26" t="s">
        <v>89</v>
      </c>
      <c r="Q15" s="26" t="s">
        <v>89</v>
      </c>
      <c r="R15" s="26" t="s">
        <v>89</v>
      </c>
      <c r="S15" s="26" t="s">
        <v>89</v>
      </c>
      <c r="T15" s="26" t="s">
        <v>89</v>
      </c>
      <c r="U15" s="26" t="s">
        <v>89</v>
      </c>
      <c r="V15" s="26" t="s">
        <v>89</v>
      </c>
      <c r="W15" s="26" t="s">
        <v>89</v>
      </c>
      <c r="X15" s="26" t="s">
        <v>89</v>
      </c>
      <c r="Y15" s="26" t="s">
        <v>89</v>
      </c>
      <c r="Z15" s="26" t="s">
        <v>89</v>
      </c>
      <c r="AA15" s="26" t="s">
        <v>89</v>
      </c>
      <c r="AB15" s="26" t="s">
        <v>89</v>
      </c>
      <c r="AC15" s="26" t="s">
        <v>89</v>
      </c>
      <c r="AD15" s="26" t="s">
        <v>89</v>
      </c>
      <c r="AE15" s="26" t="s">
        <v>89</v>
      </c>
      <c r="AF15" s="26"/>
      <c r="AG15" s="26"/>
      <c r="AH15" s="26"/>
      <c r="AI15" s="23">
        <f t="shared" si="0"/>
        <v>24</v>
      </c>
      <c r="AJ15" s="23">
        <f t="shared" si="1"/>
        <v>4</v>
      </c>
      <c r="AK15" s="44">
        <f t="shared" si="2"/>
        <v>24</v>
      </c>
      <c r="AL15" s="44">
        <f t="shared" si="3"/>
        <v>0</v>
      </c>
      <c r="AM15" s="44">
        <f t="shared" si="4"/>
        <v>4</v>
      </c>
      <c r="AN15" s="44">
        <f t="shared" si="5"/>
        <v>0</v>
      </c>
      <c r="AO15" s="44">
        <f t="shared" si="6"/>
        <v>0</v>
      </c>
      <c r="AP15" s="44">
        <f t="shared" si="7"/>
        <v>0</v>
      </c>
      <c r="AQ15" s="44">
        <f t="shared" si="8"/>
        <v>0</v>
      </c>
      <c r="AR15" s="44">
        <f t="shared" si="9"/>
        <v>0</v>
      </c>
      <c r="AS15" s="44">
        <f t="shared" si="10"/>
        <v>0</v>
      </c>
      <c r="AT15" s="44">
        <f t="shared" si="11"/>
        <v>0</v>
      </c>
      <c r="AU15" s="44">
        <f t="shared" si="12"/>
        <v>0</v>
      </c>
      <c r="AV15" s="44">
        <f t="shared" si="13"/>
        <v>0</v>
      </c>
      <c r="AW15" s="44">
        <f t="shared" si="14"/>
        <v>0</v>
      </c>
      <c r="AX15" s="44">
        <f t="shared" si="15"/>
        <v>0</v>
      </c>
      <c r="AY15" s="44">
        <f t="shared" si="16"/>
        <v>0</v>
      </c>
      <c r="AZ15" s="48"/>
    </row>
    <row r="16" s="7" customFormat="1" ht="32" customHeight="1" spans="1:52">
      <c r="A16" s="23">
        <v>11</v>
      </c>
      <c r="B16" s="24" t="str">
        <f>[2]工资表!B15</f>
        <v>闫金秀</v>
      </c>
      <c r="C16" s="25" t="str">
        <f>[2]工资表!C15</f>
        <v>置业顾问</v>
      </c>
      <c r="D16" s="26" t="s">
        <v>76</v>
      </c>
      <c r="E16" s="26" t="s">
        <v>89</v>
      </c>
      <c r="F16" s="26" t="s">
        <v>89</v>
      </c>
      <c r="G16" s="26" t="s">
        <v>89</v>
      </c>
      <c r="H16" s="26" t="s">
        <v>89</v>
      </c>
      <c r="I16" s="26" t="s">
        <v>89</v>
      </c>
      <c r="J16" s="26" t="s">
        <v>89</v>
      </c>
      <c r="K16" s="26" t="s">
        <v>89</v>
      </c>
      <c r="L16" s="26" t="s">
        <v>89</v>
      </c>
      <c r="M16" s="26" t="s">
        <v>89</v>
      </c>
      <c r="N16" s="26" t="s">
        <v>89</v>
      </c>
      <c r="O16" s="26" t="s">
        <v>89</v>
      </c>
      <c r="P16" s="26" t="s">
        <v>89</v>
      </c>
      <c r="Q16" s="26" t="s">
        <v>89</v>
      </c>
      <c r="R16" s="26" t="s">
        <v>89</v>
      </c>
      <c r="S16" s="26" t="s">
        <v>89</v>
      </c>
      <c r="T16" s="26" t="s">
        <v>89</v>
      </c>
      <c r="U16" s="26" t="s">
        <v>76</v>
      </c>
      <c r="V16" s="26" t="s">
        <v>89</v>
      </c>
      <c r="W16" s="26" t="s">
        <v>89</v>
      </c>
      <c r="X16" s="26" t="s">
        <v>76</v>
      </c>
      <c r="Y16" s="26" t="s">
        <v>89</v>
      </c>
      <c r="Z16" s="26" t="s">
        <v>89</v>
      </c>
      <c r="AA16" s="26" t="s">
        <v>89</v>
      </c>
      <c r="AB16" s="26" t="s">
        <v>76</v>
      </c>
      <c r="AC16" s="26" t="s">
        <v>89</v>
      </c>
      <c r="AD16" s="26" t="s">
        <v>89</v>
      </c>
      <c r="AE16" s="26" t="s">
        <v>89</v>
      </c>
      <c r="AF16" s="26"/>
      <c r="AG16" s="26"/>
      <c r="AH16" s="26"/>
      <c r="AI16" s="23">
        <f t="shared" si="0"/>
        <v>24</v>
      </c>
      <c r="AJ16" s="23">
        <f t="shared" si="1"/>
        <v>4</v>
      </c>
      <c r="AK16" s="44">
        <f t="shared" si="2"/>
        <v>24</v>
      </c>
      <c r="AL16" s="44">
        <f t="shared" si="3"/>
        <v>0</v>
      </c>
      <c r="AM16" s="44">
        <f t="shared" si="4"/>
        <v>4</v>
      </c>
      <c r="AN16" s="44">
        <f t="shared" si="5"/>
        <v>0</v>
      </c>
      <c r="AO16" s="44">
        <f t="shared" si="6"/>
        <v>0</v>
      </c>
      <c r="AP16" s="44">
        <f t="shared" si="7"/>
        <v>0</v>
      </c>
      <c r="AQ16" s="44">
        <f t="shared" si="8"/>
        <v>0</v>
      </c>
      <c r="AR16" s="44">
        <f t="shared" si="9"/>
        <v>0</v>
      </c>
      <c r="AS16" s="44">
        <f t="shared" si="10"/>
        <v>0</v>
      </c>
      <c r="AT16" s="44">
        <f t="shared" si="11"/>
        <v>0</v>
      </c>
      <c r="AU16" s="44">
        <f t="shared" si="12"/>
        <v>0</v>
      </c>
      <c r="AV16" s="44">
        <f t="shared" si="13"/>
        <v>0</v>
      </c>
      <c r="AW16" s="44">
        <f t="shared" si="14"/>
        <v>0</v>
      </c>
      <c r="AX16" s="44">
        <f t="shared" si="15"/>
        <v>0</v>
      </c>
      <c r="AY16" s="44">
        <f t="shared" si="16"/>
        <v>0</v>
      </c>
      <c r="AZ16" s="48"/>
    </row>
    <row r="17" s="7" customFormat="1" ht="32" customHeight="1" spans="1:52">
      <c r="A17" s="23">
        <v>12</v>
      </c>
      <c r="B17" s="24" t="str">
        <f>[2]工资表!B16</f>
        <v>潘亦玹</v>
      </c>
      <c r="C17" s="25" t="str">
        <f>[2]工资表!C16</f>
        <v>置业顾问</v>
      </c>
      <c r="D17" s="26" t="s">
        <v>76</v>
      </c>
      <c r="E17" s="26" t="s">
        <v>89</v>
      </c>
      <c r="F17" s="26" t="s">
        <v>89</v>
      </c>
      <c r="G17" s="26" t="s">
        <v>89</v>
      </c>
      <c r="H17" s="26" t="s">
        <v>89</v>
      </c>
      <c r="I17" s="26" t="s">
        <v>89</v>
      </c>
      <c r="J17" s="26" t="s">
        <v>89</v>
      </c>
      <c r="K17" s="26" t="s">
        <v>89</v>
      </c>
      <c r="L17" s="26" t="s">
        <v>89</v>
      </c>
      <c r="M17" s="26" t="s">
        <v>76</v>
      </c>
      <c r="N17" s="26" t="s">
        <v>89</v>
      </c>
      <c r="O17" s="26" t="s">
        <v>89</v>
      </c>
      <c r="P17" s="26" t="s">
        <v>89</v>
      </c>
      <c r="Q17" s="26" t="s">
        <v>89</v>
      </c>
      <c r="R17" s="26" t="s">
        <v>76</v>
      </c>
      <c r="S17" s="26" t="s">
        <v>89</v>
      </c>
      <c r="T17" s="26" t="s">
        <v>89</v>
      </c>
      <c r="U17" s="26" t="s">
        <v>89</v>
      </c>
      <c r="V17" s="26" t="s">
        <v>89</v>
      </c>
      <c r="W17" s="26" t="s">
        <v>89</v>
      </c>
      <c r="X17" s="26" t="s">
        <v>89</v>
      </c>
      <c r="Y17" s="26" t="s">
        <v>89</v>
      </c>
      <c r="Z17" s="26" t="s">
        <v>89</v>
      </c>
      <c r="AA17" s="26" t="s">
        <v>89</v>
      </c>
      <c r="AB17" s="26" t="s">
        <v>89</v>
      </c>
      <c r="AC17" s="26" t="s">
        <v>76</v>
      </c>
      <c r="AD17" s="26" t="s">
        <v>89</v>
      </c>
      <c r="AE17" s="26" t="s">
        <v>89</v>
      </c>
      <c r="AF17" s="26"/>
      <c r="AG17" s="26"/>
      <c r="AH17" s="26"/>
      <c r="AI17" s="23">
        <f t="shared" si="0"/>
        <v>24</v>
      </c>
      <c r="AJ17" s="23">
        <f t="shared" si="1"/>
        <v>4</v>
      </c>
      <c r="AK17" s="44">
        <f t="shared" si="2"/>
        <v>24</v>
      </c>
      <c r="AL17" s="44">
        <f t="shared" si="3"/>
        <v>0</v>
      </c>
      <c r="AM17" s="44">
        <f t="shared" si="4"/>
        <v>4</v>
      </c>
      <c r="AN17" s="44">
        <f t="shared" si="5"/>
        <v>0</v>
      </c>
      <c r="AO17" s="44">
        <f t="shared" si="6"/>
        <v>0</v>
      </c>
      <c r="AP17" s="44">
        <f t="shared" si="7"/>
        <v>0</v>
      </c>
      <c r="AQ17" s="44">
        <f t="shared" si="8"/>
        <v>0</v>
      </c>
      <c r="AR17" s="44">
        <f t="shared" si="9"/>
        <v>0</v>
      </c>
      <c r="AS17" s="44">
        <f t="shared" si="10"/>
        <v>0</v>
      </c>
      <c r="AT17" s="44">
        <f t="shared" si="11"/>
        <v>0</v>
      </c>
      <c r="AU17" s="44">
        <f t="shared" si="12"/>
        <v>0</v>
      </c>
      <c r="AV17" s="44">
        <f t="shared" si="13"/>
        <v>0</v>
      </c>
      <c r="AW17" s="44">
        <f t="shared" si="14"/>
        <v>0</v>
      </c>
      <c r="AX17" s="44">
        <f t="shared" si="15"/>
        <v>0</v>
      </c>
      <c r="AY17" s="44">
        <f t="shared" si="16"/>
        <v>0</v>
      </c>
      <c r="AZ17" s="48"/>
    </row>
    <row r="18" s="7" customFormat="1" ht="32" customHeight="1" spans="1:52">
      <c r="A18" s="23">
        <v>13</v>
      </c>
      <c r="B18" s="24" t="str">
        <f>[2]工资表!B17</f>
        <v>赵江龙</v>
      </c>
      <c r="C18" s="25" t="str">
        <f>[2]工资表!C17</f>
        <v>置业顾问</v>
      </c>
      <c r="D18" s="26" t="s">
        <v>76</v>
      </c>
      <c r="E18" s="26" t="s">
        <v>76</v>
      </c>
      <c r="F18" s="26" t="s">
        <v>76</v>
      </c>
      <c r="G18" s="26" t="s">
        <v>76</v>
      </c>
      <c r="H18" s="26" t="s">
        <v>89</v>
      </c>
      <c r="I18" s="26" t="s">
        <v>89</v>
      </c>
      <c r="J18" s="26" t="s">
        <v>89</v>
      </c>
      <c r="K18" s="26" t="s">
        <v>89</v>
      </c>
      <c r="L18" s="26" t="s">
        <v>89</v>
      </c>
      <c r="M18" s="26" t="s">
        <v>89</v>
      </c>
      <c r="N18" s="26" t="s">
        <v>89</v>
      </c>
      <c r="O18" s="26" t="s">
        <v>89</v>
      </c>
      <c r="P18" s="26" t="s">
        <v>89</v>
      </c>
      <c r="Q18" s="26" t="s">
        <v>89</v>
      </c>
      <c r="R18" s="26" t="s">
        <v>89</v>
      </c>
      <c r="S18" s="26" t="s">
        <v>89</v>
      </c>
      <c r="T18" s="26" t="s">
        <v>89</v>
      </c>
      <c r="U18" s="26" t="s">
        <v>89</v>
      </c>
      <c r="V18" s="26" t="s">
        <v>89</v>
      </c>
      <c r="W18" s="26" t="s">
        <v>89</v>
      </c>
      <c r="X18" s="26" t="s">
        <v>89</v>
      </c>
      <c r="Y18" s="26" t="s">
        <v>89</v>
      </c>
      <c r="Z18" s="26" t="s">
        <v>89</v>
      </c>
      <c r="AA18" s="26" t="s">
        <v>89</v>
      </c>
      <c r="AB18" s="26" t="s">
        <v>89</v>
      </c>
      <c r="AC18" s="26" t="s">
        <v>89</v>
      </c>
      <c r="AD18" s="26" t="s">
        <v>89</v>
      </c>
      <c r="AE18" s="26" t="s">
        <v>89</v>
      </c>
      <c r="AF18" s="26"/>
      <c r="AG18" s="26"/>
      <c r="AH18" s="26"/>
      <c r="AI18" s="23">
        <f t="shared" si="0"/>
        <v>24</v>
      </c>
      <c r="AJ18" s="23">
        <f t="shared" si="1"/>
        <v>4</v>
      </c>
      <c r="AK18" s="44">
        <f t="shared" si="2"/>
        <v>24</v>
      </c>
      <c r="AL18" s="44">
        <f t="shared" si="3"/>
        <v>0</v>
      </c>
      <c r="AM18" s="44">
        <f t="shared" si="4"/>
        <v>4</v>
      </c>
      <c r="AN18" s="44">
        <f t="shared" si="5"/>
        <v>0</v>
      </c>
      <c r="AO18" s="44">
        <f t="shared" si="6"/>
        <v>0</v>
      </c>
      <c r="AP18" s="44">
        <f t="shared" si="7"/>
        <v>0</v>
      </c>
      <c r="AQ18" s="44">
        <f t="shared" si="8"/>
        <v>0</v>
      </c>
      <c r="AR18" s="44">
        <f t="shared" si="9"/>
        <v>0</v>
      </c>
      <c r="AS18" s="44">
        <f t="shared" si="10"/>
        <v>0</v>
      </c>
      <c r="AT18" s="44">
        <f t="shared" si="11"/>
        <v>0</v>
      </c>
      <c r="AU18" s="44">
        <f t="shared" si="12"/>
        <v>0</v>
      </c>
      <c r="AV18" s="44">
        <f t="shared" si="13"/>
        <v>0</v>
      </c>
      <c r="AW18" s="44">
        <f t="shared" si="14"/>
        <v>0</v>
      </c>
      <c r="AX18" s="44">
        <f t="shared" si="15"/>
        <v>0</v>
      </c>
      <c r="AY18" s="44">
        <f t="shared" si="16"/>
        <v>0</v>
      </c>
      <c r="AZ18" s="48"/>
    </row>
    <row r="19" s="7" customFormat="1" ht="32" customHeight="1" spans="1:52">
      <c r="A19" s="23">
        <v>14</v>
      </c>
      <c r="B19" s="24" t="str">
        <f>[2]工资表!B18</f>
        <v>张新艳</v>
      </c>
      <c r="C19" s="25" t="str">
        <f>[2]工资表!C18</f>
        <v>置业顾问</v>
      </c>
      <c r="D19" s="26" t="s">
        <v>76</v>
      </c>
      <c r="E19" s="26" t="s">
        <v>76</v>
      </c>
      <c r="F19" s="26" t="s">
        <v>76</v>
      </c>
      <c r="G19" s="26" t="s">
        <v>76</v>
      </c>
      <c r="H19" s="26" t="s">
        <v>89</v>
      </c>
      <c r="I19" s="26" t="s">
        <v>89</v>
      </c>
      <c r="J19" s="26" t="s">
        <v>89</v>
      </c>
      <c r="K19" s="26" t="s">
        <v>89</v>
      </c>
      <c r="L19" s="26" t="s">
        <v>89</v>
      </c>
      <c r="M19" s="26" t="s">
        <v>89</v>
      </c>
      <c r="N19" s="26" t="s">
        <v>89</v>
      </c>
      <c r="O19" s="26" t="s">
        <v>89</v>
      </c>
      <c r="P19" s="26" t="s">
        <v>89</v>
      </c>
      <c r="Q19" s="26" t="s">
        <v>89</v>
      </c>
      <c r="R19" s="26" t="s">
        <v>89</v>
      </c>
      <c r="S19" s="26" t="s">
        <v>89</v>
      </c>
      <c r="T19" s="26" t="s">
        <v>89</v>
      </c>
      <c r="U19" s="26" t="s">
        <v>89</v>
      </c>
      <c r="V19" s="26" t="s">
        <v>89</v>
      </c>
      <c r="W19" s="26" t="s">
        <v>89</v>
      </c>
      <c r="X19" s="26" t="s">
        <v>89</v>
      </c>
      <c r="Y19" s="26" t="s">
        <v>89</v>
      </c>
      <c r="Z19" s="26" t="s">
        <v>89</v>
      </c>
      <c r="AA19" s="26" t="s">
        <v>89</v>
      </c>
      <c r="AB19" s="26" t="s">
        <v>89</v>
      </c>
      <c r="AC19" s="26" t="s">
        <v>89</v>
      </c>
      <c r="AD19" s="26" t="s">
        <v>89</v>
      </c>
      <c r="AE19" s="26" t="s">
        <v>89</v>
      </c>
      <c r="AF19" s="26"/>
      <c r="AG19" s="26"/>
      <c r="AH19" s="26"/>
      <c r="AI19" s="23">
        <f t="shared" si="0"/>
        <v>24</v>
      </c>
      <c r="AJ19" s="23">
        <f t="shared" si="1"/>
        <v>4</v>
      </c>
      <c r="AK19" s="44">
        <f t="shared" si="2"/>
        <v>24</v>
      </c>
      <c r="AL19" s="44">
        <f t="shared" si="3"/>
        <v>0</v>
      </c>
      <c r="AM19" s="44">
        <f t="shared" si="4"/>
        <v>4</v>
      </c>
      <c r="AN19" s="44">
        <f t="shared" si="5"/>
        <v>0</v>
      </c>
      <c r="AO19" s="44">
        <f t="shared" si="6"/>
        <v>0</v>
      </c>
      <c r="AP19" s="44">
        <f t="shared" si="7"/>
        <v>0</v>
      </c>
      <c r="AQ19" s="44">
        <f t="shared" si="8"/>
        <v>0</v>
      </c>
      <c r="AR19" s="44">
        <f t="shared" si="9"/>
        <v>0</v>
      </c>
      <c r="AS19" s="44">
        <f t="shared" si="10"/>
        <v>0</v>
      </c>
      <c r="AT19" s="44">
        <f t="shared" si="11"/>
        <v>0</v>
      </c>
      <c r="AU19" s="44">
        <f t="shared" si="12"/>
        <v>0</v>
      </c>
      <c r="AV19" s="44">
        <f t="shared" si="13"/>
        <v>0</v>
      </c>
      <c r="AW19" s="44">
        <f t="shared" si="14"/>
        <v>0</v>
      </c>
      <c r="AX19" s="44">
        <f t="shared" si="15"/>
        <v>0</v>
      </c>
      <c r="AY19" s="44">
        <f t="shared" si="16"/>
        <v>0</v>
      </c>
      <c r="AZ19" s="48"/>
    </row>
    <row r="20" s="7" customFormat="1" ht="32" customHeight="1" spans="1:52">
      <c r="A20" s="23">
        <v>15</v>
      </c>
      <c r="B20" s="24" t="str">
        <f>[2]工资表!B19</f>
        <v>刘宁宁</v>
      </c>
      <c r="C20" s="25" t="str">
        <f>[2]工资表!C19</f>
        <v>置业顾问</v>
      </c>
      <c r="D20" s="26" t="s">
        <v>76</v>
      </c>
      <c r="E20" s="26" t="s">
        <v>76</v>
      </c>
      <c r="F20" s="26" t="s">
        <v>76</v>
      </c>
      <c r="G20" s="26" t="s">
        <v>76</v>
      </c>
      <c r="H20" s="26" t="s">
        <v>78</v>
      </c>
      <c r="I20" s="26" t="s">
        <v>78</v>
      </c>
      <c r="J20" s="26" t="s">
        <v>78</v>
      </c>
      <c r="K20" s="26" t="s">
        <v>78</v>
      </c>
      <c r="L20" s="26" t="s">
        <v>78</v>
      </c>
      <c r="M20" s="26" t="s">
        <v>78</v>
      </c>
      <c r="N20" s="26" t="s">
        <v>78</v>
      </c>
      <c r="O20" s="26" t="s">
        <v>78</v>
      </c>
      <c r="P20" s="26" t="s">
        <v>78</v>
      </c>
      <c r="Q20" s="26" t="s">
        <v>89</v>
      </c>
      <c r="R20" s="26" t="s">
        <v>89</v>
      </c>
      <c r="S20" s="26" t="s">
        <v>89</v>
      </c>
      <c r="T20" s="26" t="s">
        <v>89</v>
      </c>
      <c r="U20" s="26" t="s">
        <v>89</v>
      </c>
      <c r="V20" s="26" t="s">
        <v>89</v>
      </c>
      <c r="W20" s="26" t="s">
        <v>89</v>
      </c>
      <c r="X20" s="26" t="s">
        <v>89</v>
      </c>
      <c r="Y20" s="26" t="s">
        <v>89</v>
      </c>
      <c r="Z20" s="26" t="s">
        <v>89</v>
      </c>
      <c r="AA20" s="26" t="s">
        <v>89</v>
      </c>
      <c r="AB20" s="26" t="s">
        <v>89</v>
      </c>
      <c r="AC20" s="26" t="s">
        <v>89</v>
      </c>
      <c r="AD20" s="26" t="s">
        <v>89</v>
      </c>
      <c r="AE20" s="26" t="s">
        <v>89</v>
      </c>
      <c r="AF20" s="26"/>
      <c r="AG20" s="26"/>
      <c r="AH20" s="26"/>
      <c r="AI20" s="23">
        <f t="shared" si="0"/>
        <v>15</v>
      </c>
      <c r="AJ20" s="23">
        <f t="shared" si="1"/>
        <v>4</v>
      </c>
      <c r="AK20" s="44">
        <f t="shared" si="2"/>
        <v>15</v>
      </c>
      <c r="AL20" s="44">
        <f t="shared" si="3"/>
        <v>0</v>
      </c>
      <c r="AM20" s="44">
        <f t="shared" si="4"/>
        <v>4</v>
      </c>
      <c r="AN20" s="44">
        <f t="shared" si="5"/>
        <v>0</v>
      </c>
      <c r="AO20" s="44">
        <f t="shared" si="6"/>
        <v>9</v>
      </c>
      <c r="AP20" s="44">
        <f t="shared" si="7"/>
        <v>0</v>
      </c>
      <c r="AQ20" s="44">
        <f t="shared" si="8"/>
        <v>0</v>
      </c>
      <c r="AR20" s="44">
        <f t="shared" si="9"/>
        <v>0</v>
      </c>
      <c r="AS20" s="44">
        <f t="shared" si="10"/>
        <v>0</v>
      </c>
      <c r="AT20" s="44">
        <f t="shared" si="11"/>
        <v>0</v>
      </c>
      <c r="AU20" s="44">
        <f t="shared" si="12"/>
        <v>0</v>
      </c>
      <c r="AV20" s="44">
        <f t="shared" si="13"/>
        <v>0</v>
      </c>
      <c r="AW20" s="44">
        <f t="shared" si="14"/>
        <v>0</v>
      </c>
      <c r="AX20" s="44">
        <f t="shared" si="15"/>
        <v>0</v>
      </c>
      <c r="AY20" s="44">
        <f t="shared" si="16"/>
        <v>0</v>
      </c>
      <c r="AZ20" s="48"/>
    </row>
    <row r="21" s="7" customFormat="1" ht="32" customHeight="1" spans="1:52">
      <c r="A21" s="23">
        <v>16</v>
      </c>
      <c r="B21" s="24" t="str">
        <f>[2]工资表!B20</f>
        <v>米云鹤</v>
      </c>
      <c r="C21" s="25" t="str">
        <f>[2]工资表!C20</f>
        <v>置业顾问</v>
      </c>
      <c r="D21" s="26" t="s">
        <v>76</v>
      </c>
      <c r="E21" s="26" t="s">
        <v>89</v>
      </c>
      <c r="F21" s="26" t="s">
        <v>89</v>
      </c>
      <c r="G21" s="26" t="s">
        <v>89</v>
      </c>
      <c r="H21" s="26" t="s">
        <v>89</v>
      </c>
      <c r="I21" s="26" t="s">
        <v>89</v>
      </c>
      <c r="J21" s="26" t="s">
        <v>89</v>
      </c>
      <c r="K21" s="26" t="s">
        <v>89</v>
      </c>
      <c r="L21" s="26" t="s">
        <v>76</v>
      </c>
      <c r="M21" s="26" t="s">
        <v>89</v>
      </c>
      <c r="N21" s="26" t="s">
        <v>89</v>
      </c>
      <c r="O21" s="26" t="s">
        <v>89</v>
      </c>
      <c r="P21" s="26" t="s">
        <v>89</v>
      </c>
      <c r="Q21" s="26" t="s">
        <v>89</v>
      </c>
      <c r="R21" s="26" t="s">
        <v>89</v>
      </c>
      <c r="S21" s="26" t="s">
        <v>89</v>
      </c>
      <c r="T21" s="26" t="s">
        <v>89</v>
      </c>
      <c r="U21" s="26" t="s">
        <v>76</v>
      </c>
      <c r="V21" s="26" t="s">
        <v>89</v>
      </c>
      <c r="W21" s="26" t="s">
        <v>89</v>
      </c>
      <c r="X21" s="26" t="s">
        <v>89</v>
      </c>
      <c r="Y21" s="26" t="s">
        <v>89</v>
      </c>
      <c r="Z21" s="26" t="s">
        <v>89</v>
      </c>
      <c r="AA21" s="26" t="s">
        <v>89</v>
      </c>
      <c r="AB21" s="26" t="s">
        <v>76</v>
      </c>
      <c r="AC21" s="26" t="s">
        <v>89</v>
      </c>
      <c r="AD21" s="26" t="s">
        <v>89</v>
      </c>
      <c r="AE21" s="26" t="s">
        <v>89</v>
      </c>
      <c r="AF21" s="26"/>
      <c r="AG21" s="26"/>
      <c r="AH21" s="26"/>
      <c r="AI21" s="23">
        <f t="shared" si="0"/>
        <v>24</v>
      </c>
      <c r="AJ21" s="23">
        <f t="shared" si="1"/>
        <v>4</v>
      </c>
      <c r="AK21" s="44">
        <f t="shared" si="2"/>
        <v>24</v>
      </c>
      <c r="AL21" s="44">
        <f t="shared" si="3"/>
        <v>0</v>
      </c>
      <c r="AM21" s="44">
        <f t="shared" si="4"/>
        <v>4</v>
      </c>
      <c r="AN21" s="44">
        <f t="shared" si="5"/>
        <v>0</v>
      </c>
      <c r="AO21" s="44">
        <f t="shared" si="6"/>
        <v>0</v>
      </c>
      <c r="AP21" s="44">
        <f t="shared" si="7"/>
        <v>0</v>
      </c>
      <c r="AQ21" s="44">
        <f t="shared" si="8"/>
        <v>0</v>
      </c>
      <c r="AR21" s="44">
        <f t="shared" si="9"/>
        <v>0</v>
      </c>
      <c r="AS21" s="44">
        <f t="shared" si="10"/>
        <v>0</v>
      </c>
      <c r="AT21" s="44">
        <f t="shared" si="11"/>
        <v>0</v>
      </c>
      <c r="AU21" s="44">
        <f t="shared" si="12"/>
        <v>0</v>
      </c>
      <c r="AV21" s="44">
        <f t="shared" si="13"/>
        <v>0</v>
      </c>
      <c r="AW21" s="44">
        <f t="shared" si="14"/>
        <v>0</v>
      </c>
      <c r="AX21" s="44">
        <f t="shared" si="15"/>
        <v>0</v>
      </c>
      <c r="AY21" s="44">
        <f t="shared" si="16"/>
        <v>0</v>
      </c>
      <c r="AZ21" s="48"/>
    </row>
    <row r="22" s="7" customFormat="1" ht="32" customHeight="1" spans="1:52">
      <c r="A22" s="23">
        <v>17</v>
      </c>
      <c r="B22" s="24" t="str">
        <f>[2]工资表!B21</f>
        <v>刘思汉</v>
      </c>
      <c r="C22" s="25" t="str">
        <f>[2]工资表!C21</f>
        <v>置业顾问</v>
      </c>
      <c r="D22" s="26" t="s">
        <v>76</v>
      </c>
      <c r="E22" s="26" t="s">
        <v>76</v>
      </c>
      <c r="F22" s="26" t="s">
        <v>76</v>
      </c>
      <c r="G22" s="26" t="s">
        <v>76</v>
      </c>
      <c r="H22" s="26" t="s">
        <v>89</v>
      </c>
      <c r="I22" s="26" t="s">
        <v>89</v>
      </c>
      <c r="J22" s="26" t="s">
        <v>89</v>
      </c>
      <c r="K22" s="26" t="s">
        <v>89</v>
      </c>
      <c r="L22" s="26" t="s">
        <v>89</v>
      </c>
      <c r="M22" s="26" t="s">
        <v>89</v>
      </c>
      <c r="N22" s="26" t="s">
        <v>89</v>
      </c>
      <c r="O22" s="26" t="s">
        <v>89</v>
      </c>
      <c r="P22" s="26" t="s">
        <v>89</v>
      </c>
      <c r="Q22" s="26" t="s">
        <v>89</v>
      </c>
      <c r="R22" s="26" t="s">
        <v>89</v>
      </c>
      <c r="S22" s="26" t="s">
        <v>89</v>
      </c>
      <c r="T22" s="26" t="s">
        <v>89</v>
      </c>
      <c r="U22" s="26" t="s">
        <v>89</v>
      </c>
      <c r="V22" s="26" t="s">
        <v>89</v>
      </c>
      <c r="W22" s="26" t="s">
        <v>89</v>
      </c>
      <c r="X22" s="26" t="s">
        <v>89</v>
      </c>
      <c r="Y22" s="26" t="s">
        <v>89</v>
      </c>
      <c r="Z22" s="26" t="s">
        <v>89</v>
      </c>
      <c r="AA22" s="26" t="s">
        <v>89</v>
      </c>
      <c r="AB22" s="26" t="s">
        <v>89</v>
      </c>
      <c r="AC22" s="26" t="s">
        <v>89</v>
      </c>
      <c r="AD22" s="26" t="s">
        <v>89</v>
      </c>
      <c r="AE22" s="26" t="s">
        <v>89</v>
      </c>
      <c r="AF22" s="26"/>
      <c r="AG22" s="26"/>
      <c r="AH22" s="26"/>
      <c r="AI22" s="23">
        <f t="shared" si="0"/>
        <v>24</v>
      </c>
      <c r="AJ22" s="23">
        <f t="shared" si="1"/>
        <v>4</v>
      </c>
      <c r="AK22" s="44">
        <f t="shared" si="2"/>
        <v>24</v>
      </c>
      <c r="AL22" s="44">
        <f t="shared" si="3"/>
        <v>0</v>
      </c>
      <c r="AM22" s="44">
        <f t="shared" si="4"/>
        <v>4</v>
      </c>
      <c r="AN22" s="44">
        <f t="shared" si="5"/>
        <v>0</v>
      </c>
      <c r="AO22" s="44">
        <f t="shared" si="6"/>
        <v>0</v>
      </c>
      <c r="AP22" s="44">
        <f t="shared" si="7"/>
        <v>0</v>
      </c>
      <c r="AQ22" s="44">
        <f t="shared" si="8"/>
        <v>0</v>
      </c>
      <c r="AR22" s="44">
        <f t="shared" si="9"/>
        <v>0</v>
      </c>
      <c r="AS22" s="44">
        <f t="shared" si="10"/>
        <v>0</v>
      </c>
      <c r="AT22" s="44">
        <f t="shared" si="11"/>
        <v>0</v>
      </c>
      <c r="AU22" s="44">
        <f t="shared" si="12"/>
        <v>0</v>
      </c>
      <c r="AV22" s="44">
        <f t="shared" si="13"/>
        <v>0</v>
      </c>
      <c r="AW22" s="44">
        <f t="shared" si="14"/>
        <v>0</v>
      </c>
      <c r="AX22" s="44">
        <f t="shared" si="15"/>
        <v>0</v>
      </c>
      <c r="AY22" s="44">
        <f t="shared" si="16"/>
        <v>0</v>
      </c>
      <c r="AZ22" s="48"/>
    </row>
    <row r="23" s="7" customFormat="1" ht="32" customHeight="1" spans="1:52">
      <c r="A23" s="23">
        <v>18</v>
      </c>
      <c r="B23" s="24" t="str">
        <f>[2]工资表!B22</f>
        <v>李福晴</v>
      </c>
      <c r="C23" s="25" t="str">
        <f>[2]工资表!C22</f>
        <v>置业顾问</v>
      </c>
      <c r="D23" s="26" t="s">
        <v>76</v>
      </c>
      <c r="E23" s="26" t="s">
        <v>76</v>
      </c>
      <c r="F23" s="26" t="s">
        <v>76</v>
      </c>
      <c r="G23" s="26" t="s">
        <v>76</v>
      </c>
      <c r="H23" s="26" t="s">
        <v>78</v>
      </c>
      <c r="I23" s="26" t="s">
        <v>78</v>
      </c>
      <c r="J23" s="26" t="s">
        <v>78</v>
      </c>
      <c r="K23" s="26" t="s">
        <v>78</v>
      </c>
      <c r="L23" s="26" t="s">
        <v>78</v>
      </c>
      <c r="M23" s="26" t="s">
        <v>78</v>
      </c>
      <c r="N23" s="26" t="s">
        <v>78</v>
      </c>
      <c r="O23" s="26" t="s">
        <v>78</v>
      </c>
      <c r="P23" s="26" t="s">
        <v>78</v>
      </c>
      <c r="Q23" s="26" t="s">
        <v>78</v>
      </c>
      <c r="R23" s="26" t="s">
        <v>89</v>
      </c>
      <c r="S23" s="26" t="s">
        <v>89</v>
      </c>
      <c r="T23" s="26" t="s">
        <v>89</v>
      </c>
      <c r="U23" s="26" t="s">
        <v>89</v>
      </c>
      <c r="V23" s="26" t="s">
        <v>89</v>
      </c>
      <c r="W23" s="26" t="s">
        <v>89</v>
      </c>
      <c r="X23" s="26" t="s">
        <v>89</v>
      </c>
      <c r="Y23" s="26" t="s">
        <v>89</v>
      </c>
      <c r="Z23" s="26" t="s">
        <v>89</v>
      </c>
      <c r="AA23" s="26" t="s">
        <v>89</v>
      </c>
      <c r="AB23" s="26" t="s">
        <v>89</v>
      </c>
      <c r="AC23" s="26" t="s">
        <v>89</v>
      </c>
      <c r="AD23" s="26" t="s">
        <v>89</v>
      </c>
      <c r="AE23" s="26" t="s">
        <v>89</v>
      </c>
      <c r="AF23" s="26"/>
      <c r="AG23" s="26"/>
      <c r="AH23" s="26"/>
      <c r="AI23" s="23">
        <f t="shared" si="0"/>
        <v>14</v>
      </c>
      <c r="AJ23" s="23">
        <f t="shared" si="1"/>
        <v>4</v>
      </c>
      <c r="AK23" s="44">
        <f t="shared" si="2"/>
        <v>14</v>
      </c>
      <c r="AL23" s="44">
        <f t="shared" si="3"/>
        <v>0</v>
      </c>
      <c r="AM23" s="44">
        <f t="shared" si="4"/>
        <v>4</v>
      </c>
      <c r="AN23" s="44">
        <f t="shared" si="5"/>
        <v>0</v>
      </c>
      <c r="AO23" s="44">
        <f t="shared" si="6"/>
        <v>10</v>
      </c>
      <c r="AP23" s="44">
        <f t="shared" si="7"/>
        <v>0</v>
      </c>
      <c r="AQ23" s="44">
        <f t="shared" si="8"/>
        <v>0</v>
      </c>
      <c r="AR23" s="44">
        <f t="shared" si="9"/>
        <v>0</v>
      </c>
      <c r="AS23" s="44">
        <f t="shared" si="10"/>
        <v>0</v>
      </c>
      <c r="AT23" s="44">
        <f t="shared" si="11"/>
        <v>0</v>
      </c>
      <c r="AU23" s="44">
        <f t="shared" si="12"/>
        <v>0</v>
      </c>
      <c r="AV23" s="44">
        <f t="shared" si="13"/>
        <v>0</v>
      </c>
      <c r="AW23" s="44">
        <f t="shared" si="14"/>
        <v>0</v>
      </c>
      <c r="AX23" s="44">
        <f t="shared" si="15"/>
        <v>0</v>
      </c>
      <c r="AY23" s="44">
        <f t="shared" si="16"/>
        <v>0</v>
      </c>
      <c r="AZ23" s="48"/>
    </row>
    <row r="24" s="8" customFormat="1" ht="20" customHeight="1" spans="1:251">
      <c r="A24" s="7"/>
      <c r="B24" s="27" t="s">
        <v>90</v>
      </c>
      <c r="C24" s="28" t="s">
        <v>91</v>
      </c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45"/>
      <c r="AJ24" s="46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9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</row>
    <row r="25" ht="24" customHeight="1" spans="4:35">
      <c r="D25" s="7"/>
      <c r="E25" s="7" t="s">
        <v>63</v>
      </c>
      <c r="K25" s="7"/>
      <c r="L25" s="7"/>
      <c r="M25" s="7"/>
      <c r="N25" s="7"/>
      <c r="R25" s="7"/>
      <c r="S25" s="7"/>
      <c r="U25" s="34"/>
      <c r="V25" s="34" t="s">
        <v>64</v>
      </c>
      <c r="Y25" s="7"/>
      <c r="Z25" s="7"/>
      <c r="AF25" s="7"/>
      <c r="AG25" s="7"/>
      <c r="AI25" s="7" t="s">
        <v>65</v>
      </c>
    </row>
    <row r="26" ht="33.75" customHeight="1"/>
  </sheetData>
  <mergeCells count="14">
    <mergeCell ref="A1:U1"/>
    <mergeCell ref="V1:W1"/>
    <mergeCell ref="X1:AZ1"/>
    <mergeCell ref="AK2:AY2"/>
    <mergeCell ref="D3:AH3"/>
    <mergeCell ref="D4:S4"/>
    <mergeCell ref="T4:AH4"/>
    <mergeCell ref="A3:A5"/>
    <mergeCell ref="B3:B5"/>
    <mergeCell ref="C3:C5"/>
    <mergeCell ref="AI3:AI5"/>
    <mergeCell ref="AJ3:AJ5"/>
    <mergeCell ref="AZ3:AZ5"/>
    <mergeCell ref="AK3:AY4"/>
  </mergeCells>
  <printOptions horizontalCentered="1"/>
  <pageMargins left="0.393055555555556" right="0.393055555555556" top="0.279166666666667" bottom="0.279166666666667" header="0.238888888888889" footer="0.15625"/>
  <pageSetup paperSize="9" scale="64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20"/>
  <sheetViews>
    <sheetView workbookViewId="0">
      <selection activeCell="G7" sqref="G7"/>
    </sheetView>
  </sheetViews>
  <sheetFormatPr defaultColWidth="9" defaultRowHeight="30" customHeight="1" outlineLevelCol="6"/>
  <cols>
    <col min="1" max="2" width="9" style="1"/>
    <col min="3" max="3" width="12.875" style="1" customWidth="1"/>
    <col min="4" max="4" width="17.625" style="1" customWidth="1"/>
    <col min="5" max="5" width="18.5" style="1" customWidth="1"/>
    <col min="6" max="6" width="14.375" style="5" customWidth="1"/>
    <col min="7" max="7" width="23.25" style="1" customWidth="1"/>
    <col min="8" max="16384" width="9" style="1"/>
  </cols>
  <sheetData>
    <row r="2" customHeight="1" spans="1:6">
      <c r="A2" s="1" t="s">
        <v>29</v>
      </c>
      <c r="B2" s="1" t="s">
        <v>30</v>
      </c>
      <c r="C2" s="1" t="s">
        <v>20</v>
      </c>
      <c r="D2" s="1" t="s">
        <v>8</v>
      </c>
      <c r="E2" s="1" t="s">
        <v>92</v>
      </c>
      <c r="F2" s="5" t="s">
        <v>93</v>
      </c>
    </row>
    <row r="3" customHeight="1" spans="1:7">
      <c r="A3" s="1">
        <v>1</v>
      </c>
      <c r="B3" s="1" t="s">
        <v>33</v>
      </c>
      <c r="C3" s="1">
        <v>19</v>
      </c>
      <c r="D3" s="6">
        <f>(VLOOKUP(B3,工资表!B4:G21,6,0)+VLOOKUP(B3,工资表!B4:H21,7,0))/工资表!F4*VLOOKUP(B3,考勤!B6:AI23,34,0)</f>
        <v>6000</v>
      </c>
      <c r="E3" s="6">
        <f>VLOOKUP(B3,工资表!B4:R21,17,0)</f>
        <v>6163</v>
      </c>
      <c r="F3" s="6">
        <f>D3-E3</f>
        <v>-163</v>
      </c>
      <c r="G3" s="1" t="s">
        <v>94</v>
      </c>
    </row>
    <row r="4" customHeight="1" spans="1:6">
      <c r="A4" s="1">
        <v>2</v>
      </c>
      <c r="B4" s="1" t="s">
        <v>36</v>
      </c>
      <c r="C4" s="1">
        <v>19</v>
      </c>
      <c r="D4" s="6">
        <f>(VLOOKUP(B4,工资表!B5:G22,6,0)+VLOOKUP(B4,工资表!B5:H22,7,0))/工资表!F5*VLOOKUP(B4,考勤!B7:AI24,34,0)</f>
        <v>7000</v>
      </c>
      <c r="E4" s="6">
        <f>VLOOKUP(B4,工资表!B5:R22,17,0)</f>
        <v>7000</v>
      </c>
      <c r="F4" s="6">
        <f t="shared" ref="F4:F25" si="0">D4-E4</f>
        <v>0</v>
      </c>
    </row>
    <row r="5" customHeight="1" spans="1:7">
      <c r="A5" s="1">
        <v>3</v>
      </c>
      <c r="B5" s="1" t="s">
        <v>38</v>
      </c>
      <c r="C5" s="1">
        <v>19</v>
      </c>
      <c r="D5" s="6">
        <f>(VLOOKUP(B5,工资表!B6:G23,6,0)+VLOOKUP(B5,工资表!B6:H23,7,0))/工资表!F6*VLOOKUP(B5,考勤!B8:AI25,34,0)</f>
        <v>4500</v>
      </c>
      <c r="E5" s="6">
        <f>VLOOKUP(B5,工资表!B6:R23,17,0)</f>
        <v>8855</v>
      </c>
      <c r="F5" s="6">
        <f t="shared" si="0"/>
        <v>-4355</v>
      </c>
      <c r="G5" s="1" t="s">
        <v>95</v>
      </c>
    </row>
    <row r="6" customHeight="1" spans="1:6">
      <c r="A6" s="1">
        <v>4</v>
      </c>
      <c r="B6" s="1" t="s">
        <v>42</v>
      </c>
      <c r="C6" s="1">
        <v>19</v>
      </c>
      <c r="D6" s="6">
        <f>(VLOOKUP(B6,工资表!B7:G24,6,0)+VLOOKUP(B6,工资表!B7:H24,7,0))/工资表!F7*VLOOKUP(B6,考勤!B9:AI26,34,0)</f>
        <v>5000</v>
      </c>
      <c r="E6" s="6">
        <f>VLOOKUP(B6,工资表!B7:R24,17,0)</f>
        <v>5000</v>
      </c>
      <c r="F6" s="6">
        <f>E6-D6</f>
        <v>0</v>
      </c>
    </row>
    <row r="7" customHeight="1" spans="1:6">
      <c r="A7" s="1">
        <v>5</v>
      </c>
      <c r="B7" s="1" t="s">
        <v>45</v>
      </c>
      <c r="C7" s="1">
        <v>19</v>
      </c>
      <c r="D7" s="6">
        <f>(VLOOKUP(B7,工资表!B8:G25,6,0)+VLOOKUP(B7,工资表!B8:H25,7,0))/工资表!F8*VLOOKUP(B7,考勤!B10:AI27,34,0)</f>
        <v>3000</v>
      </c>
      <c r="E7" s="6">
        <f>VLOOKUP(B7,工资表!B8:R25,17,0)</f>
        <v>3000</v>
      </c>
      <c r="F7" s="6">
        <f t="shared" si="0"/>
        <v>0</v>
      </c>
    </row>
    <row r="8" customHeight="1" spans="1:6">
      <c r="A8" s="1">
        <v>6</v>
      </c>
      <c r="B8" s="1" t="s">
        <v>46</v>
      </c>
      <c r="C8" s="1">
        <v>18</v>
      </c>
      <c r="D8" s="6">
        <f>(VLOOKUP(B8,工资表!B9:G26,6,0)+VLOOKUP(B8,工资表!B9:H26,7,0))/工资表!F9*VLOOKUP(B8,考勤!B11:AI28,34,0)</f>
        <v>3000</v>
      </c>
      <c r="E8" s="6">
        <f>VLOOKUP(B8,工资表!B9:R26,17,0)</f>
        <v>3000</v>
      </c>
      <c r="F8" s="6">
        <f t="shared" si="0"/>
        <v>0</v>
      </c>
    </row>
    <row r="9" customHeight="1" spans="1:6">
      <c r="A9" s="1">
        <v>7</v>
      </c>
      <c r="B9" s="1" t="s">
        <v>47</v>
      </c>
      <c r="C9" s="1">
        <v>19</v>
      </c>
      <c r="D9" s="6">
        <f>(VLOOKUP(B9,工资表!B10:G27,6,0)+VLOOKUP(B9,工资表!B10:H27,7,0))/工资表!F10*VLOOKUP(B9,考勤!B12:AI29,34,0)</f>
        <v>2250</v>
      </c>
      <c r="E9" s="6">
        <f>VLOOKUP(B9,工资表!B10:R27,17,0)</f>
        <v>2250</v>
      </c>
      <c r="F9" s="6">
        <f t="shared" si="0"/>
        <v>0</v>
      </c>
    </row>
    <row r="10" customHeight="1" spans="1:6">
      <c r="A10" s="1">
        <v>8</v>
      </c>
      <c r="B10" s="1" t="s">
        <v>48</v>
      </c>
      <c r="C10" s="1">
        <v>19</v>
      </c>
      <c r="D10" s="6">
        <f>(VLOOKUP(B10,工资表!B11:G28,6,0)+VLOOKUP(B10,工资表!B11:H28,7,0))/工资表!F11*VLOOKUP(B10,考勤!B13:AI30,34,0)</f>
        <v>2500</v>
      </c>
      <c r="E10" s="6">
        <f>VLOOKUP(B10,工资表!B11:R28,17,0)</f>
        <v>2500</v>
      </c>
      <c r="F10" s="6">
        <f t="shared" si="0"/>
        <v>0</v>
      </c>
    </row>
    <row r="11" customHeight="1" spans="1:7">
      <c r="A11" s="1">
        <v>9</v>
      </c>
      <c r="B11" s="1" t="s">
        <v>49</v>
      </c>
      <c r="C11" s="1">
        <v>18</v>
      </c>
      <c r="D11" s="6">
        <f>(VLOOKUP(B11,工资表!B12:G29,6,0)+VLOOKUP(B11,工资表!B12:H29,7,0))/工资表!F12*VLOOKUP(B11,考勤!B14:AI31,34,0)</f>
        <v>5000</v>
      </c>
      <c r="E11" s="6">
        <f>VLOOKUP(B11,工资表!B12:R29,17,0)</f>
        <v>7000</v>
      </c>
      <c r="F11" s="6">
        <f t="shared" si="0"/>
        <v>-2000</v>
      </c>
      <c r="G11" s="1" t="s">
        <v>96</v>
      </c>
    </row>
    <row r="12" customHeight="1" spans="1:6">
      <c r="A12" s="1">
        <v>10</v>
      </c>
      <c r="B12" s="1" t="s">
        <v>50</v>
      </c>
      <c r="C12" s="1">
        <v>19</v>
      </c>
      <c r="D12" s="6">
        <f>(VLOOKUP(B12,工资表!B13:G30,6,0)+VLOOKUP(B12,工资表!B13:H30,7,0))/工资表!F13*VLOOKUP(B12,考勤!B15:AI32,34,0)</f>
        <v>3000</v>
      </c>
      <c r="E12" s="6">
        <f>VLOOKUP(B12,工资表!B13:R30,17,0)</f>
        <v>3000</v>
      </c>
      <c r="F12" s="6">
        <f t="shared" si="0"/>
        <v>0</v>
      </c>
    </row>
    <row r="13" customHeight="1" spans="1:6">
      <c r="A13" s="1">
        <v>11</v>
      </c>
      <c r="B13" s="1" t="s">
        <v>51</v>
      </c>
      <c r="C13" s="1">
        <v>19</v>
      </c>
      <c r="D13" s="6">
        <f>(VLOOKUP(B13,工资表!B14:G31,6,0)+VLOOKUP(B13,工资表!B14:H31,7,0))/工资表!F14*VLOOKUP(B13,考勤!B16:AI33,34,0)</f>
        <v>4000</v>
      </c>
      <c r="E13" s="6">
        <f>VLOOKUP(B13,工资表!B14:R31,17,0)</f>
        <v>4000</v>
      </c>
      <c r="F13" s="6">
        <f t="shared" si="0"/>
        <v>0</v>
      </c>
    </row>
    <row r="14" customHeight="1" spans="1:6">
      <c r="A14" s="1">
        <v>12</v>
      </c>
      <c r="B14" s="1" t="s">
        <v>52</v>
      </c>
      <c r="C14" s="1">
        <v>16</v>
      </c>
      <c r="D14" s="6">
        <f>(VLOOKUP(B14,工资表!B15:G32,6,0)+VLOOKUP(B14,工资表!B15:H32,7,0))/工资表!F15*VLOOKUP(B14,考勤!B17:AI34,34,0)</f>
        <v>3000</v>
      </c>
      <c r="E14" s="6">
        <f>VLOOKUP(B14,工资表!B15:R32,17,0)</f>
        <v>3000</v>
      </c>
      <c r="F14" s="6">
        <f t="shared" si="0"/>
        <v>0</v>
      </c>
    </row>
    <row r="15" customHeight="1" spans="1:7">
      <c r="A15" s="1">
        <v>13</v>
      </c>
      <c r="B15" s="1" t="s">
        <v>53</v>
      </c>
      <c r="C15" s="1">
        <v>19</v>
      </c>
      <c r="D15" s="6">
        <f>(VLOOKUP(B15,工资表!B16:G33,6,0)+VLOOKUP(B15,工资表!B16:H33,7,0))/工资表!F16*VLOOKUP(B15,考勤!B18:AI35,34,0)</f>
        <v>3000</v>
      </c>
      <c r="E15" s="6">
        <f>VLOOKUP(B15,工资表!B16:R33,17,0)</f>
        <v>1000</v>
      </c>
      <c r="F15" s="6">
        <f t="shared" si="0"/>
        <v>2000</v>
      </c>
      <c r="G15" s="1" t="s">
        <v>97</v>
      </c>
    </row>
    <row r="16" customHeight="1" spans="1:6">
      <c r="A16" s="1">
        <v>14</v>
      </c>
      <c r="B16" s="1" t="s">
        <v>54</v>
      </c>
      <c r="C16" s="1">
        <v>19</v>
      </c>
      <c r="D16" s="6">
        <f>(VLOOKUP(B16,工资表!B17:G34,6,0)+VLOOKUP(B16,工资表!B17:H34,7,0))/工资表!F17*VLOOKUP(B16,考勤!B19:AI36,34,0)</f>
        <v>4500</v>
      </c>
      <c r="E16" s="6">
        <f>VLOOKUP(B16,工资表!B17:R34,17,0)</f>
        <v>4500</v>
      </c>
      <c r="F16" s="6">
        <f t="shared" si="0"/>
        <v>0</v>
      </c>
    </row>
    <row r="17" customHeight="1" spans="1:6">
      <c r="A17" s="1">
        <v>15</v>
      </c>
      <c r="B17" s="1" t="s">
        <v>55</v>
      </c>
      <c r="C17" s="1">
        <v>19</v>
      </c>
      <c r="D17" s="6">
        <f>(VLOOKUP(B17,工资表!B18:G35,6,0)+VLOOKUP(B17,工资表!B18:H35,7,0))/工资表!F18*VLOOKUP(B17,考勤!B20:AI37,34,0)</f>
        <v>1875</v>
      </c>
      <c r="E17" s="6">
        <f>VLOOKUP(B17,工资表!B18:R35,17,0)</f>
        <v>1875</v>
      </c>
      <c r="F17" s="6">
        <f t="shared" si="0"/>
        <v>0</v>
      </c>
    </row>
    <row r="18" customHeight="1" spans="1:6">
      <c r="A18" s="1">
        <v>16</v>
      </c>
      <c r="B18" s="1" t="s">
        <v>56</v>
      </c>
      <c r="C18" s="1">
        <v>19</v>
      </c>
      <c r="D18" s="6">
        <f>(VLOOKUP(B18,工资表!B19:G36,6,0)+VLOOKUP(B18,工资表!B19:H36,7,0))/工资表!F19*VLOOKUP(B18,考勤!B21:AI38,34,0)</f>
        <v>3000</v>
      </c>
      <c r="E18" s="6">
        <f>VLOOKUP(B18,工资表!B19:R36,17,0)</f>
        <v>3000</v>
      </c>
      <c r="F18" s="6">
        <f t="shared" si="0"/>
        <v>0</v>
      </c>
    </row>
    <row r="19" customHeight="1" spans="1:6">
      <c r="A19" s="1">
        <v>17</v>
      </c>
      <c r="B19" s="1" t="s">
        <v>57</v>
      </c>
      <c r="C19" s="1">
        <v>19</v>
      </c>
      <c r="D19" s="6">
        <f>(VLOOKUP(B19,工资表!B20:G37,6,0)+VLOOKUP(B19,工资表!B20:H37,7,0))/工资表!F20*VLOOKUP(B19,考勤!B22:AI39,34,0)</f>
        <v>4000</v>
      </c>
      <c r="E19" s="6">
        <f>VLOOKUP(B19,工资表!B20:R37,17,0)</f>
        <v>4000</v>
      </c>
      <c r="F19" s="6">
        <f t="shared" si="0"/>
        <v>0</v>
      </c>
    </row>
    <row r="20" customHeight="1" spans="1:6">
      <c r="A20" s="1">
        <v>18</v>
      </c>
      <c r="B20" s="1" t="s">
        <v>59</v>
      </c>
      <c r="C20" s="1">
        <v>6</v>
      </c>
      <c r="D20" s="6">
        <f>(VLOOKUP(B20,工资表!B21:G38,6,0)+VLOOKUP(B20,工资表!B21:H38,7,0))/工资表!F21*VLOOKUP(B20,考勤!B23:AI40,34,0)</f>
        <v>2333.33333333333</v>
      </c>
      <c r="E20" s="6">
        <f>VLOOKUP(B20,工资表!B21:R38,17,0)</f>
        <v>2333.33333333333</v>
      </c>
      <c r="F20" s="6">
        <f t="shared" si="0"/>
        <v>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13"/>
  <sheetViews>
    <sheetView workbookViewId="0">
      <selection activeCell="C10" sqref="C10"/>
    </sheetView>
  </sheetViews>
  <sheetFormatPr defaultColWidth="9" defaultRowHeight="30" customHeight="1" outlineLevelCol="4"/>
  <cols>
    <col min="1" max="2" width="9" style="1"/>
    <col min="3" max="4" width="17.125" style="1" customWidth="1"/>
    <col min="5" max="5" width="12.875" style="1" customWidth="1"/>
    <col min="6" max="16384" width="9" style="1"/>
  </cols>
  <sheetData>
    <row r="2" customHeight="1" spans="2:5">
      <c r="B2" s="2" t="s">
        <v>32</v>
      </c>
      <c r="C2" s="2" t="s">
        <v>98</v>
      </c>
      <c r="D2" s="2" t="s">
        <v>99</v>
      </c>
      <c r="E2" s="2" t="s">
        <v>100</v>
      </c>
    </row>
    <row r="3" customHeight="1" spans="2:5">
      <c r="B3" s="2" t="s">
        <v>101</v>
      </c>
      <c r="C3" s="3">
        <v>1</v>
      </c>
      <c r="D3" s="2">
        <v>0</v>
      </c>
      <c r="E3" s="2">
        <v>0</v>
      </c>
    </row>
    <row r="4" customHeight="1" spans="2:5">
      <c r="B4" s="2" t="s">
        <v>102</v>
      </c>
      <c r="C4" s="4">
        <v>0.375</v>
      </c>
      <c r="D4" s="4">
        <v>0.375</v>
      </c>
      <c r="E4" s="3">
        <v>0.25</v>
      </c>
    </row>
    <row r="5" customHeight="1" spans="2:5">
      <c r="B5" s="2" t="s">
        <v>103</v>
      </c>
      <c r="C5" s="4">
        <v>0.375</v>
      </c>
      <c r="D5" s="4">
        <v>0.375</v>
      </c>
      <c r="E5" s="3">
        <v>0.25</v>
      </c>
    </row>
    <row r="6" customHeight="1" spans="2:5">
      <c r="B6" s="2" t="s">
        <v>104</v>
      </c>
      <c r="C6" s="4">
        <v>0.375</v>
      </c>
      <c r="D6" s="4">
        <v>0.375</v>
      </c>
      <c r="E6" s="3">
        <v>0.25</v>
      </c>
    </row>
    <row r="7" customHeight="1" spans="2:5">
      <c r="B7" s="2" t="s">
        <v>105</v>
      </c>
      <c r="C7" s="4">
        <v>0.375</v>
      </c>
      <c r="D7" s="4">
        <v>0.375</v>
      </c>
      <c r="E7" s="3">
        <v>0.25</v>
      </c>
    </row>
    <row r="8" customHeight="1" spans="2:5">
      <c r="B8" s="2" t="s">
        <v>106</v>
      </c>
      <c r="C8" s="3">
        <v>0.51</v>
      </c>
      <c r="D8" s="3">
        <v>0.34</v>
      </c>
      <c r="E8" s="3">
        <v>0.15</v>
      </c>
    </row>
    <row r="9" customHeight="1" spans="2:5">
      <c r="B9" s="2" t="s">
        <v>107</v>
      </c>
      <c r="C9" s="3">
        <v>0.51</v>
      </c>
      <c r="D9" s="3">
        <v>0.34</v>
      </c>
      <c r="E9" s="3">
        <v>0.15</v>
      </c>
    </row>
    <row r="10" customHeight="1" spans="2:5">
      <c r="B10" s="2" t="s">
        <v>108</v>
      </c>
      <c r="C10" s="3">
        <v>0.51</v>
      </c>
      <c r="D10" s="3">
        <v>0.34</v>
      </c>
      <c r="E10" s="3">
        <v>0.15</v>
      </c>
    </row>
    <row r="11" customHeight="1" spans="2:5">
      <c r="B11" s="2" t="s">
        <v>35</v>
      </c>
      <c r="C11" s="3">
        <v>0.7</v>
      </c>
      <c r="D11" s="3">
        <v>0.3</v>
      </c>
      <c r="E11" s="3">
        <v>0</v>
      </c>
    </row>
    <row r="12" customHeight="1" spans="2:5">
      <c r="B12" s="2" t="s">
        <v>40</v>
      </c>
      <c r="C12" s="3">
        <v>0.8</v>
      </c>
      <c r="D12" s="3">
        <v>0.2</v>
      </c>
      <c r="E12" s="3">
        <v>0</v>
      </c>
    </row>
    <row r="13" customHeight="1" spans="2:5">
      <c r="B13" s="2" t="s">
        <v>44</v>
      </c>
      <c r="C13" s="2"/>
      <c r="D13" s="2"/>
      <c r="E13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工资汇总表</vt:lpstr>
      <vt:lpstr>工资表</vt:lpstr>
      <vt:lpstr>考勤</vt:lpstr>
      <vt:lpstr>校验</vt:lpstr>
      <vt:lpstr>职务序列取数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任霄</dc:creator>
  <cp:lastModifiedBy>管丽萍</cp:lastModifiedBy>
  <dcterms:created xsi:type="dcterms:W3CDTF">2023-05-12T11:15:00Z</dcterms:created>
  <dcterms:modified xsi:type="dcterms:W3CDTF">2025-03-11T08:37:42Z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KSOReadingLayout">
    <vt:bool>true</vt:bool>
  </property>
  <property fmtid="{D5CDD505-2E9C-101B-9397-08002B2CF9AE}" pid="4" name="ICV">
    <vt:lpwstr>2A50CC5614AB4EED8B6D95F044FF9991_13</vt:lpwstr>
  </property>
</Properties>
</file>