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5"/>
  </bookViews>
  <sheets>
    <sheet name="税金汇总" sheetId="2" r:id="rId1"/>
    <sheet name="房产税&amp;土地使用税" sheetId="3" r:id="rId2"/>
    <sheet name="房产税" sheetId="4" r:id="rId3"/>
    <sheet name="二季度税金" sheetId="5" r:id="rId4"/>
    <sheet name="房产税（从租）计算表" sheetId="6" r:id="rId5"/>
    <sheet name="3季度税金" sheetId="7" r:id="rId6"/>
  </sheets>
  <definedNames>
    <definedName name="_xlnm._FilterDatabase" localSheetId="4" hidden="1">'房产税（从租）计算表'!$A$2:$S$62</definedName>
    <definedName name="_xlnm.Print_Area" localSheetId="4">'房产税（从租）计算表'!$A$1:$S$57</definedName>
    <definedName name="_xlnm.Print_Area" localSheetId="5">'3季度税金'!$A$1:$G$34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E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  <comment ref="E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158.6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E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</commentList>
</comments>
</file>

<file path=xl/sharedStrings.xml><?xml version="1.0" encoding="utf-8"?>
<sst xmlns="http://schemas.openxmlformats.org/spreadsheetml/2006/main" count="639" uniqueCount="258">
  <si>
    <t>新疆通力房地产开发有限公司应交税费明细表</t>
  </si>
  <si>
    <t>税目名称</t>
  </si>
  <si>
    <t>期间</t>
  </si>
  <si>
    <t>计税依据</t>
  </si>
  <si>
    <t>税率</t>
  </si>
  <si>
    <t>应缴税金</t>
  </si>
  <si>
    <t>备注</t>
  </si>
  <si>
    <t>增值税</t>
  </si>
  <si>
    <t>城建税</t>
  </si>
  <si>
    <t>教育费附加</t>
  </si>
  <si>
    <t>地方教育费附加</t>
  </si>
  <si>
    <t>期初导入不区分</t>
  </si>
  <si>
    <t>房产税（从租）</t>
  </si>
  <si>
    <t>养征大厦</t>
  </si>
  <si>
    <t>房产税（从价）</t>
  </si>
  <si>
    <t>商贸城</t>
  </si>
  <si>
    <t>土地使用税一级</t>
  </si>
  <si>
    <t>14元/平</t>
  </si>
  <si>
    <t>土地使用税三级</t>
  </si>
  <si>
    <t>8元/平</t>
  </si>
  <si>
    <t>印花税3</t>
  </si>
  <si>
    <t>其他</t>
  </si>
  <si>
    <t>企业所得税</t>
  </si>
  <si>
    <t>工会经费</t>
  </si>
  <si>
    <t>残保金</t>
  </si>
  <si>
    <t>个人所得税</t>
  </si>
  <si>
    <t xml:space="preserve">合计 </t>
  </si>
  <si>
    <t>征稽大厦房产税</t>
  </si>
  <si>
    <t>房屋</t>
  </si>
  <si>
    <t>面积（平方米）</t>
  </si>
  <si>
    <t>原值</t>
  </si>
  <si>
    <t>计税比率</t>
  </si>
  <si>
    <t>金额</t>
  </si>
  <si>
    <r>
      <rPr>
        <sz val="10.5"/>
        <color rgb="FF333333"/>
        <rFont val="宋体"/>
        <charset val="134"/>
      </rPr>
      <t>减免税额</t>
    </r>
    <r>
      <rPr>
        <sz val="10.5"/>
        <color rgb="FF333333"/>
        <rFont val="Arial"/>
        <charset val="134"/>
      </rPr>
      <t>50%</t>
    </r>
  </si>
  <si>
    <t>1-2月从价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</si>
  <si>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134"/>
      </rPr>
      <t>01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</si>
  <si>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02</t>
    </r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</si>
  <si>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03</t>
    </r>
  </si>
  <si>
    <t>养路征稽一层04-1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</si>
  <si>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04-2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</si>
  <si>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05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</si>
  <si>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</si>
  <si>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06-1</t>
    </r>
  </si>
  <si>
    <t>1-6月从价</t>
  </si>
  <si>
    <r>
      <rPr>
        <sz val="10"/>
        <color rgb="FF000000"/>
        <rFont val="宋体"/>
        <charset val="134"/>
      </rPr>
      <t>养路征稽一层</t>
    </r>
    <r>
      <rPr>
        <sz val="10"/>
        <color rgb="FF000000"/>
        <rFont val="Times New Roman"/>
        <charset val="134"/>
      </rPr>
      <t>07+08</t>
    </r>
  </si>
  <si>
    <r>
      <rPr>
        <sz val="10"/>
        <color rgb="FF000000"/>
        <rFont val="宋体"/>
        <charset val="134"/>
      </rPr>
      <t>养路征稽二层</t>
    </r>
    <r>
      <rPr>
        <sz val="10"/>
        <color indexed="8"/>
        <rFont val="Times New Roman"/>
        <charset val="0"/>
      </rPr>
      <t>01</t>
    </r>
  </si>
  <si>
    <t>合计</t>
  </si>
  <si>
    <t>收入</t>
  </si>
  <si>
    <t>3月从租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</si>
  <si>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01</t>
    </r>
  </si>
  <si>
    <t>2024年收到</t>
  </si>
  <si>
    <t>商品房期初结转成本</t>
  </si>
  <si>
    <t>总建筑面积</t>
  </si>
  <si>
    <t>房屋建筑面积</t>
  </si>
  <si>
    <t>通达商贸城房产税</t>
  </si>
  <si>
    <r>
      <rPr>
        <sz val="11"/>
        <color rgb="FF333333"/>
        <rFont val="宋体"/>
        <charset val="134"/>
      </rPr>
      <t>减免税额</t>
    </r>
    <r>
      <rPr>
        <sz val="11"/>
        <color rgb="FF333333"/>
        <rFont val="Arial"/>
        <charset val="134"/>
      </rPr>
      <t>50%</t>
    </r>
  </si>
  <si>
    <t>4-6月从价</t>
  </si>
  <si>
    <t>刘坤</t>
  </si>
  <si>
    <t>马立琴</t>
  </si>
  <si>
    <t>方小羊</t>
  </si>
  <si>
    <t>面积</t>
  </si>
  <si>
    <t>征稽大厦土地使用税</t>
  </si>
  <si>
    <t>土地占用面积</t>
  </si>
  <si>
    <t>土地等级：一级</t>
  </si>
  <si>
    <t>所属期起至</t>
  </si>
  <si>
    <r>
      <rPr>
        <sz val="10.5"/>
        <color rgb="FF333333"/>
        <rFont val="MicroSoft YaHei"/>
        <charset val="134"/>
      </rPr>
      <t>计税依据</t>
    </r>
  </si>
  <si>
    <t>二层</t>
  </si>
  <si>
    <t>14元每平方米</t>
  </si>
  <si>
    <t>2024/1/1-2024/6/30</t>
  </si>
  <si>
    <t>一层</t>
  </si>
  <si>
    <t>通达商贸城土地使用税</t>
  </si>
  <si>
    <t>一栋</t>
  </si>
  <si>
    <t>8元每平方米</t>
  </si>
  <si>
    <t>备注：小规模纳税人房产税减半征收</t>
  </si>
  <si>
    <t>增值税小规模纳税人已依法享受资源税、城市维护建设税、房产税、城镇土地使用税、印花税、耕地占用税、教育费附加、地方教育附加其他优惠政策</t>
  </si>
  <si>
    <r>
      <rPr>
        <sz val="12"/>
        <color rgb="FF333333"/>
        <rFont val="Arial"/>
        <charset val="134"/>
      </rPr>
      <t>按照50%幅度顶格减征”六税两费“〔资源</t>
    </r>
    <r>
      <rPr>
        <sz val="12"/>
        <color rgb="FF333333"/>
        <rFont val="Arial"/>
        <charset val="134"/>
      </rPr>
      <t>税、城市维护建设税、</t>
    </r>
    <r>
      <rPr>
        <sz val="12"/>
        <color rgb="FF333333"/>
        <rFont val="Arial"/>
        <charset val="134"/>
      </rPr>
      <t>房产税、城镇土地使用税、印花税(不含证券交易印花税)、耕地占用税和教育费附加、地方</t>
    </r>
    <r>
      <rPr>
        <sz val="12"/>
        <color rgb="FF333333"/>
        <rFont val="Arial"/>
        <charset val="134"/>
      </rPr>
      <t>教育附加〕</t>
    </r>
  </si>
  <si>
    <t>序号</t>
  </si>
  <si>
    <t>单位名称</t>
  </si>
  <si>
    <t>房号</t>
  </si>
  <si>
    <r>
      <rPr>
        <sz val="10"/>
        <color rgb="FF000000"/>
        <rFont val="宋体"/>
        <charset val="134"/>
      </rPr>
      <t>出租面积</t>
    </r>
    <r>
      <rPr>
        <sz val="10"/>
        <color indexed="8"/>
        <rFont val="Times New Roman"/>
        <charset val="0"/>
      </rPr>
      <t>M2</t>
    </r>
  </si>
  <si>
    <t>产权面积</t>
  </si>
  <si>
    <t>租赁期限</t>
  </si>
  <si>
    <t>日租金</t>
  </si>
  <si>
    <t>2024年租金</t>
  </si>
  <si>
    <t>从价税率</t>
  </si>
  <si>
    <t>从租税率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</si>
  <si>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</si>
  <si>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</si>
  <si>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</si>
  <si>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</si>
  <si>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</si>
  <si>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</si>
  <si>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</si>
  <si>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</si>
  <si>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</si>
  <si>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</si>
  <si>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</si>
  <si>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</si>
  <si>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rPr>
        <sz val="10"/>
        <color theme="1"/>
        <rFont val="宋体"/>
        <charset val="134"/>
      </rPr>
      <t>杨豆豆</t>
    </r>
    <r>
      <rPr>
        <sz val="10"/>
        <color theme="1"/>
        <rFont val="Times New Roman"/>
        <charset val="0"/>
      </rPr>
      <t>(</t>
    </r>
    <r>
      <rPr>
        <sz val="10"/>
        <color theme="1"/>
        <rFont val="宋体"/>
        <charset val="134"/>
      </rPr>
      <t>杨妮
牛之味丸子汤</t>
    </r>
    <r>
      <rPr>
        <sz val="10"/>
        <color theme="1"/>
        <rFont val="Times New Roman"/>
        <charset val="0"/>
      </rPr>
      <t>)</t>
    </r>
  </si>
  <si>
    <t>2023.6.30-2024.7.29</t>
  </si>
  <si>
    <r>
      <rPr>
        <sz val="10"/>
        <color theme="1"/>
        <rFont val="Times New Roman"/>
        <charset val="0"/>
      </rPr>
      <t>3.12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</si>
  <si>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郭兴辉（服装）</t>
  </si>
  <si>
    <t>2023.7.20-2024.8.19</t>
  </si>
  <si>
    <r>
      <rPr>
        <sz val="10"/>
        <color theme="1"/>
        <rFont val="Times New Roman"/>
        <charset val="0"/>
      </rPr>
      <t>3.33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</si>
  <si>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王春霞</t>
  </si>
  <si>
    <t>2024.1.1-2026.12.31</t>
  </si>
  <si>
    <r>
      <rPr>
        <sz val="10"/>
        <color theme="1"/>
        <rFont val="Times New Roman"/>
        <charset val="0"/>
      </rPr>
      <t>2..26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</si>
  <si>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郭少鹏</t>
  </si>
  <si>
    <t>2024.4.15-2025.5.5</t>
  </si>
  <si>
    <r>
      <rPr>
        <sz val="10"/>
        <color theme="1"/>
        <rFont val="Times New Roman"/>
        <charset val="0"/>
      </rPr>
      <t>3.036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</si>
  <si>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汪玉明</t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</si>
  <si>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04-2</t>
    </r>
  </si>
  <si>
    <t>2023.5.1-2024.4.30</t>
  </si>
  <si>
    <r>
      <rPr>
        <sz val="10"/>
        <color theme="1"/>
        <rFont val="Times New Roman"/>
        <charset val="0"/>
      </rPr>
      <t>3.39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</si>
  <si>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牛欢</t>
  </si>
  <si>
    <t>2023.4.11-2024.5.1</t>
  </si>
  <si>
    <r>
      <rPr>
        <sz val="10"/>
        <color theme="1"/>
        <rFont val="Times New Roman"/>
        <charset val="0"/>
      </rPr>
      <t>3.36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</si>
  <si>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李雪琴</t>
  </si>
  <si>
    <r>
      <rPr>
        <sz val="10"/>
        <color theme="1"/>
        <rFont val="Times New Roman"/>
        <charset val="0"/>
      </rPr>
      <t>2023-5-30</t>
    </r>
    <r>
      <rPr>
        <sz val="10"/>
        <color theme="1"/>
        <rFont val="宋体"/>
        <charset val="134"/>
      </rPr>
      <t>-</t>
    </r>
    <r>
      <rPr>
        <sz val="10"/>
        <color theme="1"/>
        <rFont val="Times New Roman"/>
        <charset val="0"/>
      </rPr>
      <t>2024-6-29</t>
    </r>
  </si>
  <si>
    <r>
      <rPr>
        <sz val="10"/>
        <color theme="1"/>
        <rFont val="Times New Roman"/>
        <charset val="0"/>
      </rPr>
      <t>4.059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</si>
  <si>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黄艳华</t>
  </si>
  <si>
    <t>2023-5-29-2024-6-29</t>
  </si>
  <si>
    <r>
      <rPr>
        <sz val="10"/>
        <color theme="1"/>
        <rFont val="Times New Roman"/>
        <charset val="0"/>
      </rPr>
      <t>2.99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</si>
  <si>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王婆大虾</t>
  </si>
  <si>
    <t>2023.12.1-2024.11.30</t>
  </si>
  <si>
    <r>
      <rPr>
        <sz val="10"/>
        <color rgb="FF000000"/>
        <rFont val="Times New Roman"/>
        <charset val="0"/>
      </rPr>
      <t>2.3</t>
    </r>
    <r>
      <rPr>
        <sz val="10"/>
        <color indexed="8"/>
        <rFont val="宋体"/>
        <charset val="134"/>
      </rPr>
      <t>元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日</t>
    </r>
    <r>
      <rPr>
        <sz val="10"/>
        <color rgb="FF000000"/>
        <rFont val="Times New Roman"/>
        <charset val="0"/>
      </rPr>
      <t>2018</t>
    </r>
    <r>
      <rPr>
        <sz val="10"/>
        <color indexed="8"/>
        <rFont val="宋体"/>
        <charset val="134"/>
      </rPr>
      <t>年南总和于姐谈一年</t>
    </r>
    <r>
      <rPr>
        <sz val="10"/>
        <color rgb="FF000000"/>
        <rFont val="Times New Roman"/>
        <charset val="0"/>
      </rPr>
      <t>50</t>
    </r>
    <r>
      <rPr>
        <sz val="10"/>
        <color indexed="8"/>
        <rFont val="宋体"/>
        <charset val="134"/>
      </rPr>
      <t>万</t>
    </r>
  </si>
  <si>
    <t>川风堂</t>
  </si>
  <si>
    <t>2022.9.20-2023.9.19</t>
  </si>
  <si>
    <t>吴隆坤</t>
  </si>
  <si>
    <t>养路征稽一层</t>
  </si>
  <si>
    <t>2023.6.1-2024.6.30</t>
  </si>
  <si>
    <t>通达商贸城</t>
  </si>
  <si>
    <r>
      <rPr>
        <sz val="10"/>
        <rFont val="宋体"/>
        <charset val="134"/>
      </rPr>
      <t>出租面积</t>
    </r>
    <r>
      <rPr>
        <sz val="10"/>
        <rFont val="Times New Roman"/>
        <charset val="0"/>
      </rPr>
      <t>M2</t>
    </r>
  </si>
  <si>
    <t>养生馆</t>
  </si>
  <si>
    <t>1-31#</t>
  </si>
  <si>
    <t>2023.5.11-2024.6.10</t>
  </si>
  <si>
    <t>金大碗牛肉面</t>
  </si>
  <si>
    <t>1-1#</t>
  </si>
  <si>
    <t>2023.8.17-2024.9.16</t>
  </si>
  <si>
    <t>烟酒商行</t>
  </si>
  <si>
    <t>1-2#-1</t>
  </si>
  <si>
    <t>2023.7.29-2024.8.28</t>
  </si>
  <si>
    <t>蛋糕店</t>
  </si>
  <si>
    <t>1-2#-2</t>
  </si>
  <si>
    <t>2023.7.28-2024.8.27</t>
  </si>
  <si>
    <t>超市</t>
  </si>
  <si>
    <t>1-3#</t>
  </si>
  <si>
    <t>2024.3.30-2025.4.1</t>
  </si>
  <si>
    <t>商店</t>
  </si>
  <si>
    <t>1-4#</t>
  </si>
  <si>
    <t>2023.12.4-2024.12.3</t>
  </si>
  <si>
    <t>营业厅</t>
  </si>
  <si>
    <t>1-5#</t>
  </si>
  <si>
    <t>1-6#</t>
  </si>
  <si>
    <t>2024.2.22-2025.3.21</t>
  </si>
  <si>
    <t>百乐泉</t>
  </si>
  <si>
    <t>1-7#</t>
  </si>
  <si>
    <t>2024.4.9-2025.5.8</t>
  </si>
  <si>
    <t>理发店</t>
  </si>
  <si>
    <t>1-8#</t>
  </si>
  <si>
    <t>2023.5.28-2024.6.27</t>
  </si>
  <si>
    <t>锦绣商行</t>
  </si>
  <si>
    <t>1-9#</t>
  </si>
  <si>
    <t>2023.3.9-2024.4.10</t>
  </si>
  <si>
    <t>烧烤店</t>
  </si>
  <si>
    <t>1-10#-12#</t>
  </si>
  <si>
    <t>2023.9.13-2024.10.12</t>
  </si>
  <si>
    <t>美发</t>
  </si>
  <si>
    <t xml:space="preserve">  1-13#</t>
  </si>
  <si>
    <t>2024.5.4-2025.6.3</t>
  </si>
  <si>
    <t>棋牌室</t>
  </si>
  <si>
    <t>1-14#</t>
  </si>
  <si>
    <t>2023.11.10-2024.11.9</t>
  </si>
  <si>
    <t>打字复印</t>
  </si>
  <si>
    <t>1-20#</t>
  </si>
  <si>
    <t>2023.11.30-2024.11.29</t>
  </si>
  <si>
    <t>美容院</t>
  </si>
  <si>
    <t xml:space="preserve">  1-19#</t>
  </si>
  <si>
    <t>2023.8.1-2024.7.30</t>
  </si>
  <si>
    <t>早餐</t>
  </si>
  <si>
    <t>1-22#</t>
  </si>
  <si>
    <t>2023.11.20-2024.11.19</t>
  </si>
  <si>
    <t>体彩</t>
  </si>
  <si>
    <t>1-23#</t>
  </si>
  <si>
    <t>1-24#</t>
  </si>
  <si>
    <t>2023.10.17-2024.11.16</t>
  </si>
  <si>
    <t>餐饮</t>
  </si>
  <si>
    <t>1-25#</t>
  </si>
  <si>
    <t>2024.6.22-2025.6.21</t>
  </si>
  <si>
    <t>1-26#</t>
  </si>
  <si>
    <t>1-27#.28#</t>
  </si>
  <si>
    <t>2023.12.7-2024.12.6</t>
  </si>
  <si>
    <t>福彩</t>
  </si>
  <si>
    <t>1-29#</t>
  </si>
  <si>
    <t>2023.8.27-2024.9.28</t>
  </si>
  <si>
    <t>1-30#</t>
  </si>
  <si>
    <t>2023.2.14-2024.2.13</t>
  </si>
  <si>
    <t>日用品</t>
  </si>
  <si>
    <t>1-32#</t>
  </si>
  <si>
    <t>2023.5.22-2024.6.21</t>
  </si>
  <si>
    <t>一楼右厅</t>
  </si>
  <si>
    <t>2023.11.22-2024.11.21</t>
  </si>
  <si>
    <t>2节柜台</t>
  </si>
  <si>
    <t>一楼左厅门口</t>
  </si>
  <si>
    <t>北京养生馆</t>
  </si>
  <si>
    <t>二楼05</t>
  </si>
  <si>
    <t>2024.4.30-2025.5.29</t>
  </si>
  <si>
    <t>二楼04</t>
  </si>
  <si>
    <t>2024.2.20-2025.2.19</t>
  </si>
  <si>
    <t>二楼03</t>
  </si>
  <si>
    <t>二楼02</t>
  </si>
  <si>
    <t>二楼01</t>
  </si>
  <si>
    <t>2023.11.10-2024.12.9</t>
  </si>
  <si>
    <t>三楼</t>
  </si>
  <si>
    <t>2024.7.11-2025.7.10</t>
  </si>
  <si>
    <t>地下室</t>
  </si>
  <si>
    <t>2024.04-06月</t>
  </si>
  <si>
    <t>房产税（养征从租）</t>
  </si>
  <si>
    <t>房产税（通达从租）</t>
  </si>
  <si>
    <t>印花税（租赁）</t>
  </si>
  <si>
    <t>其他业务收入</t>
  </si>
  <si>
    <t>税金及附加</t>
  </si>
  <si>
    <t>管理费用</t>
  </si>
  <si>
    <t>财务费用</t>
  </si>
  <si>
    <t>利润总额</t>
  </si>
  <si>
    <t>弥补以前年度亏损</t>
  </si>
  <si>
    <t>应纳税所得额</t>
  </si>
  <si>
    <t>一季度收入</t>
  </si>
  <si>
    <t>二季度收款</t>
  </si>
  <si>
    <t>三季度收款</t>
  </si>
  <si>
    <t>四季度收款</t>
  </si>
  <si>
    <t>一季度从租</t>
  </si>
  <si>
    <t>二季度从租</t>
  </si>
  <si>
    <t>三季度从租</t>
  </si>
  <si>
    <t>四季度从租</t>
  </si>
  <si>
    <t>7-12月从价</t>
  </si>
  <si>
    <t>含税收入</t>
  </si>
  <si>
    <t>不含税收入</t>
  </si>
  <si>
    <t>7-12月从租</t>
  </si>
  <si>
    <t>一季度收款</t>
  </si>
  <si>
    <t>1-2#</t>
  </si>
  <si>
    <t>蜜雪冰城</t>
  </si>
  <si>
    <t>1-10#</t>
  </si>
  <si>
    <t>普济堂药店</t>
  </si>
  <si>
    <t>1-11#-13#</t>
  </si>
  <si>
    <t xml:space="preserve">  1-14#</t>
  </si>
  <si>
    <t>1-21#</t>
  </si>
  <si>
    <t xml:space="preserve">  1-22#</t>
  </si>
  <si>
    <t>1-27#</t>
  </si>
  <si>
    <t>1-28#</t>
  </si>
  <si>
    <t>一楼右厅1-33#</t>
  </si>
  <si>
    <t>二楼06</t>
  </si>
  <si>
    <t>2024.07-09月</t>
  </si>
  <si>
    <t>增值税小规模纳税人
“六税两费”减征政
策,减按50%征收</t>
  </si>
  <si>
    <t>房产税（养征从价）</t>
  </si>
  <si>
    <t>2024.07-12月</t>
  </si>
  <si>
    <t>房产税（通达从价）</t>
  </si>
  <si>
    <t>土地使用税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</si>
</sst>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_ * #,##0.00_ ;_ * \-#,##0.00_ ;_ * \-??_ ;_ @_ "/>
    <numFmt numFmtId="179" formatCode="0.00;[Red]0.00"/>
    <numFmt numFmtId="180" formatCode="0.00_ "/>
    <numFmt numFmtId="181" formatCode="_ * #,##0.0000_ ;_ * \-#,##0.0000_ ;_ * &quot;-&quot;??.00_ ;_ @_ "/>
    <numFmt numFmtId="182" formatCode="#,##0.000_ "/>
  </numFmts>
  <fonts count="62">
    <font>
      <sz val="11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0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.5"/>
      <color rgb="FF333333"/>
      <name val="宋体"/>
      <charset val="134"/>
    </font>
    <font>
      <sz val="10.5"/>
      <color rgb="FF666666"/>
      <name val="MicroSoft YaHei"/>
      <charset val="134"/>
    </font>
    <font>
      <sz val="10"/>
      <color theme="1"/>
      <name val="宋体"/>
      <charset val="134"/>
    </font>
    <font>
      <sz val="8"/>
      <color rgb="FF000000"/>
      <name val="STSong-Light"/>
      <charset val="134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0"/>
    </font>
    <font>
      <sz val="10"/>
      <color indexed="8"/>
      <name val="Times New Roman"/>
      <charset val="0"/>
    </font>
    <font>
      <sz val="10"/>
      <color rgb="FF000000"/>
      <name val="Times New Roman"/>
      <charset val="0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0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10"/>
      <color rgb="FFFF0000"/>
      <name val="黑体"/>
      <charset val="134"/>
    </font>
    <font>
      <sz val="11"/>
      <color theme="1"/>
      <name val="宋体"/>
      <charset val="134"/>
    </font>
    <font>
      <sz val="10"/>
      <name val="黑体"/>
      <charset val="134"/>
    </font>
    <font>
      <sz val="11"/>
      <color rgb="FF333333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rgb="FF333333"/>
      <name val="MicroSoft YaHei"/>
      <charset val="134"/>
    </font>
    <font>
      <sz val="11"/>
      <color rgb="FF000000"/>
      <name val="宋体"/>
      <charset val="134"/>
      <scheme val="minor"/>
    </font>
    <font>
      <sz val="11"/>
      <color rgb="FF000000"/>
      <name val="STSong-Light"/>
      <charset val="134"/>
    </font>
    <font>
      <sz val="11"/>
      <color rgb="FF333333"/>
      <name val="MicroSoft YaHei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rgb="FF333333"/>
      <name val="Arial"/>
      <charset val="134"/>
    </font>
    <font>
      <sz val="12"/>
      <color rgb="FF333333"/>
      <name val="Arial"/>
      <charset val="134"/>
    </font>
    <font>
      <sz val="10.5"/>
      <color rgb="FF333333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D2D2D2"/>
      </right>
      <top/>
      <bottom style="medium">
        <color rgb="FFD2D2D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DCDCDC"/>
      </right>
      <top style="medium">
        <color rgb="FFDCDCDC"/>
      </top>
      <bottom style="medium">
        <color rgb="FFDCDCD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30" fillId="0" borderId="0" applyFont="0" applyFill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9" borderId="20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10" borderId="23" applyNumberFormat="0" applyAlignment="0" applyProtection="0">
      <alignment vertical="center"/>
    </xf>
    <xf numFmtId="0" fontId="45" fillId="11" borderId="24" applyNumberFormat="0" applyAlignment="0" applyProtection="0">
      <alignment vertical="center"/>
    </xf>
    <xf numFmtId="0" fontId="46" fillId="11" borderId="23" applyNumberFormat="0" applyAlignment="0" applyProtection="0">
      <alignment vertical="center"/>
    </xf>
    <xf numFmtId="0" fontId="47" fillId="12" borderId="25" applyNumberForma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7" applyNumberFormat="0" applyFill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</cellStyleXfs>
  <cellXfs count="224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9" fontId="2" fillId="0" borderId="1" xfId="3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9" fontId="2" fillId="0" borderId="1" xfId="3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0" fillId="0" borderId="0" xfId="0" applyNumberFormat="1" applyFont="1">
      <alignment vertical="center"/>
    </xf>
    <xf numFmtId="177" fontId="2" fillId="0" borderId="1" xfId="3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 applyProtection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0" fontId="2" fillId="0" borderId="1" xfId="3" applyNumberFormat="1" applyFont="1" applyBorder="1" applyAlignment="1">
      <alignment horizontal="center" vertical="center"/>
    </xf>
    <xf numFmtId="43" fontId="0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176" fontId="0" fillId="0" borderId="0" xfId="0" applyNumberFormat="1" applyFont="1">
      <alignment vertical="center"/>
    </xf>
    <xf numFmtId="176" fontId="6" fillId="0" borderId="0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right" vertical="center" wrapText="1"/>
    </xf>
    <xf numFmtId="176" fontId="6" fillId="3" borderId="3" xfId="0" applyNumberFormat="1" applyFont="1" applyFill="1" applyBorder="1" applyAlignment="1">
      <alignment horizontal="right" vertical="center" wrapText="1"/>
    </xf>
    <xf numFmtId="43" fontId="0" fillId="0" borderId="0" xfId="0" applyNumberFormat="1" applyFont="1" applyFill="1">
      <alignment vertical="center"/>
    </xf>
    <xf numFmtId="0" fontId="9" fillId="0" borderId="0" xfId="0" applyFo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178" fontId="10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>
      <alignment horizontal="center" vertical="center"/>
    </xf>
    <xf numFmtId="43" fontId="12" fillId="0" borderId="4" xfId="1" applyNumberFormat="1" applyFont="1" applyFill="1" applyBorder="1" applyAlignment="1" applyProtection="1">
      <alignment horizontal="center" vertical="center"/>
    </xf>
    <xf numFmtId="179" fontId="12" fillId="0" borderId="4" xfId="0" applyNumberFormat="1" applyFont="1" applyFill="1" applyBorder="1" applyAlignment="1">
      <alignment horizontal="center" vertical="center"/>
    </xf>
    <xf numFmtId="178" fontId="12" fillId="0" borderId="4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3" fontId="12" fillId="0" borderId="5" xfId="0" applyNumberFormat="1" applyFont="1" applyFill="1" applyBorder="1" applyAlignment="1">
      <alignment horizontal="center" vertical="center"/>
    </xf>
    <xf numFmtId="179" fontId="12" fillId="0" borderId="5" xfId="0" applyNumberFormat="1" applyFont="1" applyFill="1" applyBorder="1" applyAlignment="1">
      <alignment horizontal="center" vertical="center"/>
    </xf>
    <xf numFmtId="178" fontId="12" fillId="0" borderId="5" xfId="0" applyNumberFormat="1" applyFont="1" applyFill="1" applyBorder="1" applyAlignment="1">
      <alignment horizontal="center" vertical="center"/>
    </xf>
    <xf numFmtId="43" fontId="12" fillId="0" borderId="4" xfId="0" applyNumberFormat="1" applyFont="1" applyFill="1" applyBorder="1" applyAlignment="1">
      <alignment vertical="center"/>
    </xf>
    <xf numFmtId="178" fontId="7" fillId="0" borderId="6" xfId="0" applyNumberFormat="1" applyFont="1" applyFill="1" applyBorder="1" applyAlignment="1">
      <alignment horizontal="center" vertical="center"/>
    </xf>
    <xf numFmtId="43" fontId="12" fillId="0" borderId="6" xfId="0" applyNumberFormat="1" applyFont="1" applyFill="1" applyBorder="1" applyAlignment="1">
      <alignment vertical="center"/>
    </xf>
    <xf numFmtId="179" fontId="12" fillId="0" borderId="6" xfId="0" applyNumberFormat="1" applyFont="1" applyFill="1" applyBorder="1" applyAlignment="1">
      <alignment horizontal="center" vertical="center"/>
    </xf>
    <xf numFmtId="178" fontId="12" fillId="0" borderId="6" xfId="0" applyNumberFormat="1" applyFont="1" applyFill="1" applyBorder="1" applyAlignment="1">
      <alignment horizontal="center" vertical="center"/>
    </xf>
    <xf numFmtId="43" fontId="12" fillId="0" borderId="6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3" fontId="13" fillId="0" borderId="4" xfId="0" applyNumberFormat="1" applyFont="1" applyFill="1" applyBorder="1" applyAlignment="1">
      <alignment horizontal="center" vertical="center"/>
    </xf>
    <xf numFmtId="179" fontId="13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178" fontId="14" fillId="0" borderId="4" xfId="0" applyNumberFormat="1" applyFont="1" applyFill="1" applyBorder="1" applyAlignment="1">
      <alignment horizontal="center" vertical="center" wrapText="1"/>
    </xf>
    <xf numFmtId="178" fontId="13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43" fontId="16" fillId="0" borderId="1" xfId="0" applyNumberFormat="1" applyFont="1" applyBorder="1" applyAlignment="1">
      <alignment horizontal="center" vertical="center"/>
    </xf>
    <xf numFmtId="43" fontId="16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3" fontId="1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3" fontId="17" fillId="4" borderId="1" xfId="0" applyNumberFormat="1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178" fontId="17" fillId="0" borderId="5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43" fontId="21" fillId="0" borderId="1" xfId="0" applyNumberFormat="1" applyFont="1" applyBorder="1">
      <alignment vertical="center"/>
    </xf>
    <xf numFmtId="180" fontId="17" fillId="4" borderId="1" xfId="0" applyNumberFormat="1" applyFont="1" applyFill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17" fillId="4" borderId="1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180" fontId="7" fillId="4" borderId="4" xfId="0" applyNumberFormat="1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 wrapText="1"/>
    </xf>
    <xf numFmtId="180" fontId="7" fillId="4" borderId="5" xfId="0" applyNumberFormat="1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43" fontId="0" fillId="0" borderId="8" xfId="0" applyNumberFormat="1" applyFont="1" applyFill="1" applyBorder="1" applyAlignment="1">
      <alignment horizontal="center" vertical="center"/>
    </xf>
    <xf numFmtId="43" fontId="0" fillId="0" borderId="9" xfId="0" applyNumberFormat="1" applyFont="1" applyFill="1" applyBorder="1" applyAlignment="1">
      <alignment horizontal="center" vertical="center"/>
    </xf>
    <xf numFmtId="43" fontId="0" fillId="0" borderId="9" xfId="0" applyNumberFormat="1" applyFont="1" applyBorder="1" applyAlignment="1">
      <alignment horizontal="center" vertical="center"/>
    </xf>
    <xf numFmtId="43" fontId="0" fillId="0" borderId="8" xfId="0" applyNumberFormat="1" applyFont="1" applyFill="1" applyBorder="1">
      <alignment vertical="center"/>
    </xf>
    <xf numFmtId="43" fontId="0" fillId="0" borderId="9" xfId="0" applyNumberFormat="1" applyFont="1" applyFill="1" applyBorder="1">
      <alignment vertical="center"/>
    </xf>
    <xf numFmtId="43" fontId="0" fillId="0" borderId="9" xfId="0" applyNumberFormat="1" applyFont="1" applyBorder="1">
      <alignment vertical="center"/>
    </xf>
    <xf numFmtId="181" fontId="0" fillId="0" borderId="9" xfId="0" applyNumberFormat="1" applyFont="1" applyBorder="1">
      <alignment vertical="center"/>
    </xf>
    <xf numFmtId="43" fontId="16" fillId="0" borderId="9" xfId="0" applyNumberFormat="1" applyFont="1" applyBorder="1" applyAlignment="1">
      <alignment horizontal="center" vertical="center"/>
    </xf>
    <xf numFmtId="43" fontId="16" fillId="0" borderId="1" xfId="0" applyNumberFormat="1" applyFont="1" applyFill="1" applyBorder="1" applyAlignment="1">
      <alignment horizontal="center" vertical="center"/>
    </xf>
    <xf numFmtId="43" fontId="16" fillId="0" borderId="0" xfId="0" applyNumberFormat="1" applyFont="1" applyFill="1" applyAlignment="1">
      <alignment horizontal="center" vertical="center"/>
    </xf>
    <xf numFmtId="0" fontId="25" fillId="0" borderId="1" xfId="0" applyFont="1" applyBorder="1">
      <alignment vertical="center"/>
    </xf>
    <xf numFmtId="43" fontId="16" fillId="0" borderId="1" xfId="0" applyNumberFormat="1" applyFont="1" applyBorder="1">
      <alignment vertical="center"/>
    </xf>
    <xf numFmtId="43" fontId="16" fillId="2" borderId="1" xfId="0" applyNumberFormat="1" applyFont="1" applyFill="1" applyBorder="1" applyAlignment="1">
      <alignment vertical="center"/>
    </xf>
    <xf numFmtId="43" fontId="16" fillId="2" borderId="1" xfId="0" applyNumberFormat="1" applyFont="1" applyFill="1" applyBorder="1" applyAlignment="1">
      <alignment horizontal="center" vertical="center"/>
    </xf>
    <xf numFmtId="43" fontId="21" fillId="0" borderId="10" xfId="0" applyNumberFormat="1" applyFont="1" applyBorder="1" applyAlignment="1">
      <alignment horizontal="center" vertical="center"/>
    </xf>
    <xf numFmtId="43" fontId="21" fillId="0" borderId="1" xfId="0" applyNumberFormat="1" applyFont="1" applyFill="1" applyBorder="1">
      <alignment vertical="center"/>
    </xf>
    <xf numFmtId="181" fontId="21" fillId="0" borderId="1" xfId="0" applyNumberFormat="1" applyFont="1" applyBorder="1">
      <alignment vertical="center"/>
    </xf>
    <xf numFmtId="43" fontId="18" fillId="0" borderId="1" xfId="0" applyNumberFormat="1" applyFont="1" applyBorder="1" applyAlignment="1">
      <alignment horizontal="center" vertical="center"/>
    </xf>
    <xf numFmtId="43" fontId="0" fillId="0" borderId="1" xfId="0" applyNumberFormat="1" applyFont="1" applyFill="1" applyBorder="1">
      <alignment vertical="center"/>
    </xf>
    <xf numFmtId="176" fontId="16" fillId="0" borderId="1" xfId="0" applyNumberFormat="1" applyFont="1" applyBorder="1">
      <alignment vertical="center"/>
    </xf>
    <xf numFmtId="176" fontId="16" fillId="2" borderId="1" xfId="0" applyNumberFormat="1" applyFont="1" applyFill="1" applyBorder="1" applyAlignment="1">
      <alignment vertical="center"/>
    </xf>
    <xf numFmtId="43" fontId="24" fillId="0" borderId="1" xfId="0" applyNumberFormat="1" applyFont="1" applyFill="1" applyBorder="1" applyAlignment="1">
      <alignment horizontal="center" vertical="center"/>
    </xf>
    <xf numFmtId="176" fontId="17" fillId="4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182" fontId="2" fillId="0" borderId="1" xfId="0" applyNumberFormat="1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vertical="center"/>
    </xf>
    <xf numFmtId="43" fontId="0" fillId="0" borderId="8" xfId="0" applyNumberFormat="1" applyFont="1" applyBorder="1" applyAlignment="1">
      <alignment horizontal="center" vertical="center"/>
    </xf>
    <xf numFmtId="43" fontId="0" fillId="0" borderId="8" xfId="0" applyNumberFormat="1" applyFont="1" applyBorder="1">
      <alignment vertical="center"/>
    </xf>
    <xf numFmtId="43" fontId="27" fillId="2" borderId="1" xfId="0" applyNumberFormat="1" applyFont="1" applyFill="1" applyBorder="1">
      <alignment vertical="center"/>
    </xf>
    <xf numFmtId="43" fontId="0" fillId="2" borderId="1" xfId="0" applyNumberFormat="1" applyFont="1" applyFill="1" applyBorder="1">
      <alignment vertical="center"/>
    </xf>
    <xf numFmtId="43" fontId="28" fillId="0" borderId="1" xfId="0" applyNumberFormat="1" applyFont="1" applyFill="1" applyBorder="1">
      <alignment vertical="center"/>
    </xf>
    <xf numFmtId="43" fontId="21" fillId="0" borderId="1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43" fontId="0" fillId="5" borderId="1" xfId="0" applyNumberFormat="1" applyFont="1" applyFill="1" applyBorder="1">
      <alignment vertical="center"/>
    </xf>
    <xf numFmtId="0" fontId="0" fillId="6" borderId="0" xfId="0" applyFont="1" applyFill="1">
      <alignment vertical="center"/>
    </xf>
    <xf numFmtId="0" fontId="0" fillId="0" borderId="2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9" fontId="12" fillId="0" borderId="1" xfId="0" applyNumberFormat="1" applyFont="1" applyFill="1" applyBorder="1" applyAlignment="1">
      <alignment horizontal="center" vertical="center"/>
    </xf>
    <xf numFmtId="182" fontId="0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9" fontId="13" fillId="0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176" fontId="0" fillId="6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179" fontId="13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82" fontId="0" fillId="6" borderId="1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176" fontId="29" fillId="0" borderId="1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78" fontId="7" fillId="0" borderId="14" xfId="0" applyNumberFormat="1" applyFont="1" applyFill="1" applyBorder="1" applyAlignment="1">
      <alignment horizontal="center" vertical="center"/>
    </xf>
    <xf numFmtId="178" fontId="7" fillId="0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179" fontId="12" fillId="0" borderId="18" xfId="0" applyNumberFormat="1" applyFont="1" applyFill="1" applyBorder="1" applyAlignment="1">
      <alignment horizontal="center" vertical="center"/>
    </xf>
    <xf numFmtId="176" fontId="29" fillId="0" borderId="18" xfId="0" applyNumberFormat="1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176" fontId="16" fillId="0" borderId="18" xfId="0" applyNumberFormat="1" applyFont="1" applyBorder="1" applyAlignment="1">
      <alignment horizontal="center" vertical="center"/>
    </xf>
    <xf numFmtId="176" fontId="16" fillId="0" borderId="12" xfId="0" applyNumberFormat="1" applyFont="1" applyBorder="1" applyAlignment="1">
      <alignment horizontal="center" vertical="center"/>
    </xf>
    <xf numFmtId="176" fontId="16" fillId="7" borderId="1" xfId="0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25" fillId="0" borderId="2" xfId="0" applyFont="1" applyBorder="1">
      <alignment vertical="center"/>
    </xf>
    <xf numFmtId="0" fontId="16" fillId="0" borderId="0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76" fontId="16" fillId="0" borderId="0" xfId="0" applyNumberFormat="1" applyFo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176" fontId="16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176" fontId="0" fillId="7" borderId="1" xfId="0" applyNumberFormat="1" applyFont="1" applyFill="1" applyBorder="1" applyAlignment="1">
      <alignment horizontal="center" vertical="center"/>
    </xf>
    <xf numFmtId="176" fontId="30" fillId="0" borderId="0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1" fillId="8" borderId="19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176" fontId="0" fillId="0" borderId="0" xfId="0" applyNumberFormat="1" applyFont="1" applyBorder="1" applyAlignment="1">
      <alignment vertical="center" wrapText="1"/>
    </xf>
    <xf numFmtId="176" fontId="0" fillId="0" borderId="1" xfId="0" applyNumberFormat="1" applyFont="1" applyFill="1" applyBorder="1">
      <alignment vertical="center"/>
    </xf>
    <xf numFmtId="176" fontId="0" fillId="0" borderId="0" xfId="0" applyNumberFormat="1" applyFont="1" applyFill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176" fontId="0" fillId="6" borderId="1" xfId="0" applyNumberFormat="1" applyFont="1" applyFill="1" applyBorder="1">
      <alignment vertical="center"/>
    </xf>
    <xf numFmtId="176" fontId="0" fillId="6" borderId="0" xfId="0" applyNumberFormat="1" applyFont="1" applyFill="1">
      <alignment vertical="center"/>
    </xf>
    <xf numFmtId="0" fontId="0" fillId="6" borderId="0" xfId="0" applyFont="1" applyFill="1" applyAlignment="1">
      <alignment horizontal="center" vertical="center"/>
    </xf>
    <xf numFmtId="176" fontId="0" fillId="6" borderId="0" xfId="0" applyNumberFormat="1" applyFont="1" applyFill="1" applyAlignment="1">
      <alignment horizontal="center" vertical="center"/>
    </xf>
    <xf numFmtId="176" fontId="0" fillId="2" borderId="1" xfId="0" applyNumberFormat="1" applyFont="1" applyFill="1" applyBorder="1">
      <alignment vertical="center"/>
    </xf>
    <xf numFmtId="0" fontId="31" fillId="8" borderId="0" xfId="0" applyFont="1" applyFill="1" applyAlignment="1">
      <alignment horizontal="center" vertical="center"/>
    </xf>
    <xf numFmtId="43" fontId="8" fillId="0" borderId="0" xfId="0" applyNumberFormat="1" applyFont="1">
      <alignment vertical="center"/>
    </xf>
    <xf numFmtId="0" fontId="33" fillId="0" borderId="0" xfId="0" applyFont="1">
      <alignment vertical="center"/>
    </xf>
    <xf numFmtId="0" fontId="34" fillId="8" borderId="0" xfId="0" applyFont="1" applyFill="1" applyAlignment="1">
      <alignment horizontal="center" vertical="center"/>
    </xf>
    <xf numFmtId="14" fontId="8" fillId="0" borderId="0" xfId="0" applyNumberFormat="1" applyFont="1">
      <alignment vertical="center"/>
    </xf>
    <xf numFmtId="4" fontId="8" fillId="0" borderId="0" xfId="0" applyNumberFormat="1" applyFont="1">
      <alignment vertical="center"/>
    </xf>
    <xf numFmtId="176" fontId="31" fillId="8" borderId="19" xfId="0" applyNumberFormat="1" applyFont="1" applyFill="1" applyBorder="1" applyAlignment="1">
      <alignment horizontal="center" vertical="center"/>
    </xf>
    <xf numFmtId="176" fontId="31" fillId="8" borderId="0" xfId="0" applyNumberFormat="1" applyFont="1" applyFill="1" applyAlignment="1">
      <alignment horizontal="center" vertical="center"/>
    </xf>
    <xf numFmtId="176" fontId="34" fillId="8" borderId="0" xfId="0" applyNumberFormat="1" applyFont="1" applyFill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176" fontId="32" fillId="0" borderId="0" xfId="0" applyNumberFormat="1" applyFont="1" applyAlignment="1">
      <alignment vertical="center" wrapText="1"/>
    </xf>
    <xf numFmtId="176" fontId="6" fillId="0" borderId="3" xfId="0" applyNumberFormat="1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 wrapText="1"/>
    </xf>
    <xf numFmtId="176" fontId="6" fillId="3" borderId="3" xfId="0" applyNumberFormat="1" applyFont="1" applyFill="1" applyBorder="1" applyAlignment="1">
      <alignment horizontal="left" vertical="center" wrapText="1"/>
    </xf>
    <xf numFmtId="14" fontId="6" fillId="3" borderId="3" xfId="0" applyNumberFormat="1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ED7D31"/>
      <color rgb="00C5D9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7"/>
  <sheetViews>
    <sheetView workbookViewId="0">
      <selection activeCell="D4" sqref="D4"/>
    </sheetView>
  </sheetViews>
  <sheetFormatPr defaultColWidth="9.65" defaultRowHeight="13.5"/>
  <cols>
    <col min="1" max="1" width="3.50833333333333" customWidth="1"/>
    <col min="2" max="2" width="16.125" customWidth="1"/>
    <col min="4" max="4" width="17.375" style="30" customWidth="1"/>
    <col min="5" max="5" width="12.875" style="30" customWidth="1"/>
    <col min="6" max="6" width="14.875" customWidth="1"/>
    <col min="7" max="7" width="9.875" customWidth="1"/>
    <col min="8" max="8" width="12.625"/>
    <col min="9" max="9" width="8.5" customWidth="1"/>
    <col min="10" max="10" width="9.375" customWidth="1"/>
    <col min="11" max="12" width="12.625"/>
  </cols>
  <sheetData>
    <row r="1" spans="2:7">
      <c r="B1" s="1" t="s">
        <v>0</v>
      </c>
      <c r="C1" s="2"/>
      <c r="D1" s="2"/>
      <c r="E1" s="2"/>
      <c r="F1" s="2"/>
      <c r="G1" s="2"/>
    </row>
    <row r="2" spans="2:7">
      <c r="B2" s="1"/>
      <c r="C2" s="2"/>
      <c r="D2" s="2"/>
      <c r="E2" s="2"/>
      <c r="F2" s="2"/>
      <c r="G2" s="2"/>
    </row>
    <row r="3" ht="29" customHeight="1" spans="2:7">
      <c r="B3" s="3" t="s">
        <v>1</v>
      </c>
      <c r="C3" s="4" t="s">
        <v>2</v>
      </c>
      <c r="D3" s="5" t="s">
        <v>3</v>
      </c>
      <c r="E3" s="6" t="s">
        <v>4</v>
      </c>
      <c r="F3" s="5" t="s">
        <v>5</v>
      </c>
      <c r="G3" s="4" t="s">
        <v>6</v>
      </c>
    </row>
    <row r="4" ht="29" customHeight="1" spans="2:7">
      <c r="B4" s="3" t="s">
        <v>7</v>
      </c>
      <c r="C4" s="4">
        <v>202403</v>
      </c>
      <c r="D4" s="222">
        <v>432380.95</v>
      </c>
      <c r="E4" s="8">
        <v>0.05</v>
      </c>
      <c r="F4" s="9">
        <f>D4*E4</f>
        <v>21619.0475</v>
      </c>
      <c r="G4" s="3"/>
    </row>
    <row r="5" ht="29" customHeight="1" spans="2:7">
      <c r="B5" s="3" t="s">
        <v>8</v>
      </c>
      <c r="C5" s="4">
        <v>202403</v>
      </c>
      <c r="D5" s="222">
        <f>F4</f>
        <v>21619.0475</v>
      </c>
      <c r="E5" s="8">
        <f>7%*50%</f>
        <v>0.035</v>
      </c>
      <c r="F5" s="9">
        <f>D5*E5</f>
        <v>756.6666625</v>
      </c>
      <c r="G5" s="3"/>
    </row>
    <row r="6" ht="29" customHeight="1" spans="2:7">
      <c r="B6" s="3" t="s">
        <v>9</v>
      </c>
      <c r="C6" s="4">
        <v>202403</v>
      </c>
      <c r="D6" s="222">
        <f>F4</f>
        <v>21619.0475</v>
      </c>
      <c r="E6" s="8">
        <f>3%*50%</f>
        <v>0.015</v>
      </c>
      <c r="F6" s="9">
        <f>D6*E6</f>
        <v>324.2857125</v>
      </c>
      <c r="G6" s="78"/>
    </row>
    <row r="7" ht="27" customHeight="1" spans="2:10">
      <c r="B7" s="3" t="s">
        <v>10</v>
      </c>
      <c r="C7" s="4">
        <v>202403</v>
      </c>
      <c r="D7" s="222">
        <f>F4</f>
        <v>21619.0475</v>
      </c>
      <c r="E7" s="8">
        <f>2%*50%</f>
        <v>0.01</v>
      </c>
      <c r="F7" s="9">
        <f>D7*E7</f>
        <v>216.190475</v>
      </c>
      <c r="G7" s="78"/>
      <c r="H7" s="223" t="s">
        <v>11</v>
      </c>
      <c r="I7">
        <v>476.19</v>
      </c>
      <c r="J7">
        <v>4523.81</v>
      </c>
    </row>
    <row r="8" ht="29" customHeight="1" spans="2:10">
      <c r="B8" s="3" t="s">
        <v>12</v>
      </c>
      <c r="C8" s="4">
        <v>202403</v>
      </c>
      <c r="D8" s="5">
        <v>515579.28</v>
      </c>
      <c r="E8" s="14">
        <v>0.12</v>
      </c>
      <c r="F8" s="9">
        <v>30934.77</v>
      </c>
      <c r="G8" s="3"/>
      <c r="H8" t="s">
        <v>13</v>
      </c>
      <c r="I8">
        <v>1904.76</v>
      </c>
      <c r="J8">
        <v>14285.71</v>
      </c>
    </row>
    <row r="9" ht="27" customHeight="1" spans="2:10">
      <c r="B9" s="3" t="s">
        <v>14</v>
      </c>
      <c r="C9" s="4">
        <v>202403</v>
      </c>
      <c r="D9" s="5">
        <v>2221098.77</v>
      </c>
      <c r="E9" s="14">
        <v>0.012</v>
      </c>
      <c r="F9" s="9">
        <v>13326.6</v>
      </c>
      <c r="G9" s="3"/>
      <c r="H9" t="s">
        <v>15</v>
      </c>
      <c r="I9">
        <v>190.48</v>
      </c>
      <c r="J9">
        <v>238.1</v>
      </c>
    </row>
    <row r="10" ht="29" customHeight="1" spans="2:7">
      <c r="B10" s="3" t="s">
        <v>16</v>
      </c>
      <c r="C10" s="4">
        <v>202403</v>
      </c>
      <c r="D10" s="5">
        <f>'房产税&amp;土地使用税'!E49</f>
        <v>204.316239174163</v>
      </c>
      <c r="E10" s="4" t="s">
        <v>17</v>
      </c>
      <c r="F10" s="9">
        <f>'房产税&amp;土地使用税'!G49</f>
        <v>1430.24</v>
      </c>
      <c r="G10" s="3"/>
    </row>
    <row r="11" spans="2:7">
      <c r="B11" s="3" t="s">
        <v>18</v>
      </c>
      <c r="C11" s="4">
        <v>202403</v>
      </c>
      <c r="D11" s="5">
        <v>900.48</v>
      </c>
      <c r="E11" s="4" t="s">
        <v>19</v>
      </c>
      <c r="F11" s="9">
        <f>'房产税&amp;土地使用税'!G53</f>
        <v>3601.9</v>
      </c>
      <c r="G11" s="3"/>
    </row>
    <row r="12" ht="27" hidden="1" customHeight="1" spans="2:7">
      <c r="B12" s="3" t="s">
        <v>20</v>
      </c>
      <c r="C12" s="4">
        <v>202403</v>
      </c>
      <c r="D12" s="5"/>
      <c r="E12" s="6"/>
      <c r="F12" s="9">
        <f>E12*D12</f>
        <v>0</v>
      </c>
      <c r="G12" s="3" t="s">
        <v>21</v>
      </c>
    </row>
    <row r="13" spans="2:7">
      <c r="B13" s="3" t="s">
        <v>22</v>
      </c>
      <c r="C13" s="4">
        <v>202403</v>
      </c>
      <c r="D13" s="5">
        <f>272833.81-15000</f>
        <v>257833.81</v>
      </c>
      <c r="E13" s="8">
        <v>0.25</v>
      </c>
      <c r="F13" s="9">
        <f>D13*E13</f>
        <v>64458.4525</v>
      </c>
      <c r="G13" s="3"/>
    </row>
    <row r="14" ht="29" customHeight="1" spans="2:7">
      <c r="B14" s="3" t="s">
        <v>23</v>
      </c>
      <c r="C14" s="4">
        <v>202403</v>
      </c>
      <c r="D14" s="5">
        <v>15000</v>
      </c>
      <c r="E14" s="8">
        <v>0.02</v>
      </c>
      <c r="F14" s="9">
        <f>D14*E14</f>
        <v>300</v>
      </c>
      <c r="G14" s="3"/>
    </row>
    <row r="15" ht="29" hidden="1" customHeight="1" spans="2:7">
      <c r="B15" s="3" t="s">
        <v>24</v>
      </c>
      <c r="C15" s="4">
        <v>202403</v>
      </c>
      <c r="D15" s="5"/>
      <c r="E15" s="8">
        <v>0.02</v>
      </c>
      <c r="F15" s="9">
        <v>0</v>
      </c>
      <c r="G15" s="3"/>
    </row>
    <row r="16" ht="29" hidden="1" customHeight="1" spans="2:7">
      <c r="B16" s="3" t="s">
        <v>25</v>
      </c>
      <c r="C16" s="4">
        <v>202403</v>
      </c>
      <c r="D16" s="5"/>
      <c r="E16" s="14"/>
      <c r="F16" s="9"/>
      <c r="G16" s="3"/>
    </row>
    <row r="17" ht="29" customHeight="1" spans="2:7">
      <c r="B17" s="3" t="s">
        <v>26</v>
      </c>
      <c r="C17" s="4"/>
      <c r="D17" s="5"/>
      <c r="E17" s="6"/>
      <c r="F17" s="9">
        <f>SUM(F4:F15)</f>
        <v>136968.15285</v>
      </c>
      <c r="G17" s="3"/>
    </row>
  </sheetData>
  <mergeCells count="1">
    <mergeCell ref="B1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2"/>
  <sheetViews>
    <sheetView zoomScale="130" zoomScaleNormal="130" topLeftCell="A27" workbookViewId="0">
      <selection activeCell="A35" sqref="A35:G39"/>
    </sheetView>
  </sheetViews>
  <sheetFormatPr defaultColWidth="9" defaultRowHeight="13.5"/>
  <cols>
    <col min="1" max="1" width="8.75" style="30" customWidth="1"/>
    <col min="2" max="2" width="17.375" style="30" customWidth="1"/>
    <col min="3" max="3" width="16.875" style="30" customWidth="1"/>
    <col min="4" max="4" width="20.625" style="30" customWidth="1"/>
    <col min="5" max="5" width="13.75" style="20" customWidth="1"/>
    <col min="6" max="6" width="10.375" style="30" customWidth="1"/>
    <col min="7" max="7" width="11.875" style="20" customWidth="1"/>
    <col min="8" max="8" width="12.5" style="20" customWidth="1"/>
    <col min="9" max="9" width="12.125" style="37" customWidth="1"/>
    <col min="10" max="10" width="8.75" style="37" customWidth="1"/>
    <col min="11" max="11" width="5.25" style="37" customWidth="1"/>
    <col min="12" max="12" width="9.125" style="30" customWidth="1"/>
    <col min="13" max="13" width="14.125" style="30" customWidth="1"/>
    <col min="14" max="14" width="14.75" style="30" customWidth="1"/>
    <col min="15" max="15" width="15.125" style="20" customWidth="1"/>
    <col min="16" max="16" width="11.375" style="30" customWidth="1"/>
    <col min="17" max="17" width="9" style="30" customWidth="1"/>
    <col min="18" max="18" width="12" style="37" customWidth="1"/>
    <col min="19" max="19" width="11.75" style="37" customWidth="1"/>
    <col min="20" max="20" width="12.625"/>
    <col min="21" max="21" width="14.25" style="37" customWidth="1"/>
    <col min="22" max="22" width="14.25" customWidth="1"/>
    <col min="23" max="23" width="9.375"/>
  </cols>
  <sheetData>
    <row r="1" ht="24" customHeight="1" spans="1:9">
      <c r="A1" s="18" t="s">
        <v>27</v>
      </c>
      <c r="B1" s="18"/>
      <c r="C1" s="18"/>
      <c r="D1" s="18"/>
      <c r="E1" s="18"/>
      <c r="F1" s="18"/>
      <c r="G1" s="19"/>
      <c r="H1" s="18"/>
      <c r="I1" s="18"/>
    </row>
    <row r="2" ht="15" customHeight="1" spans="1:21">
      <c r="A2" s="146" t="s">
        <v>14</v>
      </c>
      <c r="B2" s="146" t="s">
        <v>2</v>
      </c>
      <c r="C2" s="21" t="s">
        <v>28</v>
      </c>
      <c r="D2" s="146" t="s">
        <v>29</v>
      </c>
      <c r="E2" s="22" t="s">
        <v>30</v>
      </c>
      <c r="F2" s="21" t="s">
        <v>31</v>
      </c>
      <c r="G2" s="22" t="s">
        <v>4</v>
      </c>
      <c r="H2" s="22" t="s">
        <v>32</v>
      </c>
      <c r="I2" s="194" t="s">
        <v>33</v>
      </c>
      <c r="J2" s="195"/>
      <c r="K2" s="195"/>
      <c r="U2"/>
    </row>
    <row r="3" spans="1:21">
      <c r="A3" s="75"/>
      <c r="B3" s="147" t="s">
        <v>34</v>
      </c>
      <c r="C3" s="148" t="s">
        <v>35</v>
      </c>
      <c r="D3" s="149">
        <v>109.83</v>
      </c>
      <c r="E3" s="26">
        <f>D3*C28</f>
        <v>134864.886084199</v>
      </c>
      <c r="F3" s="25">
        <v>0.7</v>
      </c>
      <c r="G3" s="150">
        <v>0.012</v>
      </c>
      <c r="H3" s="147">
        <f>E3*F3*G3/12*2</f>
        <v>188.810840517878</v>
      </c>
      <c r="I3" s="196">
        <f>H3*50%</f>
        <v>94.4054202589391</v>
      </c>
      <c r="J3" s="197"/>
      <c r="K3" s="197"/>
      <c r="U3"/>
    </row>
    <row r="4" spans="1:21">
      <c r="A4" s="75"/>
      <c r="B4" s="147" t="s">
        <v>34</v>
      </c>
      <c r="C4" s="151" t="s">
        <v>36</v>
      </c>
      <c r="D4" s="149">
        <v>59.49</v>
      </c>
      <c r="E4" s="152">
        <f>D4*C28</f>
        <v>73050.278367923</v>
      </c>
      <c r="F4" s="25">
        <v>0.7</v>
      </c>
      <c r="G4" s="150">
        <v>0.012</v>
      </c>
      <c r="H4" s="147">
        <f>E4*F4*G4/12*2</f>
        <v>102.270389715092</v>
      </c>
      <c r="I4" s="196">
        <f>H4*50%</f>
        <v>51.1351948575461</v>
      </c>
      <c r="J4" s="197"/>
      <c r="K4" s="197"/>
      <c r="U4"/>
    </row>
    <row r="5" spans="1:21">
      <c r="A5" s="75"/>
      <c r="B5" s="147" t="s">
        <v>34</v>
      </c>
      <c r="C5" s="151" t="s">
        <v>37</v>
      </c>
      <c r="D5" s="149">
        <v>173.11</v>
      </c>
      <c r="E5" s="26">
        <f>D5*C28</f>
        <v>212569.065191984</v>
      </c>
      <c r="F5" s="25">
        <v>0.7</v>
      </c>
      <c r="G5" s="150">
        <v>0.012</v>
      </c>
      <c r="H5" s="147">
        <f>E5*F5*G5/12*2</f>
        <v>297.596691268778</v>
      </c>
      <c r="I5" s="196">
        <f>H5*50%</f>
        <v>148.798345634389</v>
      </c>
      <c r="J5" s="198"/>
      <c r="K5" s="198"/>
      <c r="U5"/>
    </row>
    <row r="6" spans="1:21">
      <c r="A6" s="75"/>
      <c r="B6" s="147" t="s">
        <v>34</v>
      </c>
      <c r="C6" s="151" t="s">
        <v>38</v>
      </c>
      <c r="D6" s="149">
        <v>363.29</v>
      </c>
      <c r="E6" s="26">
        <f>D6*C28</f>
        <v>446099.102845567</v>
      </c>
      <c r="F6" s="25">
        <v>0.7</v>
      </c>
      <c r="G6" s="150">
        <v>0.012</v>
      </c>
      <c r="H6" s="147">
        <f>E6*F6*G6/12*2</f>
        <v>624.538743983793</v>
      </c>
      <c r="I6" s="147">
        <f>H6*50%</f>
        <v>312.269371991897</v>
      </c>
      <c r="J6" s="199"/>
      <c r="K6" s="199"/>
      <c r="U6"/>
    </row>
    <row r="7" spans="1:21">
      <c r="A7" s="75"/>
      <c r="B7" s="147"/>
      <c r="C7" s="148" t="s">
        <v>39</v>
      </c>
      <c r="D7" s="149"/>
      <c r="E7" s="26"/>
      <c r="F7" s="25">
        <v>0.7</v>
      </c>
      <c r="G7" s="150">
        <v>0.012</v>
      </c>
      <c r="H7" s="147"/>
      <c r="I7" s="147"/>
      <c r="J7" s="199"/>
      <c r="K7" s="199"/>
      <c r="U7"/>
    </row>
    <row r="8" spans="1:21">
      <c r="A8" s="75"/>
      <c r="B8" s="147" t="s">
        <v>34</v>
      </c>
      <c r="C8" s="148" t="s">
        <v>40</v>
      </c>
      <c r="D8" s="149">
        <v>687.77</v>
      </c>
      <c r="E8" s="26">
        <f>D8*C28</f>
        <v>844541.770938081</v>
      </c>
      <c r="F8" s="25">
        <v>0.7</v>
      </c>
      <c r="G8" s="150">
        <v>0.012</v>
      </c>
      <c r="H8" s="147">
        <f>E8*F8*G8/12*2</f>
        <v>1182.35847931331</v>
      </c>
      <c r="I8" s="196">
        <f>H8*50%</f>
        <v>591.179239656656</v>
      </c>
      <c r="J8" s="198"/>
      <c r="K8" s="198"/>
      <c r="U8"/>
    </row>
    <row r="9" spans="1:21">
      <c r="A9" s="75"/>
      <c r="B9" s="147" t="s">
        <v>34</v>
      </c>
      <c r="C9" s="151" t="s">
        <v>41</v>
      </c>
      <c r="D9" s="149">
        <v>38.42</v>
      </c>
      <c r="E9" s="26">
        <f>D9*C28</f>
        <v>47177.5373154413</v>
      </c>
      <c r="F9" s="25">
        <v>0.7</v>
      </c>
      <c r="G9" s="150">
        <v>0.012</v>
      </c>
      <c r="H9" s="147">
        <f>E9*F9*G9/12*2</f>
        <v>66.0485522416178</v>
      </c>
      <c r="I9" s="147">
        <f>H9*50%</f>
        <v>33.0242761208089</v>
      </c>
      <c r="J9" s="197"/>
      <c r="K9" s="197"/>
      <c r="U9"/>
    </row>
    <row r="10" spans="1:11">
      <c r="A10" s="75"/>
      <c r="B10" s="147" t="s">
        <v>34</v>
      </c>
      <c r="C10" s="151" t="s">
        <v>42</v>
      </c>
      <c r="D10" s="149"/>
      <c r="E10" s="26"/>
      <c r="F10" s="25">
        <v>0.7</v>
      </c>
      <c r="G10" s="150">
        <v>0.012</v>
      </c>
      <c r="H10" s="147"/>
      <c r="I10" s="147"/>
      <c r="J10" s="198"/>
      <c r="K10" s="198"/>
    </row>
    <row r="11" spans="1:11">
      <c r="A11" s="75"/>
      <c r="B11" s="147" t="s">
        <v>43</v>
      </c>
      <c r="C11" s="153" t="s">
        <v>44</v>
      </c>
      <c r="D11" s="154">
        <f>38.42+38.42</f>
        <v>76.84</v>
      </c>
      <c r="E11" s="26">
        <f>D11*C28</f>
        <v>94355.0746308826</v>
      </c>
      <c r="F11" s="25">
        <v>0.7</v>
      </c>
      <c r="G11" s="150">
        <v>0.012</v>
      </c>
      <c r="H11" s="147">
        <f>E11*F11*G11/12*6</f>
        <v>396.291313449707</v>
      </c>
      <c r="I11" s="196">
        <f>H11*50%</f>
        <v>198.145656724853</v>
      </c>
      <c r="J11" s="197"/>
      <c r="K11" s="197"/>
    </row>
    <row r="12" s="145" customFormat="1" spans="1:21">
      <c r="A12" s="155"/>
      <c r="B12" s="156" t="s">
        <v>43</v>
      </c>
      <c r="C12" s="157" t="s">
        <v>45</v>
      </c>
      <c r="D12" s="158">
        <v>1505.01</v>
      </c>
      <c r="E12" s="156">
        <f>D12*C28</f>
        <v>1848065.2117416</v>
      </c>
      <c r="F12" s="159">
        <v>0.7</v>
      </c>
      <c r="G12" s="160">
        <v>0.012</v>
      </c>
      <c r="H12" s="156">
        <f>E12*F12*G12/12*5</f>
        <v>6468.2282410956</v>
      </c>
      <c r="I12" s="200">
        <f>H12*50%</f>
        <v>3234.1141205478</v>
      </c>
      <c r="J12" s="201"/>
      <c r="K12" s="201"/>
      <c r="L12" s="202"/>
      <c r="M12" s="202"/>
      <c r="N12" s="202"/>
      <c r="O12" s="203"/>
      <c r="P12" s="202"/>
      <c r="Q12" s="202"/>
      <c r="R12" s="201"/>
      <c r="S12" s="201"/>
      <c r="U12" s="201"/>
    </row>
    <row r="13" spans="1:11">
      <c r="A13" s="75"/>
      <c r="B13" s="75"/>
      <c r="C13" s="25" t="s">
        <v>46</v>
      </c>
      <c r="D13" s="25">
        <f>SUM(D3:D12)</f>
        <v>3013.76</v>
      </c>
      <c r="E13" s="26">
        <f>SUM(E3:E12)</f>
        <v>3700722.92711568</v>
      </c>
      <c r="F13" s="25"/>
      <c r="G13" s="26"/>
      <c r="H13" s="147">
        <f>SUM(H3:H12)</f>
        <v>9326.14325158578</v>
      </c>
      <c r="I13" s="204">
        <f>SUM(I3:I12)</f>
        <v>4663.07162579289</v>
      </c>
      <c r="J13" s="197"/>
      <c r="K13" s="197"/>
    </row>
    <row r="14" ht="21" customHeight="1" spans="1:8">
      <c r="A14" s="75" t="s">
        <v>12</v>
      </c>
      <c r="B14" s="161" t="s">
        <v>2</v>
      </c>
      <c r="C14" s="162" t="s">
        <v>28</v>
      </c>
      <c r="D14" s="21" t="s">
        <v>29</v>
      </c>
      <c r="E14" s="22" t="s">
        <v>47</v>
      </c>
      <c r="F14" s="25" t="s">
        <v>4</v>
      </c>
      <c r="G14" s="26"/>
      <c r="H14" s="22" t="s">
        <v>32</v>
      </c>
    </row>
    <row r="15" spans="1:19">
      <c r="A15" s="75"/>
      <c r="B15" s="163" t="s">
        <v>48</v>
      </c>
      <c r="C15" s="148" t="s">
        <v>49</v>
      </c>
      <c r="D15" s="53">
        <v>109.83</v>
      </c>
      <c r="E15" s="164">
        <f>7*30*3.12*115.79</f>
        <v>75865.608</v>
      </c>
      <c r="F15" s="82">
        <v>0.12</v>
      </c>
      <c r="G15" s="104"/>
      <c r="H15" s="104">
        <f>E15*F15/2</f>
        <v>4551.93648</v>
      </c>
      <c r="I15" s="37">
        <f>H15/12</f>
        <v>379.32804</v>
      </c>
      <c r="L15" s="35"/>
      <c r="M15" s="35"/>
      <c r="N15" s="35"/>
      <c r="O15" s="24"/>
      <c r="P15" s="35"/>
      <c r="Q15" s="24"/>
      <c r="R15" s="24"/>
      <c r="S15" s="24"/>
    </row>
    <row r="16" spans="1:19">
      <c r="A16" s="75"/>
      <c r="B16" s="163" t="s">
        <v>48</v>
      </c>
      <c r="C16" s="151" t="s">
        <v>36</v>
      </c>
      <c r="D16" s="58">
        <v>59.49</v>
      </c>
      <c r="E16" s="164">
        <f>8*30*3.33*57.35</f>
        <v>45834.12</v>
      </c>
      <c r="F16" s="82">
        <v>0.12</v>
      </c>
      <c r="G16" s="104"/>
      <c r="H16" s="104">
        <f t="shared" ref="H16:H21" si="0">E16*F16/2</f>
        <v>2750.0472</v>
      </c>
      <c r="L16" s="24"/>
      <c r="M16" s="35"/>
      <c r="N16" s="24"/>
      <c r="O16" s="24"/>
      <c r="P16" s="35"/>
      <c r="Q16" s="35"/>
      <c r="R16" s="39"/>
      <c r="S16" s="39"/>
    </row>
    <row r="17" spans="1:14">
      <c r="A17" s="75"/>
      <c r="B17" s="163" t="s">
        <v>48</v>
      </c>
      <c r="C17" s="165" t="s">
        <v>37</v>
      </c>
      <c r="D17" s="149">
        <v>173.11</v>
      </c>
      <c r="E17" s="164">
        <v>300000</v>
      </c>
      <c r="F17" s="82">
        <v>0.12</v>
      </c>
      <c r="G17" s="104"/>
      <c r="H17" s="104">
        <f t="shared" si="0"/>
        <v>18000</v>
      </c>
      <c r="I17" s="37" t="s">
        <v>50</v>
      </c>
      <c r="L17" s="20"/>
      <c r="N17" s="20"/>
    </row>
    <row r="18" spans="1:14">
      <c r="A18" s="75"/>
      <c r="B18" s="163" t="s">
        <v>48</v>
      </c>
      <c r="C18" s="166" t="s">
        <v>39</v>
      </c>
      <c r="D18" s="149">
        <v>363.29</v>
      </c>
      <c r="E18" s="164">
        <f>3*30*3.39*24.2</f>
        <v>7383.42</v>
      </c>
      <c r="F18" s="82">
        <v>0.12</v>
      </c>
      <c r="G18" s="104"/>
      <c r="H18" s="104">
        <f t="shared" si="0"/>
        <v>443.0052</v>
      </c>
      <c r="L18" s="20"/>
      <c r="M18" s="20"/>
      <c r="N18" s="20"/>
    </row>
    <row r="19" spans="1:14">
      <c r="A19" s="75"/>
      <c r="B19" s="163" t="s">
        <v>48</v>
      </c>
      <c r="C19" s="167" t="s">
        <v>40</v>
      </c>
      <c r="D19" s="149">
        <v>687.77</v>
      </c>
      <c r="E19" s="164">
        <f>5*30*3.36*40.72</f>
        <v>20522.88</v>
      </c>
      <c r="F19" s="82">
        <v>0.12</v>
      </c>
      <c r="G19" s="104"/>
      <c r="H19" s="104">
        <f t="shared" si="0"/>
        <v>1231.3728</v>
      </c>
      <c r="N19" s="20"/>
    </row>
    <row r="20" spans="1:14">
      <c r="A20" s="75"/>
      <c r="B20" s="163" t="s">
        <v>48</v>
      </c>
      <c r="C20" s="168" t="s">
        <v>41</v>
      </c>
      <c r="D20" s="149">
        <v>38.42</v>
      </c>
      <c r="E20" s="164">
        <f>6*30*4.059*40.72</f>
        <v>29750.8464</v>
      </c>
      <c r="F20" s="82">
        <v>0.12</v>
      </c>
      <c r="G20" s="104"/>
      <c r="H20" s="104">
        <f t="shared" si="0"/>
        <v>1785.050784</v>
      </c>
      <c r="L20" s="20"/>
      <c r="M20" s="20"/>
      <c r="N20" s="20"/>
    </row>
    <row r="21" spans="1:12">
      <c r="A21" s="75"/>
      <c r="B21" s="169" t="s">
        <v>48</v>
      </c>
      <c r="C21" s="170" t="s">
        <v>42</v>
      </c>
      <c r="D21" s="171"/>
      <c r="E21" s="172">
        <f>6*30*2.99*32</f>
        <v>17222.4</v>
      </c>
      <c r="F21" s="173">
        <v>0.12</v>
      </c>
      <c r="G21" s="174"/>
      <c r="H21" s="104">
        <f t="shared" si="0"/>
        <v>1033.344</v>
      </c>
      <c r="L21"/>
    </row>
    <row r="22" spans="1:8">
      <c r="A22" s="75"/>
      <c r="B22" s="175"/>
      <c r="C22" s="26" t="s">
        <v>46</v>
      </c>
      <c r="D22" s="104">
        <f>SUM(D15:D21)</f>
        <v>1431.91</v>
      </c>
      <c r="E22" s="104"/>
      <c r="F22" s="104"/>
      <c r="G22" s="104"/>
      <c r="H22" s="125">
        <f>SUM(H15:H21)</f>
        <v>29794.756464</v>
      </c>
    </row>
    <row r="23" ht="8" customHeight="1"/>
    <row r="24" spans="2:3">
      <c r="B24" s="82" t="s">
        <v>51</v>
      </c>
      <c r="C24" s="104">
        <v>19235799.7</v>
      </c>
    </row>
    <row r="25" spans="2:3">
      <c r="B25" s="82" t="s">
        <v>52</v>
      </c>
      <c r="C25" s="104">
        <v>15665.07</v>
      </c>
    </row>
    <row r="26" ht="31" customHeight="1" spans="2:11">
      <c r="B26" s="82" t="s">
        <v>53</v>
      </c>
      <c r="C26" s="104">
        <v>3013.76</v>
      </c>
      <c r="I26" s="33"/>
      <c r="J26" s="33"/>
      <c r="K26" s="33"/>
    </row>
    <row r="27" ht="14.25" spans="2:11">
      <c r="B27" s="82" t="s">
        <v>30</v>
      </c>
      <c r="C27" s="176">
        <f>C24/C25*D13</f>
        <v>3700722.92711568</v>
      </c>
      <c r="I27" s="33"/>
      <c r="J27" s="33"/>
      <c r="K27" s="33"/>
    </row>
    <row r="28" ht="18" spans="2:18">
      <c r="B28" s="82"/>
      <c r="C28" s="104">
        <f>C27/D13</f>
        <v>1227.94214772101</v>
      </c>
      <c r="I28" s="33"/>
      <c r="J28" s="33"/>
      <c r="K28" s="33"/>
      <c r="P28" s="190"/>
      <c r="Q28" s="190"/>
      <c r="R28" s="211"/>
    </row>
    <row r="29" ht="17.25" spans="4:18">
      <c r="D29" s="20">
        <v>4284.55</v>
      </c>
      <c r="E29" s="20">
        <v>2630.57</v>
      </c>
      <c r="F29" s="30">
        <f>D29-E29</f>
        <v>1653.98</v>
      </c>
      <c r="I29" s="33"/>
      <c r="J29" s="33"/>
      <c r="K29" s="33"/>
      <c r="P29" s="205"/>
      <c r="Q29" s="205"/>
      <c r="R29" s="212"/>
    </row>
    <row r="30" ht="22.5" spans="1:18">
      <c r="A30" s="18" t="s">
        <v>54</v>
      </c>
      <c r="B30" s="18"/>
      <c r="C30" s="18"/>
      <c r="D30" s="18"/>
      <c r="E30" s="18"/>
      <c r="F30" s="18"/>
      <c r="G30" s="18"/>
      <c r="H30" s="18"/>
      <c r="I30" s="206">
        <f>F29*I32</f>
        <v>1386673.09658873</v>
      </c>
      <c r="J30" s="33"/>
      <c r="K30" s="33"/>
      <c r="P30" s="205"/>
      <c r="Q30" s="205"/>
      <c r="R30" s="212"/>
    </row>
    <row r="31" ht="16.5" spans="1:18">
      <c r="A31" s="146" t="s">
        <v>14</v>
      </c>
      <c r="B31" s="177" t="s">
        <v>2</v>
      </c>
      <c r="C31" s="146" t="s">
        <v>29</v>
      </c>
      <c r="D31" s="22" t="s">
        <v>30</v>
      </c>
      <c r="E31" s="21" t="s">
        <v>31</v>
      </c>
      <c r="F31" s="21" t="s">
        <v>4</v>
      </c>
      <c r="G31" s="22" t="s">
        <v>32</v>
      </c>
      <c r="H31" s="178" t="s">
        <v>55</v>
      </c>
      <c r="I31" s="207"/>
      <c r="J31" s="207"/>
      <c r="K31" s="207"/>
      <c r="P31" s="208"/>
      <c r="Q31" s="208"/>
      <c r="R31" s="213"/>
    </row>
    <row r="32" ht="17.25" spans="1:18">
      <c r="A32" s="76"/>
      <c r="B32" s="163" t="s">
        <v>34</v>
      </c>
      <c r="C32" s="82">
        <v>5075.23</v>
      </c>
      <c r="D32" s="104">
        <f>C32*C43</f>
        <v>4255000</v>
      </c>
      <c r="E32" s="82">
        <v>0.7</v>
      </c>
      <c r="F32" s="82">
        <v>0.012</v>
      </c>
      <c r="G32" s="104">
        <f>D32*E32*F32/12*2</f>
        <v>5957</v>
      </c>
      <c r="H32" s="124">
        <f>G32*50%</f>
        <v>2978.5</v>
      </c>
      <c r="I32" s="206">
        <f>D32/C32</f>
        <v>838.385649517362</v>
      </c>
      <c r="J32" s="33"/>
      <c r="K32" s="33"/>
      <c r="P32" s="205"/>
      <c r="Q32" s="205"/>
      <c r="R32" s="212"/>
    </row>
    <row r="33" ht="17.25" spans="1:18">
      <c r="A33" s="76"/>
      <c r="B33" s="163" t="s">
        <v>56</v>
      </c>
      <c r="C33" s="82">
        <f>C32-D39</f>
        <v>4843.51</v>
      </c>
      <c r="D33" s="104">
        <f>C33*C43</f>
        <v>4060729.27729384</v>
      </c>
      <c r="E33" s="82">
        <v>0.7</v>
      </c>
      <c r="F33" s="82">
        <f>F32</f>
        <v>0.012</v>
      </c>
      <c r="G33" s="104">
        <f>D33*E33*F33/9*3</f>
        <v>11370.0419764227</v>
      </c>
      <c r="H33" s="124">
        <f>G33*50%</f>
        <v>5685.02098821137</v>
      </c>
      <c r="I33" s="33"/>
      <c r="J33" s="33"/>
      <c r="K33" s="33"/>
      <c r="P33" s="205"/>
      <c r="Q33" s="205"/>
      <c r="R33" s="212"/>
    </row>
    <row r="34" ht="17.25" spans="1:18">
      <c r="A34" s="76"/>
      <c r="B34" s="179" t="s">
        <v>46</v>
      </c>
      <c r="C34" s="179"/>
      <c r="D34" s="84"/>
      <c r="E34" s="84"/>
      <c r="F34" s="84"/>
      <c r="G34" s="104">
        <f>SUM(G32:G33)</f>
        <v>17327.0419764227</v>
      </c>
      <c r="H34" s="125">
        <f>SUM(H32:H33)</f>
        <v>8663.52098821137</v>
      </c>
      <c r="I34" s="33"/>
      <c r="J34" s="33"/>
      <c r="K34" s="33"/>
      <c r="P34" s="205"/>
      <c r="Q34" s="205"/>
      <c r="R34" s="212"/>
    </row>
    <row r="35" ht="16.5" spans="1:18">
      <c r="A35" s="75" t="s">
        <v>12</v>
      </c>
      <c r="B35" s="75" t="s">
        <v>2</v>
      </c>
      <c r="C35" s="25" t="s">
        <v>28</v>
      </c>
      <c r="D35" s="26" t="s">
        <v>29</v>
      </c>
      <c r="E35" s="26" t="s">
        <v>47</v>
      </c>
      <c r="F35" s="25" t="s">
        <v>4</v>
      </c>
      <c r="G35" s="26" t="s">
        <v>32</v>
      </c>
      <c r="H35" s="37"/>
      <c r="I35" s="207"/>
      <c r="J35" s="207"/>
      <c r="K35" s="207"/>
      <c r="P35" s="208"/>
      <c r="Q35" s="208"/>
      <c r="R35" s="213"/>
    </row>
    <row r="36" ht="17.25" spans="1:18">
      <c r="A36" s="76"/>
      <c r="B36" s="82" t="s">
        <v>48</v>
      </c>
      <c r="C36" s="180" t="s">
        <v>57</v>
      </c>
      <c r="D36" s="127">
        <v>119.98</v>
      </c>
      <c r="E36" s="128">
        <v>10000</v>
      </c>
      <c r="F36" s="82">
        <v>0.12</v>
      </c>
      <c r="G36" s="104">
        <f>E36*F36/2</f>
        <v>600</v>
      </c>
      <c r="H36" s="181"/>
      <c r="I36" s="33"/>
      <c r="J36" s="33"/>
      <c r="K36" s="33"/>
      <c r="P36" s="205"/>
      <c r="Q36" s="205"/>
      <c r="R36" s="212"/>
    </row>
    <row r="37" ht="17.25" spans="1:18">
      <c r="A37" s="76"/>
      <c r="B37" s="82" t="s">
        <v>48</v>
      </c>
      <c r="C37" s="182" t="s">
        <v>58</v>
      </c>
      <c r="D37" s="127">
        <v>70</v>
      </c>
      <c r="E37" s="128">
        <v>4000</v>
      </c>
      <c r="F37" s="82">
        <v>0.12</v>
      </c>
      <c r="G37" s="104">
        <f>E37*F37/2</f>
        <v>240</v>
      </c>
      <c r="H37" s="181"/>
      <c r="I37" s="33"/>
      <c r="J37" s="33"/>
      <c r="K37" s="33"/>
      <c r="P37" s="205"/>
      <c r="Q37" s="205"/>
      <c r="R37" s="212"/>
    </row>
    <row r="38" ht="17.25" spans="1:18">
      <c r="A38" s="76"/>
      <c r="B38" s="82" t="s">
        <v>48</v>
      </c>
      <c r="C38" s="180" t="s">
        <v>59</v>
      </c>
      <c r="D38" s="127">
        <v>41.74</v>
      </c>
      <c r="E38" s="128">
        <v>5000</v>
      </c>
      <c r="F38" s="82">
        <v>0.12</v>
      </c>
      <c r="G38" s="104">
        <f>E38*F38/2</f>
        <v>300</v>
      </c>
      <c r="H38" s="181"/>
      <c r="I38" s="33"/>
      <c r="J38" s="33"/>
      <c r="K38" s="33"/>
      <c r="P38" s="205"/>
      <c r="Q38" s="205"/>
      <c r="R38" s="212"/>
    </row>
    <row r="39" ht="17.25" spans="1:18">
      <c r="A39" s="76"/>
      <c r="B39" s="82"/>
      <c r="C39" s="82" t="s">
        <v>46</v>
      </c>
      <c r="D39" s="104">
        <f>SUM(D36:D38)</f>
        <v>231.72</v>
      </c>
      <c r="E39" s="104">
        <f>SUM(E36:E38)</f>
        <v>19000</v>
      </c>
      <c r="F39" s="82"/>
      <c r="G39" s="129">
        <f>SUM(G36:G38)</f>
        <v>1140</v>
      </c>
      <c r="H39" s="183"/>
      <c r="I39" s="33"/>
      <c r="J39" s="33"/>
      <c r="K39" s="33"/>
      <c r="P39" s="205"/>
      <c r="Q39" s="205"/>
      <c r="R39" s="212"/>
    </row>
    <row r="40" ht="14" customHeight="1" spans="1:18">
      <c r="A40" s="184"/>
      <c r="B40" s="35"/>
      <c r="C40" s="35"/>
      <c r="D40" s="24"/>
      <c r="E40" s="35"/>
      <c r="F40" s="35"/>
      <c r="G40" s="24"/>
      <c r="H40" s="39"/>
      <c r="I40" s="33"/>
      <c r="J40" s="33"/>
      <c r="K40" s="33"/>
      <c r="P40" s="205"/>
      <c r="Q40" s="205"/>
      <c r="R40" s="212"/>
    </row>
    <row r="41" ht="16" customHeight="1" spans="1:18">
      <c r="A41" s="184"/>
      <c r="B41" s="26" t="s">
        <v>30</v>
      </c>
      <c r="C41" s="185">
        <v>4255000</v>
      </c>
      <c r="E41" s="35"/>
      <c r="F41" s="24"/>
      <c r="G41" s="24"/>
      <c r="H41" s="186"/>
      <c r="I41" s="33"/>
      <c r="J41" s="33"/>
      <c r="K41" s="33"/>
      <c r="P41" s="205"/>
      <c r="Q41" s="205"/>
      <c r="R41" s="212"/>
    </row>
    <row r="42" ht="17.25" spans="1:18">
      <c r="A42" s="184"/>
      <c r="B42" s="26" t="s">
        <v>60</v>
      </c>
      <c r="C42" s="26">
        <v>5075.23</v>
      </c>
      <c r="E42" s="35"/>
      <c r="F42" s="35"/>
      <c r="G42" s="24"/>
      <c r="H42" s="186"/>
      <c r="I42" s="33"/>
      <c r="J42" s="33"/>
      <c r="K42" s="33"/>
      <c r="P42" s="205"/>
      <c r="Q42" s="205"/>
      <c r="R42" s="212"/>
    </row>
    <row r="43" ht="16" customHeight="1" spans="1:18">
      <c r="A43" s="35"/>
      <c r="B43" s="26"/>
      <c r="C43" s="26">
        <f>C41/C42</f>
        <v>838.385649517362</v>
      </c>
      <c r="E43" s="35"/>
      <c r="F43" s="35"/>
      <c r="G43" s="24"/>
      <c r="H43" s="186"/>
      <c r="I43" s="33"/>
      <c r="J43" s="33"/>
      <c r="K43" s="33"/>
      <c r="P43" s="205"/>
      <c r="Q43" s="205"/>
      <c r="R43" s="212"/>
    </row>
    <row r="44" ht="15" customHeight="1" spans="4:18">
      <c r="D44" s="20"/>
      <c r="I44" s="33"/>
      <c r="J44" s="33"/>
      <c r="K44" s="33"/>
      <c r="P44" s="205"/>
      <c r="Q44" s="205"/>
      <c r="R44" s="212"/>
    </row>
    <row r="45" ht="22.5" spans="1:18">
      <c r="A45" s="18" t="s">
        <v>61</v>
      </c>
      <c r="B45" s="18"/>
      <c r="C45" s="18"/>
      <c r="D45" s="18"/>
      <c r="E45" s="18"/>
      <c r="F45" s="18"/>
      <c r="G45" s="19"/>
      <c r="I45" s="33"/>
      <c r="J45" s="33"/>
      <c r="K45" s="33"/>
      <c r="L45" s="34"/>
      <c r="M45" s="34"/>
      <c r="N45" s="34"/>
      <c r="O45" s="34"/>
      <c r="P45" s="34"/>
      <c r="Q45" s="34"/>
      <c r="R45" s="34"/>
    </row>
    <row r="46" ht="17.25" spans="1:21">
      <c r="A46" s="21" t="s">
        <v>28</v>
      </c>
      <c r="B46" s="22" t="s">
        <v>62</v>
      </c>
      <c r="C46" s="21" t="s">
        <v>63</v>
      </c>
      <c r="D46" s="21" t="s">
        <v>64</v>
      </c>
      <c r="E46" s="22" t="s">
        <v>65</v>
      </c>
      <c r="F46" s="22" t="s">
        <v>32</v>
      </c>
      <c r="G46" s="23" t="s">
        <v>33</v>
      </c>
      <c r="H46" s="24"/>
      <c r="I46" s="33"/>
      <c r="J46" s="33"/>
      <c r="K46" s="33"/>
      <c r="L46" s="35"/>
      <c r="M46" s="24"/>
      <c r="N46" s="35"/>
      <c r="O46" s="36"/>
      <c r="P46" s="37"/>
      <c r="Q46"/>
      <c r="S46"/>
      <c r="U46"/>
    </row>
    <row r="47" ht="17.25" spans="1:21">
      <c r="A47" s="25" t="s">
        <v>66</v>
      </c>
      <c r="B47" s="26">
        <f>2124.01/15665.07*1505.01</f>
        <v>204.062687884574</v>
      </c>
      <c r="C47" s="26" t="s">
        <v>67</v>
      </c>
      <c r="D47" s="25" t="s">
        <v>68</v>
      </c>
      <c r="E47" s="26">
        <f>B47/2</f>
        <v>102.031343942287</v>
      </c>
      <c r="F47" s="26">
        <f>E47*14</f>
        <v>1428.43881519202</v>
      </c>
      <c r="G47" s="26">
        <f>F47*50%</f>
        <v>714.219407596008</v>
      </c>
      <c r="H47" s="27"/>
      <c r="I47" s="33"/>
      <c r="J47" s="33"/>
      <c r="K47" s="33"/>
      <c r="L47" s="38"/>
      <c r="M47" s="27"/>
      <c r="N47" s="35"/>
      <c r="O47" s="39"/>
      <c r="P47" s="37"/>
      <c r="Q47"/>
      <c r="S47"/>
      <c r="U47"/>
    </row>
    <row r="48" ht="18" spans="1:21">
      <c r="A48" s="25" t="s">
        <v>69</v>
      </c>
      <c r="B48" s="26">
        <f>2124.01/15665.07*1508.75</f>
        <v>204.569790463752</v>
      </c>
      <c r="C48" s="26" t="s">
        <v>67</v>
      </c>
      <c r="D48" s="25" t="s">
        <v>68</v>
      </c>
      <c r="E48" s="26">
        <f>B48/2</f>
        <v>102.284895231876</v>
      </c>
      <c r="F48" s="26">
        <f>E48*14</f>
        <v>1431.98853324626</v>
      </c>
      <c r="G48" s="26">
        <f>F48*50%</f>
        <v>715.99426662313</v>
      </c>
      <c r="H48" s="28"/>
      <c r="I48" s="33"/>
      <c r="J48" s="33"/>
      <c r="K48" s="33"/>
      <c r="L48" s="28"/>
      <c r="M48" s="40"/>
      <c r="O48" s="37"/>
      <c r="P48" s="37"/>
      <c r="Q48"/>
      <c r="S48"/>
      <c r="U48"/>
    </row>
    <row r="49" ht="18" spans="1:16">
      <c r="A49" s="25" t="s">
        <v>46</v>
      </c>
      <c r="B49" s="26">
        <f>SUM(B47:B48)</f>
        <v>408.632478348325</v>
      </c>
      <c r="C49" s="25"/>
      <c r="D49" s="25"/>
      <c r="E49" s="26">
        <f>SUM(E47:E48)</f>
        <v>204.316239174163</v>
      </c>
      <c r="F49" s="26">
        <f>SUM(F47:F48)</f>
        <v>2860.42734843828</v>
      </c>
      <c r="G49" s="29">
        <v>1430.24</v>
      </c>
      <c r="I49" s="33"/>
      <c r="J49" s="33"/>
      <c r="K49" s="33"/>
      <c r="L49" s="28"/>
      <c r="M49" s="28"/>
      <c r="N49" s="28"/>
      <c r="O49" s="28"/>
      <c r="P49" s="40"/>
    </row>
    <row r="50" ht="18" spans="9:18">
      <c r="I50" s="33"/>
      <c r="J50" s="33"/>
      <c r="K50" s="33"/>
      <c r="L50" s="28"/>
      <c r="M50" s="28"/>
      <c r="N50" s="28"/>
      <c r="O50" s="28"/>
      <c r="P50" s="40"/>
      <c r="Q50" s="40"/>
      <c r="R50" s="42"/>
    </row>
    <row r="51" ht="23.25" spans="1:18">
      <c r="A51" s="18" t="s">
        <v>70</v>
      </c>
      <c r="B51" s="18"/>
      <c r="C51" s="18"/>
      <c r="D51" s="18"/>
      <c r="E51" s="18"/>
      <c r="F51" s="18"/>
      <c r="G51" s="19"/>
      <c r="I51" s="33"/>
      <c r="J51" s="33"/>
      <c r="K51" s="33"/>
      <c r="L51" s="28"/>
      <c r="M51" s="28"/>
      <c r="N51" s="28"/>
      <c r="O51" s="28"/>
      <c r="P51" s="40"/>
      <c r="Q51" s="40"/>
      <c r="R51" s="42"/>
    </row>
    <row r="52" ht="18" spans="1:18">
      <c r="A52" s="25" t="s">
        <v>28</v>
      </c>
      <c r="B52" s="26" t="s">
        <v>62</v>
      </c>
      <c r="C52" s="25" t="s">
        <v>63</v>
      </c>
      <c r="D52" s="25" t="s">
        <v>64</v>
      </c>
      <c r="E52" s="26" t="s">
        <v>65</v>
      </c>
      <c r="F52" s="26" t="s">
        <v>32</v>
      </c>
      <c r="G52" s="31" t="s">
        <v>33</v>
      </c>
      <c r="H52" s="28"/>
      <c r="I52" s="33"/>
      <c r="J52" s="33"/>
      <c r="K52" s="33"/>
      <c r="L52" s="28"/>
      <c r="M52" s="28"/>
      <c r="N52" s="28"/>
      <c r="O52" s="28"/>
      <c r="P52" s="41"/>
      <c r="Q52" s="41"/>
      <c r="R52" s="43"/>
    </row>
    <row r="53" ht="18" spans="1:18">
      <c r="A53" s="187" t="s">
        <v>71</v>
      </c>
      <c r="B53" s="26">
        <v>1800.95</v>
      </c>
      <c r="C53" s="25" t="s">
        <v>72</v>
      </c>
      <c r="D53" s="25" t="s">
        <v>68</v>
      </c>
      <c r="E53" s="32">
        <f>B53/2</f>
        <v>900.475</v>
      </c>
      <c r="F53" s="26">
        <f>E53*8</f>
        <v>7203.8</v>
      </c>
      <c r="G53" s="29">
        <f>F53*50%</f>
        <v>3601.9</v>
      </c>
      <c r="H53" s="28"/>
      <c r="I53" s="33"/>
      <c r="J53" s="33"/>
      <c r="K53" s="33"/>
      <c r="L53" s="28"/>
      <c r="M53" s="28"/>
      <c r="N53" s="28"/>
      <c r="O53" s="28"/>
      <c r="P53" s="41"/>
      <c r="Q53" s="41"/>
      <c r="R53" s="43"/>
    </row>
    <row r="54" ht="14.25" spans="1:15">
      <c r="A54" s="188"/>
      <c r="H54" s="28"/>
      <c r="I54" s="33"/>
      <c r="J54" s="33"/>
      <c r="K54" s="33"/>
      <c r="L54" s="28"/>
      <c r="M54" s="28"/>
      <c r="N54" s="28"/>
      <c r="O54" s="28"/>
    </row>
    <row r="55" ht="18" spans="1:25">
      <c r="A55" s="189" t="s">
        <v>73</v>
      </c>
      <c r="B55" s="190"/>
      <c r="C55" s="28"/>
      <c r="D55" s="28"/>
      <c r="E55" s="191"/>
      <c r="F55" s="28"/>
      <c r="G55" s="191"/>
      <c r="H55" s="28"/>
      <c r="I55" s="33"/>
      <c r="J55" s="33"/>
      <c r="K55" s="33"/>
      <c r="L55" s="28"/>
      <c r="M55" s="28"/>
      <c r="N55" s="28"/>
      <c r="O55" s="28"/>
      <c r="Q55" s="190"/>
      <c r="R55" s="211"/>
      <c r="S55" s="211"/>
      <c r="T55" s="190"/>
      <c r="U55" s="190"/>
      <c r="V55" s="190"/>
      <c r="W55" s="190"/>
      <c r="X55" s="190"/>
      <c r="Y55" s="190"/>
    </row>
    <row r="56" spans="1:25">
      <c r="A56" s="189" t="s">
        <v>74</v>
      </c>
      <c r="B56" s="192"/>
      <c r="C56" s="28"/>
      <c r="D56" s="28"/>
      <c r="E56" s="191"/>
      <c r="F56" s="28"/>
      <c r="G56" s="191"/>
      <c r="H56" s="28"/>
      <c r="I56" s="33"/>
      <c r="J56" s="33"/>
      <c r="K56" s="33"/>
      <c r="L56" s="28"/>
      <c r="M56" s="28"/>
      <c r="N56" s="28"/>
      <c r="O56" s="28"/>
      <c r="Q56" s="214"/>
      <c r="R56" s="215"/>
      <c r="S56" s="215"/>
      <c r="T56" s="192"/>
      <c r="U56" s="192"/>
      <c r="V56" s="192"/>
      <c r="W56" s="192"/>
      <c r="X56" s="192"/>
      <c r="Y56" s="192"/>
    </row>
    <row r="57" ht="18" spans="1:25">
      <c r="A57" s="189" t="s">
        <v>75</v>
      </c>
      <c r="B57" s="193"/>
      <c r="C57" s="28"/>
      <c r="D57" s="28"/>
      <c r="E57" s="191"/>
      <c r="F57" s="28"/>
      <c r="G57" s="191"/>
      <c r="H57" s="28"/>
      <c r="I57" s="33"/>
      <c r="J57" s="33"/>
      <c r="K57" s="33"/>
      <c r="L57" s="28"/>
      <c r="M57" s="28"/>
      <c r="N57" s="28"/>
      <c r="O57" s="28"/>
      <c r="Q57" s="40"/>
      <c r="R57" s="42"/>
      <c r="S57" s="216"/>
      <c r="T57" s="217"/>
      <c r="U57" s="218"/>
      <c r="V57" s="218"/>
      <c r="W57" s="218"/>
      <c r="X57" s="218"/>
      <c r="Y57" s="218"/>
    </row>
    <row r="58" ht="18" spans="1:25">
      <c r="A58" s="35"/>
      <c r="B58" s="35"/>
      <c r="C58" s="28"/>
      <c r="D58" s="28"/>
      <c r="E58" s="191"/>
      <c r="F58" s="28"/>
      <c r="G58" s="191"/>
      <c r="H58" s="28"/>
      <c r="I58" s="33"/>
      <c r="J58" s="33"/>
      <c r="K58" s="33"/>
      <c r="L58" s="28"/>
      <c r="M58" s="28"/>
      <c r="N58" s="28"/>
      <c r="O58" s="28"/>
      <c r="Q58" s="40"/>
      <c r="R58" s="42"/>
      <c r="S58" s="216"/>
      <c r="T58" s="217"/>
      <c r="U58" s="218"/>
      <c r="V58" s="218"/>
      <c r="W58" s="218"/>
      <c r="X58" s="218"/>
      <c r="Y58" s="218"/>
    </row>
    <row r="59" ht="18" spans="1:25">
      <c r="A59" s="35"/>
      <c r="B59" s="35"/>
      <c r="C59" s="28"/>
      <c r="D59" s="28"/>
      <c r="E59" s="191"/>
      <c r="F59" s="28"/>
      <c r="G59" s="191"/>
      <c r="H59" s="28"/>
      <c r="I59" s="209"/>
      <c r="J59" s="209"/>
      <c r="K59" s="209"/>
      <c r="L59" s="28"/>
      <c r="M59" s="28"/>
      <c r="N59" s="28"/>
      <c r="O59" s="28"/>
      <c r="Q59" s="40"/>
      <c r="R59" s="42"/>
      <c r="S59" s="216"/>
      <c r="T59" s="217"/>
      <c r="U59" s="218"/>
      <c r="V59" s="218"/>
      <c r="W59" s="218"/>
      <c r="X59" s="218"/>
      <c r="Y59" s="218"/>
    </row>
    <row r="60" ht="18" spans="1:25">
      <c r="A60" s="35"/>
      <c r="B60" s="35"/>
      <c r="C60" s="28"/>
      <c r="D60" s="28"/>
      <c r="E60" s="191"/>
      <c r="F60" s="28"/>
      <c r="G60" s="191"/>
      <c r="H60" s="28"/>
      <c r="I60" s="209"/>
      <c r="J60" s="209"/>
      <c r="K60" s="209"/>
      <c r="L60" s="28"/>
      <c r="M60" s="28"/>
      <c r="N60" s="28"/>
      <c r="O60" s="28"/>
      <c r="Q60" s="40"/>
      <c r="R60" s="42"/>
      <c r="S60" s="216"/>
      <c r="T60" s="217"/>
      <c r="U60" s="218"/>
      <c r="V60" s="218"/>
      <c r="W60" s="218"/>
      <c r="X60" s="218"/>
      <c r="Y60" s="218"/>
    </row>
    <row r="61" ht="18" spans="1:25">
      <c r="A61" s="35"/>
      <c r="B61" s="35"/>
      <c r="C61" s="28"/>
      <c r="D61" s="28"/>
      <c r="E61" s="191"/>
      <c r="F61" s="28"/>
      <c r="G61" s="191"/>
      <c r="H61" s="28"/>
      <c r="I61" s="210"/>
      <c r="J61" s="210"/>
      <c r="K61" s="210"/>
      <c r="L61" s="28"/>
      <c r="M61" s="28"/>
      <c r="N61" s="28"/>
      <c r="O61" s="28"/>
      <c r="Q61" s="40"/>
      <c r="R61" s="42"/>
      <c r="S61" s="216"/>
      <c r="T61" s="217"/>
      <c r="U61" s="218"/>
      <c r="V61" s="218"/>
      <c r="W61" s="218"/>
      <c r="X61" s="218"/>
      <c r="Y61" s="218"/>
    </row>
    <row r="62" ht="18" spans="1:25">
      <c r="A62" s="35"/>
      <c r="B62" s="35"/>
      <c r="C62" s="35"/>
      <c r="D62" s="35"/>
      <c r="E62" s="24"/>
      <c r="F62" s="35"/>
      <c r="G62" s="24"/>
      <c r="H62" s="24"/>
      <c r="I62" s="33"/>
      <c r="J62" s="33"/>
      <c r="K62" s="33"/>
      <c r="Q62" s="40"/>
      <c r="R62" s="42"/>
      <c r="S62" s="216"/>
      <c r="T62" s="217"/>
      <c r="U62" s="218"/>
      <c r="V62" s="218"/>
      <c r="W62" s="218"/>
      <c r="X62" s="218"/>
      <c r="Y62" s="218"/>
    </row>
    <row r="63" ht="18" spans="9:25">
      <c r="I63" s="33"/>
      <c r="J63" s="33"/>
      <c r="K63" s="33"/>
      <c r="Q63" s="40"/>
      <c r="R63" s="42"/>
      <c r="S63" s="216"/>
      <c r="T63" s="217"/>
      <c r="U63" s="218"/>
      <c r="V63" s="218"/>
      <c r="W63" s="218"/>
      <c r="X63" s="218"/>
      <c r="Y63" s="218"/>
    </row>
    <row r="64" ht="18" spans="9:25">
      <c r="I64" s="33"/>
      <c r="J64" s="33"/>
      <c r="K64" s="33"/>
      <c r="Q64" s="41"/>
      <c r="R64" s="43"/>
      <c r="S64" s="219"/>
      <c r="T64" s="220"/>
      <c r="U64" s="221"/>
      <c r="V64" s="221"/>
      <c r="W64" s="221"/>
      <c r="X64" s="221"/>
      <c r="Y64" s="221"/>
    </row>
    <row r="65" ht="18" spans="9:21">
      <c r="I65" s="33"/>
      <c r="J65" s="33"/>
      <c r="K65" s="33"/>
      <c r="Q65" s="41"/>
      <c r="U65"/>
    </row>
    <row r="66" spans="9:11">
      <c r="I66" s="33"/>
      <c r="J66" s="33"/>
      <c r="K66" s="33"/>
    </row>
    <row r="67" spans="9:11">
      <c r="I67" s="33"/>
      <c r="J67" s="33"/>
      <c r="K67" s="33"/>
    </row>
    <row r="68" spans="9:11">
      <c r="I68" s="33"/>
      <c r="J68" s="33"/>
      <c r="K68" s="33"/>
    </row>
    <row r="69" spans="9:11">
      <c r="I69" s="33"/>
      <c r="J69" s="33"/>
      <c r="K69" s="33"/>
    </row>
    <row r="70" spans="9:11">
      <c r="I70" s="33"/>
      <c r="J70" s="33"/>
      <c r="K70" s="33"/>
    </row>
    <row r="71" spans="9:11">
      <c r="I71" s="33"/>
      <c r="J71" s="33"/>
      <c r="K71" s="33"/>
    </row>
    <row r="72" spans="9:11">
      <c r="I72" s="210"/>
      <c r="J72" s="210"/>
      <c r="K72" s="210"/>
    </row>
    <row r="73" spans="9:11">
      <c r="I73" s="33"/>
      <c r="J73" s="33"/>
      <c r="K73" s="33"/>
    </row>
    <row r="74" spans="9:11">
      <c r="I74" s="33"/>
      <c r="J74" s="33"/>
      <c r="K74" s="33"/>
    </row>
    <row r="75" spans="9:11">
      <c r="I75" s="33"/>
      <c r="J75" s="33"/>
      <c r="K75" s="33"/>
    </row>
    <row r="76" spans="9:11">
      <c r="I76" s="33"/>
      <c r="J76" s="33"/>
      <c r="K76" s="33"/>
    </row>
    <row r="77" spans="9:11">
      <c r="I77" s="33"/>
      <c r="J77" s="33"/>
      <c r="K77" s="33"/>
    </row>
    <row r="78" spans="9:11">
      <c r="I78" s="33"/>
      <c r="J78" s="33"/>
      <c r="K78" s="33"/>
    </row>
    <row r="79" spans="9:11">
      <c r="I79" s="209"/>
      <c r="J79" s="209"/>
      <c r="K79" s="209"/>
    </row>
    <row r="80" spans="9:11">
      <c r="I80" s="209"/>
      <c r="J80" s="209"/>
      <c r="K80" s="209"/>
    </row>
    <row r="81" spans="9:11">
      <c r="I81" s="33"/>
      <c r="J81" s="33"/>
      <c r="K81" s="33"/>
    </row>
    <row r="82" spans="9:11">
      <c r="I82" s="33"/>
      <c r="J82" s="33"/>
      <c r="K82" s="33"/>
    </row>
    <row r="83" spans="9:11">
      <c r="I83" s="210"/>
      <c r="J83" s="210"/>
      <c r="K83" s="210"/>
    </row>
    <row r="84" spans="9:11">
      <c r="I84" s="33"/>
      <c r="J84" s="33"/>
      <c r="K84" s="33"/>
    </row>
    <row r="85" spans="9:11">
      <c r="I85" s="33"/>
      <c r="J85" s="33"/>
      <c r="K85" s="33"/>
    </row>
    <row r="86" spans="9:11">
      <c r="I86" s="33"/>
      <c r="J86" s="33"/>
      <c r="K86" s="33"/>
    </row>
    <row r="87" spans="9:11">
      <c r="I87" s="33"/>
      <c r="J87" s="33"/>
      <c r="K87" s="33"/>
    </row>
    <row r="88" spans="9:11">
      <c r="I88" s="33"/>
      <c r="J88" s="33"/>
      <c r="K88" s="33"/>
    </row>
    <row r="89" spans="9:11">
      <c r="I89" s="33"/>
      <c r="J89" s="33"/>
      <c r="K89" s="33"/>
    </row>
    <row r="90" spans="9:11">
      <c r="I90" s="33"/>
      <c r="J90" s="33"/>
      <c r="K90" s="33"/>
    </row>
    <row r="91" spans="9:11">
      <c r="I91" s="33"/>
      <c r="J91" s="33"/>
      <c r="K91" s="33"/>
    </row>
    <row r="92" spans="9:11">
      <c r="I92" s="33"/>
      <c r="J92" s="33"/>
      <c r="K92" s="33"/>
    </row>
  </sheetData>
  <mergeCells count="28">
    <mergeCell ref="A1:I1"/>
    <mergeCell ref="F14:G14"/>
    <mergeCell ref="F15:G15"/>
    <mergeCell ref="F16:G16"/>
    <mergeCell ref="F17:G17"/>
    <mergeCell ref="F18:G18"/>
    <mergeCell ref="F19:G19"/>
    <mergeCell ref="F20:G20"/>
    <mergeCell ref="F21:G21"/>
    <mergeCell ref="A30:H30"/>
    <mergeCell ref="B34:F34"/>
    <mergeCell ref="A45:G45"/>
    <mergeCell ref="L45:R45"/>
    <mergeCell ref="A51:G51"/>
    <mergeCell ref="A2:A13"/>
    <mergeCell ref="A14:A22"/>
    <mergeCell ref="A31:A34"/>
    <mergeCell ref="A35:A39"/>
    <mergeCell ref="B6:B7"/>
    <mergeCell ref="D6:D7"/>
    <mergeCell ref="D9:D10"/>
    <mergeCell ref="D20:D21"/>
    <mergeCell ref="E6:E7"/>
    <mergeCell ref="E9:E10"/>
    <mergeCell ref="H6:H7"/>
    <mergeCell ref="H9:H10"/>
    <mergeCell ref="I6:I7"/>
    <mergeCell ref="I9:I10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4"/>
  <sheetViews>
    <sheetView topLeftCell="A12" workbookViewId="0">
      <selection activeCell="D21" sqref="D21"/>
    </sheetView>
  </sheetViews>
  <sheetFormatPr defaultColWidth="9" defaultRowHeight="13.5"/>
  <cols>
    <col min="1" max="1" width="5.86666666666667" customWidth="1"/>
    <col min="2" max="2" width="13.125" customWidth="1"/>
    <col min="3" max="3" width="14.5" customWidth="1"/>
    <col min="4" max="4" width="10" customWidth="1"/>
    <col min="5" max="5" width="9.60833333333333" customWidth="1"/>
    <col min="6" max="6" width="12.125" customWidth="1"/>
    <col min="7" max="7" width="18.875" customWidth="1"/>
    <col min="8" max="8" width="15.0916666666667" customWidth="1"/>
    <col min="9" max="9" width="12.8166666666667" style="17" customWidth="1"/>
    <col min="10" max="11" width="11" style="17" customWidth="1"/>
    <col min="12" max="12" width="11.5" customWidth="1"/>
    <col min="13" max="25" width="11.5"/>
  </cols>
  <sheetData>
    <row r="1" ht="18.75" spans="2:2">
      <c r="B1" s="45" t="s">
        <v>13</v>
      </c>
    </row>
    <row r="2" s="30" customFormat="1" spans="1:23">
      <c r="A2" s="46" t="s">
        <v>76</v>
      </c>
      <c r="B2" s="46" t="s">
        <v>77</v>
      </c>
      <c r="C2" s="46" t="s">
        <v>78</v>
      </c>
      <c r="D2" s="46" t="s">
        <v>30</v>
      </c>
      <c r="E2" s="47" t="s">
        <v>79</v>
      </c>
      <c r="F2" s="47" t="s">
        <v>80</v>
      </c>
      <c r="G2" s="46" t="s">
        <v>81</v>
      </c>
      <c r="H2" s="48" t="s">
        <v>82</v>
      </c>
      <c r="I2" s="136" t="s">
        <v>83</v>
      </c>
      <c r="J2" s="107" t="s">
        <v>84</v>
      </c>
      <c r="K2" s="107" t="s">
        <v>85</v>
      </c>
      <c r="L2" s="25" t="s">
        <v>86</v>
      </c>
      <c r="M2" s="25" t="s">
        <v>87</v>
      </c>
      <c r="N2" s="25" t="s">
        <v>88</v>
      </c>
      <c r="O2" s="25" t="s">
        <v>89</v>
      </c>
      <c r="P2" s="25" t="s">
        <v>90</v>
      </c>
      <c r="Q2" s="25" t="s">
        <v>91</v>
      </c>
      <c r="R2" s="25" t="s">
        <v>92</v>
      </c>
      <c r="S2" s="25" t="s">
        <v>93</v>
      </c>
      <c r="T2" s="25" t="s">
        <v>94</v>
      </c>
      <c r="U2" s="25" t="s">
        <v>95</v>
      </c>
      <c r="V2" s="25" t="s">
        <v>96</v>
      </c>
      <c r="W2" s="25" t="s">
        <v>97</v>
      </c>
    </row>
    <row r="3" ht="24.75" spans="1:23">
      <c r="A3" s="49">
        <v>1</v>
      </c>
      <c r="B3" s="50" t="s">
        <v>98</v>
      </c>
      <c r="C3" s="51" t="s">
        <v>49</v>
      </c>
      <c r="D3" s="52">
        <v>134864.886084199</v>
      </c>
      <c r="E3" s="53">
        <v>115.79</v>
      </c>
      <c r="F3" s="53">
        <v>109.83</v>
      </c>
      <c r="G3" s="54" t="s">
        <v>99</v>
      </c>
      <c r="H3" s="54" t="s">
        <v>100</v>
      </c>
      <c r="I3" s="137">
        <v>75865.608</v>
      </c>
      <c r="J3" s="111">
        <f t="shared" ref="J3:J13" si="0">70%*0.012</f>
        <v>0.0084</v>
      </c>
      <c r="K3" s="73">
        <v>0.12</v>
      </c>
      <c r="L3" s="138">
        <f>$D$3*$J$3/2/12</f>
        <v>47.2027101294696</v>
      </c>
      <c r="M3" s="138">
        <f>$D$3*$J$3/2/12</f>
        <v>47.2027101294696</v>
      </c>
      <c r="N3" s="139">
        <f>$I3/12/2*$K3</f>
        <v>379.32804</v>
      </c>
      <c r="O3" s="139">
        <f t="shared" ref="O3:W3" si="1">$I3/12/2*$K3</f>
        <v>379.32804</v>
      </c>
      <c r="P3" s="139">
        <f t="shared" si="1"/>
        <v>379.32804</v>
      </c>
      <c r="Q3" s="139">
        <f t="shared" si="1"/>
        <v>379.32804</v>
      </c>
      <c r="R3" s="139">
        <f t="shared" si="1"/>
        <v>379.32804</v>
      </c>
      <c r="S3" s="144"/>
      <c r="T3" s="144"/>
      <c r="U3" s="144"/>
      <c r="V3" s="144"/>
      <c r="W3" s="144"/>
    </row>
    <row r="4" spans="1:23">
      <c r="A4" s="55">
        <v>2</v>
      </c>
      <c r="B4" s="56" t="s">
        <v>101</v>
      </c>
      <c r="C4" s="56" t="s">
        <v>36</v>
      </c>
      <c r="D4" s="57">
        <v>73050.278367923</v>
      </c>
      <c r="E4" s="58">
        <v>57.35</v>
      </c>
      <c r="F4" s="58">
        <v>59.49</v>
      </c>
      <c r="G4" s="55" t="s">
        <v>102</v>
      </c>
      <c r="H4" s="59" t="s">
        <v>103</v>
      </c>
      <c r="I4" s="137">
        <v>45834.12</v>
      </c>
      <c r="J4" s="111">
        <f t="shared" si="0"/>
        <v>0.0084</v>
      </c>
      <c r="K4" s="73">
        <v>0.12</v>
      </c>
      <c r="L4" s="138">
        <f>$D$4*$J$4/2/12</f>
        <v>25.5675974287731</v>
      </c>
      <c r="M4" s="138">
        <f>$D$4*$J$4/2/12</f>
        <v>25.5675974287731</v>
      </c>
      <c r="N4" s="139">
        <f t="shared" ref="N4:S4" si="2">$I4/12/2*$K4</f>
        <v>229.1706</v>
      </c>
      <c r="O4" s="139">
        <f t="shared" si="2"/>
        <v>229.1706</v>
      </c>
      <c r="P4" s="139">
        <f t="shared" si="2"/>
        <v>229.1706</v>
      </c>
      <c r="Q4" s="139">
        <f t="shared" si="2"/>
        <v>229.1706</v>
      </c>
      <c r="R4" s="139">
        <f t="shared" si="2"/>
        <v>229.1706</v>
      </c>
      <c r="S4" s="139">
        <f t="shared" si="2"/>
        <v>229.1706</v>
      </c>
      <c r="T4" s="81"/>
      <c r="U4" s="81"/>
      <c r="V4" s="81"/>
      <c r="W4" s="81"/>
    </row>
    <row r="5" spans="1:23">
      <c r="A5" s="49">
        <v>3</v>
      </c>
      <c r="B5" s="56" t="s">
        <v>104</v>
      </c>
      <c r="C5" s="56" t="s">
        <v>37</v>
      </c>
      <c r="D5" s="57">
        <v>212569.065191984</v>
      </c>
      <c r="E5" s="58">
        <v>363.29</v>
      </c>
      <c r="F5" s="58">
        <v>363.29</v>
      </c>
      <c r="G5" s="55" t="s">
        <v>105</v>
      </c>
      <c r="H5" s="54" t="s">
        <v>106</v>
      </c>
      <c r="I5" s="137">
        <v>300000</v>
      </c>
      <c r="J5" s="111">
        <f t="shared" si="0"/>
        <v>0.0084</v>
      </c>
      <c r="K5" s="73">
        <v>0.12</v>
      </c>
      <c r="L5" s="138">
        <f>$D$5*$J$5/2/12+1500</f>
        <v>1574.39917281719</v>
      </c>
      <c r="M5" s="138">
        <f>$D$5*$J$5/2/12+1500</f>
        <v>1574.39917281719</v>
      </c>
      <c r="N5" s="139">
        <f>$I$5/12/2*$K$5</f>
        <v>1500</v>
      </c>
      <c r="O5" s="139">
        <f t="shared" ref="O5:Y5" si="3">$I$5/12/2*$K$5</f>
        <v>1500</v>
      </c>
      <c r="P5" s="139">
        <f t="shared" si="3"/>
        <v>1500</v>
      </c>
      <c r="Q5" s="139">
        <f t="shared" si="3"/>
        <v>1500</v>
      </c>
      <c r="R5" s="139">
        <f t="shared" si="3"/>
        <v>1500</v>
      </c>
      <c r="S5" s="139">
        <f t="shared" si="3"/>
        <v>1500</v>
      </c>
      <c r="T5" s="139">
        <f t="shared" si="3"/>
        <v>1500</v>
      </c>
      <c r="U5" s="139">
        <f t="shared" si="3"/>
        <v>1500</v>
      </c>
      <c r="V5" s="139">
        <f t="shared" si="3"/>
        <v>1500</v>
      </c>
      <c r="W5" s="139">
        <f t="shared" si="3"/>
        <v>1500</v>
      </c>
    </row>
    <row r="6" spans="1:23">
      <c r="A6" s="55">
        <v>4</v>
      </c>
      <c r="B6" s="50" t="s">
        <v>107</v>
      </c>
      <c r="C6" s="56" t="s">
        <v>38</v>
      </c>
      <c r="D6" s="60">
        <v>315779.91</v>
      </c>
      <c r="E6" s="53">
        <v>58.64</v>
      </c>
      <c r="F6" s="58">
        <v>173.11</v>
      </c>
      <c r="G6" s="54" t="s">
        <v>108</v>
      </c>
      <c r="H6" s="54" t="s">
        <v>109</v>
      </c>
      <c r="I6" s="137">
        <v>65000</v>
      </c>
      <c r="J6" s="111">
        <f t="shared" si="0"/>
        <v>0.0084</v>
      </c>
      <c r="K6" s="73">
        <v>0.12</v>
      </c>
      <c r="L6" s="138">
        <f>$D$6*$J$6/2/12</f>
        <v>110.5229685</v>
      </c>
      <c r="M6" s="138">
        <f>$D$6*$J$6/2/12</f>
        <v>110.5229685</v>
      </c>
      <c r="N6" s="91">
        <f>$D$6*$J$6/2/12</f>
        <v>110.5229685</v>
      </c>
      <c r="O6" s="81">
        <f>$I$6/12/2*$K$6</f>
        <v>325</v>
      </c>
      <c r="P6" s="81">
        <f t="shared" ref="P6:W6" si="4">$I$6/12/2*$K$6</f>
        <v>325</v>
      </c>
      <c r="Q6" s="81">
        <f t="shared" si="4"/>
        <v>325</v>
      </c>
      <c r="R6" s="81">
        <f t="shared" si="4"/>
        <v>325</v>
      </c>
      <c r="S6" s="81">
        <f t="shared" si="4"/>
        <v>325</v>
      </c>
      <c r="T6" s="81">
        <f t="shared" si="4"/>
        <v>325</v>
      </c>
      <c r="U6" s="81">
        <f t="shared" si="4"/>
        <v>325</v>
      </c>
      <c r="V6" s="81">
        <f t="shared" si="4"/>
        <v>325</v>
      </c>
      <c r="W6" s="81">
        <f t="shared" si="4"/>
        <v>325</v>
      </c>
    </row>
    <row r="7" spans="1:23">
      <c r="A7" s="49">
        <v>5</v>
      </c>
      <c r="B7" s="61" t="s">
        <v>110</v>
      </c>
      <c r="C7" s="51" t="s">
        <v>111</v>
      </c>
      <c r="D7" s="62">
        <v>130319.19</v>
      </c>
      <c r="E7" s="63">
        <v>24.2</v>
      </c>
      <c r="F7" s="63"/>
      <c r="G7" s="64" t="s">
        <v>112</v>
      </c>
      <c r="H7" s="54" t="s">
        <v>113</v>
      </c>
      <c r="I7" s="137">
        <f>50000</f>
        <v>50000</v>
      </c>
      <c r="J7" s="111">
        <f t="shared" si="0"/>
        <v>0.0084</v>
      </c>
      <c r="K7" s="73">
        <v>0.12</v>
      </c>
      <c r="L7" s="138">
        <f>$D$7*$J$7/2/12</f>
        <v>45.6117165</v>
      </c>
      <c r="M7" s="138">
        <f>$D$7*$J$7/2/12</f>
        <v>45.6117165</v>
      </c>
      <c r="N7" s="81">
        <f>$I$7/12/2*$K$7</f>
        <v>250</v>
      </c>
      <c r="O7" s="81">
        <f t="shared" ref="O7:W7" si="5">$I$7/12/2*$K$7</f>
        <v>250</v>
      </c>
      <c r="P7" s="81">
        <f t="shared" si="5"/>
        <v>250</v>
      </c>
      <c r="Q7" s="81">
        <f t="shared" si="5"/>
        <v>250</v>
      </c>
      <c r="R7" s="81">
        <f t="shared" si="5"/>
        <v>250</v>
      </c>
      <c r="S7" s="81">
        <f t="shared" si="5"/>
        <v>250</v>
      </c>
      <c r="T7" s="81">
        <f t="shared" si="5"/>
        <v>250</v>
      </c>
      <c r="U7" s="81">
        <f t="shared" si="5"/>
        <v>250</v>
      </c>
      <c r="V7" s="81">
        <f t="shared" si="5"/>
        <v>250</v>
      </c>
      <c r="W7" s="81">
        <f t="shared" si="5"/>
        <v>250</v>
      </c>
    </row>
    <row r="8" spans="1:23">
      <c r="A8" s="55">
        <v>6</v>
      </c>
      <c r="B8" s="61" t="s">
        <v>114</v>
      </c>
      <c r="C8" s="51" t="s">
        <v>40</v>
      </c>
      <c r="D8" s="65">
        <v>844541.770938081</v>
      </c>
      <c r="E8" s="63">
        <v>40.72</v>
      </c>
      <c r="F8" s="63">
        <v>687.77</v>
      </c>
      <c r="G8" s="64" t="s">
        <v>115</v>
      </c>
      <c r="H8" s="64" t="s">
        <v>116</v>
      </c>
      <c r="I8" s="137">
        <v>20000</v>
      </c>
      <c r="J8" s="111">
        <f t="shared" si="0"/>
        <v>0.0084</v>
      </c>
      <c r="K8" s="73">
        <v>0.12</v>
      </c>
      <c r="L8" s="138">
        <f>$D$8*$J$8/2/12</f>
        <v>295.589619828328</v>
      </c>
      <c r="M8" s="138">
        <f>$D$8*$J$8/2/12</f>
        <v>295.589619828328</v>
      </c>
      <c r="N8" s="81">
        <f>$I$8/12/2*$K$8</f>
        <v>100</v>
      </c>
      <c r="O8" s="81">
        <f t="shared" ref="O8:W8" si="6">$I$8/12/2*$K$8</f>
        <v>100</v>
      </c>
      <c r="P8" s="81">
        <f t="shared" si="6"/>
        <v>100</v>
      </c>
      <c r="Q8" s="81">
        <f t="shared" si="6"/>
        <v>100</v>
      </c>
      <c r="R8" s="81">
        <f t="shared" si="6"/>
        <v>100</v>
      </c>
      <c r="S8" s="81">
        <f t="shared" si="6"/>
        <v>100</v>
      </c>
      <c r="T8" s="81">
        <f t="shared" si="6"/>
        <v>100</v>
      </c>
      <c r="U8" s="81">
        <f t="shared" si="6"/>
        <v>100</v>
      </c>
      <c r="V8" s="81">
        <f t="shared" si="6"/>
        <v>100</v>
      </c>
      <c r="W8" s="81">
        <f t="shared" si="6"/>
        <v>100</v>
      </c>
    </row>
    <row r="9" spans="1:23">
      <c r="A9" s="49">
        <v>7</v>
      </c>
      <c r="B9" s="66" t="s">
        <v>117</v>
      </c>
      <c r="C9" s="66" t="s">
        <v>41</v>
      </c>
      <c r="D9" s="60">
        <v>24274</v>
      </c>
      <c r="E9" s="53">
        <v>40.72</v>
      </c>
      <c r="F9" s="53">
        <v>38.42</v>
      </c>
      <c r="G9" s="49" t="s">
        <v>118</v>
      </c>
      <c r="H9" s="54" t="s">
        <v>119</v>
      </c>
      <c r="I9" s="137"/>
      <c r="J9" s="111">
        <f t="shared" si="0"/>
        <v>0.0084</v>
      </c>
      <c r="K9" s="73">
        <v>0.12</v>
      </c>
      <c r="L9" s="138">
        <f>$D$9*$J$9/2/12</f>
        <v>8.4959</v>
      </c>
      <c r="M9" s="138">
        <f>$D$9*$J$9/2/12</f>
        <v>8.4959</v>
      </c>
      <c r="N9" s="140"/>
      <c r="O9" s="140"/>
      <c r="P9" s="140"/>
      <c r="Q9" s="140"/>
      <c r="R9" s="120"/>
      <c r="S9" s="120"/>
      <c r="T9" s="120"/>
      <c r="U9" s="120"/>
      <c r="V9" s="120"/>
      <c r="W9" s="120"/>
    </row>
    <row r="10" spans="1:23">
      <c r="A10" s="55">
        <v>8</v>
      </c>
      <c r="B10" s="66" t="s">
        <v>120</v>
      </c>
      <c r="C10" s="66" t="s">
        <v>42</v>
      </c>
      <c r="D10" s="60">
        <v>22903.54</v>
      </c>
      <c r="E10" s="53">
        <v>38.42</v>
      </c>
      <c r="F10" s="53">
        <v>38.42</v>
      </c>
      <c r="G10" s="66" t="s">
        <v>121</v>
      </c>
      <c r="H10" s="54" t="s">
        <v>122</v>
      </c>
      <c r="I10" s="137">
        <v>38000</v>
      </c>
      <c r="J10" s="111">
        <f t="shared" si="0"/>
        <v>0.0084</v>
      </c>
      <c r="K10" s="73">
        <v>0.12</v>
      </c>
      <c r="L10" s="138">
        <f>$D$10*$J$10/2/12</f>
        <v>8.016239</v>
      </c>
      <c r="M10" s="138">
        <f>$D$10*$J$10/2/12</f>
        <v>8.016239</v>
      </c>
      <c r="N10" s="139"/>
      <c r="O10" s="139"/>
      <c r="P10" s="139"/>
      <c r="Q10" s="139"/>
      <c r="R10" s="81"/>
      <c r="S10" s="81"/>
      <c r="T10" s="81"/>
      <c r="U10" s="81"/>
      <c r="V10" s="81"/>
      <c r="W10" s="81"/>
    </row>
    <row r="11" spans="1:23">
      <c r="A11" s="49">
        <v>9</v>
      </c>
      <c r="B11" s="46" t="s">
        <v>123</v>
      </c>
      <c r="C11" s="47" t="s">
        <v>44</v>
      </c>
      <c r="D11" s="67">
        <v>94355.0746308826</v>
      </c>
      <c r="E11" s="68">
        <v>769.62</v>
      </c>
      <c r="F11" s="68">
        <v>38.42</v>
      </c>
      <c r="G11" s="69" t="s">
        <v>124</v>
      </c>
      <c r="H11" s="70" t="s">
        <v>125</v>
      </c>
      <c r="I11" s="137">
        <v>180000</v>
      </c>
      <c r="J11" s="111">
        <f t="shared" si="0"/>
        <v>0.0084</v>
      </c>
      <c r="K11" s="73">
        <v>0.12</v>
      </c>
      <c r="L11" s="138">
        <f>$D$11*$J$11/2/12</f>
        <v>33.0242761208089</v>
      </c>
      <c r="M11" s="138">
        <f>$D$11*$J$11/2/12</f>
        <v>33.0242761208089</v>
      </c>
      <c r="N11" s="138">
        <f>$D$11*$J$11/2/12</f>
        <v>33.0242761208089</v>
      </c>
      <c r="O11" s="138">
        <f>$D$11*$J$11/2/12</f>
        <v>33.0242761208089</v>
      </c>
      <c r="P11" s="138">
        <f>$D$11*$J$11/2/12</f>
        <v>33.0242761208089</v>
      </c>
      <c r="Q11" s="138">
        <f>$D$11*$J$11/2/12</f>
        <v>33.0242761208089</v>
      </c>
      <c r="R11" s="81">
        <f t="shared" ref="R11:W11" si="7">$I$11/12/2*$K$11</f>
        <v>900</v>
      </c>
      <c r="S11" s="81">
        <f t="shared" si="7"/>
        <v>900</v>
      </c>
      <c r="T11" s="81">
        <f t="shared" si="7"/>
        <v>900</v>
      </c>
      <c r="U11" s="81">
        <f t="shared" si="7"/>
        <v>900</v>
      </c>
      <c r="V11" s="81">
        <f t="shared" si="7"/>
        <v>900</v>
      </c>
      <c r="W11" s="81">
        <f t="shared" si="7"/>
        <v>900</v>
      </c>
    </row>
    <row r="12" spans="1:23">
      <c r="A12" s="55">
        <v>10</v>
      </c>
      <c r="B12" s="46" t="s">
        <v>126</v>
      </c>
      <c r="C12" s="47" t="s">
        <v>45</v>
      </c>
      <c r="D12" s="67">
        <v>1848065.2117416</v>
      </c>
      <c r="E12" s="68">
        <v>1505.01</v>
      </c>
      <c r="F12" s="68">
        <v>1505.01</v>
      </c>
      <c r="G12" s="69" t="s">
        <v>127</v>
      </c>
      <c r="H12" s="71"/>
      <c r="I12" s="137">
        <v>60000</v>
      </c>
      <c r="J12" s="111">
        <f t="shared" si="0"/>
        <v>0.0084</v>
      </c>
      <c r="K12" s="73">
        <v>0.12</v>
      </c>
      <c r="L12" s="138">
        <f>$D$12*$J$12/2/12</f>
        <v>646.82282410956</v>
      </c>
      <c r="M12" s="138">
        <f>$D$12*$J$12/2/12</f>
        <v>646.82282410956</v>
      </c>
      <c r="N12" s="138">
        <f>$D$12*$J$12/2/12</f>
        <v>646.82282410956</v>
      </c>
      <c r="O12" s="138">
        <f>$D$12*$J$12/2/12</f>
        <v>646.82282410956</v>
      </c>
      <c r="P12" s="138">
        <f>$D$12*$J$12/2/12</f>
        <v>646.82282410956</v>
      </c>
      <c r="Q12" s="81">
        <f>$I$12/12/2*$K$12</f>
        <v>300</v>
      </c>
      <c r="R12" s="81">
        <f t="shared" ref="R12:W12" si="8">$I$12/12/2*$K$12</f>
        <v>300</v>
      </c>
      <c r="S12" s="81">
        <f t="shared" si="8"/>
        <v>300</v>
      </c>
      <c r="T12" s="81">
        <f t="shared" si="8"/>
        <v>300</v>
      </c>
      <c r="U12" s="81">
        <f t="shared" si="8"/>
        <v>300</v>
      </c>
      <c r="V12" s="81">
        <f t="shared" si="8"/>
        <v>300</v>
      </c>
      <c r="W12" s="81">
        <f t="shared" si="8"/>
        <v>300</v>
      </c>
    </row>
    <row r="13" spans="1:23">
      <c r="A13" s="49">
        <v>11</v>
      </c>
      <c r="B13" s="72" t="s">
        <v>128</v>
      </c>
      <c r="C13" s="72" t="s">
        <v>129</v>
      </c>
      <c r="D13" s="72"/>
      <c r="E13" s="72">
        <v>4</v>
      </c>
      <c r="F13" s="72"/>
      <c r="G13" s="72" t="s">
        <v>130</v>
      </c>
      <c r="H13" s="72"/>
      <c r="I13" s="137">
        <v>9000</v>
      </c>
      <c r="J13" s="111">
        <f t="shared" si="0"/>
        <v>0.0084</v>
      </c>
      <c r="K13" s="73">
        <v>0.12</v>
      </c>
      <c r="L13" s="81">
        <f>$D$13*$J$13/2/12</f>
        <v>0</v>
      </c>
      <c r="M13" s="81">
        <f>$D$13*$J$13/2/12</f>
        <v>0</v>
      </c>
      <c r="N13" s="81">
        <f>$I$13/12/2*$K$13</f>
        <v>45</v>
      </c>
      <c r="O13" s="81">
        <f t="shared" ref="O13:W13" si="9">$I$13/12/2*$K$13</f>
        <v>45</v>
      </c>
      <c r="P13" s="81">
        <f t="shared" si="9"/>
        <v>45</v>
      </c>
      <c r="Q13" s="81">
        <f t="shared" si="9"/>
        <v>45</v>
      </c>
      <c r="R13" s="81">
        <f t="shared" si="9"/>
        <v>45</v>
      </c>
      <c r="S13" s="81">
        <f t="shared" si="9"/>
        <v>45</v>
      </c>
      <c r="T13" s="81">
        <f t="shared" si="9"/>
        <v>45</v>
      </c>
      <c r="U13" s="81">
        <f t="shared" si="9"/>
        <v>45</v>
      </c>
      <c r="V13" s="81">
        <f t="shared" si="9"/>
        <v>45</v>
      </c>
      <c r="W13" s="81">
        <f t="shared" si="9"/>
        <v>45</v>
      </c>
    </row>
    <row r="14" spans="1:23">
      <c r="A14" s="73"/>
      <c r="B14" s="73"/>
      <c r="C14" s="73"/>
      <c r="D14" s="73"/>
      <c r="E14" s="73"/>
      <c r="F14" s="73"/>
      <c r="G14" s="73"/>
      <c r="H14" s="73" t="s">
        <v>46</v>
      </c>
      <c r="I14" s="73">
        <f>SUM(I3:I13)</f>
        <v>843699.728</v>
      </c>
      <c r="J14" s="73"/>
      <c r="K14" s="73"/>
      <c r="L14" s="73">
        <f>SUM(L3:L13)</f>
        <v>2795.25302443413</v>
      </c>
      <c r="M14" s="73">
        <f t="shared" ref="M14:W14" si="10">SUM(M3:M13)</f>
        <v>2795.25302443413</v>
      </c>
      <c r="N14" s="73">
        <f t="shared" si="10"/>
        <v>3293.86870873037</v>
      </c>
      <c r="O14" s="73">
        <f t="shared" si="10"/>
        <v>3508.34574023037</v>
      </c>
      <c r="P14" s="73">
        <f t="shared" si="10"/>
        <v>3508.34574023037</v>
      </c>
      <c r="Q14" s="73">
        <f t="shared" si="10"/>
        <v>3161.52291612081</v>
      </c>
      <c r="R14" s="73">
        <f t="shared" si="10"/>
        <v>4028.49864</v>
      </c>
      <c r="S14" s="73">
        <f t="shared" si="10"/>
        <v>3649.1706</v>
      </c>
      <c r="T14" s="73">
        <f t="shared" si="10"/>
        <v>3420</v>
      </c>
      <c r="U14" s="73">
        <f t="shared" si="10"/>
        <v>3420</v>
      </c>
      <c r="V14" s="73">
        <f t="shared" si="10"/>
        <v>3420</v>
      </c>
      <c r="W14" s="73">
        <f t="shared" si="10"/>
        <v>3420</v>
      </c>
    </row>
    <row r="15" ht="18.75" spans="2:7">
      <c r="B15" s="45" t="s">
        <v>131</v>
      </c>
      <c r="F15" s="17"/>
      <c r="G15" s="17"/>
    </row>
    <row r="16" spans="1:23">
      <c r="A16" s="86" t="s">
        <v>76</v>
      </c>
      <c r="B16" s="86" t="s">
        <v>77</v>
      </c>
      <c r="C16" s="86" t="s">
        <v>78</v>
      </c>
      <c r="D16" s="86" t="s">
        <v>30</v>
      </c>
      <c r="E16" s="86" t="s">
        <v>132</v>
      </c>
      <c r="F16" s="86" t="s">
        <v>80</v>
      </c>
      <c r="G16" s="86" t="s">
        <v>81</v>
      </c>
      <c r="H16" s="87" t="s">
        <v>82</v>
      </c>
      <c r="I16" s="141" t="s">
        <v>83</v>
      </c>
      <c r="J16" s="119" t="s">
        <v>84</v>
      </c>
      <c r="K16" s="119" t="s">
        <v>85</v>
      </c>
      <c r="L16" s="25" t="s">
        <v>86</v>
      </c>
      <c r="M16" s="25" t="s">
        <v>87</v>
      </c>
      <c r="N16" s="25" t="s">
        <v>88</v>
      </c>
      <c r="O16" s="25" t="s">
        <v>89</v>
      </c>
      <c r="P16" s="25" t="s">
        <v>90</v>
      </c>
      <c r="Q16" s="25" t="s">
        <v>91</v>
      </c>
      <c r="R16" s="25" t="s">
        <v>92</v>
      </c>
      <c r="S16" s="25" t="s">
        <v>93</v>
      </c>
      <c r="T16" s="25" t="s">
        <v>94</v>
      </c>
      <c r="U16" s="25" t="s">
        <v>95</v>
      </c>
      <c r="V16" s="25" t="s">
        <v>96</v>
      </c>
      <c r="W16" s="25" t="s">
        <v>97</v>
      </c>
    </row>
    <row r="17" spans="1:23">
      <c r="A17" s="88">
        <v>1</v>
      </c>
      <c r="B17" s="100" t="s">
        <v>133</v>
      </c>
      <c r="C17" s="94" t="s">
        <v>134</v>
      </c>
      <c r="D17" s="93"/>
      <c r="E17" s="92">
        <v>100</v>
      </c>
      <c r="F17" s="92"/>
      <c r="G17" s="92" t="s">
        <v>135</v>
      </c>
      <c r="H17" s="93"/>
      <c r="I17" s="91"/>
      <c r="J17" s="121">
        <f t="shared" ref="J17:J53" si="11">70%*0.012</f>
        <v>0.0084</v>
      </c>
      <c r="K17" s="122">
        <v>0.12</v>
      </c>
      <c r="L17" s="142">
        <v>2978.5</v>
      </c>
      <c r="M17" s="142"/>
      <c r="N17" s="143"/>
      <c r="O17" s="142">
        <v>5685.02</v>
      </c>
      <c r="P17" s="142"/>
      <c r="Q17" s="142"/>
      <c r="R17" s="78"/>
      <c r="S17" s="78"/>
      <c r="T17" s="78"/>
      <c r="U17" s="78"/>
      <c r="V17" s="78"/>
      <c r="W17" s="78"/>
    </row>
    <row r="18" spans="1:23">
      <c r="A18" s="88">
        <v>2</v>
      </c>
      <c r="B18" s="100" t="s">
        <v>136</v>
      </c>
      <c r="C18" s="94" t="s">
        <v>137</v>
      </c>
      <c r="D18" s="93"/>
      <c r="E18" s="92">
        <v>49.56</v>
      </c>
      <c r="F18" s="92"/>
      <c r="G18" s="92" t="s">
        <v>138</v>
      </c>
      <c r="H18" s="93"/>
      <c r="I18" s="91"/>
      <c r="J18" s="121">
        <f t="shared" si="11"/>
        <v>0.0084</v>
      </c>
      <c r="K18" s="122">
        <v>0.12</v>
      </c>
      <c r="L18" s="142"/>
      <c r="M18" s="142"/>
      <c r="N18" s="143"/>
      <c r="O18" s="142"/>
      <c r="P18" s="142"/>
      <c r="Q18" s="142"/>
      <c r="R18" s="78"/>
      <c r="S18" s="78"/>
      <c r="T18" s="78"/>
      <c r="U18" s="78"/>
      <c r="V18" s="78"/>
      <c r="W18" s="78"/>
    </row>
    <row r="19" spans="1:23">
      <c r="A19" s="88">
        <v>3</v>
      </c>
      <c r="B19" s="100" t="s">
        <v>139</v>
      </c>
      <c r="C19" s="94" t="s">
        <v>140</v>
      </c>
      <c r="D19" s="93"/>
      <c r="E19" s="92">
        <v>38.96</v>
      </c>
      <c r="F19" s="94"/>
      <c r="G19" s="94" t="s">
        <v>141</v>
      </c>
      <c r="H19" s="93"/>
      <c r="I19" s="91"/>
      <c r="J19" s="121">
        <f t="shared" si="11"/>
        <v>0.0084</v>
      </c>
      <c r="K19" s="122">
        <v>0.12</v>
      </c>
      <c r="L19" s="142"/>
      <c r="M19" s="142"/>
      <c r="N19" s="143"/>
      <c r="O19" s="142"/>
      <c r="P19" s="142"/>
      <c r="Q19" s="142"/>
      <c r="R19" s="78"/>
      <c r="S19" s="78"/>
      <c r="T19" s="78"/>
      <c r="U19" s="78"/>
      <c r="V19" s="78"/>
      <c r="W19" s="78"/>
    </row>
    <row r="20" spans="1:23">
      <c r="A20" s="88">
        <v>4</v>
      </c>
      <c r="B20" s="100" t="s">
        <v>142</v>
      </c>
      <c r="C20" s="94" t="s">
        <v>143</v>
      </c>
      <c r="D20" s="93"/>
      <c r="E20" s="92">
        <v>76.32</v>
      </c>
      <c r="F20" s="94"/>
      <c r="G20" s="94" t="s">
        <v>144</v>
      </c>
      <c r="H20" s="93"/>
      <c r="I20" s="91"/>
      <c r="J20" s="121">
        <f t="shared" si="11"/>
        <v>0.0084</v>
      </c>
      <c r="K20" s="122">
        <v>0.12</v>
      </c>
      <c r="L20" s="142"/>
      <c r="M20" s="142"/>
      <c r="N20" s="143"/>
      <c r="O20" s="142"/>
      <c r="P20" s="142"/>
      <c r="Q20" s="142"/>
      <c r="R20" s="78"/>
      <c r="S20" s="78"/>
      <c r="T20" s="78"/>
      <c r="U20" s="78"/>
      <c r="V20" s="78"/>
      <c r="W20" s="78"/>
    </row>
    <row r="21" spans="1:23">
      <c r="A21" s="88">
        <v>5</v>
      </c>
      <c r="B21" s="100" t="s">
        <v>145</v>
      </c>
      <c r="C21" s="94" t="s">
        <v>146</v>
      </c>
      <c r="D21" s="93"/>
      <c r="E21" s="92">
        <v>49.32</v>
      </c>
      <c r="F21" s="94"/>
      <c r="G21" s="94" t="s">
        <v>147</v>
      </c>
      <c r="H21" s="93"/>
      <c r="I21" s="91">
        <v>37468</v>
      </c>
      <c r="J21" s="121">
        <f t="shared" si="11"/>
        <v>0.0084</v>
      </c>
      <c r="K21" s="122">
        <v>0.12</v>
      </c>
      <c r="L21" s="142"/>
      <c r="M21" s="142"/>
      <c r="N21" s="143"/>
      <c r="O21" s="142"/>
      <c r="P21" s="142"/>
      <c r="Q21" s="142"/>
      <c r="R21" s="81">
        <f t="shared" ref="R21:W21" si="12">$I$21/12/2*$K$21</f>
        <v>187.34</v>
      </c>
      <c r="S21" s="81">
        <f t="shared" si="12"/>
        <v>187.34</v>
      </c>
      <c r="T21" s="81">
        <f t="shared" si="12"/>
        <v>187.34</v>
      </c>
      <c r="U21" s="81">
        <f t="shared" si="12"/>
        <v>187.34</v>
      </c>
      <c r="V21" s="81">
        <f t="shared" si="12"/>
        <v>187.34</v>
      </c>
      <c r="W21" s="81">
        <f t="shared" si="12"/>
        <v>187.34</v>
      </c>
    </row>
    <row r="22" spans="1:23">
      <c r="A22" s="88">
        <v>6</v>
      </c>
      <c r="B22" s="100" t="s">
        <v>148</v>
      </c>
      <c r="C22" s="94" t="s">
        <v>149</v>
      </c>
      <c r="D22" s="93"/>
      <c r="E22" s="92">
        <v>22.24</v>
      </c>
      <c r="F22" s="94"/>
      <c r="G22" s="94" t="s">
        <v>150</v>
      </c>
      <c r="H22" s="93"/>
      <c r="I22" s="91">
        <v>14012</v>
      </c>
      <c r="J22" s="121">
        <f t="shared" si="11"/>
        <v>0.0084</v>
      </c>
      <c r="K22" s="122">
        <v>0.12</v>
      </c>
      <c r="L22" s="142"/>
      <c r="M22" s="142"/>
      <c r="N22" s="143"/>
      <c r="O22" s="142"/>
      <c r="P22" s="142"/>
      <c r="Q22" s="142"/>
      <c r="R22" s="81">
        <f t="shared" ref="R22:W22" si="13">$I22/12/2*$K22</f>
        <v>70.06</v>
      </c>
      <c r="S22" s="81">
        <f t="shared" si="13"/>
        <v>70.06</v>
      </c>
      <c r="T22" s="81">
        <f t="shared" si="13"/>
        <v>70.06</v>
      </c>
      <c r="U22" s="81">
        <f t="shared" si="13"/>
        <v>70.06</v>
      </c>
      <c r="V22" s="81">
        <f t="shared" si="13"/>
        <v>70.06</v>
      </c>
      <c r="W22" s="81">
        <f t="shared" si="13"/>
        <v>70.06</v>
      </c>
    </row>
    <row r="23" spans="1:23">
      <c r="A23" s="88">
        <v>7</v>
      </c>
      <c r="B23" s="100" t="s">
        <v>151</v>
      </c>
      <c r="C23" s="94" t="s">
        <v>152</v>
      </c>
      <c r="D23" s="93"/>
      <c r="E23" s="92">
        <v>22.24</v>
      </c>
      <c r="F23" s="94"/>
      <c r="G23" s="94" t="s">
        <v>144</v>
      </c>
      <c r="H23" s="93"/>
      <c r="I23" s="91"/>
      <c r="J23" s="121">
        <f t="shared" si="11"/>
        <v>0.0084</v>
      </c>
      <c r="K23" s="122">
        <v>0.12</v>
      </c>
      <c r="L23" s="142"/>
      <c r="M23" s="142"/>
      <c r="N23" s="143"/>
      <c r="O23" s="142"/>
      <c r="P23" s="142"/>
      <c r="Q23" s="142"/>
      <c r="R23" s="78"/>
      <c r="S23" s="78"/>
      <c r="T23" s="78"/>
      <c r="U23" s="78"/>
      <c r="V23" s="78"/>
      <c r="W23" s="78"/>
    </row>
    <row r="24" spans="1:23">
      <c r="A24" s="88">
        <v>8</v>
      </c>
      <c r="B24" s="100" t="s">
        <v>148</v>
      </c>
      <c r="C24" s="94" t="s">
        <v>153</v>
      </c>
      <c r="D24" s="93"/>
      <c r="E24" s="92">
        <v>41.74</v>
      </c>
      <c r="F24" s="94"/>
      <c r="G24" s="94" t="s">
        <v>154</v>
      </c>
      <c r="H24" s="93"/>
      <c r="I24" s="91">
        <v>22089</v>
      </c>
      <c r="J24" s="121">
        <f t="shared" si="11"/>
        <v>0.0084</v>
      </c>
      <c r="K24" s="122">
        <v>0.12</v>
      </c>
      <c r="L24" s="142"/>
      <c r="M24" s="142"/>
      <c r="N24" s="138">
        <v>300</v>
      </c>
      <c r="O24" s="142"/>
      <c r="P24" s="142"/>
      <c r="Q24" s="142"/>
      <c r="R24" s="81">
        <f t="shared" ref="M24:W24" si="14">$I$24/12/2*$K$24</f>
        <v>110.445</v>
      </c>
      <c r="S24" s="81">
        <f t="shared" si="14"/>
        <v>110.445</v>
      </c>
      <c r="T24" s="81">
        <f t="shared" si="14"/>
        <v>110.445</v>
      </c>
      <c r="U24" s="81">
        <f t="shared" si="14"/>
        <v>110.445</v>
      </c>
      <c r="V24" s="81">
        <f t="shared" si="14"/>
        <v>110.445</v>
      </c>
      <c r="W24" s="81">
        <f t="shared" si="14"/>
        <v>110.445</v>
      </c>
    </row>
    <row r="25" spans="1:23">
      <c r="A25" s="88">
        <v>9</v>
      </c>
      <c r="B25" s="100" t="s">
        <v>155</v>
      </c>
      <c r="C25" s="94" t="s">
        <v>156</v>
      </c>
      <c r="D25" s="93"/>
      <c r="E25" s="92">
        <v>41.74</v>
      </c>
      <c r="F25" s="94"/>
      <c r="G25" s="94" t="s">
        <v>157</v>
      </c>
      <c r="H25" s="93"/>
      <c r="I25" s="91">
        <v>22089</v>
      </c>
      <c r="J25" s="121">
        <f t="shared" si="11"/>
        <v>0.0084</v>
      </c>
      <c r="K25" s="122">
        <v>0.12</v>
      </c>
      <c r="L25" s="142"/>
      <c r="M25" s="142"/>
      <c r="N25" s="143"/>
      <c r="O25" s="142"/>
      <c r="P25" s="142"/>
      <c r="Q25" s="142"/>
      <c r="R25" s="81">
        <f t="shared" ref="R25:R30" si="15">$I25/12/2*$K25</f>
        <v>110.445</v>
      </c>
      <c r="S25" s="81">
        <f>$I25/12/2*$K25</f>
        <v>110.445</v>
      </c>
      <c r="T25" s="81">
        <f>$I25/12/2*$K25</f>
        <v>110.445</v>
      </c>
      <c r="U25" s="81">
        <f>$I25/12/2*$K25</f>
        <v>110.445</v>
      </c>
      <c r="V25" s="81">
        <f>$I25/12/2*$K25</f>
        <v>110.445</v>
      </c>
      <c r="W25" s="81">
        <f>$I25/12/2*$K25</f>
        <v>110.445</v>
      </c>
    </row>
    <row r="26" spans="1:23">
      <c r="A26" s="88">
        <v>10</v>
      </c>
      <c r="B26" s="100" t="s">
        <v>158</v>
      </c>
      <c r="C26" s="94" t="s">
        <v>159</v>
      </c>
      <c r="D26" s="93"/>
      <c r="E26" s="92">
        <v>22.24</v>
      </c>
      <c r="F26" s="94"/>
      <c r="G26" s="94" t="s">
        <v>160</v>
      </c>
      <c r="H26" s="93"/>
      <c r="I26" s="91"/>
      <c r="J26" s="121">
        <f t="shared" si="11"/>
        <v>0.0084</v>
      </c>
      <c r="K26" s="122">
        <v>0.12</v>
      </c>
      <c r="L26" s="142"/>
      <c r="M26" s="142"/>
      <c r="N26" s="143"/>
      <c r="O26" s="142"/>
      <c r="P26" s="142"/>
      <c r="Q26" s="142"/>
      <c r="R26" s="78"/>
      <c r="S26" s="78"/>
      <c r="T26" s="78"/>
      <c r="U26" s="78"/>
      <c r="V26" s="78"/>
      <c r="W26" s="78"/>
    </row>
    <row r="27" spans="1:23">
      <c r="A27" s="88">
        <v>11</v>
      </c>
      <c r="B27" s="100" t="s">
        <v>161</v>
      </c>
      <c r="C27" s="94" t="s">
        <v>162</v>
      </c>
      <c r="D27" s="93"/>
      <c r="E27" s="92">
        <v>22.24</v>
      </c>
      <c r="F27" s="94"/>
      <c r="G27" s="94" t="s">
        <v>163</v>
      </c>
      <c r="H27" s="93"/>
      <c r="I27" s="91"/>
      <c r="J27" s="121">
        <f t="shared" si="11"/>
        <v>0.0084</v>
      </c>
      <c r="K27" s="122">
        <v>0.12</v>
      </c>
      <c r="L27" s="142"/>
      <c r="M27" s="142"/>
      <c r="N27" s="143"/>
      <c r="O27" s="142"/>
      <c r="P27" s="142"/>
      <c r="Q27" s="142"/>
      <c r="R27" s="78"/>
      <c r="S27" s="78"/>
      <c r="T27" s="78"/>
      <c r="U27" s="78"/>
      <c r="V27" s="78"/>
      <c r="W27" s="78"/>
    </row>
    <row r="28" spans="1:23">
      <c r="A28" s="88">
        <v>12</v>
      </c>
      <c r="B28" s="100" t="s">
        <v>164</v>
      </c>
      <c r="C28" s="94" t="s">
        <v>165</v>
      </c>
      <c r="D28" s="93"/>
      <c r="E28" s="92">
        <v>71.72</v>
      </c>
      <c r="F28" s="94"/>
      <c r="G28" s="94" t="s">
        <v>166</v>
      </c>
      <c r="H28" s="93"/>
      <c r="I28" s="91"/>
      <c r="J28" s="121">
        <f t="shared" si="11"/>
        <v>0.0084</v>
      </c>
      <c r="K28" s="122">
        <v>0.12</v>
      </c>
      <c r="L28" s="142"/>
      <c r="M28" s="142"/>
      <c r="N28" s="143"/>
      <c r="O28" s="142"/>
      <c r="P28" s="142"/>
      <c r="Q28" s="142"/>
      <c r="R28" s="78"/>
      <c r="S28" s="78"/>
      <c r="T28" s="78"/>
      <c r="U28" s="78"/>
      <c r="V28" s="78"/>
      <c r="W28" s="78"/>
    </row>
    <row r="29" spans="1:23">
      <c r="A29" s="88">
        <v>13</v>
      </c>
      <c r="B29" s="100" t="s">
        <v>167</v>
      </c>
      <c r="C29" s="94" t="s">
        <v>168</v>
      </c>
      <c r="D29" s="93"/>
      <c r="E29" s="92">
        <v>41.74</v>
      </c>
      <c r="F29" s="92"/>
      <c r="G29" s="92" t="s">
        <v>169</v>
      </c>
      <c r="H29" s="93"/>
      <c r="I29" s="91">
        <v>22089</v>
      </c>
      <c r="J29" s="121">
        <f t="shared" si="11"/>
        <v>0.0084</v>
      </c>
      <c r="K29" s="122">
        <v>0.12</v>
      </c>
      <c r="L29" s="142"/>
      <c r="M29" s="142"/>
      <c r="N29" s="143"/>
      <c r="O29" s="142"/>
      <c r="P29" s="142"/>
      <c r="Q29" s="142"/>
      <c r="R29" s="81">
        <f t="shared" si="15"/>
        <v>110.445</v>
      </c>
      <c r="S29" s="81">
        <f>$I29/12/2*$K29</f>
        <v>110.445</v>
      </c>
      <c r="T29" s="81">
        <f>$I29/12/2*$K29</f>
        <v>110.445</v>
      </c>
      <c r="U29" s="81">
        <f>$I29/12/2*$K29</f>
        <v>110.445</v>
      </c>
      <c r="V29" s="81">
        <f>$I29/12/2*$K29</f>
        <v>110.445</v>
      </c>
      <c r="W29" s="81">
        <f>$I29/12/2*$K29</f>
        <v>110.445</v>
      </c>
    </row>
    <row r="30" spans="1:23">
      <c r="A30" s="88">
        <v>14</v>
      </c>
      <c r="B30" s="100" t="s">
        <v>170</v>
      </c>
      <c r="C30" s="131" t="s">
        <v>171</v>
      </c>
      <c r="D30" s="93"/>
      <c r="E30" s="92">
        <v>53</v>
      </c>
      <c r="F30" s="92"/>
      <c r="G30" s="92" t="s">
        <v>172</v>
      </c>
      <c r="H30" s="93"/>
      <c r="I30" s="91">
        <v>20034</v>
      </c>
      <c r="J30" s="121">
        <f t="shared" si="11"/>
        <v>0.0084</v>
      </c>
      <c r="K30" s="122">
        <v>0.12</v>
      </c>
      <c r="L30" s="142"/>
      <c r="M30" s="142"/>
      <c r="N30" s="143"/>
      <c r="O30" s="142"/>
      <c r="P30" s="142"/>
      <c r="Q30" s="142"/>
      <c r="R30" s="81">
        <f t="shared" si="15"/>
        <v>100.17</v>
      </c>
      <c r="S30" s="81">
        <f>$I30/12/2*$K30</f>
        <v>100.17</v>
      </c>
      <c r="T30" s="81">
        <f>$I30/12/2*$K30</f>
        <v>100.17</v>
      </c>
      <c r="U30" s="81">
        <f>$I30/12/2*$K30</f>
        <v>100.17</v>
      </c>
      <c r="V30" s="81">
        <f>$I30/12/2*$K30</f>
        <v>100.17</v>
      </c>
      <c r="W30" s="78"/>
    </row>
    <row r="31" spans="1:23">
      <c r="A31" s="88">
        <v>15</v>
      </c>
      <c r="B31" s="100" t="s">
        <v>173</v>
      </c>
      <c r="C31" s="94" t="s">
        <v>174</v>
      </c>
      <c r="D31" s="93"/>
      <c r="E31" s="92">
        <v>41.74</v>
      </c>
      <c r="F31" s="94"/>
      <c r="G31" s="94" t="s">
        <v>175</v>
      </c>
      <c r="H31" s="93"/>
      <c r="I31" s="91"/>
      <c r="J31" s="121">
        <f t="shared" si="11"/>
        <v>0.0084</v>
      </c>
      <c r="K31" s="122">
        <v>0.12</v>
      </c>
      <c r="L31" s="142"/>
      <c r="M31" s="142"/>
      <c r="N31" s="143"/>
      <c r="O31" s="142"/>
      <c r="P31" s="142"/>
      <c r="Q31" s="142"/>
      <c r="R31" s="78"/>
      <c r="S31" s="78"/>
      <c r="T31" s="78"/>
      <c r="U31" s="78"/>
      <c r="V31" s="78"/>
      <c r="W31" s="78"/>
    </row>
    <row r="32" spans="1:23">
      <c r="A32" s="88">
        <v>16</v>
      </c>
      <c r="B32" s="100" t="s">
        <v>176</v>
      </c>
      <c r="C32" s="94" t="s">
        <v>177</v>
      </c>
      <c r="D32" s="93"/>
      <c r="E32" s="92">
        <v>41.74</v>
      </c>
      <c r="F32" s="94"/>
      <c r="G32" s="94" t="s">
        <v>178</v>
      </c>
      <c r="H32" s="93"/>
      <c r="I32" s="91"/>
      <c r="J32" s="121">
        <f t="shared" si="11"/>
        <v>0.0084</v>
      </c>
      <c r="K32" s="122">
        <v>0.12</v>
      </c>
      <c r="L32" s="142"/>
      <c r="M32" s="142"/>
      <c r="N32" s="143"/>
      <c r="O32" s="142"/>
      <c r="P32" s="142"/>
      <c r="Q32" s="142"/>
      <c r="R32" s="78"/>
      <c r="S32" s="78"/>
      <c r="T32" s="78"/>
      <c r="U32" s="78"/>
      <c r="V32" s="78"/>
      <c r="W32" s="78"/>
    </row>
    <row r="33" spans="1:23">
      <c r="A33" s="88">
        <v>17</v>
      </c>
      <c r="B33" s="100" t="s">
        <v>179</v>
      </c>
      <c r="C33" s="94" t="s">
        <v>180</v>
      </c>
      <c r="D33" s="93"/>
      <c r="E33" s="92">
        <v>41.74</v>
      </c>
      <c r="F33" s="92"/>
      <c r="G33" s="92" t="s">
        <v>181</v>
      </c>
      <c r="H33" s="93"/>
      <c r="I33" s="91">
        <v>19880</v>
      </c>
      <c r="J33" s="121">
        <f t="shared" si="11"/>
        <v>0.0084</v>
      </c>
      <c r="K33" s="122">
        <v>0.12</v>
      </c>
      <c r="L33" s="142"/>
      <c r="M33" s="142"/>
      <c r="N33" s="143"/>
      <c r="O33" s="142"/>
      <c r="P33" s="142"/>
      <c r="Q33" s="142"/>
      <c r="R33" s="81">
        <f t="shared" ref="R33:R38" si="16">$I33/12/2*$K33</f>
        <v>99.4</v>
      </c>
      <c r="S33" s="81">
        <f>$I33/12/2*$K33</f>
        <v>99.4</v>
      </c>
      <c r="T33" s="81">
        <f>$I33/12/2*$K33</f>
        <v>99.4</v>
      </c>
      <c r="U33" s="81">
        <f>$I33/12/2*$K33</f>
        <v>99.4</v>
      </c>
      <c r="V33" s="81">
        <f>$I33/12/2*$K33</f>
        <v>99.4</v>
      </c>
      <c r="W33" s="78"/>
    </row>
    <row r="34" spans="1:23">
      <c r="A34" s="88">
        <v>18</v>
      </c>
      <c r="B34" s="100" t="s">
        <v>182</v>
      </c>
      <c r="C34" s="94" t="s">
        <v>183</v>
      </c>
      <c r="D34" s="93"/>
      <c r="E34" s="92">
        <v>41.74</v>
      </c>
      <c r="F34" s="94"/>
      <c r="G34" s="94" t="s">
        <v>130</v>
      </c>
      <c r="H34" s="93"/>
      <c r="I34" s="91"/>
      <c r="J34" s="121">
        <f t="shared" si="11"/>
        <v>0.0084</v>
      </c>
      <c r="K34" s="122">
        <v>0.12</v>
      </c>
      <c r="L34" s="142"/>
      <c r="M34" s="142"/>
      <c r="N34" s="143"/>
      <c r="O34" s="142"/>
      <c r="P34" s="142"/>
      <c r="Q34" s="142"/>
      <c r="R34" s="78"/>
      <c r="S34" s="78"/>
      <c r="T34" s="78"/>
      <c r="U34" s="78"/>
      <c r="V34" s="78"/>
      <c r="W34" s="78"/>
    </row>
    <row r="35" spans="1:23">
      <c r="A35" s="88">
        <v>19</v>
      </c>
      <c r="B35" s="100" t="s">
        <v>133</v>
      </c>
      <c r="C35" s="94" t="s">
        <v>184</v>
      </c>
      <c r="D35" s="93"/>
      <c r="E35" s="92">
        <v>42.9</v>
      </c>
      <c r="F35" s="92"/>
      <c r="G35" s="92" t="s">
        <v>185</v>
      </c>
      <c r="H35" s="93"/>
      <c r="I35" s="91"/>
      <c r="J35" s="121">
        <f t="shared" si="11"/>
        <v>0.0084</v>
      </c>
      <c r="K35" s="122">
        <v>0.12</v>
      </c>
      <c r="L35" s="142"/>
      <c r="M35" s="142"/>
      <c r="N35" s="143"/>
      <c r="O35" s="142"/>
      <c r="P35" s="142"/>
      <c r="Q35" s="142"/>
      <c r="R35" s="78"/>
      <c r="S35" s="78"/>
      <c r="T35" s="78"/>
      <c r="U35" s="78"/>
      <c r="V35" s="78"/>
      <c r="W35" s="78"/>
    </row>
    <row r="36" spans="1:23">
      <c r="A36" s="88">
        <v>20</v>
      </c>
      <c r="B36" s="100" t="s">
        <v>186</v>
      </c>
      <c r="C36" s="94" t="s">
        <v>187</v>
      </c>
      <c r="D36" s="93"/>
      <c r="E36" s="92">
        <v>38.28</v>
      </c>
      <c r="F36" s="92"/>
      <c r="G36" s="92" t="s">
        <v>188</v>
      </c>
      <c r="H36" s="93"/>
      <c r="I36" s="91">
        <v>19562</v>
      </c>
      <c r="J36" s="121">
        <f t="shared" si="11"/>
        <v>0.0084</v>
      </c>
      <c r="K36" s="122">
        <v>0.12</v>
      </c>
      <c r="L36" s="142"/>
      <c r="M36" s="142"/>
      <c r="N36" s="143"/>
      <c r="O36" s="142"/>
      <c r="P36" s="142"/>
      <c r="Q36" s="142"/>
      <c r="R36" s="81">
        <f t="shared" si="16"/>
        <v>97.81</v>
      </c>
      <c r="S36" s="81">
        <f>$I36/12/2*$K36</f>
        <v>97.81</v>
      </c>
      <c r="T36" s="81">
        <f>$I36/12/2*$K36</f>
        <v>97.81</v>
      </c>
      <c r="U36" s="81">
        <f>$I36/12/2*$K36</f>
        <v>97.81</v>
      </c>
      <c r="V36" s="81">
        <f>$I36/12/2*$K36</f>
        <v>97.81</v>
      </c>
      <c r="W36" s="81">
        <f>$I36/12/2*$K36</f>
        <v>97.81</v>
      </c>
    </row>
    <row r="37" spans="1:23">
      <c r="A37" s="88">
        <v>21</v>
      </c>
      <c r="B37" s="100" t="s">
        <v>142</v>
      </c>
      <c r="C37" s="94" t="s">
        <v>189</v>
      </c>
      <c r="D37" s="93"/>
      <c r="E37" s="92">
        <v>37.86</v>
      </c>
      <c r="F37" s="92"/>
      <c r="G37" s="92" t="s">
        <v>188</v>
      </c>
      <c r="H37" s="93"/>
      <c r="I37" s="91">
        <v>19347</v>
      </c>
      <c r="J37" s="121">
        <f t="shared" si="11"/>
        <v>0.0084</v>
      </c>
      <c r="K37" s="122">
        <v>0.12</v>
      </c>
      <c r="L37" s="142"/>
      <c r="M37" s="142"/>
      <c r="N37" s="143"/>
      <c r="O37" s="142"/>
      <c r="P37" s="142"/>
      <c r="Q37" s="142"/>
      <c r="R37" s="81">
        <f t="shared" si="16"/>
        <v>96.735</v>
      </c>
      <c r="S37" s="81">
        <f>$I37/12/2*$K37</f>
        <v>96.735</v>
      </c>
      <c r="T37" s="81">
        <f>$I37/12/2*$K37</f>
        <v>96.735</v>
      </c>
      <c r="U37" s="81">
        <f>$I37/12/2*$K37</f>
        <v>96.735</v>
      </c>
      <c r="V37" s="81">
        <f>$I37/12/2*$K37</f>
        <v>96.735</v>
      </c>
      <c r="W37" s="81">
        <f>$I37/12/2*$K37</f>
        <v>96.735</v>
      </c>
    </row>
    <row r="38" spans="1:23">
      <c r="A38" s="88">
        <v>22</v>
      </c>
      <c r="B38" s="100" t="s">
        <v>148</v>
      </c>
      <c r="C38" s="132" t="s">
        <v>190</v>
      </c>
      <c r="D38" s="93"/>
      <c r="E38" s="92">
        <v>122.48</v>
      </c>
      <c r="F38" s="92"/>
      <c r="G38" s="92" t="s">
        <v>191</v>
      </c>
      <c r="H38" s="93"/>
      <c r="I38" s="91">
        <v>54014</v>
      </c>
      <c r="J38" s="121">
        <f t="shared" si="11"/>
        <v>0.0084</v>
      </c>
      <c r="K38" s="122">
        <v>0.12</v>
      </c>
      <c r="L38" s="142"/>
      <c r="M38" s="142"/>
      <c r="N38" s="143"/>
      <c r="O38" s="142"/>
      <c r="P38" s="142"/>
      <c r="Q38" s="142"/>
      <c r="R38" s="81">
        <f t="shared" si="16"/>
        <v>270.07</v>
      </c>
      <c r="S38" s="81">
        <f>$I38/12/2*$K38</f>
        <v>270.07</v>
      </c>
      <c r="T38" s="81">
        <f>$I38/12/2*$K38</f>
        <v>270.07</v>
      </c>
      <c r="U38" s="81">
        <f>$I38/12/2*$K38</f>
        <v>270.07</v>
      </c>
      <c r="V38" s="81">
        <f>$I38/12/2*$K38</f>
        <v>270.07</v>
      </c>
      <c r="W38" s="81">
        <f>$I38/12/2*$K38</f>
        <v>270.07</v>
      </c>
    </row>
    <row r="39" spans="1:23">
      <c r="A39" s="88">
        <v>23</v>
      </c>
      <c r="B39" s="100" t="s">
        <v>192</v>
      </c>
      <c r="C39" s="94" t="s">
        <v>193</v>
      </c>
      <c r="D39" s="93"/>
      <c r="E39" s="92">
        <v>22.24</v>
      </c>
      <c r="F39" s="92"/>
      <c r="G39" s="92" t="s">
        <v>194</v>
      </c>
      <c r="H39" s="93"/>
      <c r="I39" s="91"/>
      <c r="J39" s="121">
        <f t="shared" si="11"/>
        <v>0.0084</v>
      </c>
      <c r="K39" s="122">
        <v>0.12</v>
      </c>
      <c r="L39" s="142"/>
      <c r="M39" s="142"/>
      <c r="N39" s="143"/>
      <c r="O39" s="142"/>
      <c r="P39" s="142"/>
      <c r="Q39" s="142"/>
      <c r="R39" s="78"/>
      <c r="S39" s="78"/>
      <c r="T39" s="78"/>
      <c r="U39" s="78"/>
      <c r="V39" s="78"/>
      <c r="W39" s="78"/>
    </row>
    <row r="40" spans="1:23">
      <c r="A40" s="88">
        <v>24</v>
      </c>
      <c r="B40" s="100" t="s">
        <v>186</v>
      </c>
      <c r="C40" s="94" t="s">
        <v>195</v>
      </c>
      <c r="D40" s="93"/>
      <c r="E40" s="92">
        <v>22.24</v>
      </c>
      <c r="F40" s="94"/>
      <c r="G40" s="94" t="s">
        <v>196</v>
      </c>
      <c r="H40" s="93"/>
      <c r="I40" s="91">
        <v>6822</v>
      </c>
      <c r="J40" s="121">
        <f t="shared" si="11"/>
        <v>0.0084</v>
      </c>
      <c r="K40" s="122">
        <v>0.12</v>
      </c>
      <c r="L40" s="142"/>
      <c r="M40" s="142"/>
      <c r="N40" s="143"/>
      <c r="O40" s="142"/>
      <c r="P40" s="142"/>
      <c r="Q40" s="142"/>
      <c r="R40" s="78"/>
      <c r="S40" s="78"/>
      <c r="T40" s="78"/>
      <c r="U40" s="78"/>
      <c r="V40" s="78"/>
      <c r="W40" s="78"/>
    </row>
    <row r="41" spans="1:23">
      <c r="A41" s="88">
        <v>25</v>
      </c>
      <c r="B41" s="100" t="s">
        <v>197</v>
      </c>
      <c r="C41" s="94" t="s">
        <v>198</v>
      </c>
      <c r="D41" s="93"/>
      <c r="E41" s="92">
        <v>71.9</v>
      </c>
      <c r="F41" s="94"/>
      <c r="G41" s="94" t="s">
        <v>199</v>
      </c>
      <c r="H41" s="93"/>
      <c r="I41" s="91"/>
      <c r="J41" s="121">
        <f t="shared" si="11"/>
        <v>0.0084</v>
      </c>
      <c r="K41" s="122">
        <v>0.12</v>
      </c>
      <c r="L41" s="142"/>
      <c r="M41" s="142"/>
      <c r="N41" s="143"/>
      <c r="O41" s="142"/>
      <c r="P41" s="142"/>
      <c r="Q41" s="142"/>
      <c r="R41" s="78"/>
      <c r="S41" s="78"/>
      <c r="T41" s="78"/>
      <c r="U41" s="78"/>
      <c r="V41" s="78"/>
      <c r="W41" s="78"/>
    </row>
    <row r="42" spans="1:23">
      <c r="A42" s="88">
        <v>26</v>
      </c>
      <c r="B42" s="100" t="s">
        <v>186</v>
      </c>
      <c r="C42" s="94" t="s">
        <v>200</v>
      </c>
      <c r="D42" s="93"/>
      <c r="E42" s="92">
        <v>54</v>
      </c>
      <c r="F42" s="92"/>
      <c r="G42" s="92" t="s">
        <v>201</v>
      </c>
      <c r="H42" s="93"/>
      <c r="I42" s="91"/>
      <c r="J42" s="121">
        <f t="shared" si="11"/>
        <v>0.0084</v>
      </c>
      <c r="K42" s="122">
        <v>0.12</v>
      </c>
      <c r="L42" s="142"/>
      <c r="M42" s="142"/>
      <c r="N42" s="143"/>
      <c r="O42" s="142"/>
      <c r="P42" s="142"/>
      <c r="Q42" s="142"/>
      <c r="R42" s="78"/>
      <c r="S42" s="78"/>
      <c r="T42" s="78"/>
      <c r="U42" s="78"/>
      <c r="V42" s="78"/>
      <c r="W42" s="78"/>
    </row>
    <row r="43" spans="1:23">
      <c r="A43" s="88">
        <v>27</v>
      </c>
      <c r="B43" s="100"/>
      <c r="C43" s="94"/>
      <c r="D43" s="93"/>
      <c r="E43" s="92" t="s">
        <v>202</v>
      </c>
      <c r="F43" s="92"/>
      <c r="G43" s="92"/>
      <c r="H43" s="93"/>
      <c r="I43" s="91"/>
      <c r="J43" s="121">
        <f t="shared" si="11"/>
        <v>0.0084</v>
      </c>
      <c r="K43" s="122">
        <v>0.12</v>
      </c>
      <c r="L43" s="142"/>
      <c r="M43" s="142"/>
      <c r="N43" s="143"/>
      <c r="O43" s="142"/>
      <c r="P43" s="142"/>
      <c r="Q43" s="142"/>
      <c r="R43" s="78"/>
      <c r="S43" s="78"/>
      <c r="T43" s="78"/>
      <c r="U43" s="78"/>
      <c r="V43" s="78"/>
      <c r="W43" s="78"/>
    </row>
    <row r="44" spans="1:23">
      <c r="A44" s="88">
        <v>28</v>
      </c>
      <c r="B44" s="100"/>
      <c r="C44" s="94" t="s">
        <v>203</v>
      </c>
      <c r="D44" s="93"/>
      <c r="E44" s="92" t="s">
        <v>202</v>
      </c>
      <c r="F44" s="92"/>
      <c r="G44" s="92"/>
      <c r="H44" s="93"/>
      <c r="I44" s="91"/>
      <c r="J44" s="121">
        <f t="shared" si="11"/>
        <v>0.0084</v>
      </c>
      <c r="K44" s="122">
        <v>0.12</v>
      </c>
      <c r="L44" s="142"/>
      <c r="M44" s="142"/>
      <c r="N44" s="143"/>
      <c r="O44" s="142"/>
      <c r="P44" s="142"/>
      <c r="Q44" s="142"/>
      <c r="R44" s="78"/>
      <c r="S44" s="78"/>
      <c r="T44" s="78"/>
      <c r="U44" s="78"/>
      <c r="V44" s="78"/>
      <c r="W44" s="78"/>
    </row>
    <row r="45" spans="1:23">
      <c r="A45" s="88">
        <v>29</v>
      </c>
      <c r="B45" s="133" t="s">
        <v>204</v>
      </c>
      <c r="C45" s="94" t="s">
        <v>205</v>
      </c>
      <c r="D45" s="93"/>
      <c r="E45" s="92">
        <v>117</v>
      </c>
      <c r="F45" s="92"/>
      <c r="G45" s="92" t="s">
        <v>206</v>
      </c>
      <c r="H45" s="93"/>
      <c r="I45" s="91">
        <v>25920</v>
      </c>
      <c r="J45" s="121">
        <f t="shared" si="11"/>
        <v>0.0084</v>
      </c>
      <c r="K45" s="122">
        <v>0.12</v>
      </c>
      <c r="L45" s="142"/>
      <c r="M45" s="142"/>
      <c r="N45" s="143"/>
      <c r="O45" s="142"/>
      <c r="P45" s="142"/>
      <c r="Q45" s="142"/>
      <c r="R45" s="81">
        <f t="shared" ref="R45:W45" si="17">$I45/12/2*$K45</f>
        <v>129.6</v>
      </c>
      <c r="S45" s="81">
        <f t="shared" si="17"/>
        <v>129.6</v>
      </c>
      <c r="T45" s="81">
        <f t="shared" si="17"/>
        <v>129.6</v>
      </c>
      <c r="U45" s="81">
        <f t="shared" si="17"/>
        <v>129.6</v>
      </c>
      <c r="V45" s="81">
        <f t="shared" si="17"/>
        <v>129.6</v>
      </c>
      <c r="W45" s="81">
        <f t="shared" si="17"/>
        <v>129.6</v>
      </c>
    </row>
    <row r="46" spans="1:23">
      <c r="A46" s="88">
        <v>30</v>
      </c>
      <c r="B46" s="133" t="s">
        <v>170</v>
      </c>
      <c r="C46" s="94" t="s">
        <v>207</v>
      </c>
      <c r="D46" s="93"/>
      <c r="E46" s="92">
        <v>70</v>
      </c>
      <c r="F46" s="92"/>
      <c r="G46" s="92" t="s">
        <v>208</v>
      </c>
      <c r="H46" s="93"/>
      <c r="I46" s="91">
        <v>13440</v>
      </c>
      <c r="J46" s="121">
        <f t="shared" si="11"/>
        <v>0.0084</v>
      </c>
      <c r="K46" s="122">
        <v>0.12</v>
      </c>
      <c r="L46" s="142"/>
      <c r="M46" s="142"/>
      <c r="N46" s="138">
        <v>240</v>
      </c>
      <c r="O46" s="142"/>
      <c r="P46" s="142"/>
      <c r="Q46" s="142"/>
      <c r="R46" s="81">
        <f t="shared" ref="R46:W46" si="18">$I46/12/2*$K46</f>
        <v>67.2</v>
      </c>
      <c r="S46" s="81">
        <f t="shared" si="18"/>
        <v>67.2</v>
      </c>
      <c r="T46" s="81">
        <f t="shared" si="18"/>
        <v>67.2</v>
      </c>
      <c r="U46" s="81">
        <f t="shared" si="18"/>
        <v>67.2</v>
      </c>
      <c r="V46" s="81">
        <f t="shared" si="18"/>
        <v>67.2</v>
      </c>
      <c r="W46" s="81">
        <f t="shared" si="18"/>
        <v>67.2</v>
      </c>
    </row>
    <row r="47" spans="1:23">
      <c r="A47" s="88">
        <v>31</v>
      </c>
      <c r="B47" s="133"/>
      <c r="C47" s="94" t="s">
        <v>209</v>
      </c>
      <c r="D47" s="93"/>
      <c r="E47" s="92">
        <v>499</v>
      </c>
      <c r="F47" s="134"/>
      <c r="G47" s="134"/>
      <c r="H47" s="93"/>
      <c r="I47" s="91"/>
      <c r="J47" s="121">
        <f t="shared" si="11"/>
        <v>0.0084</v>
      </c>
      <c r="K47" s="122">
        <v>0.12</v>
      </c>
      <c r="L47" s="142"/>
      <c r="M47" s="142"/>
      <c r="N47" s="143"/>
      <c r="O47" s="142"/>
      <c r="P47" s="142"/>
      <c r="Q47" s="142"/>
      <c r="R47" s="78"/>
      <c r="S47" s="78"/>
      <c r="T47" s="78"/>
      <c r="U47" s="78"/>
      <c r="V47" s="78"/>
      <c r="W47" s="78"/>
    </row>
    <row r="48" spans="1:23">
      <c r="A48" s="88">
        <v>32</v>
      </c>
      <c r="B48" s="100"/>
      <c r="C48" s="94" t="s">
        <v>210</v>
      </c>
      <c r="D48" s="93"/>
      <c r="E48" s="92">
        <v>529.27</v>
      </c>
      <c r="F48" s="134"/>
      <c r="G48" s="134"/>
      <c r="H48" s="93"/>
      <c r="I48" s="91"/>
      <c r="J48" s="121">
        <f t="shared" si="11"/>
        <v>0.0084</v>
      </c>
      <c r="K48" s="122">
        <v>0.12</v>
      </c>
      <c r="L48" s="142"/>
      <c r="M48" s="142"/>
      <c r="N48" s="143"/>
      <c r="O48" s="142"/>
      <c r="P48" s="142"/>
      <c r="Q48" s="142"/>
      <c r="R48" s="78"/>
      <c r="S48" s="78"/>
      <c r="T48" s="78"/>
      <c r="U48" s="78"/>
      <c r="V48" s="78"/>
      <c r="W48" s="78"/>
    </row>
    <row r="49" spans="1:23">
      <c r="A49" s="88">
        <v>33</v>
      </c>
      <c r="B49" s="100" t="s">
        <v>170</v>
      </c>
      <c r="C49" s="94" t="s">
        <v>211</v>
      </c>
      <c r="D49" s="93"/>
      <c r="E49" s="92">
        <v>119.98</v>
      </c>
      <c r="F49" s="92"/>
      <c r="G49" s="92" t="s">
        <v>212</v>
      </c>
      <c r="H49" s="93"/>
      <c r="I49" s="91">
        <v>10000</v>
      </c>
      <c r="J49" s="121">
        <f t="shared" si="11"/>
        <v>0.0084</v>
      </c>
      <c r="K49" s="122">
        <v>0.12</v>
      </c>
      <c r="L49" s="142"/>
      <c r="M49" s="142"/>
      <c r="N49" s="138">
        <f t="shared" ref="M49:W49" si="19">$I$49/12/2*$K$49</f>
        <v>50</v>
      </c>
      <c r="O49" s="142"/>
      <c r="P49" s="142"/>
      <c r="Q49" s="142"/>
      <c r="R49" s="138">
        <f t="shared" si="19"/>
        <v>50</v>
      </c>
      <c r="S49" s="138">
        <f t="shared" si="19"/>
        <v>50</v>
      </c>
      <c r="T49" s="138">
        <f t="shared" si="19"/>
        <v>50</v>
      </c>
      <c r="U49" s="138">
        <f t="shared" si="19"/>
        <v>50</v>
      </c>
      <c r="V49" s="138">
        <f t="shared" si="19"/>
        <v>50</v>
      </c>
      <c r="W49" s="138">
        <f t="shared" si="19"/>
        <v>50</v>
      </c>
    </row>
    <row r="50" spans="1:23">
      <c r="A50" s="88">
        <v>34</v>
      </c>
      <c r="B50" s="100" t="s">
        <v>186</v>
      </c>
      <c r="C50" s="94" t="s">
        <v>213</v>
      </c>
      <c r="D50" s="93"/>
      <c r="E50" s="92">
        <v>137.32</v>
      </c>
      <c r="F50" s="92"/>
      <c r="G50" s="92" t="s">
        <v>214</v>
      </c>
      <c r="H50" s="93"/>
      <c r="I50" s="91">
        <v>35056</v>
      </c>
      <c r="J50" s="121">
        <f t="shared" si="11"/>
        <v>0.0084</v>
      </c>
      <c r="K50" s="122">
        <v>0.12</v>
      </c>
      <c r="L50" s="142"/>
      <c r="M50" s="142"/>
      <c r="N50" s="143"/>
      <c r="O50" s="142"/>
      <c r="P50" s="142"/>
      <c r="Q50" s="142"/>
      <c r="R50" s="81">
        <f t="shared" ref="R50:W50" si="20">$I50/12/2*$K50</f>
        <v>175.28</v>
      </c>
      <c r="S50" s="81">
        <f t="shared" si="20"/>
        <v>175.28</v>
      </c>
      <c r="T50" s="81">
        <f t="shared" si="20"/>
        <v>175.28</v>
      </c>
      <c r="U50" s="81">
        <f t="shared" si="20"/>
        <v>175.28</v>
      </c>
      <c r="V50" s="81">
        <f t="shared" si="20"/>
        <v>175.28</v>
      </c>
      <c r="W50" s="81">
        <f t="shared" si="20"/>
        <v>175.28</v>
      </c>
    </row>
    <row r="51" spans="1:23">
      <c r="A51" s="88">
        <v>35</v>
      </c>
      <c r="B51" s="135"/>
      <c r="C51" s="94" t="s">
        <v>213</v>
      </c>
      <c r="D51" s="93"/>
      <c r="E51" s="92">
        <v>81.72</v>
      </c>
      <c r="F51" s="92"/>
      <c r="G51" s="92"/>
      <c r="H51" s="93"/>
      <c r="I51" s="91"/>
      <c r="J51" s="121">
        <f t="shared" si="11"/>
        <v>0.0084</v>
      </c>
      <c r="K51" s="122">
        <v>0.12</v>
      </c>
      <c r="L51" s="142"/>
      <c r="M51" s="142"/>
      <c r="N51" s="143"/>
      <c r="O51" s="142"/>
      <c r="P51" s="142"/>
      <c r="Q51" s="142"/>
      <c r="R51" s="78"/>
      <c r="S51" s="78"/>
      <c r="T51" s="78"/>
      <c r="U51" s="78"/>
      <c r="V51" s="78"/>
      <c r="W51" s="78"/>
    </row>
    <row r="52" spans="1:23">
      <c r="A52" s="88">
        <v>36</v>
      </c>
      <c r="B52" s="100"/>
      <c r="C52" s="94" t="s">
        <v>213</v>
      </c>
      <c r="D52" s="93"/>
      <c r="E52" s="92">
        <v>158.6</v>
      </c>
      <c r="F52" s="92"/>
      <c r="G52" s="92"/>
      <c r="H52" s="93"/>
      <c r="I52" s="91"/>
      <c r="J52" s="121">
        <f t="shared" si="11"/>
        <v>0.0084</v>
      </c>
      <c r="K52" s="122">
        <v>0.12</v>
      </c>
      <c r="L52" s="142"/>
      <c r="M52" s="142"/>
      <c r="N52" s="143"/>
      <c r="O52" s="142"/>
      <c r="P52" s="142"/>
      <c r="Q52" s="142"/>
      <c r="R52" s="78"/>
      <c r="S52" s="78"/>
      <c r="T52" s="78"/>
      <c r="U52" s="78"/>
      <c r="V52" s="78"/>
      <c r="W52" s="78"/>
    </row>
    <row r="53" spans="1:23">
      <c r="A53" s="88">
        <v>37</v>
      </c>
      <c r="B53" s="134"/>
      <c r="C53" s="94" t="s">
        <v>215</v>
      </c>
      <c r="D53" s="93"/>
      <c r="E53" s="92">
        <v>1339.74</v>
      </c>
      <c r="F53" s="134"/>
      <c r="G53" s="134"/>
      <c r="H53" s="93"/>
      <c r="I53" s="91"/>
      <c r="J53" s="121">
        <f t="shared" si="11"/>
        <v>0.0084</v>
      </c>
      <c r="K53" s="122">
        <v>0.12</v>
      </c>
      <c r="L53" s="142"/>
      <c r="M53" s="142"/>
      <c r="N53" s="143"/>
      <c r="O53" s="142"/>
      <c r="P53" s="142"/>
      <c r="Q53" s="142"/>
      <c r="R53" s="78"/>
      <c r="S53" s="78"/>
      <c r="T53" s="78"/>
      <c r="U53" s="78"/>
      <c r="V53" s="78"/>
      <c r="W53" s="78"/>
    </row>
    <row r="54" spans="1:23">
      <c r="A54" s="78"/>
      <c r="B54" s="78"/>
      <c r="C54" s="78"/>
      <c r="D54" s="78"/>
      <c r="E54" s="78"/>
      <c r="F54" s="78"/>
      <c r="G54" s="78"/>
      <c r="H54" s="25" t="s">
        <v>46</v>
      </c>
      <c r="I54" s="81"/>
      <c r="J54" s="81"/>
      <c r="K54" s="81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</row>
  </sheetData>
  <mergeCells count="8">
    <mergeCell ref="B42:B44"/>
    <mergeCell ref="C42:C43"/>
    <mergeCell ref="F6:F7"/>
    <mergeCell ref="F42:F44"/>
    <mergeCell ref="G42:G44"/>
    <mergeCell ref="H11:H12"/>
    <mergeCell ref="L17:M53"/>
    <mergeCell ref="O17:Q53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zoomScale="190" zoomScaleNormal="190" topLeftCell="A4" workbookViewId="0">
      <selection activeCell="C10" sqref="C10"/>
    </sheetView>
  </sheetViews>
  <sheetFormatPr defaultColWidth="9" defaultRowHeight="13.5" outlineLevelCol="5"/>
  <cols>
    <col min="1" max="1" width="17.875" customWidth="1"/>
    <col min="2" max="3" width="13.75" customWidth="1"/>
    <col min="4" max="4" width="6.375" customWidth="1"/>
    <col min="5" max="5" width="11.5" customWidth="1"/>
    <col min="6" max="6" width="4.875" customWidth="1"/>
    <col min="7" max="7" width="11.5"/>
    <col min="8" max="8" width="10.3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1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spans="1:6">
      <c r="A4" s="3" t="s">
        <v>7</v>
      </c>
      <c r="B4" s="4" t="s">
        <v>216</v>
      </c>
      <c r="C4" s="7">
        <v>503933.33</v>
      </c>
      <c r="D4" s="8">
        <v>0.05</v>
      </c>
      <c r="E4" s="9">
        <f t="shared" ref="E4:E9" si="0">C4*D4</f>
        <v>25196.6665</v>
      </c>
      <c r="F4" s="3"/>
    </row>
    <row r="5" spans="1:6">
      <c r="A5" s="3" t="s">
        <v>8</v>
      </c>
      <c r="B5" s="4" t="s">
        <v>216</v>
      </c>
      <c r="C5" s="7">
        <f>E4</f>
        <v>25196.6665</v>
      </c>
      <c r="D5" s="12">
        <f>7%*50%</f>
        <v>0.035</v>
      </c>
      <c r="E5" s="9">
        <f t="shared" si="0"/>
        <v>881.8833275</v>
      </c>
      <c r="F5" s="3"/>
    </row>
    <row r="6" spans="1:6">
      <c r="A6" s="3" t="s">
        <v>9</v>
      </c>
      <c r="B6" s="4" t="s">
        <v>216</v>
      </c>
      <c r="C6" s="7">
        <f>E4</f>
        <v>25196.6665</v>
      </c>
      <c r="D6" s="12">
        <f>3%*50%</f>
        <v>0.015</v>
      </c>
      <c r="E6" s="9">
        <f t="shared" si="0"/>
        <v>377.9499975</v>
      </c>
      <c r="F6" s="78"/>
    </row>
    <row r="7" spans="1:6">
      <c r="A7" s="3" t="s">
        <v>10</v>
      </c>
      <c r="B7" s="4" t="s">
        <v>216</v>
      </c>
      <c r="C7" s="7">
        <f>E4</f>
        <v>25196.6665</v>
      </c>
      <c r="D7" s="12">
        <f>2%*50%</f>
        <v>0.01</v>
      </c>
      <c r="E7" s="9">
        <f t="shared" si="0"/>
        <v>251.966665</v>
      </c>
      <c r="F7" s="78"/>
    </row>
    <row r="8" spans="1:6">
      <c r="A8" s="3" t="s">
        <v>217</v>
      </c>
      <c r="B8" s="4" t="s">
        <v>216</v>
      </c>
      <c r="C8" s="7"/>
      <c r="D8" s="14">
        <f>0.12*50%</f>
        <v>0.06</v>
      </c>
      <c r="E8" s="9">
        <f t="shared" si="0"/>
        <v>0</v>
      </c>
      <c r="F8" s="78"/>
    </row>
    <row r="9" spans="1:6">
      <c r="A9" s="3" t="s">
        <v>218</v>
      </c>
      <c r="B9" s="4" t="s">
        <v>216</v>
      </c>
      <c r="C9" s="15"/>
      <c r="D9" s="14">
        <f>0.12*50%</f>
        <v>0.06</v>
      </c>
      <c r="E9" s="9">
        <f t="shared" si="0"/>
        <v>0</v>
      </c>
      <c r="F9" s="3"/>
    </row>
    <row r="10" spans="1:6">
      <c r="A10" s="3" t="s">
        <v>219</v>
      </c>
      <c r="B10" s="4" t="s">
        <v>216</v>
      </c>
      <c r="C10" s="15">
        <v>983130</v>
      </c>
      <c r="D10" s="16">
        <f>0.001*0.5</f>
        <v>0.0005</v>
      </c>
      <c r="E10" s="130">
        <f>D10*C10</f>
        <v>491.565</v>
      </c>
      <c r="F10" s="3"/>
    </row>
    <row r="11" spans="1:6">
      <c r="A11" s="3" t="s">
        <v>22</v>
      </c>
      <c r="B11" s="4" t="s">
        <v>216</v>
      </c>
      <c r="C11" s="15">
        <f>B21</f>
        <v>0</v>
      </c>
      <c r="D11" s="8">
        <v>0.25</v>
      </c>
      <c r="E11" s="9">
        <f>C11*D11</f>
        <v>0</v>
      </c>
      <c r="F11" s="3"/>
    </row>
    <row r="12" spans="1:6">
      <c r="A12" s="3" t="s">
        <v>23</v>
      </c>
      <c r="B12" s="4" t="s">
        <v>216</v>
      </c>
      <c r="C12" s="15">
        <v>15000</v>
      </c>
      <c r="D12" s="8">
        <v>0.02</v>
      </c>
      <c r="E12" s="9">
        <f>C12*D12</f>
        <v>300</v>
      </c>
      <c r="F12" s="3"/>
    </row>
    <row r="13" spans="1:6">
      <c r="A13" s="3" t="s">
        <v>26</v>
      </c>
      <c r="B13" s="4"/>
      <c r="C13" s="5"/>
      <c r="D13" s="6"/>
      <c r="E13" s="9">
        <f>SUM(E4:E12)</f>
        <v>27500.03149</v>
      </c>
      <c r="F13" s="3"/>
    </row>
    <row r="15" spans="1:2">
      <c r="A15" t="s">
        <v>220</v>
      </c>
      <c r="B15" s="17">
        <v>503933.33</v>
      </c>
    </row>
    <row r="16" spans="1:2">
      <c r="A16" t="s">
        <v>221</v>
      </c>
      <c r="B16" s="17">
        <v>6479.95</v>
      </c>
    </row>
    <row r="17" spans="1:2">
      <c r="A17" t="s">
        <v>222</v>
      </c>
      <c r="B17" s="17">
        <v>38073.24</v>
      </c>
    </row>
    <row r="18" spans="1:2">
      <c r="A18" t="s">
        <v>223</v>
      </c>
      <c r="B18" s="17">
        <v>-988.79</v>
      </c>
    </row>
    <row r="19" spans="1:2">
      <c r="A19" t="s">
        <v>224</v>
      </c>
      <c r="B19" s="17">
        <f>B15-B16-B17-B18</f>
        <v>460368.93</v>
      </c>
    </row>
    <row r="20" spans="1:2">
      <c r="A20" t="s">
        <v>225</v>
      </c>
      <c r="B20" s="17">
        <f>-B19</f>
        <v>-460368.93</v>
      </c>
    </row>
    <row r="21" spans="1:2">
      <c r="A21" t="s">
        <v>226</v>
      </c>
      <c r="B21" s="17">
        <f>B19+B20</f>
        <v>0</v>
      </c>
    </row>
  </sheetData>
  <mergeCells count="1">
    <mergeCell ref="A1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6"/>
  <sheetViews>
    <sheetView topLeftCell="A50" workbookViewId="0">
      <selection activeCell="I66" sqref="I62 I66"/>
    </sheetView>
  </sheetViews>
  <sheetFormatPr defaultColWidth="9" defaultRowHeight="13.5"/>
  <cols>
    <col min="1" max="1" width="4.625" customWidth="1"/>
    <col min="2" max="2" width="14.625" customWidth="1"/>
    <col min="3" max="3" width="15.25" customWidth="1"/>
    <col min="4" max="4" width="14.9916666666667" customWidth="1"/>
    <col min="5" max="6" width="15" customWidth="1"/>
    <col min="7" max="7" width="19.5" customWidth="1"/>
    <col min="8" max="8" width="15.1416666666667" customWidth="1"/>
    <col min="9" max="10" width="13.75" style="44" customWidth="1"/>
    <col min="11" max="11" width="13.75" style="44" hidden="1" customWidth="1"/>
    <col min="12" max="13" width="13.125" style="17" customWidth="1"/>
    <col min="14" max="15" width="11" style="17" customWidth="1"/>
    <col min="16" max="17" width="12.625" customWidth="1"/>
    <col min="18" max="18" width="11.5" customWidth="1"/>
    <col min="19" max="19" width="10.875" customWidth="1"/>
    <col min="20" max="20" width="13.75"/>
  </cols>
  <sheetData>
    <row r="1" ht="18.75" spans="2:2">
      <c r="B1" s="45" t="s">
        <v>13</v>
      </c>
    </row>
    <row r="2" s="30" customFormat="1" ht="38" customHeight="1" spans="1:19">
      <c r="A2" s="46" t="s">
        <v>76</v>
      </c>
      <c r="B2" s="46" t="s">
        <v>77</v>
      </c>
      <c r="C2" s="46" t="s">
        <v>78</v>
      </c>
      <c r="D2" s="46" t="s">
        <v>30</v>
      </c>
      <c r="E2" s="47" t="s">
        <v>79</v>
      </c>
      <c r="F2" s="47" t="s">
        <v>80</v>
      </c>
      <c r="G2" s="46" t="s">
        <v>81</v>
      </c>
      <c r="H2" s="48" t="s">
        <v>82</v>
      </c>
      <c r="I2" s="105" t="s">
        <v>227</v>
      </c>
      <c r="J2" s="106" t="s">
        <v>228</v>
      </c>
      <c r="K2" s="106"/>
      <c r="L2" s="107" t="s">
        <v>229</v>
      </c>
      <c r="M2" s="107" t="s">
        <v>230</v>
      </c>
      <c r="N2" s="107" t="s">
        <v>84</v>
      </c>
      <c r="O2" s="107" t="s">
        <v>85</v>
      </c>
      <c r="P2" s="25" t="s">
        <v>231</v>
      </c>
      <c r="Q2" s="25" t="s">
        <v>232</v>
      </c>
      <c r="R2" s="25" t="s">
        <v>233</v>
      </c>
      <c r="S2" s="25" t="s">
        <v>234</v>
      </c>
    </row>
    <row r="3" ht="27" customHeight="1" spans="1:20">
      <c r="A3" s="49">
        <v>1</v>
      </c>
      <c r="B3" s="50" t="s">
        <v>98</v>
      </c>
      <c r="C3" s="51" t="s">
        <v>49</v>
      </c>
      <c r="D3" s="52">
        <v>134864.886084199</v>
      </c>
      <c r="E3" s="53">
        <v>115.79</v>
      </c>
      <c r="F3" s="53">
        <v>109.83</v>
      </c>
      <c r="G3" s="54" t="s">
        <v>99</v>
      </c>
      <c r="H3" s="54" t="s">
        <v>100</v>
      </c>
      <c r="I3" s="108">
        <v>75865.608</v>
      </c>
      <c r="J3" s="109"/>
      <c r="K3" s="109">
        <f>J3/1.05</f>
        <v>0</v>
      </c>
      <c r="L3" s="110">
        <v>65000</v>
      </c>
      <c r="M3" s="110"/>
      <c r="N3" s="111">
        <f t="shared" ref="N3:N13" si="0">70%*0.012</f>
        <v>0.0084</v>
      </c>
      <c r="O3" s="112">
        <v>0.12</v>
      </c>
      <c r="P3" s="81">
        <f>I3*O3*0.5</f>
        <v>4551.93648</v>
      </c>
      <c r="Q3" s="81">
        <f>J3/1.05*O3*0.5</f>
        <v>0</v>
      </c>
      <c r="R3" s="81">
        <f>L3/1.05*O3*0.5</f>
        <v>3714.28571428571</v>
      </c>
      <c r="S3" s="78"/>
      <c r="T3" s="17">
        <f>L3/1.05</f>
        <v>61904.7619047619</v>
      </c>
    </row>
    <row r="4" ht="27" customHeight="1" spans="1:20">
      <c r="A4" s="55">
        <v>2</v>
      </c>
      <c r="B4" s="56" t="s">
        <v>101</v>
      </c>
      <c r="C4" s="56" t="s">
        <v>36</v>
      </c>
      <c r="D4" s="57">
        <v>73050.278367923</v>
      </c>
      <c r="E4" s="58">
        <v>57.35</v>
      </c>
      <c r="F4" s="58">
        <v>59.49</v>
      </c>
      <c r="G4" s="55" t="s">
        <v>102</v>
      </c>
      <c r="H4" s="59" t="s">
        <v>103</v>
      </c>
      <c r="I4" s="108">
        <v>45834.12</v>
      </c>
      <c r="J4" s="109"/>
      <c r="K4" s="109">
        <f t="shared" ref="K4:K13" si="1">J4/1.05</f>
        <v>0</v>
      </c>
      <c r="L4" s="110">
        <v>68820</v>
      </c>
      <c r="M4" s="110"/>
      <c r="N4" s="111">
        <f t="shared" si="0"/>
        <v>0.0084</v>
      </c>
      <c r="O4" s="112">
        <v>0.12</v>
      </c>
      <c r="P4" s="81">
        <f>I4*O4*0.5</f>
        <v>2750.0472</v>
      </c>
      <c r="Q4" s="81">
        <f t="shared" ref="Q4:Q13" si="2">J4/1.05*O4*0.5</f>
        <v>0</v>
      </c>
      <c r="R4" s="81">
        <f t="shared" ref="R4:R13" si="3">L4/1.05*O4*0.5</f>
        <v>3932.57142857143</v>
      </c>
      <c r="S4" s="78"/>
      <c r="T4" s="17">
        <f>L4/1.05</f>
        <v>65542.8571428571</v>
      </c>
    </row>
    <row r="5" ht="27" customHeight="1" spans="1:19">
      <c r="A5" s="49">
        <v>3</v>
      </c>
      <c r="B5" s="56" t="s">
        <v>104</v>
      </c>
      <c r="C5" s="56" t="s">
        <v>37</v>
      </c>
      <c r="D5" s="57">
        <v>212569.065191984</v>
      </c>
      <c r="E5" s="58">
        <v>363.29</v>
      </c>
      <c r="F5" s="58">
        <v>363.29</v>
      </c>
      <c r="G5" s="55" t="s">
        <v>105</v>
      </c>
      <c r="H5" s="54" t="s">
        <v>106</v>
      </c>
      <c r="I5" s="108">
        <v>300000</v>
      </c>
      <c r="J5" s="109"/>
      <c r="K5" s="109">
        <f t="shared" si="1"/>
        <v>0</v>
      </c>
      <c r="L5" s="110"/>
      <c r="M5" s="110"/>
      <c r="N5" s="111">
        <f t="shared" si="0"/>
        <v>0.0084</v>
      </c>
      <c r="O5" s="112">
        <v>0.12</v>
      </c>
      <c r="P5" s="81">
        <f>I5*O5*0.5</f>
        <v>18000</v>
      </c>
      <c r="Q5" s="81">
        <f t="shared" si="2"/>
        <v>0</v>
      </c>
      <c r="R5" s="81">
        <f t="shared" si="3"/>
        <v>0</v>
      </c>
      <c r="S5" s="78"/>
    </row>
    <row r="6" ht="27" customHeight="1" spans="1:19">
      <c r="A6" s="55">
        <v>4</v>
      </c>
      <c r="B6" s="50" t="s">
        <v>107</v>
      </c>
      <c r="C6" s="56" t="s">
        <v>38</v>
      </c>
      <c r="D6" s="60">
        <v>315779.91</v>
      </c>
      <c r="E6" s="53">
        <v>58.64</v>
      </c>
      <c r="F6" s="58">
        <v>173.11</v>
      </c>
      <c r="G6" s="54" t="s">
        <v>108</v>
      </c>
      <c r="H6" s="54" t="s">
        <v>109</v>
      </c>
      <c r="I6" s="108"/>
      <c r="J6" s="108">
        <v>65000</v>
      </c>
      <c r="K6" s="109">
        <f t="shared" si="1"/>
        <v>61904.7619047619</v>
      </c>
      <c r="L6" s="110"/>
      <c r="M6" s="110"/>
      <c r="N6" s="111">
        <f t="shared" si="0"/>
        <v>0.0084</v>
      </c>
      <c r="O6" s="112">
        <v>0.12</v>
      </c>
      <c r="P6" s="81">
        <f>I6/1.05*O6*0.5</f>
        <v>0</v>
      </c>
      <c r="Q6" s="81">
        <f t="shared" si="2"/>
        <v>3714.28571428571</v>
      </c>
      <c r="R6" s="81">
        <f t="shared" si="3"/>
        <v>0</v>
      </c>
      <c r="S6" s="78"/>
    </row>
    <row r="7" ht="27" customHeight="1" spans="1:19">
      <c r="A7" s="49">
        <v>5</v>
      </c>
      <c r="B7" s="61" t="s">
        <v>110</v>
      </c>
      <c r="C7" s="51" t="s">
        <v>111</v>
      </c>
      <c r="D7" s="62">
        <v>130319.19</v>
      </c>
      <c r="E7" s="63">
        <v>24.2</v>
      </c>
      <c r="F7" s="63"/>
      <c r="G7" s="64" t="s">
        <v>112</v>
      </c>
      <c r="H7" s="54" t="s">
        <v>113</v>
      </c>
      <c r="I7" s="108">
        <v>7383.42</v>
      </c>
      <c r="J7" s="109">
        <v>50000</v>
      </c>
      <c r="K7" s="109">
        <f t="shared" si="1"/>
        <v>47619.0476190476</v>
      </c>
      <c r="L7" s="110"/>
      <c r="M7" s="110"/>
      <c r="N7" s="111">
        <f t="shared" si="0"/>
        <v>0.0084</v>
      </c>
      <c r="O7" s="112">
        <v>0.12</v>
      </c>
      <c r="P7" s="81">
        <f>I7*O7*0.5</f>
        <v>443.0052</v>
      </c>
      <c r="Q7" s="81">
        <f t="shared" si="2"/>
        <v>2857.14285714286</v>
      </c>
      <c r="R7" s="81">
        <f t="shared" si="3"/>
        <v>0</v>
      </c>
      <c r="S7" s="78"/>
    </row>
    <row r="8" ht="27" customHeight="1" spans="1:20">
      <c r="A8" s="55">
        <v>6</v>
      </c>
      <c r="B8" s="61" t="s">
        <v>114</v>
      </c>
      <c r="C8" s="51" t="s">
        <v>40</v>
      </c>
      <c r="D8" s="65">
        <v>844541.770938081</v>
      </c>
      <c r="E8" s="63">
        <v>40.72</v>
      </c>
      <c r="F8" s="63">
        <v>687.77</v>
      </c>
      <c r="G8" s="64" t="s">
        <v>115</v>
      </c>
      <c r="H8" s="64" t="s">
        <v>116</v>
      </c>
      <c r="I8" s="108">
        <v>20522.88</v>
      </c>
      <c r="J8" s="109">
        <v>29000</v>
      </c>
      <c r="K8" s="109">
        <f t="shared" si="1"/>
        <v>27619.0476190476</v>
      </c>
      <c r="L8" s="110">
        <v>30000</v>
      </c>
      <c r="M8" s="110"/>
      <c r="N8" s="111">
        <f t="shared" si="0"/>
        <v>0.0084</v>
      </c>
      <c r="O8" s="112">
        <v>0.12</v>
      </c>
      <c r="P8" s="81">
        <f>I8*O8*0.5</f>
        <v>1231.3728</v>
      </c>
      <c r="Q8" s="81">
        <f t="shared" si="2"/>
        <v>1657.14285714286</v>
      </c>
      <c r="R8" s="81">
        <f t="shared" si="3"/>
        <v>1714.28571428571</v>
      </c>
      <c r="S8" s="78"/>
      <c r="T8" s="17">
        <f>L8/1.05</f>
        <v>28571.4285714286</v>
      </c>
    </row>
    <row r="9" ht="27" customHeight="1" spans="1:20">
      <c r="A9" s="49">
        <v>7</v>
      </c>
      <c r="B9" s="66" t="s">
        <v>117</v>
      </c>
      <c r="C9" s="66" t="s">
        <v>41</v>
      </c>
      <c r="D9" s="60">
        <v>24274</v>
      </c>
      <c r="E9" s="53">
        <v>40.72</v>
      </c>
      <c r="F9" s="53">
        <v>38.42</v>
      </c>
      <c r="G9" s="49" t="s">
        <v>118</v>
      </c>
      <c r="H9" s="54" t="s">
        <v>119</v>
      </c>
      <c r="I9" s="108">
        <v>29750.8464</v>
      </c>
      <c r="J9" s="109">
        <v>38000</v>
      </c>
      <c r="K9" s="109">
        <f t="shared" si="1"/>
        <v>36190.4761904762</v>
      </c>
      <c r="L9" s="110">
        <v>10000</v>
      </c>
      <c r="M9" s="110"/>
      <c r="N9" s="111">
        <f t="shared" si="0"/>
        <v>0.0084</v>
      </c>
      <c r="O9" s="112">
        <v>0.12</v>
      </c>
      <c r="P9" s="81">
        <f>I9*O9*0.5</f>
        <v>1785.050784</v>
      </c>
      <c r="Q9" s="81">
        <f t="shared" si="2"/>
        <v>2171.42857142857</v>
      </c>
      <c r="R9" s="81">
        <f t="shared" si="3"/>
        <v>571.428571428571</v>
      </c>
      <c r="S9" s="78"/>
      <c r="T9" s="17">
        <f>L9/1.05</f>
        <v>9523.80952380952</v>
      </c>
    </row>
    <row r="10" ht="27" customHeight="1" spans="1:19">
      <c r="A10" s="55">
        <v>8</v>
      </c>
      <c r="B10" s="66" t="s">
        <v>120</v>
      </c>
      <c r="C10" s="66" t="s">
        <v>42</v>
      </c>
      <c r="D10" s="60">
        <v>22903.54</v>
      </c>
      <c r="E10" s="53">
        <v>38.42</v>
      </c>
      <c r="F10" s="53">
        <v>38.42</v>
      </c>
      <c r="G10" s="66" t="s">
        <v>121</v>
      </c>
      <c r="H10" s="54" t="s">
        <v>122</v>
      </c>
      <c r="I10" s="108">
        <v>17222.4</v>
      </c>
      <c r="J10" s="109"/>
      <c r="K10" s="109">
        <f t="shared" si="1"/>
        <v>0</v>
      </c>
      <c r="L10" s="110"/>
      <c r="M10" s="110"/>
      <c r="N10" s="111">
        <f t="shared" si="0"/>
        <v>0.0084</v>
      </c>
      <c r="O10" s="112">
        <v>0.12</v>
      </c>
      <c r="P10" s="81">
        <f>I10*O10*0.5</f>
        <v>1033.344</v>
      </c>
      <c r="Q10" s="81">
        <f t="shared" si="2"/>
        <v>0</v>
      </c>
      <c r="R10" s="81">
        <f t="shared" si="3"/>
        <v>0</v>
      </c>
      <c r="S10" s="78"/>
    </row>
    <row r="11" ht="27" customHeight="1" spans="1:19">
      <c r="A11" s="49">
        <v>9</v>
      </c>
      <c r="B11" s="46" t="s">
        <v>123</v>
      </c>
      <c r="C11" s="47" t="s">
        <v>44</v>
      </c>
      <c r="D11" s="67">
        <v>94355.0746308826</v>
      </c>
      <c r="E11" s="68">
        <v>769.62</v>
      </c>
      <c r="F11" s="68">
        <v>38.42</v>
      </c>
      <c r="G11" s="69" t="s">
        <v>124</v>
      </c>
      <c r="H11" s="70"/>
      <c r="I11" s="108"/>
      <c r="J11" s="109">
        <v>180000</v>
      </c>
      <c r="K11" s="109">
        <f t="shared" si="1"/>
        <v>171428.571428571</v>
      </c>
      <c r="L11" s="110"/>
      <c r="M11" s="110"/>
      <c r="N11" s="111">
        <f t="shared" si="0"/>
        <v>0.0084</v>
      </c>
      <c r="O11" s="112">
        <v>0.12</v>
      </c>
      <c r="P11" s="81">
        <f>I11/1.05*O11*0.5</f>
        <v>0</v>
      </c>
      <c r="Q11" s="81">
        <f t="shared" si="2"/>
        <v>10285.7142857143</v>
      </c>
      <c r="R11" s="81">
        <f t="shared" si="3"/>
        <v>0</v>
      </c>
      <c r="S11" s="78"/>
    </row>
    <row r="12" ht="27" customHeight="1" spans="1:19">
      <c r="A12" s="55">
        <v>10</v>
      </c>
      <c r="B12" s="46"/>
      <c r="C12" s="47" t="s">
        <v>45</v>
      </c>
      <c r="D12" s="67">
        <v>1848065.2117416</v>
      </c>
      <c r="E12" s="68">
        <v>1505.01</v>
      </c>
      <c r="F12" s="68">
        <v>1505.01</v>
      </c>
      <c r="G12" s="69"/>
      <c r="H12" s="71"/>
      <c r="I12" s="108"/>
      <c r="J12" s="109"/>
      <c r="K12" s="109">
        <f t="shared" si="1"/>
        <v>0</v>
      </c>
      <c r="L12" s="110"/>
      <c r="M12" s="110"/>
      <c r="N12" s="111">
        <f t="shared" si="0"/>
        <v>0.0084</v>
      </c>
      <c r="O12" s="112">
        <v>0.12</v>
      </c>
      <c r="P12" s="81">
        <f>I12/1.05*O12*0.5</f>
        <v>0</v>
      </c>
      <c r="Q12" s="81">
        <f t="shared" si="2"/>
        <v>0</v>
      </c>
      <c r="R12" s="81">
        <f t="shared" si="3"/>
        <v>0</v>
      </c>
      <c r="S12" s="78"/>
    </row>
    <row r="13" ht="27" customHeight="1" spans="1:19">
      <c r="A13" s="49">
        <v>11</v>
      </c>
      <c r="B13" s="72" t="s">
        <v>128</v>
      </c>
      <c r="C13" s="72" t="s">
        <v>129</v>
      </c>
      <c r="D13" s="72"/>
      <c r="E13" s="72">
        <v>4</v>
      </c>
      <c r="F13" s="72"/>
      <c r="G13" s="72" t="s">
        <v>130</v>
      </c>
      <c r="H13" s="72"/>
      <c r="I13" s="108"/>
      <c r="J13" s="109"/>
      <c r="K13" s="109">
        <f t="shared" si="1"/>
        <v>0</v>
      </c>
      <c r="L13" s="110"/>
      <c r="M13" s="110"/>
      <c r="N13" s="111">
        <f t="shared" si="0"/>
        <v>0.0084</v>
      </c>
      <c r="O13" s="112">
        <v>0.12</v>
      </c>
      <c r="P13" s="81">
        <f>I13/1.05*O13*0.5</f>
        <v>0</v>
      </c>
      <c r="Q13" s="81">
        <f t="shared" si="2"/>
        <v>0</v>
      </c>
      <c r="R13" s="81">
        <f t="shared" si="3"/>
        <v>0</v>
      </c>
      <c r="S13" s="78"/>
    </row>
    <row r="14" ht="27" customHeight="1" spans="1:20">
      <c r="A14" s="73"/>
      <c r="B14" s="73"/>
      <c r="C14" s="73"/>
      <c r="D14" s="73"/>
      <c r="E14" s="73"/>
      <c r="F14" s="73">
        <f>SUM(F3:F13)</f>
        <v>3013.76</v>
      </c>
      <c r="G14" s="73"/>
      <c r="H14" s="73" t="s">
        <v>46</v>
      </c>
      <c r="I14" s="113">
        <f>SUM(I3:I13)</f>
        <v>496579.2744</v>
      </c>
      <c r="J14" s="113">
        <f>SUM(J3:J13)</f>
        <v>362000</v>
      </c>
      <c r="K14" s="113"/>
      <c r="L14" s="73">
        <f>SUM(L3:L13)</f>
        <v>173820</v>
      </c>
      <c r="M14" s="73">
        <f>SUM(M3:M13)</f>
        <v>0</v>
      </c>
      <c r="N14" s="73"/>
      <c r="O14" s="112"/>
      <c r="P14" s="73">
        <f>SUM(P3:P13)</f>
        <v>29794.756464</v>
      </c>
      <c r="Q14" s="73">
        <f>SUM(Q3:Q13)</f>
        <v>20685.7142857143</v>
      </c>
      <c r="R14" s="73">
        <f>SUM(R3:R13)</f>
        <v>9932.57142857143</v>
      </c>
      <c r="S14" s="73">
        <f>SUM(S3:S13)</f>
        <v>0</v>
      </c>
      <c r="T14" s="17"/>
    </row>
    <row r="15" ht="27" customHeight="1" spans="1:20">
      <c r="A15" s="74"/>
      <c r="B15" s="74"/>
      <c r="C15" s="74"/>
      <c r="D15" s="74"/>
      <c r="E15" s="74"/>
      <c r="F15" s="74"/>
      <c r="G15" s="74"/>
      <c r="H15" s="74"/>
      <c r="I15" s="114"/>
      <c r="J15" s="114"/>
      <c r="K15" s="114"/>
      <c r="L15" s="74"/>
      <c r="M15" s="74"/>
      <c r="N15" s="74"/>
      <c r="O15" s="74"/>
      <c r="P15" s="74"/>
      <c r="Q15" s="74"/>
      <c r="R15" s="74"/>
      <c r="S15" s="74"/>
      <c r="T15" s="17"/>
    </row>
    <row r="16" ht="27" customHeight="1" spans="1:20">
      <c r="A16" s="74"/>
      <c r="B16" s="74"/>
      <c r="C16" s="75" t="s">
        <v>14</v>
      </c>
      <c r="D16" s="75" t="s">
        <v>2</v>
      </c>
      <c r="E16" s="75" t="s">
        <v>29</v>
      </c>
      <c r="F16" s="26" t="s">
        <v>30</v>
      </c>
      <c r="G16" s="25" t="s">
        <v>31</v>
      </c>
      <c r="H16" s="25" t="s">
        <v>4</v>
      </c>
      <c r="I16" s="26" t="s">
        <v>32</v>
      </c>
      <c r="J16" s="115" t="s">
        <v>55</v>
      </c>
      <c r="K16" s="114"/>
      <c r="L16" s="74"/>
      <c r="M16" s="74"/>
      <c r="N16" s="74"/>
      <c r="O16" s="74"/>
      <c r="P16" s="74"/>
      <c r="Q16" s="74"/>
      <c r="R16" s="74"/>
      <c r="S16" s="74"/>
      <c r="T16" s="17"/>
    </row>
    <row r="17" ht="27" customHeight="1" spans="1:20">
      <c r="A17" s="74"/>
      <c r="B17" s="74"/>
      <c r="C17" s="76"/>
      <c r="D17" s="77" t="s">
        <v>235</v>
      </c>
      <c r="E17" s="73">
        <f>F12</f>
        <v>1505.01</v>
      </c>
      <c r="F17" s="73">
        <f>D12</f>
        <v>1848065.2117416</v>
      </c>
      <c r="G17" s="73">
        <v>0.7</v>
      </c>
      <c r="H17" s="73">
        <v>0.012</v>
      </c>
      <c r="I17" s="73">
        <f>F17*G17*H17/2</f>
        <v>7761.87388931472</v>
      </c>
      <c r="J17" s="116">
        <f>I17*50%</f>
        <v>3880.93694465736</v>
      </c>
      <c r="K17" s="114"/>
      <c r="L17" s="74"/>
      <c r="M17" s="74"/>
      <c r="N17" s="74"/>
      <c r="O17" s="74"/>
      <c r="P17" s="74"/>
      <c r="Q17" s="74"/>
      <c r="R17" s="74"/>
      <c r="S17" s="74"/>
      <c r="T17" s="17"/>
    </row>
    <row r="18" ht="27" customHeight="1" spans="1:20">
      <c r="A18" s="74"/>
      <c r="B18" s="74"/>
      <c r="C18" s="76"/>
      <c r="D18" s="73" t="s">
        <v>46</v>
      </c>
      <c r="E18" s="73"/>
      <c r="F18" s="73"/>
      <c r="G18" s="73"/>
      <c r="H18" s="73"/>
      <c r="I18" s="73">
        <f>SUM(I17:I17)</f>
        <v>7761.87388931472</v>
      </c>
      <c r="J18" s="117">
        <f>SUM(J17:J17)</f>
        <v>3880.93694465736</v>
      </c>
      <c r="K18" s="114"/>
      <c r="L18" s="74"/>
      <c r="M18" s="74"/>
      <c r="N18" s="74"/>
      <c r="O18" s="74"/>
      <c r="P18" s="74"/>
      <c r="Q18" s="74"/>
      <c r="R18" s="74"/>
      <c r="S18" s="74"/>
      <c r="T18" s="17"/>
    </row>
    <row r="19" ht="27" customHeight="1" spans="1:20">
      <c r="A19" s="74"/>
      <c r="B19" s="74"/>
      <c r="C19"/>
      <c r="D19"/>
      <c r="E19"/>
      <c r="F19"/>
      <c r="G19"/>
      <c r="H19"/>
      <c r="I19"/>
      <c r="J19" s="44"/>
      <c r="K19" s="114"/>
      <c r="L19" s="74"/>
      <c r="M19" s="74"/>
      <c r="N19" s="74"/>
      <c r="O19" s="74"/>
      <c r="P19" s="74"/>
      <c r="Q19" s="74"/>
      <c r="R19" s="74"/>
      <c r="S19" s="74"/>
      <c r="T19" s="17"/>
    </row>
    <row r="20" ht="27" customHeight="1" spans="1:20">
      <c r="A20" s="74"/>
      <c r="B20" s="74"/>
      <c r="C20" s="75" t="s">
        <v>12</v>
      </c>
      <c r="D20" s="75" t="s">
        <v>2</v>
      </c>
      <c r="E20" s="26" t="s">
        <v>30</v>
      </c>
      <c r="F20" s="26" t="s">
        <v>29</v>
      </c>
      <c r="G20" s="26" t="s">
        <v>236</v>
      </c>
      <c r="H20" s="78" t="s">
        <v>237</v>
      </c>
      <c r="I20" s="25" t="s">
        <v>4</v>
      </c>
      <c r="J20" s="26" t="s">
        <v>32</v>
      </c>
      <c r="K20" s="114"/>
      <c r="L20" s="74"/>
      <c r="M20" s="74"/>
      <c r="N20" s="74"/>
      <c r="O20" s="74"/>
      <c r="P20" s="74"/>
      <c r="Q20" s="74"/>
      <c r="R20" s="74"/>
      <c r="S20" s="74"/>
      <c r="T20" s="17"/>
    </row>
    <row r="21" ht="27" customHeight="1" spans="1:20">
      <c r="A21" s="74"/>
      <c r="B21" s="74"/>
      <c r="C21" s="76"/>
      <c r="D21" s="76" t="s">
        <v>238</v>
      </c>
      <c r="E21" s="73">
        <f>'房产税&amp;土地使用税'!C27-F17</f>
        <v>1852657.71537408</v>
      </c>
      <c r="F21" s="79">
        <f>F14-F12</f>
        <v>1508.75</v>
      </c>
      <c r="G21" s="80">
        <f>L14</f>
        <v>173820</v>
      </c>
      <c r="H21" s="81">
        <f>G21/1.05</f>
        <v>165542.857142857</v>
      </c>
      <c r="I21" s="73">
        <v>0.12</v>
      </c>
      <c r="J21" s="73">
        <f>H21*I21/2</f>
        <v>9932.57142857143</v>
      </c>
      <c r="K21" s="114"/>
      <c r="L21" s="74"/>
      <c r="M21" s="74"/>
      <c r="N21" s="74"/>
      <c r="O21" s="74"/>
      <c r="P21" s="74"/>
      <c r="Q21" s="74"/>
      <c r="R21" s="74"/>
      <c r="S21" s="74"/>
      <c r="T21" s="17"/>
    </row>
    <row r="22" ht="27" customHeight="1" spans="1:20">
      <c r="A22" s="74"/>
      <c r="B22" s="74"/>
      <c r="C22" s="76"/>
      <c r="D22" s="82"/>
      <c r="E22" s="73" t="s">
        <v>46</v>
      </c>
      <c r="F22" s="73">
        <f t="shared" ref="F22:J22" si="4">SUM(F21:F21)</f>
        <v>1508.75</v>
      </c>
      <c r="G22" s="73">
        <f t="shared" si="4"/>
        <v>173820</v>
      </c>
      <c r="H22" s="81"/>
      <c r="I22" s="73"/>
      <c r="J22" s="118">
        <f t="shared" si="4"/>
        <v>9932.57142857143</v>
      </c>
      <c r="K22" s="114"/>
      <c r="L22" s="74"/>
      <c r="M22" s="74"/>
      <c r="N22" s="74"/>
      <c r="O22" s="74"/>
      <c r="P22" s="74"/>
      <c r="Q22" s="74"/>
      <c r="R22" s="74"/>
      <c r="S22" s="74"/>
      <c r="T22" s="17"/>
    </row>
    <row r="23" ht="27" customHeight="1" spans="1:20">
      <c r="A23" s="74"/>
      <c r="B23" s="74"/>
      <c r="C23" s="83"/>
      <c r="D23" s="84"/>
      <c r="E23" s="84"/>
      <c r="F23" s="85"/>
      <c r="G23" s="85"/>
      <c r="I23" s="84"/>
      <c r="J23" s="84"/>
      <c r="K23" s="84"/>
      <c r="L23" s="84"/>
      <c r="M23" s="74"/>
      <c r="N23" s="74"/>
      <c r="O23" s="74"/>
      <c r="P23" s="74"/>
      <c r="Q23" s="74"/>
      <c r="R23" s="74"/>
      <c r="S23" s="74"/>
      <c r="T23" s="17"/>
    </row>
    <row r="24" ht="27" customHeight="1" spans="2:7">
      <c r="B24" s="45" t="s">
        <v>131</v>
      </c>
      <c r="F24" s="17"/>
      <c r="G24" s="17"/>
    </row>
    <row r="25" s="30" customFormat="1" ht="27" customHeight="1" spans="1:19">
      <c r="A25" s="86" t="s">
        <v>76</v>
      </c>
      <c r="B25" s="86" t="s">
        <v>77</v>
      </c>
      <c r="C25" s="86" t="s">
        <v>78</v>
      </c>
      <c r="D25" s="86" t="s">
        <v>30</v>
      </c>
      <c r="E25" s="86" t="s">
        <v>132</v>
      </c>
      <c r="F25" s="86" t="s">
        <v>80</v>
      </c>
      <c r="G25" s="86" t="s">
        <v>81</v>
      </c>
      <c r="H25" s="87" t="s">
        <v>82</v>
      </c>
      <c r="I25" s="105" t="s">
        <v>239</v>
      </c>
      <c r="J25" s="106" t="s">
        <v>228</v>
      </c>
      <c r="K25" s="106"/>
      <c r="L25" s="107" t="s">
        <v>229</v>
      </c>
      <c r="M25" s="107" t="s">
        <v>230</v>
      </c>
      <c r="N25" s="119" t="s">
        <v>84</v>
      </c>
      <c r="O25" s="119" t="s">
        <v>85</v>
      </c>
      <c r="P25" s="25" t="s">
        <v>231</v>
      </c>
      <c r="Q25" s="25" t="s">
        <v>232</v>
      </c>
      <c r="R25" s="25" t="s">
        <v>233</v>
      </c>
      <c r="S25" s="25" t="s">
        <v>234</v>
      </c>
    </row>
    <row r="26" ht="27" customHeight="1" spans="1:19">
      <c r="A26" s="88">
        <v>2</v>
      </c>
      <c r="B26" s="89" t="s">
        <v>136</v>
      </c>
      <c r="C26" s="90" t="s">
        <v>137</v>
      </c>
      <c r="D26" s="91">
        <f>'房产税&amp;土地使用税'!$C$43*F26</f>
        <v>42925.3452552889</v>
      </c>
      <c r="E26" s="92">
        <v>49.56</v>
      </c>
      <c r="F26" s="92">
        <v>51.2</v>
      </c>
      <c r="G26" s="92" t="s">
        <v>138</v>
      </c>
      <c r="H26" s="93"/>
      <c r="I26" s="120"/>
      <c r="J26" s="120"/>
      <c r="K26" s="109">
        <f t="shared" ref="K26:K61" si="5">J26/1.05</f>
        <v>0</v>
      </c>
      <c r="L26" s="91"/>
      <c r="M26" s="91"/>
      <c r="N26" s="121">
        <f t="shared" ref="N26:N61" si="6">70%*0.012</f>
        <v>0.0084</v>
      </c>
      <c r="O26" s="122">
        <v>0.12</v>
      </c>
      <c r="P26" s="81">
        <f t="shared" ref="P26:P61" si="7">I26/1.05*O26*0.5</f>
        <v>0</v>
      </c>
      <c r="Q26" s="81">
        <f t="shared" ref="Q26:Q61" si="8">J26/1.05*O26*0.5</f>
        <v>0</v>
      </c>
      <c r="R26" s="81">
        <f t="shared" ref="R26:R61" si="9">L26/1.05*O26*0.5</f>
        <v>0</v>
      </c>
      <c r="S26" s="78"/>
    </row>
    <row r="27" ht="27" customHeight="1" spans="1:19">
      <c r="A27" s="88">
        <v>3</v>
      </c>
      <c r="B27" s="89" t="s">
        <v>139</v>
      </c>
      <c r="C27" s="90" t="s">
        <v>240</v>
      </c>
      <c r="D27" s="91">
        <f>'房产税&amp;土地使用税'!$C$43*F27</f>
        <v>31875.4223946501</v>
      </c>
      <c r="E27" s="92">
        <v>38.96</v>
      </c>
      <c r="F27" s="94">
        <v>38.02</v>
      </c>
      <c r="G27" s="94" t="s">
        <v>141</v>
      </c>
      <c r="H27" s="93"/>
      <c r="I27" s="120"/>
      <c r="J27" s="120"/>
      <c r="K27" s="109">
        <f t="shared" si="5"/>
        <v>0</v>
      </c>
      <c r="L27" s="91"/>
      <c r="M27" s="91"/>
      <c r="N27" s="121">
        <f t="shared" si="6"/>
        <v>0.0084</v>
      </c>
      <c r="O27" s="122">
        <v>0.12</v>
      </c>
      <c r="P27" s="81">
        <f t="shared" si="7"/>
        <v>0</v>
      </c>
      <c r="Q27" s="81">
        <f t="shared" si="8"/>
        <v>0</v>
      </c>
      <c r="R27" s="81">
        <f t="shared" si="9"/>
        <v>0</v>
      </c>
      <c r="S27" s="78"/>
    </row>
    <row r="28" ht="27" customHeight="1" spans="1:20">
      <c r="A28" s="88">
        <v>4</v>
      </c>
      <c r="B28" s="89" t="s">
        <v>241</v>
      </c>
      <c r="C28" s="90" t="s">
        <v>146</v>
      </c>
      <c r="D28" s="91">
        <f>'房产税&amp;土地使用税'!$C$43*F28</f>
        <v>65813.2734871129</v>
      </c>
      <c r="E28" s="92">
        <v>76.32</v>
      </c>
      <c r="F28" s="94">
        <v>78.5</v>
      </c>
      <c r="G28" s="94" t="s">
        <v>144</v>
      </c>
      <c r="H28" s="93"/>
      <c r="I28" s="120"/>
      <c r="J28" s="120"/>
      <c r="K28" s="109">
        <f t="shared" si="5"/>
        <v>0</v>
      </c>
      <c r="L28" s="91">
        <v>48000</v>
      </c>
      <c r="M28" s="91"/>
      <c r="N28" s="121">
        <f t="shared" si="6"/>
        <v>0.0084</v>
      </c>
      <c r="O28" s="122">
        <v>0.12</v>
      </c>
      <c r="P28" s="81">
        <f t="shared" si="7"/>
        <v>0</v>
      </c>
      <c r="Q28" s="81">
        <f t="shared" si="8"/>
        <v>0</v>
      </c>
      <c r="R28" s="81">
        <f t="shared" si="9"/>
        <v>2742.85714285714</v>
      </c>
      <c r="S28" s="78"/>
      <c r="T28" s="17">
        <f>L28/1.05</f>
        <v>45714.2857142857</v>
      </c>
    </row>
    <row r="29" ht="27" customHeight="1" spans="1:19">
      <c r="A29" s="88">
        <v>5</v>
      </c>
      <c r="B29" s="89" t="s">
        <v>145</v>
      </c>
      <c r="C29" s="90" t="s">
        <v>149</v>
      </c>
      <c r="D29" s="91">
        <f>'房产税&amp;土地使用税'!$C$43*F29</f>
        <v>42925.3452552889</v>
      </c>
      <c r="E29" s="92">
        <v>49.32</v>
      </c>
      <c r="F29" s="94">
        <v>51.2</v>
      </c>
      <c r="G29" s="94" t="s">
        <v>147</v>
      </c>
      <c r="H29" s="93"/>
      <c r="I29" s="120"/>
      <c r="J29" s="120"/>
      <c r="K29" s="109">
        <f t="shared" si="5"/>
        <v>0</v>
      </c>
      <c r="L29" s="91"/>
      <c r="M29" s="91"/>
      <c r="N29" s="121">
        <f t="shared" si="6"/>
        <v>0.0084</v>
      </c>
      <c r="O29" s="122">
        <v>0.12</v>
      </c>
      <c r="P29" s="81">
        <f t="shared" si="7"/>
        <v>0</v>
      </c>
      <c r="Q29" s="81">
        <f t="shared" si="8"/>
        <v>0</v>
      </c>
      <c r="R29" s="81">
        <f t="shared" si="9"/>
        <v>0</v>
      </c>
      <c r="S29" s="78"/>
    </row>
    <row r="30" ht="27" customHeight="1" spans="1:19">
      <c r="A30" s="88">
        <v>6</v>
      </c>
      <c r="B30" s="89" t="s">
        <v>148</v>
      </c>
      <c r="C30" s="90" t="s">
        <v>152</v>
      </c>
      <c r="D30" s="91">
        <f>'房产税&amp;土地使用税'!$C$43*F30</f>
        <v>19090.0412395103</v>
      </c>
      <c r="E30" s="92">
        <v>22.24</v>
      </c>
      <c r="F30" s="94">
        <v>22.77</v>
      </c>
      <c r="G30" s="94" t="s">
        <v>150</v>
      </c>
      <c r="H30" s="93"/>
      <c r="I30" s="120"/>
      <c r="J30" s="120"/>
      <c r="K30" s="109">
        <f t="shared" si="5"/>
        <v>0</v>
      </c>
      <c r="L30" s="91"/>
      <c r="M30" s="91"/>
      <c r="N30" s="121">
        <f t="shared" si="6"/>
        <v>0.0084</v>
      </c>
      <c r="O30" s="122">
        <v>0.12</v>
      </c>
      <c r="P30" s="81">
        <f t="shared" si="7"/>
        <v>0</v>
      </c>
      <c r="Q30" s="81">
        <f t="shared" si="8"/>
        <v>0</v>
      </c>
      <c r="R30" s="81">
        <f t="shared" si="9"/>
        <v>0</v>
      </c>
      <c r="S30" s="78"/>
    </row>
    <row r="31" ht="27" customHeight="1" spans="1:19">
      <c r="A31" s="88">
        <v>7</v>
      </c>
      <c r="B31" s="89" t="s">
        <v>151</v>
      </c>
      <c r="C31" s="90" t="s">
        <v>153</v>
      </c>
      <c r="D31" s="91">
        <f>'房产税&amp;土地使用税'!$C$43*F31</f>
        <v>19090.0412395103</v>
      </c>
      <c r="E31" s="92">
        <v>22.24</v>
      </c>
      <c r="F31" s="94">
        <v>22.77</v>
      </c>
      <c r="G31" s="94" t="s">
        <v>144</v>
      </c>
      <c r="H31" s="93"/>
      <c r="I31" s="120"/>
      <c r="J31" s="120"/>
      <c r="K31" s="109">
        <f t="shared" si="5"/>
        <v>0</v>
      </c>
      <c r="L31" s="91"/>
      <c r="M31" s="91"/>
      <c r="N31" s="121">
        <f t="shared" si="6"/>
        <v>0.0084</v>
      </c>
      <c r="O31" s="122">
        <v>0.12</v>
      </c>
      <c r="P31" s="81">
        <f t="shared" si="7"/>
        <v>0</v>
      </c>
      <c r="Q31" s="81">
        <f t="shared" si="8"/>
        <v>0</v>
      </c>
      <c r="R31" s="81">
        <f t="shared" si="9"/>
        <v>0</v>
      </c>
      <c r="S31" s="78"/>
    </row>
    <row r="32" ht="27" customHeight="1" spans="1:19">
      <c r="A32" s="88">
        <v>8</v>
      </c>
      <c r="B32" s="89" t="s">
        <v>148</v>
      </c>
      <c r="C32" s="90" t="s">
        <v>156</v>
      </c>
      <c r="D32" s="91">
        <f>'房产税&amp;土地使用税'!$C$43*F32</f>
        <v>36058.9667857417</v>
      </c>
      <c r="E32" s="92">
        <v>41.74</v>
      </c>
      <c r="F32" s="94">
        <v>43.01</v>
      </c>
      <c r="G32" s="94" t="s">
        <v>154</v>
      </c>
      <c r="H32" s="93"/>
      <c r="I32" s="120">
        <v>5000</v>
      </c>
      <c r="J32" s="120">
        <v>17089</v>
      </c>
      <c r="K32" s="109">
        <f t="shared" si="5"/>
        <v>16275.2380952381</v>
      </c>
      <c r="L32" s="91"/>
      <c r="M32" s="91"/>
      <c r="N32" s="121">
        <f t="shared" si="6"/>
        <v>0.0084</v>
      </c>
      <c r="O32" s="122">
        <v>0.12</v>
      </c>
      <c r="P32" s="81">
        <f>I32*O32*0.5</f>
        <v>300</v>
      </c>
      <c r="Q32" s="81">
        <f t="shared" si="8"/>
        <v>976.514285714286</v>
      </c>
      <c r="R32" s="81">
        <f t="shared" si="9"/>
        <v>0</v>
      </c>
      <c r="S32" s="78"/>
    </row>
    <row r="33" ht="27" customHeight="1" spans="1:19">
      <c r="A33" s="88">
        <v>9</v>
      </c>
      <c r="B33" s="95" t="s">
        <v>155</v>
      </c>
      <c r="C33" s="90" t="s">
        <v>159</v>
      </c>
      <c r="D33" s="91">
        <f>'房产税&amp;土地使用税'!$C$43*F33</f>
        <v>36712.9075923653</v>
      </c>
      <c r="E33" s="92">
        <v>41.74</v>
      </c>
      <c r="F33" s="94">
        <v>43.79</v>
      </c>
      <c r="G33" s="94" t="s">
        <v>157</v>
      </c>
      <c r="H33" s="93"/>
      <c r="I33" s="120"/>
      <c r="J33" s="120"/>
      <c r="K33" s="109">
        <f t="shared" si="5"/>
        <v>0</v>
      </c>
      <c r="L33" s="91"/>
      <c r="M33" s="91"/>
      <c r="N33" s="121">
        <f t="shared" si="6"/>
        <v>0.0084</v>
      </c>
      <c r="O33" s="122">
        <v>0.12</v>
      </c>
      <c r="P33" s="81">
        <f t="shared" si="7"/>
        <v>0</v>
      </c>
      <c r="Q33" s="81">
        <f t="shared" si="8"/>
        <v>0</v>
      </c>
      <c r="R33" s="81">
        <f t="shared" si="9"/>
        <v>0</v>
      </c>
      <c r="S33" s="78"/>
    </row>
    <row r="34" ht="27" customHeight="1" spans="1:19">
      <c r="A34" s="88">
        <v>10</v>
      </c>
      <c r="B34" s="89" t="s">
        <v>158</v>
      </c>
      <c r="C34" s="90" t="s">
        <v>162</v>
      </c>
      <c r="D34" s="91">
        <f>'房产税&amp;土地使用税'!$C$43*F34</f>
        <v>19090.0412395103</v>
      </c>
      <c r="E34" s="92">
        <v>22.24</v>
      </c>
      <c r="F34" s="94">
        <v>22.77</v>
      </c>
      <c r="G34" s="94" t="s">
        <v>160</v>
      </c>
      <c r="H34" s="93"/>
      <c r="I34" s="120"/>
      <c r="J34" s="120"/>
      <c r="K34" s="109">
        <f t="shared" si="5"/>
        <v>0</v>
      </c>
      <c r="L34" s="91"/>
      <c r="M34" s="91"/>
      <c r="N34" s="121">
        <f t="shared" si="6"/>
        <v>0.0084</v>
      </c>
      <c r="O34" s="122">
        <v>0.12</v>
      </c>
      <c r="P34" s="81">
        <f t="shared" si="7"/>
        <v>0</v>
      </c>
      <c r="Q34" s="81">
        <f t="shared" si="8"/>
        <v>0</v>
      </c>
      <c r="R34" s="81">
        <f t="shared" si="9"/>
        <v>0</v>
      </c>
      <c r="S34" s="78"/>
    </row>
    <row r="35" ht="27" customHeight="1" spans="1:19">
      <c r="A35" s="88">
        <v>11</v>
      </c>
      <c r="B35" s="96" t="s">
        <v>161</v>
      </c>
      <c r="C35" s="97" t="s">
        <v>242</v>
      </c>
      <c r="D35" s="91">
        <f>'房产税&amp;土地使用税'!$C$43*F35</f>
        <v>19090.0412395103</v>
      </c>
      <c r="E35" s="92">
        <v>22.24</v>
      </c>
      <c r="F35" s="94">
        <v>22.77</v>
      </c>
      <c r="G35" s="94" t="s">
        <v>163</v>
      </c>
      <c r="H35" s="93"/>
      <c r="I35" s="120"/>
      <c r="J35" s="120"/>
      <c r="K35" s="109">
        <f t="shared" si="5"/>
        <v>0</v>
      </c>
      <c r="L35" s="91"/>
      <c r="M35" s="91"/>
      <c r="N35" s="121">
        <f t="shared" si="6"/>
        <v>0.0084</v>
      </c>
      <c r="O35" s="122">
        <v>0.12</v>
      </c>
      <c r="P35" s="81">
        <f t="shared" si="7"/>
        <v>0</v>
      </c>
      <c r="Q35" s="81">
        <f t="shared" si="8"/>
        <v>0</v>
      </c>
      <c r="R35" s="81">
        <f t="shared" si="9"/>
        <v>0</v>
      </c>
      <c r="S35" s="78"/>
    </row>
    <row r="36" ht="27" customHeight="1" spans="1:19">
      <c r="A36" s="88">
        <v>12</v>
      </c>
      <c r="B36" s="89" t="s">
        <v>243</v>
      </c>
      <c r="C36" s="90" t="s">
        <v>244</v>
      </c>
      <c r="D36" s="91">
        <f>'房产税&amp;土地使用税'!$C$43*F36</f>
        <v>57270.123718531</v>
      </c>
      <c r="E36" s="92">
        <v>71.72</v>
      </c>
      <c r="F36" s="94">
        <v>68.31</v>
      </c>
      <c r="G36" s="94" t="s">
        <v>166</v>
      </c>
      <c r="H36" s="93"/>
      <c r="I36" s="120"/>
      <c r="J36" s="120"/>
      <c r="K36" s="109">
        <f t="shared" si="5"/>
        <v>0</v>
      </c>
      <c r="L36" s="91"/>
      <c r="M36" s="91"/>
      <c r="N36" s="121">
        <f t="shared" si="6"/>
        <v>0.0084</v>
      </c>
      <c r="O36" s="122">
        <v>0.12</v>
      </c>
      <c r="P36" s="81">
        <f t="shared" si="7"/>
        <v>0</v>
      </c>
      <c r="Q36" s="81">
        <f t="shared" si="8"/>
        <v>0</v>
      </c>
      <c r="R36" s="81">
        <f t="shared" si="9"/>
        <v>0</v>
      </c>
      <c r="S36" s="78"/>
    </row>
    <row r="37" ht="27" customHeight="1" spans="1:19">
      <c r="A37" s="88">
        <v>13</v>
      </c>
      <c r="B37" s="89" t="s">
        <v>167</v>
      </c>
      <c r="C37" s="90" t="s">
        <v>245</v>
      </c>
      <c r="D37" s="91">
        <f>'房产税&amp;土地使用税'!$C$43*F37</f>
        <v>36058.9667857417</v>
      </c>
      <c r="E37" s="92">
        <v>41.74</v>
      </c>
      <c r="F37" s="92">
        <v>43.01</v>
      </c>
      <c r="G37" s="92" t="s">
        <v>169</v>
      </c>
      <c r="H37" s="93"/>
      <c r="I37" s="120"/>
      <c r="J37" s="120"/>
      <c r="K37" s="109">
        <f t="shared" si="5"/>
        <v>0</v>
      </c>
      <c r="L37" s="91"/>
      <c r="M37" s="91"/>
      <c r="N37" s="121">
        <f t="shared" si="6"/>
        <v>0.0084</v>
      </c>
      <c r="O37" s="122">
        <v>0.12</v>
      </c>
      <c r="P37" s="81">
        <f t="shared" si="7"/>
        <v>0</v>
      </c>
      <c r="Q37" s="81">
        <f t="shared" si="8"/>
        <v>0</v>
      </c>
      <c r="R37" s="81">
        <f t="shared" si="9"/>
        <v>0</v>
      </c>
      <c r="S37" s="78"/>
    </row>
    <row r="38" ht="27" customHeight="1" spans="1:19">
      <c r="A38" s="88">
        <v>14</v>
      </c>
      <c r="B38" s="96" t="s">
        <v>197</v>
      </c>
      <c r="C38" s="97" t="s">
        <v>174</v>
      </c>
      <c r="D38" s="91">
        <f>'房产税&amp;土地使用税'!$C$43*F38</f>
        <v>42925.3452552889</v>
      </c>
      <c r="E38" s="92">
        <v>53</v>
      </c>
      <c r="F38" s="92">
        <v>51.2</v>
      </c>
      <c r="G38" s="92" t="s">
        <v>172</v>
      </c>
      <c r="H38" s="93"/>
      <c r="I38" s="120"/>
      <c r="J38" s="120"/>
      <c r="K38" s="109">
        <f t="shared" si="5"/>
        <v>0</v>
      </c>
      <c r="L38" s="91"/>
      <c r="M38" s="91"/>
      <c r="N38" s="121">
        <f t="shared" si="6"/>
        <v>0.0084</v>
      </c>
      <c r="O38" s="122">
        <v>0.12</v>
      </c>
      <c r="P38" s="81">
        <f t="shared" si="7"/>
        <v>0</v>
      </c>
      <c r="Q38" s="81">
        <f t="shared" si="8"/>
        <v>0</v>
      </c>
      <c r="R38" s="81">
        <f t="shared" si="9"/>
        <v>0</v>
      </c>
      <c r="S38" s="78"/>
    </row>
    <row r="39" ht="27" customHeight="1" spans="1:19">
      <c r="A39" s="88">
        <v>15</v>
      </c>
      <c r="B39" s="96" t="s">
        <v>173</v>
      </c>
      <c r="C39" s="97" t="s">
        <v>246</v>
      </c>
      <c r="D39" s="91">
        <f>'房产税&amp;土地使用税'!$C$43*F39</f>
        <v>36058.9667857417</v>
      </c>
      <c r="E39" s="92">
        <v>41.74</v>
      </c>
      <c r="F39" s="94">
        <v>43.01</v>
      </c>
      <c r="G39" s="94" t="s">
        <v>175</v>
      </c>
      <c r="H39" s="93"/>
      <c r="I39" s="120"/>
      <c r="J39" s="120"/>
      <c r="K39" s="109">
        <f t="shared" si="5"/>
        <v>0</v>
      </c>
      <c r="L39" s="91"/>
      <c r="M39" s="91"/>
      <c r="N39" s="121">
        <f t="shared" si="6"/>
        <v>0.0084</v>
      </c>
      <c r="O39" s="122">
        <v>0.12</v>
      </c>
      <c r="P39" s="81">
        <f t="shared" si="7"/>
        <v>0</v>
      </c>
      <c r="Q39" s="81">
        <f t="shared" si="8"/>
        <v>0</v>
      </c>
      <c r="R39" s="81">
        <f t="shared" si="9"/>
        <v>0</v>
      </c>
      <c r="S39" s="78"/>
    </row>
    <row r="40" ht="27" customHeight="1" spans="1:20">
      <c r="A40" s="88">
        <v>16</v>
      </c>
      <c r="B40" s="89" t="s">
        <v>176</v>
      </c>
      <c r="C40" s="90" t="s">
        <v>247</v>
      </c>
      <c r="D40" s="91">
        <f>'房产税&amp;土地使用税'!$C$43*F40</f>
        <v>36058.9667857417</v>
      </c>
      <c r="E40" s="92">
        <v>41.74</v>
      </c>
      <c r="F40" s="94">
        <v>43.01</v>
      </c>
      <c r="G40" s="94" t="s">
        <v>178</v>
      </c>
      <c r="H40" s="93"/>
      <c r="I40" s="120"/>
      <c r="J40" s="120"/>
      <c r="K40" s="109">
        <f t="shared" si="5"/>
        <v>0</v>
      </c>
      <c r="L40" s="91">
        <v>23614</v>
      </c>
      <c r="M40" s="91"/>
      <c r="N40" s="121">
        <f t="shared" si="6"/>
        <v>0.0084</v>
      </c>
      <c r="O40" s="122">
        <v>0.12</v>
      </c>
      <c r="P40" s="81">
        <f t="shared" si="7"/>
        <v>0</v>
      </c>
      <c r="Q40" s="81">
        <f t="shared" si="8"/>
        <v>0</v>
      </c>
      <c r="R40" s="81">
        <f t="shared" si="9"/>
        <v>1349.37142857143</v>
      </c>
      <c r="S40" s="78"/>
      <c r="T40" s="17">
        <f>L40/1.05</f>
        <v>22489.5238095238</v>
      </c>
    </row>
    <row r="41" ht="27" customHeight="1" spans="1:19">
      <c r="A41" s="88">
        <v>17</v>
      </c>
      <c r="B41" s="89" t="s">
        <v>179</v>
      </c>
      <c r="C41" s="90" t="s">
        <v>183</v>
      </c>
      <c r="D41" s="91">
        <f>'房产税&amp;土地使用税'!$C$43*F41</f>
        <v>36058.9667857417</v>
      </c>
      <c r="E41" s="92">
        <v>41.74</v>
      </c>
      <c r="F41" s="92">
        <v>43.01</v>
      </c>
      <c r="G41" s="92" t="s">
        <v>181</v>
      </c>
      <c r="H41" s="93"/>
      <c r="I41" s="120"/>
      <c r="J41" s="120">
        <v>9880</v>
      </c>
      <c r="K41" s="109">
        <f t="shared" si="5"/>
        <v>9409.52380952381</v>
      </c>
      <c r="L41" s="91"/>
      <c r="M41" s="91"/>
      <c r="N41" s="121">
        <f t="shared" si="6"/>
        <v>0.0084</v>
      </c>
      <c r="O41" s="122">
        <v>0.12</v>
      </c>
      <c r="P41" s="81">
        <f t="shared" si="7"/>
        <v>0</v>
      </c>
      <c r="Q41" s="81">
        <f t="shared" si="8"/>
        <v>564.571428571429</v>
      </c>
      <c r="R41" s="81">
        <f t="shared" si="9"/>
        <v>0</v>
      </c>
      <c r="S41" s="78"/>
    </row>
    <row r="42" ht="27" customHeight="1" spans="1:20">
      <c r="A42" s="88">
        <v>18</v>
      </c>
      <c r="B42" s="89" t="s">
        <v>182</v>
      </c>
      <c r="C42" s="90" t="s">
        <v>184</v>
      </c>
      <c r="D42" s="91">
        <f>'房产税&amp;土地使用税'!$C$43*F42</f>
        <v>36058.9667857417</v>
      </c>
      <c r="E42" s="92">
        <v>41.74</v>
      </c>
      <c r="F42" s="94">
        <v>43.01</v>
      </c>
      <c r="G42" s="94" t="s">
        <v>130</v>
      </c>
      <c r="H42" s="93"/>
      <c r="I42" s="120"/>
      <c r="J42" s="120"/>
      <c r="K42" s="109">
        <f t="shared" si="5"/>
        <v>0</v>
      </c>
      <c r="L42" s="91">
        <v>25216</v>
      </c>
      <c r="M42" s="91"/>
      <c r="N42" s="121">
        <f t="shared" si="6"/>
        <v>0.0084</v>
      </c>
      <c r="O42" s="122">
        <v>0.12</v>
      </c>
      <c r="P42" s="81">
        <f t="shared" si="7"/>
        <v>0</v>
      </c>
      <c r="Q42" s="81">
        <f t="shared" si="8"/>
        <v>0</v>
      </c>
      <c r="R42" s="81">
        <f t="shared" si="9"/>
        <v>1440.91428571429</v>
      </c>
      <c r="S42" s="78"/>
      <c r="T42" s="17">
        <f>L42/1.05</f>
        <v>24015.2380952381</v>
      </c>
    </row>
    <row r="43" ht="27" customHeight="1" spans="1:19">
      <c r="A43" s="88">
        <v>19</v>
      </c>
      <c r="B43" s="96" t="s">
        <v>133</v>
      </c>
      <c r="C43" s="97" t="s">
        <v>187</v>
      </c>
      <c r="D43" s="91">
        <f>'房产税&amp;土地使用税'!$C$43*F43</f>
        <v>36058.9667857417</v>
      </c>
      <c r="E43" s="92">
        <v>42.9</v>
      </c>
      <c r="F43" s="92">
        <v>43.01</v>
      </c>
      <c r="G43" s="92" t="s">
        <v>185</v>
      </c>
      <c r="H43" s="93"/>
      <c r="I43" s="120"/>
      <c r="J43" s="120"/>
      <c r="K43" s="109">
        <f t="shared" si="5"/>
        <v>0</v>
      </c>
      <c r="L43" s="91"/>
      <c r="M43" s="91"/>
      <c r="N43" s="121">
        <f t="shared" si="6"/>
        <v>0.0084</v>
      </c>
      <c r="O43" s="122">
        <v>0.12</v>
      </c>
      <c r="P43" s="81">
        <f t="shared" si="7"/>
        <v>0</v>
      </c>
      <c r="Q43" s="81">
        <f t="shared" si="8"/>
        <v>0</v>
      </c>
      <c r="R43" s="81">
        <f t="shared" si="9"/>
        <v>0</v>
      </c>
      <c r="S43" s="78"/>
    </row>
    <row r="44" ht="27" customHeight="1" spans="1:19">
      <c r="A44" s="88">
        <v>20</v>
      </c>
      <c r="B44" s="89" t="s">
        <v>186</v>
      </c>
      <c r="C44" s="90" t="s">
        <v>189</v>
      </c>
      <c r="D44" s="91">
        <f>'房产税&amp;土地使用税'!$C$43*F44</f>
        <v>26727.7345066135</v>
      </c>
      <c r="E44" s="92">
        <v>38.28</v>
      </c>
      <c r="F44" s="92">
        <v>31.88</v>
      </c>
      <c r="G44" s="92" t="s">
        <v>188</v>
      </c>
      <c r="H44" s="93"/>
      <c r="I44" s="120"/>
      <c r="J44" s="120">
        <v>19562</v>
      </c>
      <c r="K44" s="109">
        <f t="shared" si="5"/>
        <v>18630.4761904762</v>
      </c>
      <c r="L44" s="91"/>
      <c r="M44" s="91"/>
      <c r="N44" s="121">
        <f t="shared" si="6"/>
        <v>0.0084</v>
      </c>
      <c r="O44" s="122">
        <v>0.12</v>
      </c>
      <c r="P44" s="81">
        <f t="shared" si="7"/>
        <v>0</v>
      </c>
      <c r="Q44" s="81">
        <f t="shared" si="8"/>
        <v>1117.82857142857</v>
      </c>
      <c r="R44" s="81">
        <f t="shared" si="9"/>
        <v>0</v>
      </c>
      <c r="S44" s="78"/>
    </row>
    <row r="45" ht="27" customHeight="1" spans="1:19">
      <c r="A45" s="88">
        <v>21</v>
      </c>
      <c r="B45" s="89" t="s">
        <v>142</v>
      </c>
      <c r="C45" s="90" t="s">
        <v>248</v>
      </c>
      <c r="D45" s="91">
        <f>'房产税&amp;土地使用税'!$C$43*F45</f>
        <v>26727.7345066135</v>
      </c>
      <c r="E45" s="92">
        <v>37.86</v>
      </c>
      <c r="F45" s="92">
        <v>31.88</v>
      </c>
      <c r="G45" s="92" t="s">
        <v>188</v>
      </c>
      <c r="H45" s="93"/>
      <c r="I45" s="120"/>
      <c r="J45" s="120">
        <v>19347</v>
      </c>
      <c r="K45" s="109">
        <f t="shared" si="5"/>
        <v>18425.7142857143</v>
      </c>
      <c r="L45" s="91"/>
      <c r="M45" s="91"/>
      <c r="N45" s="121">
        <f t="shared" si="6"/>
        <v>0.0084</v>
      </c>
      <c r="O45" s="122">
        <v>0.12</v>
      </c>
      <c r="P45" s="81">
        <f t="shared" si="7"/>
        <v>0</v>
      </c>
      <c r="Q45" s="81">
        <f t="shared" si="8"/>
        <v>1105.54285714286</v>
      </c>
      <c r="R45" s="81">
        <f t="shared" si="9"/>
        <v>0</v>
      </c>
      <c r="S45" s="78"/>
    </row>
    <row r="46" ht="27" customHeight="1" spans="1:19">
      <c r="A46" s="88">
        <v>22</v>
      </c>
      <c r="B46" s="89" t="s">
        <v>148</v>
      </c>
      <c r="C46" s="98" t="s">
        <v>249</v>
      </c>
      <c r="D46" s="91">
        <f>'房产税&amp;土地使用税'!$C$43*F46</f>
        <v>111203.472551983</v>
      </c>
      <c r="E46" s="92">
        <v>122.48</v>
      </c>
      <c r="F46" s="92">
        <v>132.64</v>
      </c>
      <c r="G46" s="92" t="s">
        <v>191</v>
      </c>
      <c r="H46" s="93"/>
      <c r="I46" s="120"/>
      <c r="J46" s="120">
        <v>24014</v>
      </c>
      <c r="K46" s="109">
        <f t="shared" si="5"/>
        <v>22870.4761904762</v>
      </c>
      <c r="L46" s="91"/>
      <c r="M46" s="91"/>
      <c r="N46" s="121">
        <f t="shared" si="6"/>
        <v>0.0084</v>
      </c>
      <c r="O46" s="122">
        <v>0.12</v>
      </c>
      <c r="P46" s="81">
        <f t="shared" si="7"/>
        <v>0</v>
      </c>
      <c r="Q46" s="81">
        <f t="shared" si="8"/>
        <v>1372.22857142857</v>
      </c>
      <c r="R46" s="81">
        <f t="shared" si="9"/>
        <v>0</v>
      </c>
      <c r="S46" s="78"/>
    </row>
    <row r="47" ht="27" customHeight="1" spans="1:20">
      <c r="A47" s="88">
        <v>23</v>
      </c>
      <c r="B47" s="89" t="s">
        <v>192</v>
      </c>
      <c r="C47" s="90" t="s">
        <v>193</v>
      </c>
      <c r="D47" s="91">
        <f>'房产税&amp;土地使用税'!$C$43*F47</f>
        <v>19090.0412395103</v>
      </c>
      <c r="E47" s="92">
        <v>22.24</v>
      </c>
      <c r="F47" s="92">
        <v>22.77</v>
      </c>
      <c r="G47" s="92" t="s">
        <v>194</v>
      </c>
      <c r="H47" s="93"/>
      <c r="I47" s="120"/>
      <c r="J47" s="120"/>
      <c r="K47" s="109">
        <f t="shared" si="5"/>
        <v>0</v>
      </c>
      <c r="L47" s="91">
        <v>13000</v>
      </c>
      <c r="M47" s="91"/>
      <c r="N47" s="121">
        <f t="shared" si="6"/>
        <v>0.0084</v>
      </c>
      <c r="O47" s="122">
        <v>0.12</v>
      </c>
      <c r="P47" s="81">
        <f t="shared" si="7"/>
        <v>0</v>
      </c>
      <c r="Q47" s="81">
        <f t="shared" si="8"/>
        <v>0</v>
      </c>
      <c r="R47" s="81">
        <f t="shared" si="9"/>
        <v>742.857142857143</v>
      </c>
      <c r="S47" s="78"/>
      <c r="T47" s="17">
        <f>L47/1.05</f>
        <v>12380.9523809524</v>
      </c>
    </row>
    <row r="48" ht="27" customHeight="1" spans="1:20">
      <c r="A48" s="88">
        <v>24</v>
      </c>
      <c r="B48" s="89" t="s">
        <v>133</v>
      </c>
      <c r="C48" s="90" t="s">
        <v>195</v>
      </c>
      <c r="D48" s="91">
        <f>'房产税&amp;土地使用税'!$C$43*F48</f>
        <v>53681.8331385967</v>
      </c>
      <c r="E48" s="92">
        <v>100</v>
      </c>
      <c r="F48" s="94">
        <v>64.03</v>
      </c>
      <c r="G48" s="94" t="s">
        <v>196</v>
      </c>
      <c r="H48" s="93"/>
      <c r="I48" s="120"/>
      <c r="J48" s="120">
        <v>6822</v>
      </c>
      <c r="K48" s="109">
        <f t="shared" si="5"/>
        <v>6497.14285714286</v>
      </c>
      <c r="L48" s="91">
        <v>30000</v>
      </c>
      <c r="M48" s="91"/>
      <c r="N48" s="121">
        <f t="shared" si="6"/>
        <v>0.0084</v>
      </c>
      <c r="O48" s="122">
        <v>0.12</v>
      </c>
      <c r="P48" s="81">
        <f t="shared" si="7"/>
        <v>0</v>
      </c>
      <c r="Q48" s="81">
        <f t="shared" si="8"/>
        <v>389.828571428571</v>
      </c>
      <c r="R48" s="81">
        <f t="shared" si="9"/>
        <v>1714.28571428571</v>
      </c>
      <c r="S48" s="78"/>
      <c r="T48" s="17">
        <f>L48/1.05</f>
        <v>28571.4285714286</v>
      </c>
    </row>
    <row r="49" ht="27" customHeight="1" spans="1:19">
      <c r="A49" s="88">
        <v>25</v>
      </c>
      <c r="B49" s="89" t="s">
        <v>170</v>
      </c>
      <c r="C49" s="99" t="s">
        <v>198</v>
      </c>
      <c r="D49" s="91">
        <f>'房产税&amp;土地使用税'!$C$43*F49</f>
        <v>45532.7246252879</v>
      </c>
      <c r="E49" s="92">
        <v>53</v>
      </c>
      <c r="F49" s="94">
        <v>54.31</v>
      </c>
      <c r="G49" s="94" t="s">
        <v>199</v>
      </c>
      <c r="H49" s="93"/>
      <c r="I49" s="120"/>
      <c r="J49" s="120"/>
      <c r="K49" s="109">
        <f t="shared" si="5"/>
        <v>0</v>
      </c>
      <c r="L49" s="91"/>
      <c r="M49" s="91"/>
      <c r="N49" s="121">
        <f t="shared" si="6"/>
        <v>0.0084</v>
      </c>
      <c r="O49" s="122">
        <v>0.12</v>
      </c>
      <c r="P49" s="81">
        <f t="shared" si="7"/>
        <v>0</v>
      </c>
      <c r="Q49" s="81">
        <f t="shared" si="8"/>
        <v>0</v>
      </c>
      <c r="R49" s="81">
        <f t="shared" si="9"/>
        <v>0</v>
      </c>
      <c r="S49" s="78"/>
    </row>
    <row r="50" ht="27" customHeight="1" spans="1:19">
      <c r="A50" s="88">
        <v>26</v>
      </c>
      <c r="B50" s="100" t="s">
        <v>186</v>
      </c>
      <c r="C50" s="94" t="s">
        <v>250</v>
      </c>
      <c r="D50" s="91">
        <f>'房产税&amp;土地使用税'!$C$43*F50</f>
        <v>52726.0734981469</v>
      </c>
      <c r="E50" s="92">
        <v>54</v>
      </c>
      <c r="F50" s="92">
        <v>62.89</v>
      </c>
      <c r="G50" s="92" t="s">
        <v>201</v>
      </c>
      <c r="H50" s="93"/>
      <c r="I50" s="120"/>
      <c r="J50" s="120"/>
      <c r="K50" s="109">
        <f t="shared" si="5"/>
        <v>0</v>
      </c>
      <c r="L50" s="91"/>
      <c r="M50" s="91"/>
      <c r="N50" s="121">
        <f t="shared" si="6"/>
        <v>0.0084</v>
      </c>
      <c r="O50" s="122">
        <v>0.12</v>
      </c>
      <c r="P50" s="81">
        <f t="shared" si="7"/>
        <v>0</v>
      </c>
      <c r="Q50" s="81">
        <f t="shared" si="8"/>
        <v>0</v>
      </c>
      <c r="R50" s="81">
        <f t="shared" si="9"/>
        <v>0</v>
      </c>
      <c r="S50" s="78"/>
    </row>
    <row r="51" ht="27" customHeight="1" spans="1:19">
      <c r="A51" s="88">
        <v>27</v>
      </c>
      <c r="B51" s="100"/>
      <c r="C51" s="94"/>
      <c r="D51" s="91">
        <f>'房产税&amp;土地使用税'!$C$43*F51</f>
        <v>0</v>
      </c>
      <c r="E51" s="92" t="s">
        <v>202</v>
      </c>
      <c r="F51" s="92"/>
      <c r="G51" s="92"/>
      <c r="H51" s="93"/>
      <c r="I51" s="120"/>
      <c r="J51" s="120"/>
      <c r="K51" s="109">
        <f t="shared" si="5"/>
        <v>0</v>
      </c>
      <c r="L51" s="91"/>
      <c r="M51" s="91"/>
      <c r="N51" s="121">
        <f t="shared" si="6"/>
        <v>0.0084</v>
      </c>
      <c r="O51" s="122">
        <v>0.12</v>
      </c>
      <c r="P51" s="81">
        <f t="shared" si="7"/>
        <v>0</v>
      </c>
      <c r="Q51" s="81">
        <f t="shared" si="8"/>
        <v>0</v>
      </c>
      <c r="R51" s="81">
        <f t="shared" si="9"/>
        <v>0</v>
      </c>
      <c r="S51" s="78"/>
    </row>
    <row r="52" ht="27" customHeight="1" spans="1:19">
      <c r="A52" s="88">
        <v>28</v>
      </c>
      <c r="B52" s="100"/>
      <c r="C52" s="94" t="s">
        <v>203</v>
      </c>
      <c r="D52" s="91">
        <f>'房产税&amp;土地使用税'!$C$43*F52</f>
        <v>0</v>
      </c>
      <c r="E52" s="92" t="s">
        <v>202</v>
      </c>
      <c r="F52" s="92"/>
      <c r="G52" s="92"/>
      <c r="H52" s="93"/>
      <c r="I52" s="120"/>
      <c r="J52" s="120"/>
      <c r="K52" s="109">
        <f t="shared" si="5"/>
        <v>0</v>
      </c>
      <c r="L52" s="91"/>
      <c r="M52" s="91"/>
      <c r="N52" s="121">
        <f t="shared" si="6"/>
        <v>0.0084</v>
      </c>
      <c r="O52" s="122">
        <v>0.12</v>
      </c>
      <c r="P52" s="81">
        <f t="shared" si="7"/>
        <v>0</v>
      </c>
      <c r="Q52" s="81">
        <f t="shared" si="8"/>
        <v>0</v>
      </c>
      <c r="R52" s="81">
        <f t="shared" si="9"/>
        <v>0</v>
      </c>
      <c r="S52" s="78"/>
    </row>
    <row r="53" ht="27" customHeight="1" spans="1:20">
      <c r="A53" s="88">
        <v>33</v>
      </c>
      <c r="B53" s="89" t="s">
        <v>170</v>
      </c>
      <c r="C53" s="90" t="s">
        <v>251</v>
      </c>
      <c r="D53" s="91">
        <f>'房产税&amp;土地使用税'!$C$43*F53</f>
        <v>83151.088719132</v>
      </c>
      <c r="E53" s="101">
        <v>119.98</v>
      </c>
      <c r="F53" s="101">
        <v>99.18</v>
      </c>
      <c r="G53" s="92" t="s">
        <v>212</v>
      </c>
      <c r="H53" s="93"/>
      <c r="I53" s="120">
        <f>10000</f>
        <v>10000</v>
      </c>
      <c r="J53" s="120"/>
      <c r="K53" s="109">
        <f t="shared" si="5"/>
        <v>0</v>
      </c>
      <c r="L53" s="91">
        <v>17355</v>
      </c>
      <c r="M53" s="91"/>
      <c r="N53" s="121">
        <f t="shared" si="6"/>
        <v>0.0084</v>
      </c>
      <c r="O53" s="122">
        <v>0.12</v>
      </c>
      <c r="P53" s="81">
        <f>I53*O53*0.5</f>
        <v>600</v>
      </c>
      <c r="Q53" s="81">
        <f t="shared" si="8"/>
        <v>0</v>
      </c>
      <c r="R53" s="81">
        <f t="shared" si="9"/>
        <v>991.714285714286</v>
      </c>
      <c r="S53" s="78"/>
      <c r="T53" s="17">
        <f>L53/1.05</f>
        <v>16528.5714285714</v>
      </c>
    </row>
    <row r="54" ht="27" customHeight="1" spans="1:19">
      <c r="A54" s="88">
        <v>30</v>
      </c>
      <c r="B54" s="102" t="s">
        <v>170</v>
      </c>
      <c r="C54" s="90" t="s">
        <v>210</v>
      </c>
      <c r="D54" s="91">
        <f>'房产税&amp;土地使用税'!$C$43*F54</f>
        <v>52751.2250676324</v>
      </c>
      <c r="E54" s="103">
        <v>70</v>
      </c>
      <c r="F54" s="103">
        <v>62.92</v>
      </c>
      <c r="G54" s="92" t="s">
        <v>208</v>
      </c>
      <c r="H54" s="93"/>
      <c r="I54" s="120">
        <v>4000</v>
      </c>
      <c r="J54" s="120">
        <v>9440</v>
      </c>
      <c r="K54" s="109">
        <f t="shared" si="5"/>
        <v>8990.47619047619</v>
      </c>
      <c r="L54" s="91"/>
      <c r="M54" s="91"/>
      <c r="N54" s="121">
        <f t="shared" si="6"/>
        <v>0.0084</v>
      </c>
      <c r="O54" s="122">
        <v>0.12</v>
      </c>
      <c r="P54" s="81">
        <f>I54*O54*0.5</f>
        <v>240</v>
      </c>
      <c r="Q54" s="81">
        <f t="shared" si="8"/>
        <v>539.428571428571</v>
      </c>
      <c r="R54" s="81">
        <f t="shared" si="9"/>
        <v>0</v>
      </c>
      <c r="S54" s="78"/>
    </row>
    <row r="55" ht="27" customHeight="1" spans="1:19">
      <c r="A55" s="88">
        <v>29</v>
      </c>
      <c r="B55" s="102" t="s">
        <v>204</v>
      </c>
      <c r="C55" s="90" t="s">
        <v>211</v>
      </c>
      <c r="D55" s="91">
        <f>'房产税&amp;土地使用税'!$C$43*F55</f>
        <v>170678.550528745</v>
      </c>
      <c r="E55" s="101">
        <v>117</v>
      </c>
      <c r="F55" s="101">
        <v>203.58</v>
      </c>
      <c r="G55" s="92" t="s">
        <v>206</v>
      </c>
      <c r="H55" s="93"/>
      <c r="I55" s="120"/>
      <c r="J55" s="120">
        <v>25920</v>
      </c>
      <c r="K55" s="109">
        <f t="shared" si="5"/>
        <v>24685.7142857143</v>
      </c>
      <c r="L55" s="91"/>
      <c r="M55" s="91"/>
      <c r="N55" s="121">
        <f t="shared" si="6"/>
        <v>0.0084</v>
      </c>
      <c r="O55" s="122">
        <v>0.12</v>
      </c>
      <c r="P55" s="81">
        <f>I55/1.05*O55*0.5</f>
        <v>0</v>
      </c>
      <c r="Q55" s="81">
        <f t="shared" si="8"/>
        <v>1481.14285714286</v>
      </c>
      <c r="R55" s="81">
        <f t="shared" si="9"/>
        <v>0</v>
      </c>
      <c r="S55" s="78"/>
    </row>
    <row r="56" ht="27" customHeight="1" spans="1:19">
      <c r="A56" s="88">
        <v>34</v>
      </c>
      <c r="B56" s="100" t="s">
        <v>186</v>
      </c>
      <c r="C56" s="94" t="s">
        <v>213</v>
      </c>
      <c r="D56" s="91">
        <f>'房产税&amp;土地使用税'!$C$43*F56</f>
        <v>169655.720036333</v>
      </c>
      <c r="E56" s="92">
        <v>243.44</v>
      </c>
      <c r="F56" s="92">
        <v>202.36</v>
      </c>
      <c r="G56" s="92" t="s">
        <v>214</v>
      </c>
      <c r="H56" s="93"/>
      <c r="I56" s="120"/>
      <c r="J56" s="120">
        <v>35056</v>
      </c>
      <c r="K56" s="109">
        <f t="shared" si="5"/>
        <v>33386.6666666667</v>
      </c>
      <c r="L56" s="91"/>
      <c r="M56" s="91"/>
      <c r="N56" s="121">
        <f t="shared" si="6"/>
        <v>0.0084</v>
      </c>
      <c r="O56" s="122">
        <v>0.12</v>
      </c>
      <c r="P56" s="81">
        <f>I56/1.05*O56*0.5</f>
        <v>0</v>
      </c>
      <c r="Q56" s="81">
        <f t="shared" si="8"/>
        <v>2003.2</v>
      </c>
      <c r="R56" s="81">
        <f t="shared" si="9"/>
        <v>0</v>
      </c>
      <c r="S56" s="78"/>
    </row>
    <row r="57" ht="27" customHeight="1" spans="1:19">
      <c r="A57" s="78"/>
      <c r="B57" s="78"/>
      <c r="C57" s="78"/>
      <c r="D57" s="78"/>
      <c r="E57" s="78">
        <f>SUM(E26:E56)</f>
        <v>1741.2</v>
      </c>
      <c r="F57" s="78">
        <f>SUM(F26:F56)</f>
        <v>1742.81</v>
      </c>
      <c r="G57" s="78"/>
      <c r="H57" s="25" t="s">
        <v>46</v>
      </c>
      <c r="I57" s="123">
        <f>SUM(I26:I56)</f>
        <v>19000</v>
      </c>
      <c r="J57" s="123">
        <f>SUM(J26:J56)</f>
        <v>167130</v>
      </c>
      <c r="K57" s="123"/>
      <c r="L57" s="81">
        <f>SUM(L26:L56)</f>
        <v>157185</v>
      </c>
      <c r="M57" s="81">
        <f>SUM(M26:M56)</f>
        <v>0</v>
      </c>
      <c r="N57" s="81"/>
      <c r="O57" s="81"/>
      <c r="P57" s="81">
        <f>SUM(P26:P56)</f>
        <v>1140</v>
      </c>
      <c r="Q57" s="81">
        <f>SUM(Q26:Q56)</f>
        <v>9550.28571428571</v>
      </c>
      <c r="R57" s="81">
        <f>SUM(R26:R56)</f>
        <v>8982</v>
      </c>
      <c r="S57" s="81">
        <f>SUM(S26:S56)</f>
        <v>0</v>
      </c>
    </row>
    <row r="58" ht="23" customHeight="1"/>
    <row r="59" ht="23" customHeight="1"/>
    <row r="60" ht="23" customHeight="1" spans="2:9">
      <c r="B60" s="75" t="s">
        <v>14</v>
      </c>
      <c r="C60" s="75" t="s">
        <v>2</v>
      </c>
      <c r="D60" s="75" t="s">
        <v>29</v>
      </c>
      <c r="E60" s="26" t="s">
        <v>30</v>
      </c>
      <c r="F60" s="25" t="s">
        <v>31</v>
      </c>
      <c r="G60" s="25" t="s">
        <v>4</v>
      </c>
      <c r="H60" s="26" t="s">
        <v>32</v>
      </c>
      <c r="I60" s="115" t="s">
        <v>55</v>
      </c>
    </row>
    <row r="61" ht="23" customHeight="1" spans="2:9">
      <c r="B61" s="76"/>
      <c r="C61" s="76" t="s">
        <v>235</v>
      </c>
      <c r="D61" s="82">
        <f>'房产税&amp;土地使用税'!C42-F57</f>
        <v>3332.42</v>
      </c>
      <c r="E61" s="104">
        <f>D61*'房产税&amp;土地使用税'!C43</f>
        <v>2793853.10616465</v>
      </c>
      <c r="F61" s="82">
        <v>0.7</v>
      </c>
      <c r="G61" s="82">
        <v>0.012</v>
      </c>
      <c r="H61" s="104">
        <f>E61*F61*G61/2</f>
        <v>11734.1830458915</v>
      </c>
      <c r="I61" s="124">
        <f>H61*50%</f>
        <v>5867.09152294576</v>
      </c>
    </row>
    <row r="62" ht="23" customHeight="1" spans="2:9">
      <c r="B62" s="76"/>
      <c r="C62" s="82" t="s">
        <v>46</v>
      </c>
      <c r="D62" s="82"/>
      <c r="E62" s="82"/>
      <c r="F62" s="82"/>
      <c r="G62" s="82"/>
      <c r="H62" s="104">
        <f>SUM(H61:H61)</f>
        <v>11734.1830458915</v>
      </c>
      <c r="I62" s="125">
        <f>SUM(I61:I61)</f>
        <v>5867.09152294576</v>
      </c>
    </row>
    <row r="64" ht="16" customHeight="1" spans="2:9">
      <c r="B64" s="75" t="s">
        <v>12</v>
      </c>
      <c r="C64" s="75" t="s">
        <v>2</v>
      </c>
      <c r="D64" s="26" t="s">
        <v>30</v>
      </c>
      <c r="E64" s="26" t="s">
        <v>29</v>
      </c>
      <c r="F64" s="26" t="s">
        <v>236</v>
      </c>
      <c r="G64" s="78" t="s">
        <v>237</v>
      </c>
      <c r="H64" s="25" t="s">
        <v>4</v>
      </c>
      <c r="I64" s="26" t="s">
        <v>32</v>
      </c>
    </row>
    <row r="65" ht="16" customHeight="1" spans="2:9">
      <c r="B65" s="76"/>
      <c r="C65" s="76" t="s">
        <v>238</v>
      </c>
      <c r="D65" s="126">
        <f>'房产税&amp;土地使用税'!C41-E61</f>
        <v>1461146.89383535</v>
      </c>
      <c r="E65" s="127">
        <f>F57</f>
        <v>1742.81</v>
      </c>
      <c r="F65" s="128">
        <f>L57</f>
        <v>157185</v>
      </c>
      <c r="G65" s="81">
        <f>F65/1.05</f>
        <v>149700</v>
      </c>
      <c r="H65" s="82">
        <v>0.12</v>
      </c>
      <c r="I65" s="104">
        <f>G65*H65/2</f>
        <v>8982</v>
      </c>
    </row>
    <row r="66" ht="16" customHeight="1" spans="2:9">
      <c r="B66" s="76"/>
      <c r="C66" s="82"/>
      <c r="D66" s="82" t="s">
        <v>46</v>
      </c>
      <c r="E66" s="104">
        <f>SUM(E65:E65)</f>
        <v>1742.81</v>
      </c>
      <c r="F66" s="104">
        <f>SUM(F65:F65)</f>
        <v>157185</v>
      </c>
      <c r="G66" s="78"/>
      <c r="H66" s="82"/>
      <c r="I66" s="129">
        <f>SUM(I65:I65)</f>
        <v>8982</v>
      </c>
    </row>
  </sheetData>
  <autoFilter xmlns:etc="http://www.wps.cn/officeDocument/2017/etCustomData" ref="A2:S62" etc:filterBottomFollowUsedRange="0">
    <extLst/>
  </autoFilter>
  <mergeCells count="12">
    <mergeCell ref="D18:H18"/>
    <mergeCell ref="C62:G62"/>
    <mergeCell ref="B50:B52"/>
    <mergeCell ref="B60:B62"/>
    <mergeCell ref="B64:B66"/>
    <mergeCell ref="C16:C18"/>
    <mergeCell ref="C20:C22"/>
    <mergeCell ref="C50:C51"/>
    <mergeCell ref="F6:F7"/>
    <mergeCell ref="F50:F52"/>
    <mergeCell ref="G50:G52"/>
    <mergeCell ref="H11:H12"/>
  </mergeCells>
  <pageMargins left="0.511805555555556" right="0.275" top="1" bottom="1" header="0.5" footer="0.5"/>
  <pageSetup paperSize="9" scale="63" fitToHeight="0" orientation="landscape"/>
  <headerFooter/>
  <colBreaks count="1" manualBreakCount="1">
    <brk id="18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4"/>
  <sheetViews>
    <sheetView tabSelected="1" zoomScale="145" zoomScaleNormal="145" workbookViewId="0">
      <selection activeCell="F5" sqref="F5:F15"/>
    </sheetView>
  </sheetViews>
  <sheetFormatPr defaultColWidth="9" defaultRowHeight="13.5"/>
  <cols>
    <col min="1" max="1" width="17.125" customWidth="1"/>
    <col min="2" max="2" width="13.75" customWidth="1"/>
    <col min="3" max="3" width="16" customWidth="1"/>
    <col min="4" max="4" width="20.375" customWidth="1"/>
    <col min="5" max="5" width="11.5" customWidth="1"/>
    <col min="6" max="6" width="10.375" customWidth="1"/>
    <col min="7" max="7" width="11.875" customWidth="1"/>
    <col min="8" max="8" width="10.375" customWidth="1"/>
  </cols>
  <sheetData>
    <row r="1" customFormat="1" spans="1:6">
      <c r="A1" s="1" t="s">
        <v>0</v>
      </c>
      <c r="B1" s="2"/>
      <c r="C1" s="2"/>
      <c r="D1" s="2"/>
      <c r="E1" s="2"/>
      <c r="F1" s="2"/>
    </row>
    <row r="2" customFormat="1" spans="1:6">
      <c r="A2" s="1"/>
      <c r="B2" s="2"/>
      <c r="C2" s="2"/>
      <c r="D2" s="2"/>
      <c r="E2" s="2"/>
      <c r="F2" s="2"/>
    </row>
    <row r="3" customFormat="1" ht="23" customHeight="1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customFormat="1" ht="23" customHeight="1" spans="1:9">
      <c r="A4" s="3" t="s">
        <v>7</v>
      </c>
      <c r="B4" s="4" t="s">
        <v>252</v>
      </c>
      <c r="C4" s="7">
        <v>315242.86</v>
      </c>
      <c r="D4" s="8">
        <v>0.05</v>
      </c>
      <c r="E4" s="9">
        <f>ROUND(C4*D4,2)</f>
        <v>15762.14</v>
      </c>
      <c r="F4" s="10"/>
      <c r="G4" s="11"/>
      <c r="H4" s="11"/>
      <c r="I4" s="11"/>
    </row>
    <row r="5" customFormat="1" ht="23" customHeight="1" spans="1:6">
      <c r="A5" s="3" t="s">
        <v>8</v>
      </c>
      <c r="B5" s="4" t="s">
        <v>252</v>
      </c>
      <c r="C5" s="7">
        <f>E4</f>
        <v>15762.14</v>
      </c>
      <c r="D5" s="12">
        <f>7%*50%</f>
        <v>0.035</v>
      </c>
      <c r="E5" s="9">
        <f>ROUND(C5*D5,2)</f>
        <v>551.67</v>
      </c>
      <c r="F5" s="13" t="s">
        <v>253</v>
      </c>
    </row>
    <row r="6" customFormat="1" ht="23" customHeight="1" spans="1:6">
      <c r="A6" s="3" t="s">
        <v>9</v>
      </c>
      <c r="B6" s="4" t="s">
        <v>252</v>
      </c>
      <c r="C6" s="7">
        <f>E4</f>
        <v>15762.14</v>
      </c>
      <c r="D6" s="12">
        <f>3%*50%</f>
        <v>0.015</v>
      </c>
      <c r="E6" s="9">
        <f>ROUND(C6*D6,2)</f>
        <v>236.43</v>
      </c>
      <c r="F6" s="13"/>
    </row>
    <row r="7" customFormat="1" ht="23" customHeight="1" spans="1:6">
      <c r="A7" s="3" t="s">
        <v>10</v>
      </c>
      <c r="B7" s="4" t="s">
        <v>252</v>
      </c>
      <c r="C7" s="7">
        <f>E4</f>
        <v>15762.14</v>
      </c>
      <c r="D7" s="12">
        <f>2%*50%</f>
        <v>0.01</v>
      </c>
      <c r="E7" s="9">
        <f>ROUND(C7*D7,2)</f>
        <v>157.62</v>
      </c>
      <c r="F7" s="13"/>
    </row>
    <row r="8" customFormat="1" ht="23" customHeight="1" spans="1:6">
      <c r="A8" s="3" t="s">
        <v>217</v>
      </c>
      <c r="B8" s="4" t="s">
        <v>252</v>
      </c>
      <c r="C8" s="7">
        <f>'房产税（从租）计算表'!L14/1.05</f>
        <v>165542.857142857</v>
      </c>
      <c r="D8" s="14">
        <f t="shared" ref="D8:D11" si="0">0.12*50%</f>
        <v>0.06</v>
      </c>
      <c r="E8" s="9">
        <f>ROUND(C8*D8+0.01,2)</f>
        <v>9932.58</v>
      </c>
      <c r="F8" s="13"/>
    </row>
    <row r="9" customFormat="1" ht="23" customHeight="1" spans="1:6">
      <c r="A9" s="3" t="s">
        <v>218</v>
      </c>
      <c r="B9" s="4" t="s">
        <v>252</v>
      </c>
      <c r="C9" s="15">
        <f>'房产税（从租）计算表'!L57/1.05</f>
        <v>149700</v>
      </c>
      <c r="D9" s="14">
        <f t="shared" si="0"/>
        <v>0.06</v>
      </c>
      <c r="E9" s="9">
        <f>ROUND(C9*D9,2)</f>
        <v>8982</v>
      </c>
      <c r="F9" s="13"/>
    </row>
    <row r="10" customFormat="1" ht="23" customHeight="1" spans="1:6">
      <c r="A10" s="3" t="s">
        <v>254</v>
      </c>
      <c r="B10" s="4" t="s">
        <v>255</v>
      </c>
      <c r="C10" s="7">
        <f>'房产税（从租）计算表'!F17</f>
        <v>1848065.2117416</v>
      </c>
      <c r="D10" s="14">
        <f>0.7*0.012*0.5*0.5</f>
        <v>0.0021</v>
      </c>
      <c r="E10" s="9">
        <f>ROUND(C10*D10,2)</f>
        <v>3880.94</v>
      </c>
      <c r="F10" s="13"/>
    </row>
    <row r="11" customFormat="1" ht="23" customHeight="1" spans="1:6">
      <c r="A11" s="3" t="s">
        <v>256</v>
      </c>
      <c r="B11" s="4" t="s">
        <v>255</v>
      </c>
      <c r="C11" s="15">
        <f>'房产税（从租）计算表'!E61</f>
        <v>2793853.10616465</v>
      </c>
      <c r="D11" s="14">
        <f>0.7*0.012*0.5*0.5</f>
        <v>0.0021</v>
      </c>
      <c r="E11" s="9">
        <f>ROUND(C11*D11,2)</f>
        <v>5867.09</v>
      </c>
      <c r="F11" s="13"/>
    </row>
    <row r="12" customFormat="1" ht="23" customHeight="1" spans="1:6">
      <c r="A12" s="3" t="s">
        <v>257</v>
      </c>
      <c r="B12" s="4" t="s">
        <v>255</v>
      </c>
      <c r="C12" s="15"/>
      <c r="D12" s="14"/>
      <c r="E12" s="9">
        <f>ROUND(G30+G34,2)</f>
        <v>5032.14</v>
      </c>
      <c r="F12" s="13"/>
    </row>
    <row r="13" customFormat="1" ht="23" customHeight="1" spans="1:8">
      <c r="A13" s="3" t="s">
        <v>219</v>
      </c>
      <c r="B13" s="4" t="s">
        <v>252</v>
      </c>
      <c r="C13" s="15">
        <f>'房产税（从租）计算表'!L14+'房产税（从租）计算表'!L57</f>
        <v>331005</v>
      </c>
      <c r="D13" s="16">
        <f>0.001*0.5</f>
        <v>0.0005</v>
      </c>
      <c r="E13" s="9">
        <f>ROUND(D13*C13,2)</f>
        <v>165.5</v>
      </c>
      <c r="F13" s="13"/>
      <c r="H13" s="11"/>
    </row>
    <row r="14" customFormat="1" ht="23" customHeight="1" spans="1:6">
      <c r="A14" s="3" t="s">
        <v>22</v>
      </c>
      <c r="B14" s="4" t="s">
        <v>252</v>
      </c>
      <c r="C14" s="15">
        <f>B24</f>
        <v>0</v>
      </c>
      <c r="D14" s="8">
        <v>0.25</v>
      </c>
      <c r="E14" s="9">
        <f>C14*D14</f>
        <v>0</v>
      </c>
      <c r="F14" s="13"/>
    </row>
    <row r="15" customFormat="1" ht="23" customHeight="1" spans="1:6">
      <c r="A15" s="3" t="s">
        <v>23</v>
      </c>
      <c r="B15" s="4" t="s">
        <v>252</v>
      </c>
      <c r="C15" s="15">
        <v>15000</v>
      </c>
      <c r="D15" s="8">
        <v>0.02</v>
      </c>
      <c r="E15" s="9">
        <f>C15*D15</f>
        <v>300</v>
      </c>
      <c r="F15" s="13"/>
    </row>
    <row r="16" customFormat="1" ht="23" customHeight="1" spans="1:6">
      <c r="A16" s="3" t="s">
        <v>26</v>
      </c>
      <c r="B16" s="4"/>
      <c r="C16" s="5"/>
      <c r="D16" s="6"/>
      <c r="E16" s="9">
        <f>SUM(E4:E15)</f>
        <v>50868.11</v>
      </c>
      <c r="F16" s="3"/>
    </row>
    <row r="17" customFormat="1" ht="12" customHeight="1"/>
    <row r="18" customFormat="1" ht="14" customHeight="1" spans="1:3">
      <c r="A18" t="s">
        <v>220</v>
      </c>
      <c r="B18" s="17">
        <v>315242.86</v>
      </c>
      <c r="C18" s="11"/>
    </row>
    <row r="19" customFormat="1" ht="14" customHeight="1" spans="1:3">
      <c r="A19" t="s">
        <v>221</v>
      </c>
      <c r="B19" s="17">
        <v>16231.39</v>
      </c>
      <c r="C19" s="11"/>
    </row>
    <row r="20" customFormat="1" ht="14" customHeight="1" spans="1:3">
      <c r="A20" t="s">
        <v>222</v>
      </c>
      <c r="B20" s="17">
        <v>108875</v>
      </c>
      <c r="C20" s="11"/>
    </row>
    <row r="21" customFormat="1" ht="14" customHeight="1" spans="1:3">
      <c r="A21" t="s">
        <v>223</v>
      </c>
      <c r="B21" s="17">
        <v>-1654.21</v>
      </c>
      <c r="C21" s="11"/>
    </row>
    <row r="22" customFormat="1" ht="14" customHeight="1" spans="1:3">
      <c r="A22" t="s">
        <v>224</v>
      </c>
      <c r="B22" s="17">
        <f>B18-B19-B20-B21</f>
        <v>191790.68</v>
      </c>
      <c r="C22" s="17"/>
    </row>
    <row r="23" customFormat="1" ht="14" customHeight="1" spans="1:2">
      <c r="A23" t="s">
        <v>225</v>
      </c>
      <c r="B23" s="17">
        <f>-B22</f>
        <v>-191790.68</v>
      </c>
    </row>
    <row r="24" customFormat="1" ht="14" customHeight="1" spans="1:2">
      <c r="A24" t="s">
        <v>226</v>
      </c>
      <c r="B24" s="17">
        <f>B22+B23</f>
        <v>0</v>
      </c>
    </row>
    <row r="25" ht="12" customHeight="1"/>
    <row r="26" customFormat="1" ht="22.5" spans="1:21">
      <c r="A26" s="18" t="s">
        <v>61</v>
      </c>
      <c r="B26" s="18"/>
      <c r="C26" s="18"/>
      <c r="D26" s="18"/>
      <c r="E26" s="18"/>
      <c r="F26" s="18"/>
      <c r="G26" s="19"/>
      <c r="H26" s="20"/>
      <c r="I26" s="33"/>
      <c r="J26" s="33"/>
      <c r="K26" s="33"/>
      <c r="L26" s="34"/>
      <c r="M26" s="34"/>
      <c r="N26" s="34"/>
      <c r="O26" s="34"/>
      <c r="P26" s="34"/>
      <c r="Q26" s="34"/>
      <c r="R26" s="34"/>
      <c r="S26" s="37"/>
      <c r="U26" s="37"/>
    </row>
    <row r="27" ht="17.25" spans="1:18">
      <c r="A27" s="21" t="s">
        <v>28</v>
      </c>
      <c r="B27" s="22" t="s">
        <v>62</v>
      </c>
      <c r="C27" s="21" t="s">
        <v>63</v>
      </c>
      <c r="D27" s="21" t="s">
        <v>64</v>
      </c>
      <c r="E27" s="22" t="s">
        <v>65</v>
      </c>
      <c r="F27" s="22" t="s">
        <v>32</v>
      </c>
      <c r="G27" s="23" t="s">
        <v>33</v>
      </c>
      <c r="H27" s="24"/>
      <c r="I27" s="33"/>
      <c r="J27" s="33"/>
      <c r="K27" s="33"/>
      <c r="L27" s="35"/>
      <c r="M27" s="24"/>
      <c r="N27" s="35"/>
      <c r="O27" s="36"/>
      <c r="P27" s="37"/>
      <c r="Q27"/>
      <c r="R27" s="37"/>
    </row>
    <row r="28" ht="17.25" spans="1:18">
      <c r="A28" s="25" t="s">
        <v>66</v>
      </c>
      <c r="B28" s="26">
        <f>2124.01/15665.07*1505.01</f>
        <v>204.062687884574</v>
      </c>
      <c r="C28" s="26" t="s">
        <v>67</v>
      </c>
      <c r="D28" s="25" t="s">
        <v>68</v>
      </c>
      <c r="E28" s="26">
        <f>B28/2</f>
        <v>102.031343942287</v>
      </c>
      <c r="F28" s="26">
        <f>E28*14</f>
        <v>1428.43881519202</v>
      </c>
      <c r="G28" s="26">
        <f>F28*50%</f>
        <v>714.219407596008</v>
      </c>
      <c r="H28" s="27"/>
      <c r="I28" s="33"/>
      <c r="J28" s="33"/>
      <c r="K28" s="33"/>
      <c r="L28" s="38"/>
      <c r="M28" s="27"/>
      <c r="N28" s="35"/>
      <c r="O28" s="39"/>
      <c r="P28" s="37"/>
      <c r="Q28"/>
      <c r="R28" s="37"/>
    </row>
    <row r="29" ht="18" spans="1:18">
      <c r="A29" s="25" t="s">
        <v>69</v>
      </c>
      <c r="B29" s="26">
        <f>2124.01/15665.07*1508.75</f>
        <v>204.569790463752</v>
      </c>
      <c r="C29" s="26" t="s">
        <v>67</v>
      </c>
      <c r="D29" s="25" t="s">
        <v>68</v>
      </c>
      <c r="E29" s="26">
        <f>B29/2</f>
        <v>102.284895231876</v>
      </c>
      <c r="F29" s="26">
        <f>E29*14</f>
        <v>1431.98853324626</v>
      </c>
      <c r="G29" s="26">
        <f>F29*50%</f>
        <v>715.99426662313</v>
      </c>
      <c r="H29" s="28"/>
      <c r="I29" s="33"/>
      <c r="J29" s="33"/>
      <c r="K29" s="33"/>
      <c r="L29" s="28"/>
      <c r="M29" s="40"/>
      <c r="N29" s="30"/>
      <c r="O29" s="37"/>
      <c r="P29" s="37"/>
      <c r="Q29"/>
      <c r="R29" s="37"/>
    </row>
    <row r="30" customFormat="1" ht="18" spans="1:21">
      <c r="A30" s="25" t="s">
        <v>46</v>
      </c>
      <c r="B30" s="26">
        <f t="shared" ref="B30:F30" si="1">SUM(B28:B29)</f>
        <v>408.632478348325</v>
      </c>
      <c r="C30" s="25"/>
      <c r="D30" s="25"/>
      <c r="E30" s="26">
        <f t="shared" si="1"/>
        <v>204.316239174163</v>
      </c>
      <c r="F30" s="26">
        <f t="shared" si="1"/>
        <v>2860.42734843828</v>
      </c>
      <c r="G30" s="29">
        <v>1430.24</v>
      </c>
      <c r="H30" s="20"/>
      <c r="I30" s="33"/>
      <c r="J30" s="33"/>
      <c r="K30" s="33"/>
      <c r="L30" s="28"/>
      <c r="M30" s="28"/>
      <c r="N30" s="28"/>
      <c r="O30" s="28"/>
      <c r="P30" s="40"/>
      <c r="Q30" s="30"/>
      <c r="R30" s="37"/>
      <c r="S30" s="37"/>
      <c r="U30" s="37"/>
    </row>
    <row r="31" customFormat="1" ht="18" spans="1:21">
      <c r="A31" s="30"/>
      <c r="B31" s="30"/>
      <c r="C31" s="30"/>
      <c r="D31" s="30"/>
      <c r="E31" s="20"/>
      <c r="F31" s="30"/>
      <c r="G31" s="20"/>
      <c r="H31" s="20"/>
      <c r="I31" s="33"/>
      <c r="J31" s="33"/>
      <c r="K31" s="33"/>
      <c r="L31" s="28"/>
      <c r="M31" s="28"/>
      <c r="N31" s="28"/>
      <c r="O31" s="28"/>
      <c r="P31" s="40"/>
      <c r="Q31" s="40"/>
      <c r="R31" s="42"/>
      <c r="S31" s="37"/>
      <c r="U31" s="37"/>
    </row>
    <row r="32" customFormat="1" ht="23.25" spans="1:21">
      <c r="A32" s="18" t="s">
        <v>70</v>
      </c>
      <c r="B32" s="18"/>
      <c r="C32" s="18"/>
      <c r="D32" s="18"/>
      <c r="E32" s="18"/>
      <c r="F32" s="18"/>
      <c r="G32" s="19"/>
      <c r="H32" s="20"/>
      <c r="I32" s="33"/>
      <c r="J32" s="33"/>
      <c r="K32" s="33"/>
      <c r="L32" s="28"/>
      <c r="M32" s="28"/>
      <c r="N32" s="28"/>
      <c r="O32" s="28"/>
      <c r="P32" s="40"/>
      <c r="Q32" s="40"/>
      <c r="R32" s="42"/>
      <c r="S32" s="37"/>
      <c r="U32" s="37"/>
    </row>
    <row r="33" ht="18" spans="1:21">
      <c r="A33" s="25" t="s">
        <v>28</v>
      </c>
      <c r="B33" s="26" t="s">
        <v>62</v>
      </c>
      <c r="C33" s="25" t="s">
        <v>63</v>
      </c>
      <c r="D33" s="25" t="s">
        <v>64</v>
      </c>
      <c r="E33" s="26" t="s">
        <v>65</v>
      </c>
      <c r="F33" s="26" t="s">
        <v>32</v>
      </c>
      <c r="G33" s="31" t="s">
        <v>33</v>
      </c>
      <c r="H33" s="28"/>
      <c r="I33" s="33"/>
      <c r="J33" s="33"/>
      <c r="K33" s="33"/>
      <c r="L33" s="28"/>
      <c r="M33" s="28"/>
      <c r="N33" s="28"/>
      <c r="O33" s="28"/>
      <c r="P33" s="41"/>
      <c r="Q33" s="41"/>
      <c r="R33" s="43"/>
      <c r="S33" s="37"/>
      <c r="U33" s="37"/>
    </row>
    <row r="34" ht="18" spans="1:21">
      <c r="A34" s="25" t="s">
        <v>71</v>
      </c>
      <c r="B34" s="26">
        <v>1800.95</v>
      </c>
      <c r="C34" s="25" t="s">
        <v>72</v>
      </c>
      <c r="D34" s="25" t="s">
        <v>68</v>
      </c>
      <c r="E34" s="32">
        <f>B34/2</f>
        <v>900.475</v>
      </c>
      <c r="F34" s="26">
        <f>E34*8</f>
        <v>7203.8</v>
      </c>
      <c r="G34" s="29">
        <f>F34*50%</f>
        <v>3601.9</v>
      </c>
      <c r="H34" s="28"/>
      <c r="I34" s="33"/>
      <c r="J34" s="33"/>
      <c r="K34" s="33"/>
      <c r="L34" s="28"/>
      <c r="M34" s="28"/>
      <c r="N34" s="28"/>
      <c r="O34" s="28"/>
      <c r="P34" s="41"/>
      <c r="Q34" s="41"/>
      <c r="R34" s="43"/>
      <c r="S34" s="37"/>
      <c r="U34" s="37"/>
    </row>
  </sheetData>
  <mergeCells count="5">
    <mergeCell ref="A26:G26"/>
    <mergeCell ref="L26:R26"/>
    <mergeCell ref="A32:G32"/>
    <mergeCell ref="F5:F15"/>
    <mergeCell ref="A1:F2"/>
  </mergeCells>
  <pageMargins left="0.550694444444444" right="0.550694444444444" top="1.77152777777778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税金汇总</vt:lpstr>
      <vt:lpstr>房产税&amp;土地使用税</vt:lpstr>
      <vt:lpstr>房产税</vt:lpstr>
      <vt:lpstr>二季度税金</vt:lpstr>
      <vt:lpstr>房产税（从租）计算表</vt:lpstr>
      <vt:lpstr>3季度税金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2023-01-10T11:08:00Z</dcterms:created>
  <dcterms:modified xsi:type="dcterms:W3CDTF">2024-10-17T04:26:03Z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6AE1BBCBA6EC499384AE56DC0F168B7B_13</vt:lpwstr>
  </property>
  <property fmtid="{D5CDD505-2E9C-101B-9397-08002B2CF9AE}" pid="5" name="KSOProductBuildVer">
    <vt:lpwstr>2052-12.1.0.18276</vt:lpwstr>
  </property>
  <property fmtid="{D5CDD505-2E9C-101B-9397-08002B2CF9AE}" pid="6" name="KSOReadingLayout">
    <vt:bool>true</vt:bool>
  </property>
</Properties>
</file>