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2" activeTab="10"/>
  </bookViews>
  <sheets>
    <sheet name="1月税金计算表" sheetId="1" r:id="rId1"/>
    <sheet name="2月税金计算表" sheetId="2" r:id="rId2"/>
    <sheet name="3月税金计算表" sheetId="4" r:id="rId3"/>
    <sheet name="预收明细" sheetId="8" r:id="rId4"/>
    <sheet name="开票明细" sheetId="5" r:id="rId5"/>
    <sheet name="土地使用税明细" sheetId="6" r:id="rId6"/>
    <sheet name="工会经费" sheetId="7" r:id="rId7"/>
    <sheet name="康泰尾盘清算数据" sheetId="3" r:id="rId8"/>
    <sheet name="10月税金计算表" sheetId="9" r:id="rId9"/>
    <sheet name="11月税金计算表" sheetId="10" r:id="rId10"/>
    <sheet name="12月税金计算表" sheetId="11" r:id="rId11"/>
  </sheets>
  <definedNames>
    <definedName name="_xlnm.Print_Area" localSheetId="1">'2月税金计算表'!$A$1:$N$86</definedName>
    <definedName name="_xlnm.Print_Area" localSheetId="8">'10月税金计算表'!$A$18:$M$32</definedName>
    <definedName name="_xlnm.Print_Area" localSheetId="10">'12月税金计算表'!$A$1:$M$39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<sst xmlns="http://schemas.openxmlformats.org/spreadsheetml/2006/main" count="913" uniqueCount="340">
  <si>
    <t>康泰公寓条楼销售不动产税金计算表2023年1月收入税金计算</t>
  </si>
  <si>
    <t>序号</t>
  </si>
  <si>
    <t>税种</t>
  </si>
  <si>
    <t>金额</t>
  </si>
  <si>
    <t>税率</t>
  </si>
  <si>
    <t>实缴</t>
  </si>
  <si>
    <t>备注</t>
  </si>
  <si>
    <t>1月收款明细</t>
  </si>
  <si>
    <t>房号</t>
  </si>
  <si>
    <t>未开票-增值税</t>
  </si>
  <si>
    <t>未开票-城建税</t>
  </si>
  <si>
    <t>未开票-教育附加</t>
  </si>
  <si>
    <t>未开票-地方教育附加</t>
  </si>
  <si>
    <t>预缴增值税</t>
  </si>
  <si>
    <t>二期开票收入</t>
  </si>
  <si>
    <t>A1-2-301</t>
  </si>
  <si>
    <t>阿通进项税抵扣</t>
  </si>
  <si>
    <t>租金增值税</t>
  </si>
  <si>
    <t>开发票-增值税</t>
  </si>
  <si>
    <t>城建税</t>
  </si>
  <si>
    <t>教育附加</t>
  </si>
  <si>
    <t>地方教育附加</t>
  </si>
  <si>
    <t>房款(新分)</t>
  </si>
  <si>
    <t>A12-2-202</t>
  </si>
  <si>
    <t>换户主不预缴税</t>
  </si>
  <si>
    <t>房产税</t>
  </si>
  <si>
    <t>预交印花税（收入）</t>
  </si>
  <si>
    <t>0.001</t>
  </si>
  <si>
    <t>小计</t>
  </si>
  <si>
    <t>多浪二期A1-5、14#销售不动产税金计算表2023年1月收入税金计算</t>
  </si>
  <si>
    <t>预交-增值税</t>
  </si>
  <si>
    <t>预交-城建税</t>
  </si>
  <si>
    <t>预交-教育附加</t>
  </si>
  <si>
    <t>预交-地方教育附加</t>
  </si>
  <si>
    <t>进项税抵扣，不交</t>
  </si>
  <si>
    <t>开发票-城建税</t>
  </si>
  <si>
    <t>开发票-教育附加</t>
  </si>
  <si>
    <t>开发票-地方教育附加</t>
  </si>
  <si>
    <t>预交土地增值税（普通）</t>
  </si>
  <si>
    <t>预交土地增值税（商铺）</t>
  </si>
  <si>
    <t>预交印花税（购进）</t>
  </si>
  <si>
    <t>多浪三期A6-9、13#销售不动产税金计算表2023年1月收入税金计算</t>
  </si>
  <si>
    <t>预交土地增值税</t>
  </si>
  <si>
    <t>企业所得税</t>
  </si>
  <si>
    <t>阿克苏通力总计</t>
  </si>
  <si>
    <t>多浪小镇一期老项目条楼销售不动产税金计算表2023年1月收入税金计算（新疆通力阿克苏分公司）</t>
  </si>
  <si>
    <t>增值税-开发票</t>
  </si>
  <si>
    <t>印花税（收入）</t>
  </si>
  <si>
    <t>印花税（购进）</t>
  </si>
  <si>
    <t>新疆通力阿克苏分公司小计</t>
  </si>
  <si>
    <t>拜城世纪佳苑销售不动产税金计算表2023年1月收入税金计算</t>
  </si>
  <si>
    <t>增值税</t>
  </si>
  <si>
    <t>土地增值税</t>
  </si>
  <si>
    <t>拜城分公司小计</t>
  </si>
  <si>
    <t>工会</t>
  </si>
  <si>
    <t>土地使用税（阿通果园）</t>
  </si>
  <si>
    <t>土地使用税（新分康泰及一至三期）</t>
  </si>
  <si>
    <t>土地使用税（拜城分公司）</t>
  </si>
  <si>
    <t>合计</t>
  </si>
  <si>
    <t>康泰公寓条楼销售不动产税金计算表2023年2月收入税金计算</t>
  </si>
  <si>
    <t>公司名称</t>
  </si>
  <si>
    <t>2月收款明细</t>
  </si>
  <si>
    <t>税额</t>
  </si>
  <si>
    <t>阿克苏通力</t>
  </si>
  <si>
    <t>康泰开票收入</t>
  </si>
  <si>
    <t>5-105-2</t>
  </si>
  <si>
    <t>进项抵扣</t>
  </si>
  <si>
    <t>5-109-2</t>
  </si>
  <si>
    <t>多浪二期开票收入</t>
  </si>
  <si>
    <t>A2-3-503</t>
  </si>
  <si>
    <t>A1-2-402</t>
  </si>
  <si>
    <t>A2-3-201</t>
  </si>
  <si>
    <t>A2-1-402</t>
  </si>
  <si>
    <t>A5-2-202</t>
  </si>
  <si>
    <t>A4-2-601</t>
  </si>
  <si>
    <t>收多浪小镇A4-6-401吐达洪·吐松逾期房款</t>
  </si>
  <si>
    <t>收康泰公寓洪雪玲1-105商铺款款</t>
  </si>
  <si>
    <t>挂往来未申报</t>
  </si>
  <si>
    <t>收多浪小镇二期A5-2-202房款（阿依孜米古丽·艾合买提）</t>
  </si>
  <si>
    <t>收多浪小镇A5-2-402麦麦提·谢克库尔班房款</t>
  </si>
  <si>
    <t>印花税（产权转移书据）</t>
  </si>
  <si>
    <t>收多浪小镇A4-2-601亥尼萨·阿布都克然木房款</t>
  </si>
  <si>
    <t>收到陆小平康泰公寓5-4-401车位款</t>
  </si>
  <si>
    <t>多浪二期A1-5、14#销售不动产税金计算表2023年2月收入税金计算</t>
  </si>
  <si>
    <t>新分</t>
  </si>
  <si>
    <t>新分开票收入</t>
  </si>
  <si>
    <t>A12-1-301</t>
  </si>
  <si>
    <t>C3-2-201</t>
  </si>
  <si>
    <t>C3-2-202</t>
  </si>
  <si>
    <t>收多浪小镇古丽娜尔·木沙C1-103商铺款</t>
  </si>
  <si>
    <t>收多浪小镇C3-2-201赛米江·阿里木逾期房款</t>
  </si>
  <si>
    <t>多浪三期A6-9、13#销售不动产税金计算表2023年2月收入税金计算</t>
  </si>
  <si>
    <t>多浪小镇一期老项目条楼销售不动产税金计算表2023年2月收入税金计算（新疆通力阿克苏分公司）</t>
  </si>
  <si>
    <t>拜城世纪佳苑销售不动产税金计算表2023年2月收入税金计算</t>
  </si>
  <si>
    <t>总合计</t>
  </si>
  <si>
    <t>康泰公寓条楼销售不动产税金计算表2023年3月收入税金计算</t>
  </si>
  <si>
    <t>二期商铺预收总额</t>
  </si>
  <si>
    <t>二期房款预收总额</t>
  </si>
  <si>
    <t>康泰房款预收总额</t>
  </si>
  <si>
    <t>康泰商铺预收总额</t>
  </si>
  <si>
    <t>一期商铺预收总额</t>
  </si>
  <si>
    <t>多浪二期A1-5、14#销售不动产税金计算表2023年3月收入税金计算</t>
  </si>
  <si>
    <t>预交印花税（产权转移书据）</t>
  </si>
  <si>
    <t>多浪三期A6-9、13#销售不动产税金计算表2023年3月收入税金计算</t>
  </si>
  <si>
    <t>多浪小镇一期老项目条楼销售不动产税金计算表2023年3月收入税金计算（新疆通力阿克苏分公司）</t>
  </si>
  <si>
    <t>拜城世纪佳苑销售不动产税金计算表2023年3月收入税金计算</t>
  </si>
  <si>
    <t>阿通开票</t>
  </si>
  <si>
    <t>多浪小镇C6-1-202</t>
  </si>
  <si>
    <t>预缴增值税抵减</t>
  </si>
  <si>
    <t>多浪小镇A4-1-501</t>
  </si>
  <si>
    <t>多浪小镇A4-6-502</t>
  </si>
  <si>
    <t>康泰公寓1-2-301</t>
  </si>
  <si>
    <t>康泰公寓5-1-702</t>
  </si>
  <si>
    <t>多浪二期</t>
  </si>
  <si>
    <t>收到艾尼瓦尔·达吾提交来多浪小镇A4-113商铺款（刷POS3笔）</t>
  </si>
  <si>
    <t>二期商铺预收</t>
  </si>
  <si>
    <t>收到王宏恩交来多浪小镇A14-201/A14-202商铺款</t>
  </si>
  <si>
    <t>收到麦麦提·谢克库尔班交来多浪小镇A5-2-402房款（刷POS2笔）</t>
  </si>
  <si>
    <t>二期房款预收</t>
  </si>
  <si>
    <t>收到亚森·伊迪日斯交来多浪小镇二期A5-2-401房款（刷POS机）</t>
  </si>
  <si>
    <t>收到吐尔逊·麦提尼亚孜交来A5-2-302房款（刷POS机）</t>
  </si>
  <si>
    <t>收到阿依孜米古丽·艾合麦提多浪二期A5-2-202住房公积金下贷款</t>
  </si>
  <si>
    <t>康泰房款</t>
  </si>
  <si>
    <t>收到林可玉交来康泰公寓5-1-702房款（刷POS机2笔）</t>
  </si>
  <si>
    <t>康泰房款预收</t>
  </si>
  <si>
    <t>康泰商铺款</t>
  </si>
  <si>
    <t>收到刘巧丽交来康泰公寓5-107商铺款（刷POS机2笔）</t>
  </si>
  <si>
    <t>康泰商铺预收</t>
  </si>
  <si>
    <t>收康泰公寓洪雪玲1-105商铺款</t>
  </si>
  <si>
    <t>收到张雪静交来康泰公寓1-106-2商铺意向金</t>
  </si>
  <si>
    <t>收到马红珍交来康泰公寓5-104-2商铺意向金</t>
  </si>
  <si>
    <t>一期商铺预收</t>
  </si>
  <si>
    <t>收到阿力木江·阿吾提交来多浪小镇C4-101商铺意向金款</t>
  </si>
  <si>
    <t>收到阿力木江·阿吾提交来多浪小镇C4-102、103商铺款</t>
  </si>
  <si>
    <t>收到热艳古丽·阿布都热合曼交来多浪C5-105商铺款</t>
  </si>
  <si>
    <t>新分开票</t>
  </si>
  <si>
    <t>多浪一期c3-10</t>
  </si>
  <si>
    <t>姓名</t>
  </si>
  <si>
    <t>建筑面积</t>
  </si>
  <si>
    <t>单价</t>
  </si>
  <si>
    <t>发票金额</t>
  </si>
  <si>
    <t>发票号</t>
  </si>
  <si>
    <t>发票日期</t>
  </si>
  <si>
    <t>赵晨静</t>
  </si>
  <si>
    <t>01934901</t>
  </si>
  <si>
    <t>2023.2.9</t>
  </si>
  <si>
    <t>廖尊先</t>
  </si>
  <si>
    <t>01934907</t>
  </si>
  <si>
    <t>5-1-702</t>
  </si>
  <si>
    <t>林克玉</t>
  </si>
  <si>
    <t>01934910</t>
  </si>
  <si>
    <t>2023.3.8</t>
  </si>
  <si>
    <t>1-2-301</t>
  </si>
  <si>
    <t>代国寿</t>
  </si>
  <si>
    <t>01934911</t>
  </si>
  <si>
    <t>2023.3.11</t>
  </si>
  <si>
    <t>A5-1-301</t>
  </si>
  <si>
    <t>热依木江·吾甫尔</t>
  </si>
  <si>
    <t>04970390</t>
  </si>
  <si>
    <t>2022.12.15</t>
  </si>
  <si>
    <t>A2-2-501</t>
  </si>
  <si>
    <t>阿比力孜·沙买提</t>
  </si>
  <si>
    <t>04970391</t>
  </si>
  <si>
    <t>2022.12.16</t>
  </si>
  <si>
    <t>阿瓦古丽·亚森</t>
  </si>
  <si>
    <t>01934895</t>
  </si>
  <si>
    <t>2023.1.29</t>
  </si>
  <si>
    <t>艾力牙尔·阿布迪格尼</t>
  </si>
  <si>
    <t>01934897</t>
  </si>
  <si>
    <t>2023.2.3</t>
  </si>
  <si>
    <t>阿卜拉江·麦麦提伊敏</t>
  </si>
  <si>
    <t>01934900</t>
  </si>
  <si>
    <t>2023.2.6</t>
  </si>
  <si>
    <t>多鲁洪江·牙生</t>
  </si>
  <si>
    <t>01934903</t>
  </si>
  <si>
    <t>2023.2.13</t>
  </si>
  <si>
    <t>阿不都克然木·吐尔地</t>
  </si>
  <si>
    <t>01934904</t>
  </si>
  <si>
    <t>2023.2.22</t>
  </si>
  <si>
    <t>阿依孜米古丽·艾合麦提</t>
  </si>
  <si>
    <t>01934905</t>
  </si>
  <si>
    <t>2023.2.25</t>
  </si>
  <si>
    <t>A4-1-501</t>
  </si>
  <si>
    <t>依马木·吐尼亚孜</t>
  </si>
  <si>
    <t>01934908</t>
  </si>
  <si>
    <t>2023.3.2</t>
  </si>
  <si>
    <t>A4-6-502</t>
  </si>
  <si>
    <t>阿孜古力·麦合麦提</t>
  </si>
  <si>
    <t>01934909</t>
  </si>
  <si>
    <t>赛米江·阿里木</t>
  </si>
  <si>
    <t>00394042</t>
  </si>
  <si>
    <t>钟文彬</t>
  </si>
  <si>
    <t>01934948</t>
  </si>
  <si>
    <t>C6-1-202</t>
  </si>
  <si>
    <t>赛麦提·艾山</t>
  </si>
  <si>
    <t>01934912</t>
  </si>
  <si>
    <t>C3-10</t>
  </si>
  <si>
    <t>亚里坤·阿不都尼亚孜</t>
  </si>
  <si>
    <t>01934949</t>
  </si>
  <si>
    <t>01934950</t>
  </si>
  <si>
    <t>阿克苏交纳土地使用税明细</t>
  </si>
  <si>
    <t>地块</t>
  </si>
  <si>
    <t>土地证面积</t>
  </si>
  <si>
    <t>建设用地批准书面积</t>
  </si>
  <si>
    <t>已核减后地税局土地面积(平方)</t>
  </si>
  <si>
    <t>土地等级</t>
  </si>
  <si>
    <t>单价(元)</t>
  </si>
  <si>
    <t>金额(元)</t>
  </si>
  <si>
    <t>4月份应交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</si>
  <si>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</si>
  <si>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</si>
  <si>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</si>
  <si>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</si>
  <si>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</si>
  <si>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</si>
  <si>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</si>
  <si>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</si>
  <si>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</si>
  <si>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</si>
  <si>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</si>
  <si>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</si>
  <si>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</si>
  <si>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果园</t>
  </si>
  <si>
    <t>新国土阿字(2011)第2331号</t>
  </si>
  <si>
    <t>建设用地批准书</t>
  </si>
  <si>
    <t>2022年第一季度工会经费</t>
  </si>
  <si>
    <t>时间</t>
  </si>
  <si>
    <t>1月</t>
  </si>
  <si>
    <t>2月</t>
  </si>
  <si>
    <t>3月</t>
  </si>
  <si>
    <t>工会经费</t>
  </si>
  <si>
    <t>房产公司工资</t>
  </si>
  <si>
    <t>康泰单方成本（按报告测算）</t>
  </si>
  <si>
    <t>本月销售面积面积</t>
  </si>
  <si>
    <t>成本</t>
  </si>
  <si>
    <t>普通</t>
  </si>
  <si>
    <t>非普通</t>
  </si>
  <si>
    <t>剔税后收入</t>
  </si>
  <si>
    <t>预缴增值税5%</t>
  </si>
  <si>
    <t>收入扣除预缴增值税后</t>
  </si>
  <si>
    <t>增值额</t>
  </si>
  <si>
    <t>增值率</t>
  </si>
  <si>
    <t>土增税额</t>
  </si>
  <si>
    <t>本月开票收入</t>
  </si>
  <si>
    <t>康泰公寓条楼销售不动产税金计算表2023年10月收入税金计算</t>
  </si>
  <si>
    <t>预收金额</t>
  </si>
  <si>
    <t>计算税金</t>
  </si>
  <si>
    <t>10月收款明细</t>
  </si>
  <si>
    <t>收到麦力开木·吾斯曼A5-2-601房款</t>
  </si>
  <si>
    <t>A5-2-601</t>
  </si>
  <si>
    <t>收到古丽阿依木·吐尼亚孜A2-1-201房款</t>
  </si>
  <si>
    <t>A2-1-201</t>
  </si>
  <si>
    <t>收到亚森·伊迪日斯A5-2-401房款</t>
  </si>
  <si>
    <t>A5-2-401</t>
  </si>
  <si>
    <t>10月已开票收入明细</t>
  </si>
  <si>
    <t>A5-1-402;房款;多浪小镇A1-5#、A14项目</t>
  </si>
  <si>
    <t>A5-1-402</t>
  </si>
  <si>
    <t>预交印花税（产权转书剧）</t>
  </si>
  <si>
    <t>A5-2-201;房款;多浪小镇A1-5#、A14项目</t>
  </si>
  <si>
    <t>A5-2-201</t>
  </si>
  <si>
    <t>多浪二期A1-5、14#销售不动产税金计算表2023年10月收入税金计算</t>
  </si>
  <si>
    <t>不含税金额</t>
  </si>
  <si>
    <t>未开票-销项税</t>
  </si>
  <si>
    <t>本期签订的购房合同（6-10月印花税）</t>
  </si>
  <si>
    <t>已开票-销项税</t>
  </si>
  <si>
    <t>多浪小镇A5-2-201苏里塔尼·吐尔迪</t>
  </si>
  <si>
    <t>本期可抵扣进项税</t>
  </si>
  <si>
    <t>多浪小镇A4-1-301帕特木汗·奥斯曼</t>
  </si>
  <si>
    <t>A4-1-301</t>
  </si>
  <si>
    <t>上期预留可抵扣进项税</t>
  </si>
  <si>
    <t>康泰公寓1-106-2张雪静</t>
  </si>
  <si>
    <t>1-106-2</t>
  </si>
  <si>
    <t>本期应交增值税（销项-进项）</t>
  </si>
  <si>
    <t>多浪三期A6-9、13#销售不动产税金计算表2023年10月收入税金计算</t>
  </si>
  <si>
    <t>多浪小镇一期老项目条楼销售不动产税金计算表2023年10月收入税金计算（新疆通力阿克苏分公司）</t>
  </si>
  <si>
    <t>拜城世纪佳苑销售不动产税金计算表2023年10月收入税金计算</t>
  </si>
  <si>
    <t>康泰公寓条楼销售不动产税金计算表2023年11月收入税金计算</t>
  </si>
  <si>
    <t>结转11月预收明细</t>
  </si>
  <si>
    <t>收到康泰公寓刘巧丽5-107商铺款</t>
  </si>
  <si>
    <t>5-107</t>
  </si>
  <si>
    <t>收到亚生·艾则孜A5-101商铺款</t>
  </si>
  <si>
    <t>A5-101</t>
  </si>
  <si>
    <t>收到赛买提·艾麦提A5-2-602房款</t>
  </si>
  <si>
    <t>A5-2-602</t>
  </si>
  <si>
    <t>本期开票全额预缴增值税</t>
  </si>
  <si>
    <t>收到麦力开木·吾斯曼A5-2-601的房款贷款</t>
  </si>
  <si>
    <t>收到多浪小镇A5-2-402房款</t>
  </si>
  <si>
    <t>A5-2-402</t>
  </si>
  <si>
    <t>结转11月已开票收入明细</t>
  </si>
  <si>
    <t>A1-1-402</t>
  </si>
  <si>
    <t>多浪二期A1-5、14#销售不动产税金计算表2023年11月收入税金计算</t>
  </si>
  <si>
    <t>A2-1-602</t>
  </si>
  <si>
    <t>A2-3-303</t>
  </si>
  <si>
    <t>未开票-销项税（一般计税）</t>
  </si>
  <si>
    <t>分期利息收入</t>
  </si>
  <si>
    <t>进项税转出</t>
  </si>
  <si>
    <t>本期签订的购房合同（11月印花税）</t>
  </si>
  <si>
    <t>A5一2一602</t>
  </si>
  <si>
    <t>A5一2一601</t>
  </si>
  <si>
    <t>以前已确认收入，本期开票重新确认</t>
  </si>
  <si>
    <t>多浪三期A6-9、13#销售不动产税金计算表2023年11月收入税金计算</t>
  </si>
  <si>
    <t>本期未开票确认收入</t>
  </si>
  <si>
    <t>手工录入未开票收入部分</t>
  </si>
  <si>
    <t>阿克苏通力税金计算表</t>
  </si>
  <si>
    <t>项目名称：</t>
  </si>
  <si>
    <t>多浪一期</t>
  </si>
  <si>
    <t>期间</t>
  </si>
  <si>
    <t>日期</t>
  </si>
  <si>
    <t>2023.12.5</t>
  </si>
  <si>
    <t>预收款合计金额</t>
  </si>
  <si>
    <t>房产销售收入</t>
  </si>
  <si>
    <t>本期预收房款</t>
  </si>
  <si>
    <t>租赁收入</t>
  </si>
  <si>
    <t>利息收入</t>
  </si>
  <si>
    <t>多浪小镇</t>
  </si>
  <si>
    <t>普通住宅</t>
  </si>
  <si>
    <t>商铺</t>
  </si>
  <si>
    <t>本期调整收入</t>
  </si>
  <si>
    <t>税目</t>
  </si>
  <si>
    <t>进项税可抵扣</t>
  </si>
  <si>
    <t>299448.63</t>
  </si>
  <si>
    <t>26950.37</t>
  </si>
  <si>
    <t>预征增值税可抵</t>
  </si>
  <si>
    <t>应交税金</t>
  </si>
  <si>
    <t>地方教育费附加</t>
  </si>
  <si>
    <t>.</t>
  </si>
  <si>
    <t>教育费附加</t>
  </si>
  <si>
    <t>印花税（租赁合同）</t>
  </si>
  <si>
    <t>项目</t>
  </si>
  <si>
    <t>主营业务收入</t>
  </si>
  <si>
    <t>其他业务收入</t>
  </si>
  <si>
    <t>主营业务成本</t>
  </si>
  <si>
    <t>税金及附加</t>
  </si>
  <si>
    <t>销售费用</t>
  </si>
  <si>
    <t>管理费用</t>
  </si>
  <si>
    <t>财务费用</t>
  </si>
  <si>
    <t>利润总额</t>
  </si>
  <si>
    <t>所得税税率</t>
  </si>
  <si>
    <t>预缴企业所得税</t>
  </si>
  <si>
    <t>本期应交企业所得税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</si>
</sst>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#,##0.00_);[Red]\(#,##0.00\)"/>
    <numFmt numFmtId="179" formatCode="_ * #,##0.0000_ ;_ * \-#,##0.0000_ ;_ * &quot;-&quot;????_ ;_ @_ "/>
    <numFmt numFmtId="180" formatCode="#,##0.0_);[Red]\(#,##0.0\)"/>
    <numFmt numFmtId="181" formatCode="0.00_ "/>
  </numFmts>
  <fonts count="4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aj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9"/>
      <color rgb="FF000000"/>
      <name val="微软雅黑"/>
      <charset val="134"/>
    </font>
    <font>
      <sz val="10"/>
      <color indexed="8"/>
      <name val="Times New Roman"/>
      <charset val="1"/>
    </font>
    <font>
      <sz val="10"/>
      <color rgb="FF000000"/>
      <name val="宋体"/>
      <charset val="1"/>
    </font>
    <font>
      <b/>
      <sz val="9"/>
      <name val="宋体"/>
      <charset val="134"/>
    </font>
    <font>
      <sz val="9"/>
      <name val="宋体"/>
      <charset val="134"/>
    </font>
    <font>
      <i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color theme="1"/>
      <name val="宋体"/>
      <charset val="134"/>
      <scheme val="major"/>
    </font>
    <font>
      <b/>
      <sz val="10"/>
      <name val="宋体"/>
      <charset val="134"/>
      <scheme val="major"/>
    </font>
    <font>
      <b/>
      <sz val="10"/>
      <color theme="1"/>
      <name val="宋体"/>
      <charset val="134"/>
      <scheme val="major"/>
    </font>
    <font>
      <i/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" borderId="27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8" applyNumberFormat="0" applyFill="0" applyAlignment="0" applyProtection="0">
      <alignment vertical="center"/>
    </xf>
    <xf numFmtId="0" fontId="35" fillId="0" borderId="28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30" applyNumberFormat="0" applyAlignment="0" applyProtection="0">
      <alignment vertical="center"/>
    </xf>
    <xf numFmtId="0" fontId="38" fillId="6" borderId="31" applyNumberFormat="0" applyAlignment="0" applyProtection="0">
      <alignment vertical="center"/>
    </xf>
    <xf numFmtId="0" fontId="39" fillId="6" borderId="30" applyNumberFormat="0" applyAlignment="0" applyProtection="0">
      <alignment vertical="center"/>
    </xf>
    <xf numFmtId="0" fontId="40" fillId="7" borderId="32" applyNumberFormat="0" applyAlignment="0" applyProtection="0">
      <alignment vertical="center"/>
    </xf>
    <xf numFmtId="0" fontId="41" fillId="0" borderId="33" applyNumberFormat="0" applyFill="0" applyAlignment="0" applyProtection="0">
      <alignment vertical="center"/>
    </xf>
    <xf numFmtId="0" fontId="42" fillId="0" borderId="34" applyNumberFormat="0" applyFill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6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6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6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6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6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6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</cellStyleXfs>
  <cellXfs count="2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vertical="center"/>
    </xf>
    <xf numFmtId="9" fontId="4" fillId="0" borderId="1" xfId="3" applyFont="1" applyFill="1" applyBorder="1" applyAlignment="1">
      <alignment horizontal="center" vertical="center"/>
    </xf>
    <xf numFmtId="176" fontId="4" fillId="0" borderId="1" xfId="3" applyNumberFormat="1" applyFont="1" applyBorder="1">
      <alignment vertical="center"/>
    </xf>
    <xf numFmtId="177" fontId="4" fillId="0" borderId="1" xfId="3" applyNumberFormat="1" applyFont="1" applyFill="1" applyBorder="1" applyAlignment="1">
      <alignment horizontal="center" vertical="center"/>
    </xf>
    <xf numFmtId="9" fontId="4" fillId="0" borderId="1" xfId="3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4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9" fontId="6" fillId="0" borderId="1" xfId="3" applyFont="1" applyFill="1" applyBorder="1" applyAlignment="1">
      <alignment horizontal="righ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176" fontId="4" fillId="0" borderId="8" xfId="0" applyNumberFormat="1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78" fontId="8" fillId="0" borderId="1" xfId="0" applyNumberFormat="1" applyFont="1" applyFill="1" applyBorder="1" applyAlignment="1">
      <alignment vertical="center"/>
    </xf>
    <xf numFmtId="9" fontId="9" fillId="0" borderId="1" xfId="0" applyNumberFormat="1" applyFont="1" applyFill="1" applyBorder="1" applyAlignment="1">
      <alignment horizontal="center" vertical="center"/>
    </xf>
    <xf numFmtId="179" fontId="8" fillId="0" borderId="1" xfId="0" applyNumberFormat="1" applyFont="1" applyFill="1" applyBorder="1" applyAlignment="1">
      <alignment horizontal="center" vertical="center"/>
    </xf>
    <xf numFmtId="180" fontId="7" fillId="0" borderId="1" xfId="0" applyNumberFormat="1" applyFont="1" applyFill="1" applyBorder="1" applyAlignment="1">
      <alignment vertical="center"/>
    </xf>
    <xf numFmtId="0" fontId="10" fillId="0" borderId="1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/>
    </xf>
    <xf numFmtId="176" fontId="10" fillId="0" borderId="1" xfId="0" applyNumberFormat="1" applyFont="1" applyFill="1" applyBorder="1" applyAlignment="1">
      <alignment horizontal="left" vertical="center"/>
    </xf>
    <xf numFmtId="4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1" fillId="0" borderId="1" xfId="0" applyFont="1" applyFill="1" applyBorder="1" applyAlignment="1">
      <alignment horizontal="left" vertical="center"/>
    </xf>
    <xf numFmtId="4" fontId="12" fillId="0" borderId="0" xfId="0" applyNumberFormat="1" applyFont="1">
      <alignment vertical="center"/>
    </xf>
    <xf numFmtId="0" fontId="13" fillId="0" borderId="0" xfId="0" applyFont="1" applyFill="1" applyAlignment="1">
      <alignment vertical="center"/>
    </xf>
    <xf numFmtId="176" fontId="14" fillId="0" borderId="0" xfId="0" applyNumberFormat="1" applyFont="1" applyFill="1" applyAlignment="1">
      <alignment vertical="center"/>
    </xf>
    <xf numFmtId="176" fontId="13" fillId="0" borderId="0" xfId="0" applyNumberFormat="1" applyFont="1" applyFill="1" applyAlignment="1">
      <alignment vertical="center"/>
    </xf>
    <xf numFmtId="176" fontId="13" fillId="2" borderId="0" xfId="0" applyNumberFormat="1" applyFont="1" applyFill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178" fontId="15" fillId="0" borderId="1" xfId="0" applyNumberFormat="1" applyFont="1" applyFill="1" applyBorder="1" applyAlignment="1">
      <alignment vertical="center"/>
    </xf>
    <xf numFmtId="9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/>
    </xf>
    <xf numFmtId="178" fontId="16" fillId="0" borderId="1" xfId="0" applyNumberFormat="1" applyFont="1" applyFill="1" applyBorder="1" applyAlignment="1">
      <alignment vertical="center"/>
    </xf>
    <xf numFmtId="179" fontId="16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8" fontId="15" fillId="2" borderId="1" xfId="0" applyNumberFormat="1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right" vertical="center"/>
    </xf>
    <xf numFmtId="0" fontId="17" fillId="0" borderId="1" xfId="0" applyFont="1" applyFill="1" applyBorder="1">
      <alignment vertical="center"/>
    </xf>
    <xf numFmtId="181" fontId="15" fillId="0" borderId="1" xfId="0" applyNumberFormat="1" applyFont="1" applyFill="1" applyBorder="1" applyAlignment="1">
      <alignment vertical="center"/>
    </xf>
    <xf numFmtId="181" fontId="15" fillId="0" borderId="1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vertical="center"/>
    </xf>
    <xf numFmtId="0" fontId="16" fillId="0" borderId="11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178" fontId="15" fillId="0" borderId="1" xfId="0" applyNumberFormat="1" applyFont="1" applyFill="1" applyBorder="1" applyAlignment="1">
      <alignment horizontal="right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3" fontId="0" fillId="0" borderId="0" xfId="1" applyAlignment="1">
      <alignment horizontal="center" vertical="center"/>
    </xf>
    <xf numFmtId="43" fontId="18" fillId="0" borderId="12" xfId="1" applyFont="1" applyBorder="1" applyAlignment="1">
      <alignment horizontal="center" vertical="center"/>
    </xf>
    <xf numFmtId="43" fontId="18" fillId="0" borderId="13" xfId="1" applyFont="1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 wrapText="1"/>
    </xf>
    <xf numFmtId="43" fontId="0" fillId="0" borderId="14" xfId="1" applyBorder="1" applyAlignment="1">
      <alignment horizontal="center" vertical="center"/>
    </xf>
    <xf numFmtId="43" fontId="0" fillId="0" borderId="15" xfId="1" applyBorder="1" applyAlignment="1">
      <alignment horizontal="center" vertical="center"/>
    </xf>
    <xf numFmtId="43" fontId="0" fillId="0" borderId="1" xfId="1" applyBorder="1" applyAlignment="1">
      <alignment horizontal="center" vertical="center"/>
    </xf>
    <xf numFmtId="43" fontId="11" fillId="0" borderId="1" xfId="1" applyFont="1" applyFill="1" applyBorder="1" applyAlignment="1">
      <alignment horizontal="center" vertical="center" wrapText="1"/>
    </xf>
    <xf numFmtId="43" fontId="0" fillId="0" borderId="16" xfId="1" applyBorder="1" applyAlignment="1">
      <alignment horizontal="center" vertical="center"/>
    </xf>
    <xf numFmtId="43" fontId="0" fillId="0" borderId="17" xfId="1" applyBorder="1" applyAlignment="1">
      <alignment horizontal="center" vertical="center"/>
    </xf>
    <xf numFmtId="43" fontId="0" fillId="0" borderId="18" xfId="1" applyBorder="1" applyAlignment="1">
      <alignment horizontal="center" vertical="center"/>
    </xf>
    <xf numFmtId="43" fontId="0" fillId="0" borderId="19" xfId="1" applyBorder="1" applyAlignment="1">
      <alignment horizontal="center" vertical="center"/>
    </xf>
    <xf numFmtId="43" fontId="0" fillId="0" borderId="20" xfId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3" fontId="11" fillId="0" borderId="13" xfId="1" applyFont="1" applyFill="1" applyBorder="1" applyAlignment="1">
      <alignment horizontal="center" vertical="center"/>
    </xf>
    <xf numFmtId="43" fontId="0" fillId="0" borderId="13" xfId="1" applyBorder="1" applyAlignment="1">
      <alignment horizontal="center" vertical="center"/>
    </xf>
    <xf numFmtId="9" fontId="0" fillId="2" borderId="1" xfId="3" applyFill="1" applyBorder="1" applyAlignment="1">
      <alignment horizontal="center" vertical="center"/>
    </xf>
    <xf numFmtId="43" fontId="0" fillId="2" borderId="21" xfId="1" applyFill="1" applyBorder="1" applyAlignment="1">
      <alignment horizontal="center" vertical="center"/>
    </xf>
    <xf numFmtId="43" fontId="0" fillId="2" borderId="22" xfId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43" fontId="0" fillId="0" borderId="23" xfId="1" applyBorder="1" applyAlignment="1">
      <alignment horizontal="center" vertical="center"/>
    </xf>
    <xf numFmtId="43" fontId="0" fillId="0" borderId="24" xfId="1" applyBorder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20" fillId="0" borderId="1" xfId="0" applyFont="1" applyFill="1" applyBorder="1" applyAlignment="1"/>
    <xf numFmtId="181" fontId="20" fillId="0" borderId="1" xfId="0" applyNumberFormat="1" applyFont="1" applyFill="1" applyBorder="1" applyAlignment="1"/>
    <xf numFmtId="176" fontId="20" fillId="0" borderId="1" xfId="0" applyNumberFormat="1" applyFont="1" applyFill="1" applyBorder="1" applyAlignment="1"/>
    <xf numFmtId="0" fontId="20" fillId="0" borderId="3" xfId="0" applyFont="1" applyFill="1" applyBorder="1" applyAlignment="1">
      <alignment horizontal="center"/>
    </xf>
    <xf numFmtId="14" fontId="20" fillId="0" borderId="1" xfId="0" applyNumberFormat="1" applyFont="1" applyFill="1" applyBorder="1" applyAlignment="1"/>
    <xf numFmtId="0" fontId="21" fillId="0" borderId="1" xfId="0" applyFont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/>
    </xf>
    <xf numFmtId="176" fontId="22" fillId="0" borderId="1" xfId="0" applyNumberFormat="1" applyFont="1" applyFill="1" applyBorder="1" applyAlignment="1">
      <alignment horizontal="center" vertical="center"/>
    </xf>
    <xf numFmtId="0" fontId="23" fillId="0" borderId="1" xfId="0" applyFont="1" applyBorder="1">
      <alignment vertical="center"/>
    </xf>
    <xf numFmtId="0" fontId="21" fillId="0" borderId="1" xfId="0" applyFont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/>
    </xf>
    <xf numFmtId="43" fontId="22" fillId="3" borderId="1" xfId="0" applyNumberFormat="1" applyFont="1" applyFill="1" applyBorder="1" applyAlignment="1">
      <alignment horizontal="center"/>
    </xf>
    <xf numFmtId="0" fontId="23" fillId="0" borderId="26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/>
    <xf numFmtId="0" fontId="21" fillId="0" borderId="1" xfId="0" applyFont="1" applyBorder="1">
      <alignment vertical="center"/>
    </xf>
    <xf numFmtId="0" fontId="22" fillId="3" borderId="1" xfId="0" applyFont="1" applyFill="1" applyBorder="1" applyAlignment="1">
      <alignment horizontal="center"/>
    </xf>
    <xf numFmtId="181" fontId="22" fillId="3" borderId="1" xfId="0" applyNumberFormat="1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43" fontId="25" fillId="0" borderId="0" xfId="1" applyFont="1">
      <alignment vertical="center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43" fontId="25" fillId="0" borderId="0" xfId="1" applyFont="1" applyBorder="1">
      <alignment vertical="center"/>
    </xf>
    <xf numFmtId="0" fontId="26" fillId="0" borderId="1" xfId="0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178" fontId="26" fillId="0" borderId="1" xfId="0" applyNumberFormat="1" applyFont="1" applyFill="1" applyBorder="1" applyAlignment="1">
      <alignment vertical="center"/>
    </xf>
    <xf numFmtId="43" fontId="26" fillId="0" borderId="1" xfId="1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178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179" fontId="9" fillId="0" borderId="1" xfId="0" applyNumberFormat="1" applyFont="1" applyFill="1" applyBorder="1" applyAlignment="1">
      <alignment vertical="center"/>
    </xf>
    <xf numFmtId="0" fontId="9" fillId="0" borderId="1" xfId="0" applyFont="1" applyFill="1" applyBorder="1">
      <alignment vertical="center"/>
    </xf>
    <xf numFmtId="179" fontId="9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3" fontId="26" fillId="2" borderId="1" xfId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43" fontId="9" fillId="0" borderId="11" xfId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3" fontId="27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center" vertical="center"/>
    </xf>
    <xf numFmtId="43" fontId="25" fillId="0" borderId="0" xfId="1" applyFont="1" applyBorder="1" applyAlignment="1">
      <alignment horizontal="center" vertical="center" wrapText="1"/>
    </xf>
    <xf numFmtId="0" fontId="25" fillId="0" borderId="0" xfId="0" applyFont="1" applyBorder="1">
      <alignment vertical="center"/>
    </xf>
    <xf numFmtId="0" fontId="25" fillId="0" borderId="1" xfId="0" applyFont="1" applyBorder="1">
      <alignment vertical="center"/>
    </xf>
    <xf numFmtId="0" fontId="4" fillId="0" borderId="0" xfId="0" applyFont="1" applyFill="1" applyAlignment="1">
      <alignment vertical="center"/>
    </xf>
    <xf numFmtId="4" fontId="4" fillId="0" borderId="0" xfId="0" applyNumberFormat="1" applyFont="1" applyFill="1" applyAlignment="1"/>
    <xf numFmtId="0" fontId="28" fillId="0" borderId="1" xfId="0" applyFont="1" applyFill="1" applyBorder="1" applyAlignment="1">
      <alignment horizontal="center" vertical="center"/>
    </xf>
    <xf numFmtId="43" fontId="26" fillId="0" borderId="1" xfId="1" applyFont="1" applyFill="1" applyBorder="1" applyAlignment="1">
      <alignment horizontal="right" vertical="center"/>
    </xf>
    <xf numFmtId="0" fontId="28" fillId="0" borderId="1" xfId="0" applyFont="1" applyFill="1" applyBorder="1">
      <alignment vertical="center"/>
    </xf>
    <xf numFmtId="0" fontId="9" fillId="0" borderId="2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7" fillId="0" borderId="1" xfId="0" applyFont="1" applyBorder="1" applyAlignment="1">
      <alignment vertical="center" wrapText="1"/>
    </xf>
    <xf numFmtId="176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76" fontId="26" fillId="0" borderId="1" xfId="0" applyNumberFormat="1" applyFont="1" applyFill="1" applyBorder="1" applyAlignment="1">
      <alignment vertical="center" wrapText="1"/>
    </xf>
    <xf numFmtId="176" fontId="26" fillId="0" borderId="25" xfId="0" applyNumberFormat="1" applyFont="1" applyFill="1" applyBorder="1" applyAlignment="1">
      <alignment horizontal="center" vertical="center" wrapText="1"/>
    </xf>
    <xf numFmtId="176" fontId="26" fillId="0" borderId="20" xfId="0" applyNumberFormat="1" applyFont="1" applyFill="1" applyBorder="1" applyAlignment="1">
      <alignment horizontal="center" vertical="center" wrapText="1"/>
    </xf>
    <xf numFmtId="176" fontId="26" fillId="0" borderId="26" xfId="0" applyNumberFormat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/>
    </xf>
    <xf numFmtId="43" fontId="26" fillId="3" borderId="1" xfId="0" applyNumberFormat="1" applyFont="1" applyFill="1" applyBorder="1" applyAlignment="1">
      <alignment horizontal="center"/>
    </xf>
    <xf numFmtId="0" fontId="27" fillId="0" borderId="1" xfId="0" applyFont="1" applyBorder="1">
      <alignment vertical="center"/>
    </xf>
    <xf numFmtId="176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/>
    </xf>
    <xf numFmtId="176" fontId="27" fillId="0" borderId="1" xfId="0" applyNumberFormat="1" applyFont="1" applyBorder="1" applyAlignment="1">
      <alignment horizontal="right" vertical="center"/>
    </xf>
    <xf numFmtId="0" fontId="26" fillId="3" borderId="1" xfId="0" applyFont="1" applyFill="1" applyBorder="1" applyAlignment="1">
      <alignment horizontal="center"/>
    </xf>
    <xf numFmtId="176" fontId="26" fillId="3" borderId="1" xfId="0" applyNumberFormat="1" applyFont="1" applyFill="1" applyBorder="1" applyAlignment="1"/>
    <xf numFmtId="49" fontId="8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619125</xdr:colOff>
      <xdr:row>1</xdr:row>
      <xdr:rowOff>365125</xdr:rowOff>
    </xdr:from>
    <xdr:to>
      <xdr:col>23</xdr:col>
      <xdr:colOff>638175</xdr:colOff>
      <xdr:row>6</xdr:row>
      <xdr:rowOff>85725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944600" y="546100"/>
          <a:ext cx="7877175" cy="1257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83"/>
  <sheetViews>
    <sheetView workbookViewId="0">
      <selection activeCell="B28" sqref="B28:B29"/>
    </sheetView>
  </sheetViews>
  <sheetFormatPr defaultColWidth="9" defaultRowHeight="13.5"/>
  <cols>
    <col min="2" max="2" width="27.1333333333333" customWidth="1"/>
    <col min="3" max="3" width="12.6333333333333" customWidth="1"/>
    <col min="5" max="6" width="11.5" customWidth="1"/>
    <col min="9" max="9" width="22.6333333333333" customWidth="1"/>
    <col min="10" max="10" width="14.1333333333333" customWidth="1"/>
    <col min="11" max="11" width="17.6333333333333" customWidth="1"/>
    <col min="12" max="12" width="17.5" customWidth="1"/>
  </cols>
  <sheetData>
    <row r="2" spans="1:7">
      <c r="A2" s="43" t="s">
        <v>0</v>
      </c>
      <c r="B2" s="43"/>
      <c r="C2" s="43"/>
      <c r="D2" s="43"/>
      <c r="E2" s="43"/>
      <c r="F2" s="43"/>
      <c r="G2" s="43"/>
    </row>
    <row r="3" spans="1:12">
      <c r="A3" s="44" t="s">
        <v>1</v>
      </c>
      <c r="B3" s="44" t="s">
        <v>2</v>
      </c>
      <c r="C3" s="44" t="s">
        <v>3</v>
      </c>
      <c r="D3" s="44" t="s">
        <v>4</v>
      </c>
      <c r="E3" s="44" t="s">
        <v>3</v>
      </c>
      <c r="F3" s="44" t="s">
        <v>5</v>
      </c>
      <c r="G3" s="44" t="s">
        <v>6</v>
      </c>
      <c r="I3" s="57" t="s">
        <v>7</v>
      </c>
      <c r="J3" s="58" t="s">
        <v>3</v>
      </c>
      <c r="K3" s="57" t="s">
        <v>8</v>
      </c>
      <c r="L3" s="59" t="s">
        <v>6</v>
      </c>
    </row>
    <row r="4" spans="1:12">
      <c r="A4" s="44">
        <v>1</v>
      </c>
      <c r="B4" s="45" t="s">
        <v>9</v>
      </c>
      <c r="C4" s="46">
        <f>0/1.05</f>
        <v>0</v>
      </c>
      <c r="D4" s="47">
        <v>0.05</v>
      </c>
      <c r="E4" s="46">
        <f>ROUND(C4*D4,2)</f>
        <v>0</v>
      </c>
      <c r="F4" s="46">
        <f t="shared" ref="F4:F16" si="0">E4</f>
        <v>0</v>
      </c>
      <c r="G4" s="45"/>
      <c r="I4" s="60"/>
      <c r="J4" s="61"/>
      <c r="K4" s="61"/>
      <c r="L4" s="63"/>
    </row>
    <row r="5" spans="1:12">
      <c r="A5" s="44">
        <v>2</v>
      </c>
      <c r="B5" s="45" t="s">
        <v>10</v>
      </c>
      <c r="C5" s="46">
        <f>E4</f>
        <v>0</v>
      </c>
      <c r="D5" s="47">
        <v>0.07</v>
      </c>
      <c r="E5" s="46">
        <f>ROUND(C5*D5,2)</f>
        <v>0</v>
      </c>
      <c r="F5" s="46">
        <f t="shared" si="0"/>
        <v>0</v>
      </c>
      <c r="G5" s="45"/>
      <c r="I5" s="60"/>
      <c r="J5" s="61"/>
      <c r="K5" s="61"/>
      <c r="L5" s="63"/>
    </row>
    <row r="6" spans="1:12">
      <c r="A6" s="44">
        <v>3</v>
      </c>
      <c r="B6" s="45" t="s">
        <v>11</v>
      </c>
      <c r="C6" s="46">
        <f>E4</f>
        <v>0</v>
      </c>
      <c r="D6" s="47">
        <v>0.03</v>
      </c>
      <c r="E6" s="46">
        <f>ROUND(C6*D6,2)</f>
        <v>0</v>
      </c>
      <c r="F6" s="46">
        <f t="shared" si="0"/>
        <v>0</v>
      </c>
      <c r="G6" s="45"/>
      <c r="I6" s="60"/>
      <c r="J6" s="61"/>
      <c r="K6" s="61"/>
      <c r="L6" s="63"/>
    </row>
    <row r="7" spans="1:12">
      <c r="A7" s="44">
        <v>4</v>
      </c>
      <c r="B7" s="45" t="s">
        <v>12</v>
      </c>
      <c r="C7" s="46">
        <f>E4</f>
        <v>0</v>
      </c>
      <c r="D7" s="47">
        <v>0.02</v>
      </c>
      <c r="E7" s="46">
        <f>ROUND(C7*D7,2)</f>
        <v>0</v>
      </c>
      <c r="F7" s="46">
        <f t="shared" si="0"/>
        <v>0</v>
      </c>
      <c r="G7" s="44"/>
      <c r="I7" s="60"/>
      <c r="J7" s="61"/>
      <c r="K7" s="61"/>
      <c r="L7" s="63"/>
    </row>
    <row r="8" spans="1:12">
      <c r="A8" s="44">
        <v>1</v>
      </c>
      <c r="B8" s="45" t="s">
        <v>13</v>
      </c>
      <c r="C8" s="46">
        <v>0</v>
      </c>
      <c r="D8" s="47">
        <v>0.03</v>
      </c>
      <c r="E8" s="46">
        <f>C8/1.05*D8</f>
        <v>0</v>
      </c>
      <c r="F8" s="46">
        <f t="shared" si="0"/>
        <v>0</v>
      </c>
      <c r="G8" s="44"/>
      <c r="I8" s="60" t="s">
        <v>14</v>
      </c>
      <c r="J8" s="61">
        <v>217110</v>
      </c>
      <c r="K8" s="61" t="s">
        <v>15</v>
      </c>
      <c r="L8" s="61" t="s">
        <v>16</v>
      </c>
    </row>
    <row r="9" spans="1:12">
      <c r="A9" s="44">
        <v>2</v>
      </c>
      <c r="B9" s="45" t="s">
        <v>17</v>
      </c>
      <c r="C9" s="46">
        <v>0</v>
      </c>
      <c r="D9" s="47">
        <v>0.05</v>
      </c>
      <c r="E9" s="46">
        <f>C9/1.05*D9</f>
        <v>0</v>
      </c>
      <c r="F9" s="46">
        <f t="shared" si="0"/>
        <v>0</v>
      </c>
      <c r="G9" s="44"/>
      <c r="I9" s="60"/>
      <c r="J9" s="61"/>
      <c r="K9" s="61"/>
      <c r="L9" s="61"/>
    </row>
    <row r="10" spans="1:12">
      <c r="A10" s="44">
        <v>3</v>
      </c>
      <c r="B10" s="45" t="s">
        <v>18</v>
      </c>
      <c r="C10" s="46">
        <v>0</v>
      </c>
      <c r="D10" s="47">
        <v>0.02</v>
      </c>
      <c r="E10" s="46">
        <f>ROUND(C10*D10,2)</f>
        <v>0</v>
      </c>
      <c r="F10" s="46">
        <f t="shared" si="0"/>
        <v>0</v>
      </c>
      <c r="G10" s="48"/>
      <c r="I10" s="60"/>
      <c r="J10" s="61"/>
      <c r="K10" s="61"/>
      <c r="L10" s="63"/>
    </row>
    <row r="11" spans="1:12">
      <c r="A11" s="44">
        <v>4</v>
      </c>
      <c r="B11" s="45" t="s">
        <v>19</v>
      </c>
      <c r="C11" s="49">
        <f>E8+E9</f>
        <v>0</v>
      </c>
      <c r="D11" s="47">
        <v>0.07</v>
      </c>
      <c r="E11" s="46">
        <f>ROUND(C11*D11,2)</f>
        <v>0</v>
      </c>
      <c r="F11" s="46">
        <f t="shared" si="0"/>
        <v>0</v>
      </c>
      <c r="G11" s="45"/>
      <c r="I11" s="60"/>
      <c r="J11" s="61"/>
      <c r="K11" s="61"/>
      <c r="L11" s="63"/>
    </row>
    <row r="12" spans="1:12">
      <c r="A12" s="44">
        <v>5</v>
      </c>
      <c r="B12" s="45" t="s">
        <v>20</v>
      </c>
      <c r="C12" s="49">
        <f>E8+E9</f>
        <v>0</v>
      </c>
      <c r="D12" s="47">
        <v>0.03</v>
      </c>
      <c r="E12" s="46">
        <f>ROUND(C12*D12,2)</f>
        <v>0</v>
      </c>
      <c r="F12" s="46">
        <f t="shared" si="0"/>
        <v>0</v>
      </c>
      <c r="G12" s="45"/>
      <c r="I12" s="60"/>
      <c r="J12" s="61"/>
      <c r="K12" s="61"/>
      <c r="L12" s="63"/>
    </row>
    <row r="13" spans="1:12">
      <c r="A13" s="44">
        <v>6</v>
      </c>
      <c r="B13" s="45" t="s">
        <v>21</v>
      </c>
      <c r="C13" s="49">
        <f>E8+E9</f>
        <v>0</v>
      </c>
      <c r="D13" s="47">
        <v>0.02</v>
      </c>
      <c r="E13" s="46">
        <f>ROUND(C13*D13,2)</f>
        <v>0</v>
      </c>
      <c r="F13" s="46">
        <f t="shared" si="0"/>
        <v>0</v>
      </c>
      <c r="G13" s="45"/>
      <c r="I13" s="60" t="s">
        <v>22</v>
      </c>
      <c r="J13" s="61">
        <v>103830</v>
      </c>
      <c r="K13" s="61" t="s">
        <v>23</v>
      </c>
      <c r="L13" s="63" t="s">
        <v>24</v>
      </c>
    </row>
    <row r="14" spans="1:12">
      <c r="A14" s="44">
        <v>7</v>
      </c>
      <c r="B14" s="45" t="s">
        <v>25</v>
      </c>
      <c r="C14" s="49">
        <f>C9-E9</f>
        <v>0</v>
      </c>
      <c r="D14" s="47">
        <v>0.12</v>
      </c>
      <c r="E14" s="46">
        <f>ROUND(C14*D14,2)</f>
        <v>0</v>
      </c>
      <c r="F14" s="46">
        <f t="shared" si="0"/>
        <v>0</v>
      </c>
      <c r="G14" s="45"/>
      <c r="I14" s="60"/>
      <c r="J14" s="61"/>
      <c r="K14" s="61"/>
      <c r="L14" s="63"/>
    </row>
    <row r="15" spans="1:7">
      <c r="A15" s="44"/>
      <c r="B15" s="45" t="s">
        <v>26</v>
      </c>
      <c r="C15" s="49">
        <f>C9</f>
        <v>0</v>
      </c>
      <c r="D15" s="212" t="s">
        <v>27</v>
      </c>
      <c r="E15" s="52">
        <f>C15*D15</f>
        <v>0</v>
      </c>
      <c r="F15" s="52">
        <f t="shared" si="0"/>
        <v>0</v>
      </c>
      <c r="G15" s="45"/>
    </row>
    <row r="16" spans="1:7">
      <c r="A16" s="44">
        <v>8</v>
      </c>
      <c r="B16" s="45" t="s">
        <v>26</v>
      </c>
      <c r="C16" s="49">
        <v>0</v>
      </c>
      <c r="D16" s="51">
        <v>0.0005</v>
      </c>
      <c r="E16" s="52">
        <f>ROUND(C16*D16,2)</f>
        <v>0</v>
      </c>
      <c r="F16" s="52">
        <f t="shared" si="0"/>
        <v>0</v>
      </c>
      <c r="G16" s="45"/>
    </row>
    <row r="17" spans="1:7">
      <c r="A17" s="44" t="s">
        <v>28</v>
      </c>
      <c r="B17" s="44"/>
      <c r="C17" s="44"/>
      <c r="D17" s="44"/>
      <c r="E17" s="46">
        <f>SUM(E4:E16)</f>
        <v>0</v>
      </c>
      <c r="F17" s="46">
        <f>SUM(F4:F16)</f>
        <v>0</v>
      </c>
      <c r="G17" s="45"/>
    </row>
    <row r="18" spans="1:7">
      <c r="A18" s="43" t="s">
        <v>29</v>
      </c>
      <c r="B18" s="43"/>
      <c r="C18" s="43"/>
      <c r="D18" s="43"/>
      <c r="E18" s="43"/>
      <c r="F18" s="43"/>
      <c r="G18" s="43"/>
    </row>
    <row r="19" spans="1:7">
      <c r="A19" s="44" t="s">
        <v>1</v>
      </c>
      <c r="B19" s="44" t="s">
        <v>2</v>
      </c>
      <c r="C19" s="44" t="s">
        <v>3</v>
      </c>
      <c r="D19" s="44" t="s">
        <v>4</v>
      </c>
      <c r="E19" s="44" t="s">
        <v>3</v>
      </c>
      <c r="F19" s="44" t="s">
        <v>5</v>
      </c>
      <c r="G19" s="44" t="s">
        <v>6</v>
      </c>
    </row>
    <row r="20" spans="1:7">
      <c r="A20" s="44">
        <v>1</v>
      </c>
      <c r="B20" s="45" t="s">
        <v>30</v>
      </c>
      <c r="C20" s="46">
        <v>0</v>
      </c>
      <c r="D20" s="47">
        <v>0.03</v>
      </c>
      <c r="E20" s="46">
        <f>C20/1.09*D20</f>
        <v>0</v>
      </c>
      <c r="F20" s="46">
        <f>E20</f>
        <v>0</v>
      </c>
      <c r="G20" s="45"/>
    </row>
    <row r="21" spans="1:7">
      <c r="A21" s="44">
        <v>2</v>
      </c>
      <c r="B21" s="45" t="s">
        <v>31</v>
      </c>
      <c r="C21" s="46">
        <f>E20</f>
        <v>0</v>
      </c>
      <c r="D21" s="47">
        <v>0.07</v>
      </c>
      <c r="E21" s="46">
        <f t="shared" ref="E21:E31" si="1">ROUND(C21*D21,2)</f>
        <v>0</v>
      </c>
      <c r="F21" s="46">
        <f>E21</f>
        <v>0</v>
      </c>
      <c r="G21" s="45"/>
    </row>
    <row r="22" spans="1:7">
      <c r="A22" s="44">
        <v>3</v>
      </c>
      <c r="B22" s="45" t="s">
        <v>32</v>
      </c>
      <c r="C22" s="46">
        <f>E20</f>
        <v>0</v>
      </c>
      <c r="D22" s="47">
        <v>0.03</v>
      </c>
      <c r="E22" s="46">
        <f t="shared" si="1"/>
        <v>0</v>
      </c>
      <c r="F22" s="46">
        <v>0</v>
      </c>
      <c r="G22" s="45"/>
    </row>
    <row r="23" spans="1:7">
      <c r="A23" s="44">
        <v>4</v>
      </c>
      <c r="B23" s="45" t="s">
        <v>33</v>
      </c>
      <c r="C23" s="46">
        <f>E20</f>
        <v>0</v>
      </c>
      <c r="D23" s="47">
        <v>0.02</v>
      </c>
      <c r="E23" s="46">
        <f t="shared" si="1"/>
        <v>0</v>
      </c>
      <c r="F23" s="46">
        <v>0</v>
      </c>
      <c r="G23" s="45"/>
    </row>
    <row r="24" spans="1:7">
      <c r="A24" s="44">
        <v>5</v>
      </c>
      <c r="B24" s="45" t="s">
        <v>18</v>
      </c>
      <c r="C24" s="46">
        <v>0</v>
      </c>
      <c r="D24" s="47">
        <v>0.06</v>
      </c>
      <c r="E24" s="46">
        <f t="shared" si="1"/>
        <v>0</v>
      </c>
      <c r="F24" s="46">
        <v>0</v>
      </c>
      <c r="G24" s="45" t="s">
        <v>34</v>
      </c>
    </row>
    <row r="25" spans="1:7">
      <c r="A25" s="44">
        <v>6</v>
      </c>
      <c r="B25" s="45" t="s">
        <v>35</v>
      </c>
      <c r="C25" s="49">
        <f>E24</f>
        <v>0</v>
      </c>
      <c r="D25" s="47">
        <v>0.07</v>
      </c>
      <c r="E25" s="46">
        <f t="shared" si="1"/>
        <v>0</v>
      </c>
      <c r="F25" s="46">
        <v>0</v>
      </c>
      <c r="G25" s="45" t="s">
        <v>34</v>
      </c>
    </row>
    <row r="26" spans="1:7">
      <c r="A26" s="44">
        <v>7</v>
      </c>
      <c r="B26" s="45" t="s">
        <v>36</v>
      </c>
      <c r="C26" s="49">
        <f>E24</f>
        <v>0</v>
      </c>
      <c r="D26" s="47">
        <v>0.03</v>
      </c>
      <c r="E26" s="46">
        <f t="shared" si="1"/>
        <v>0</v>
      </c>
      <c r="F26" s="46">
        <v>0</v>
      </c>
      <c r="G26" s="45" t="s">
        <v>34</v>
      </c>
    </row>
    <row r="27" spans="1:7">
      <c r="A27" s="44">
        <v>8</v>
      </c>
      <c r="B27" s="45" t="s">
        <v>37</v>
      </c>
      <c r="C27" s="49">
        <f>E24</f>
        <v>0</v>
      </c>
      <c r="D27" s="47">
        <v>0.02</v>
      </c>
      <c r="E27" s="46">
        <f t="shared" si="1"/>
        <v>0</v>
      </c>
      <c r="F27" s="46">
        <v>0</v>
      </c>
      <c r="G27" s="45" t="s">
        <v>34</v>
      </c>
    </row>
    <row r="28" spans="1:7">
      <c r="A28" s="44">
        <v>9</v>
      </c>
      <c r="B28" s="45" t="s">
        <v>38</v>
      </c>
      <c r="C28" s="49">
        <f>C20-E20</f>
        <v>0</v>
      </c>
      <c r="D28" s="47">
        <v>0.01</v>
      </c>
      <c r="E28" s="46">
        <f t="shared" si="1"/>
        <v>0</v>
      </c>
      <c r="F28" s="46">
        <f>E28</f>
        <v>0</v>
      </c>
      <c r="G28" s="53"/>
    </row>
    <row r="29" spans="1:7">
      <c r="A29" s="44">
        <v>10</v>
      </c>
      <c r="B29" s="45" t="s">
        <v>39</v>
      </c>
      <c r="C29" s="49">
        <f>0/1.09</f>
        <v>0</v>
      </c>
      <c r="D29" s="47">
        <v>0.03</v>
      </c>
      <c r="E29" s="46">
        <f t="shared" si="1"/>
        <v>0</v>
      </c>
      <c r="F29" s="46">
        <f>E29</f>
        <v>0</v>
      </c>
      <c r="G29" s="53"/>
    </row>
    <row r="30" spans="1:7">
      <c r="A30" s="44">
        <v>11</v>
      </c>
      <c r="B30" s="45" t="s">
        <v>26</v>
      </c>
      <c r="C30" s="49">
        <v>0</v>
      </c>
      <c r="D30" s="51">
        <v>0.0005</v>
      </c>
      <c r="E30" s="52">
        <f t="shared" si="1"/>
        <v>0</v>
      </c>
      <c r="F30" s="52">
        <f>E30</f>
        <v>0</v>
      </c>
      <c r="G30" s="45"/>
    </row>
    <row r="31" spans="1:7">
      <c r="A31" s="44">
        <v>11</v>
      </c>
      <c r="B31" s="45" t="s">
        <v>40</v>
      </c>
      <c r="C31" s="49">
        <v>0</v>
      </c>
      <c r="D31" s="51">
        <v>0.0003</v>
      </c>
      <c r="E31" s="46">
        <f t="shared" si="1"/>
        <v>0</v>
      </c>
      <c r="F31" s="46">
        <f>ROUND(E31,1)</f>
        <v>0</v>
      </c>
      <c r="G31" s="53"/>
    </row>
    <row r="32" spans="1:7">
      <c r="A32" s="44" t="s">
        <v>28</v>
      </c>
      <c r="B32" s="44"/>
      <c r="C32" s="44"/>
      <c r="D32" s="44"/>
      <c r="E32" s="46">
        <f>SUM(E20:E31)</f>
        <v>0</v>
      </c>
      <c r="F32" s="46">
        <f>SUM(F20:F31)</f>
        <v>0</v>
      </c>
      <c r="G32" s="45"/>
    </row>
    <row r="33" spans="1:7">
      <c r="A33" s="43" t="s">
        <v>41</v>
      </c>
      <c r="B33" s="43"/>
      <c r="C33" s="43"/>
      <c r="D33" s="43"/>
      <c r="E33" s="43"/>
      <c r="F33" s="43"/>
      <c r="G33" s="43"/>
    </row>
    <row r="34" spans="1:7">
      <c r="A34" s="44" t="s">
        <v>1</v>
      </c>
      <c r="B34" s="44" t="s">
        <v>2</v>
      </c>
      <c r="C34" s="44" t="s">
        <v>3</v>
      </c>
      <c r="D34" s="44" t="s">
        <v>4</v>
      </c>
      <c r="E34" s="44" t="s">
        <v>3</v>
      </c>
      <c r="F34" s="44" t="s">
        <v>5</v>
      </c>
      <c r="G34" s="44" t="s">
        <v>6</v>
      </c>
    </row>
    <row r="35" spans="1:7">
      <c r="A35" s="44">
        <v>1</v>
      </c>
      <c r="B35" s="45" t="s">
        <v>30</v>
      </c>
      <c r="C35" s="46"/>
      <c r="D35" s="47">
        <v>0.03</v>
      </c>
      <c r="E35" s="46">
        <f>C35/1.09*D35</f>
        <v>0</v>
      </c>
      <c r="F35" s="46">
        <f>E35</f>
        <v>0</v>
      </c>
      <c r="G35" s="45"/>
    </row>
    <row r="36" spans="1:7">
      <c r="A36" s="44">
        <v>2</v>
      </c>
      <c r="B36" s="45" t="s">
        <v>31</v>
      </c>
      <c r="C36" s="46">
        <f>E35</f>
        <v>0</v>
      </c>
      <c r="D36" s="47">
        <v>0.07</v>
      </c>
      <c r="E36" s="46">
        <f t="shared" ref="E36:E45" si="2">ROUND(C36*D36,2)</f>
        <v>0</v>
      </c>
      <c r="F36" s="46">
        <f>E36</f>
        <v>0</v>
      </c>
      <c r="G36" s="45"/>
    </row>
    <row r="37" spans="1:7">
      <c r="A37" s="44">
        <v>3</v>
      </c>
      <c r="B37" s="45" t="s">
        <v>32</v>
      </c>
      <c r="C37" s="46">
        <f>E35</f>
        <v>0</v>
      </c>
      <c r="D37" s="47">
        <v>0.03</v>
      </c>
      <c r="E37" s="46">
        <f t="shared" si="2"/>
        <v>0</v>
      </c>
      <c r="F37" s="46">
        <f>E37</f>
        <v>0</v>
      </c>
      <c r="G37" s="45"/>
    </row>
    <row r="38" spans="1:7">
      <c r="A38" s="44">
        <v>4</v>
      </c>
      <c r="B38" s="45" t="s">
        <v>33</v>
      </c>
      <c r="C38" s="46">
        <f>E35</f>
        <v>0</v>
      </c>
      <c r="D38" s="47">
        <v>0.02</v>
      </c>
      <c r="E38" s="46">
        <f t="shared" si="2"/>
        <v>0</v>
      </c>
      <c r="F38" s="46">
        <f>E38</f>
        <v>0</v>
      </c>
      <c r="G38" s="44"/>
    </row>
    <row r="39" spans="1:7">
      <c r="A39" s="44">
        <v>5</v>
      </c>
      <c r="B39" s="45" t="s">
        <v>18</v>
      </c>
      <c r="C39" s="46">
        <v>0</v>
      </c>
      <c r="D39" s="47">
        <v>0.06</v>
      </c>
      <c r="E39" s="46">
        <f t="shared" si="2"/>
        <v>0</v>
      </c>
      <c r="F39" s="46">
        <v>0</v>
      </c>
      <c r="G39" s="45" t="s">
        <v>34</v>
      </c>
    </row>
    <row r="40" spans="1:7">
      <c r="A40" s="44">
        <v>6</v>
      </c>
      <c r="B40" s="45" t="s">
        <v>35</v>
      </c>
      <c r="C40" s="49">
        <f>E39</f>
        <v>0</v>
      </c>
      <c r="D40" s="47">
        <v>0.07</v>
      </c>
      <c r="E40" s="46">
        <f t="shared" si="2"/>
        <v>0</v>
      </c>
      <c r="F40" s="46">
        <v>0</v>
      </c>
      <c r="G40" s="45" t="s">
        <v>34</v>
      </c>
    </row>
    <row r="41" spans="1:7">
      <c r="A41" s="44">
        <v>7</v>
      </c>
      <c r="B41" s="45" t="s">
        <v>36</v>
      </c>
      <c r="C41" s="49">
        <f>E39</f>
        <v>0</v>
      </c>
      <c r="D41" s="47">
        <v>0.03</v>
      </c>
      <c r="E41" s="46">
        <f t="shared" si="2"/>
        <v>0</v>
      </c>
      <c r="F41" s="46">
        <v>0</v>
      </c>
      <c r="G41" s="45" t="s">
        <v>34</v>
      </c>
    </row>
    <row r="42" spans="1:7">
      <c r="A42" s="44">
        <v>8</v>
      </c>
      <c r="B42" s="45" t="s">
        <v>37</v>
      </c>
      <c r="C42" s="49">
        <f>E39</f>
        <v>0</v>
      </c>
      <c r="D42" s="47">
        <v>0.02</v>
      </c>
      <c r="E42" s="46">
        <f t="shared" si="2"/>
        <v>0</v>
      </c>
      <c r="F42" s="46">
        <v>0</v>
      </c>
      <c r="G42" s="45" t="s">
        <v>34</v>
      </c>
    </row>
    <row r="43" spans="1:7">
      <c r="A43" s="44">
        <v>9</v>
      </c>
      <c r="B43" s="45" t="s">
        <v>42</v>
      </c>
      <c r="C43" s="49">
        <f>C35-E35</f>
        <v>0</v>
      </c>
      <c r="D43" s="47">
        <v>0.01</v>
      </c>
      <c r="E43" s="46">
        <f t="shared" si="2"/>
        <v>0</v>
      </c>
      <c r="F43" s="46">
        <f>E43</f>
        <v>0</v>
      </c>
      <c r="G43" s="53"/>
    </row>
    <row r="44" spans="1:7">
      <c r="A44" s="44">
        <v>10</v>
      </c>
      <c r="B44" s="45" t="s">
        <v>26</v>
      </c>
      <c r="C44" s="49">
        <f>C35</f>
        <v>0</v>
      </c>
      <c r="D44" s="51">
        <v>0.0005</v>
      </c>
      <c r="E44" s="52">
        <f t="shared" si="2"/>
        <v>0</v>
      </c>
      <c r="F44" s="52">
        <f>E44</f>
        <v>0</v>
      </c>
      <c r="G44" s="45"/>
    </row>
    <row r="45" spans="1:7">
      <c r="A45" s="44">
        <v>11</v>
      </c>
      <c r="B45" s="45" t="s">
        <v>40</v>
      </c>
      <c r="C45" s="49">
        <v>0</v>
      </c>
      <c r="D45" s="51">
        <v>0.0003</v>
      </c>
      <c r="E45" s="46">
        <f t="shared" si="2"/>
        <v>0</v>
      </c>
      <c r="F45" s="46">
        <v>0</v>
      </c>
      <c r="G45" s="53"/>
    </row>
    <row r="46" spans="1:7">
      <c r="A46" s="44" t="s">
        <v>28</v>
      </c>
      <c r="B46" s="44"/>
      <c r="C46" s="44"/>
      <c r="D46" s="44"/>
      <c r="E46" s="46">
        <f>SUM(E35:E45)</f>
        <v>0</v>
      </c>
      <c r="F46" s="46">
        <f>SUM(F35:F45)</f>
        <v>0</v>
      </c>
      <c r="G46" s="45"/>
    </row>
    <row r="47" spans="1:7">
      <c r="A47" s="44"/>
      <c r="B47" s="44" t="s">
        <v>43</v>
      </c>
      <c r="C47" s="44"/>
      <c r="D47" s="44"/>
      <c r="E47" s="46">
        <v>0</v>
      </c>
      <c r="F47" s="46">
        <f>E47</f>
        <v>0</v>
      </c>
      <c r="G47" s="45"/>
    </row>
    <row r="48" spans="1:7">
      <c r="A48" s="54"/>
      <c r="B48" s="54" t="s">
        <v>44</v>
      </c>
      <c r="C48" s="54"/>
      <c r="D48" s="54"/>
      <c r="E48" s="55">
        <f>E17+E32+E46+E47</f>
        <v>0</v>
      </c>
      <c r="F48" s="55">
        <f>F17+F32+F46+F47</f>
        <v>0</v>
      </c>
      <c r="G48" s="56"/>
    </row>
    <row r="49" spans="1:7">
      <c r="A49" s="74"/>
      <c r="B49" s="75"/>
      <c r="C49" s="75"/>
      <c r="D49" s="75"/>
      <c r="E49" s="75"/>
      <c r="F49" s="75"/>
      <c r="G49" s="76"/>
    </row>
    <row r="50" spans="1:7">
      <c r="A50" s="77" t="s">
        <v>45</v>
      </c>
      <c r="B50" s="77"/>
      <c r="C50" s="77"/>
      <c r="D50" s="77"/>
      <c r="E50" s="77"/>
      <c r="F50" s="77"/>
      <c r="G50" s="77"/>
    </row>
    <row r="51" spans="1:7">
      <c r="A51" s="44" t="s">
        <v>1</v>
      </c>
      <c r="B51" s="44" t="s">
        <v>2</v>
      </c>
      <c r="C51" s="44" t="s">
        <v>3</v>
      </c>
      <c r="D51" s="44" t="s">
        <v>4</v>
      </c>
      <c r="E51" s="44" t="s">
        <v>3</v>
      </c>
      <c r="F51" s="44" t="s">
        <v>5</v>
      </c>
      <c r="G51" s="44" t="s">
        <v>6</v>
      </c>
    </row>
    <row r="52" spans="1:7">
      <c r="A52" s="78">
        <v>1</v>
      </c>
      <c r="B52" s="45" t="s">
        <v>30</v>
      </c>
      <c r="C52" s="79">
        <v>0</v>
      </c>
      <c r="D52" s="80">
        <v>0.03</v>
      </c>
      <c r="E52" s="79">
        <f>C52/1.05*D52</f>
        <v>0</v>
      </c>
      <c r="F52" s="79">
        <f t="shared" ref="F52:F63" si="3">E52</f>
        <v>0</v>
      </c>
      <c r="G52" s="81"/>
    </row>
    <row r="53" spans="1:7">
      <c r="A53" s="78">
        <v>2</v>
      </c>
      <c r="B53" s="45" t="s">
        <v>31</v>
      </c>
      <c r="C53" s="79">
        <f>F52</f>
        <v>0</v>
      </c>
      <c r="D53" s="80">
        <v>0.07</v>
      </c>
      <c r="E53" s="79">
        <f t="shared" ref="E53:E60" si="4">ROUND(C53*D53,2)</f>
        <v>0</v>
      </c>
      <c r="F53" s="79">
        <f t="shared" si="3"/>
        <v>0</v>
      </c>
      <c r="G53" s="81"/>
    </row>
    <row r="54" spans="1:7">
      <c r="A54" s="78">
        <v>3</v>
      </c>
      <c r="B54" s="45" t="s">
        <v>32</v>
      </c>
      <c r="C54" s="79">
        <f>E52</f>
        <v>0</v>
      </c>
      <c r="D54" s="80">
        <v>0.03</v>
      </c>
      <c r="E54" s="79">
        <f t="shared" si="4"/>
        <v>0</v>
      </c>
      <c r="F54" s="79">
        <f t="shared" si="3"/>
        <v>0</v>
      </c>
      <c r="G54" s="81"/>
    </row>
    <row r="55" spans="1:7">
      <c r="A55" s="78">
        <v>4</v>
      </c>
      <c r="B55" s="45" t="s">
        <v>33</v>
      </c>
      <c r="C55" s="79">
        <f>E52</f>
        <v>0</v>
      </c>
      <c r="D55" s="80">
        <v>0.02</v>
      </c>
      <c r="E55" s="79">
        <f t="shared" si="4"/>
        <v>0</v>
      </c>
      <c r="F55" s="79">
        <f t="shared" si="3"/>
        <v>0</v>
      </c>
      <c r="G55" s="81"/>
    </row>
    <row r="56" spans="1:7">
      <c r="A56" s="78">
        <v>5</v>
      </c>
      <c r="B56" s="81" t="s">
        <v>46</v>
      </c>
      <c r="C56" s="79">
        <v>0</v>
      </c>
      <c r="D56" s="80">
        <v>0.02</v>
      </c>
      <c r="E56" s="79">
        <f t="shared" si="4"/>
        <v>0</v>
      </c>
      <c r="F56" s="79">
        <f t="shared" si="3"/>
        <v>0</v>
      </c>
      <c r="G56" s="81"/>
    </row>
    <row r="57" spans="1:7">
      <c r="A57" s="78">
        <v>6</v>
      </c>
      <c r="B57" s="81" t="s">
        <v>19</v>
      </c>
      <c r="C57" s="82">
        <f>E56</f>
        <v>0</v>
      </c>
      <c r="D57" s="80">
        <v>0.07</v>
      </c>
      <c r="E57" s="79">
        <f t="shared" si="4"/>
        <v>0</v>
      </c>
      <c r="F57" s="79">
        <f t="shared" si="3"/>
        <v>0</v>
      </c>
      <c r="G57" s="81"/>
    </row>
    <row r="58" spans="1:7">
      <c r="A58" s="78">
        <v>7</v>
      </c>
      <c r="B58" s="81" t="s">
        <v>20</v>
      </c>
      <c r="C58" s="82">
        <f>E56</f>
        <v>0</v>
      </c>
      <c r="D58" s="80">
        <v>0.03</v>
      </c>
      <c r="E58" s="79">
        <f t="shared" si="4"/>
        <v>0</v>
      </c>
      <c r="F58" s="79">
        <f t="shared" si="3"/>
        <v>0</v>
      </c>
      <c r="G58" s="81"/>
    </row>
    <row r="59" spans="1:7">
      <c r="A59" s="78">
        <v>8</v>
      </c>
      <c r="B59" s="81" t="s">
        <v>21</v>
      </c>
      <c r="C59" s="82">
        <f>E56</f>
        <v>0</v>
      </c>
      <c r="D59" s="80">
        <v>0.02</v>
      </c>
      <c r="E59" s="79">
        <f t="shared" si="4"/>
        <v>0</v>
      </c>
      <c r="F59" s="79">
        <f t="shared" si="3"/>
        <v>0</v>
      </c>
      <c r="G59" s="81"/>
    </row>
    <row r="60" spans="1:7">
      <c r="A60" s="78">
        <v>9</v>
      </c>
      <c r="B60" s="81" t="s">
        <v>42</v>
      </c>
      <c r="C60" s="82">
        <v>0</v>
      </c>
      <c r="D60" s="80">
        <v>0.01</v>
      </c>
      <c r="E60" s="79">
        <f t="shared" si="4"/>
        <v>0</v>
      </c>
      <c r="F60" s="79">
        <f t="shared" si="3"/>
        <v>0</v>
      </c>
      <c r="G60" s="81"/>
    </row>
    <row r="61" spans="1:7">
      <c r="A61" s="78">
        <v>10</v>
      </c>
      <c r="B61" s="81" t="s">
        <v>47</v>
      </c>
      <c r="C61" s="82">
        <v>0</v>
      </c>
      <c r="D61" s="83">
        <v>0.0005</v>
      </c>
      <c r="E61" s="79">
        <f>C61*D61</f>
        <v>0</v>
      </c>
      <c r="F61" s="79">
        <f t="shared" si="3"/>
        <v>0</v>
      </c>
      <c r="G61" s="81"/>
    </row>
    <row r="62" spans="1:7">
      <c r="A62" s="78">
        <v>11</v>
      </c>
      <c r="B62" s="81" t="s">
        <v>48</v>
      </c>
      <c r="C62" s="82">
        <v>0</v>
      </c>
      <c r="D62" s="83">
        <v>0.0003</v>
      </c>
      <c r="E62" s="79">
        <f>ROUND(C62*D62,2)</f>
        <v>0</v>
      </c>
      <c r="F62" s="79">
        <f t="shared" si="3"/>
        <v>0</v>
      </c>
      <c r="G62" s="81"/>
    </row>
    <row r="63" spans="1:7">
      <c r="A63" s="78">
        <v>12</v>
      </c>
      <c r="B63" s="81" t="s">
        <v>43</v>
      </c>
      <c r="C63" s="82"/>
      <c r="D63" s="83"/>
      <c r="E63" s="79">
        <v>0</v>
      </c>
      <c r="F63" s="79">
        <f t="shared" si="3"/>
        <v>0</v>
      </c>
      <c r="G63" s="81"/>
    </row>
    <row r="64" spans="1:7">
      <c r="A64" s="84" t="s">
        <v>49</v>
      </c>
      <c r="B64" s="84"/>
      <c r="C64" s="84"/>
      <c r="D64" s="84"/>
      <c r="E64" s="85">
        <f>SUM(E52:E63)</f>
        <v>0</v>
      </c>
      <c r="F64" s="85">
        <f>SUM(F52:F63)</f>
        <v>0</v>
      </c>
      <c r="G64" s="86"/>
    </row>
    <row r="65" spans="1:7">
      <c r="A65" s="77" t="s">
        <v>50</v>
      </c>
      <c r="B65" s="77"/>
      <c r="C65" s="77"/>
      <c r="D65" s="77"/>
      <c r="E65" s="77"/>
      <c r="F65" s="77"/>
      <c r="G65" s="77"/>
    </row>
    <row r="66" spans="1:7">
      <c r="A66" s="44" t="s">
        <v>1</v>
      </c>
      <c r="B66" s="44" t="s">
        <v>2</v>
      </c>
      <c r="C66" s="44" t="s">
        <v>3</v>
      </c>
      <c r="D66" s="44" t="s">
        <v>4</v>
      </c>
      <c r="E66" s="44" t="s">
        <v>3</v>
      </c>
      <c r="F66" s="44" t="s">
        <v>5</v>
      </c>
      <c r="G66" s="87" t="s">
        <v>6</v>
      </c>
    </row>
    <row r="67" spans="1:7">
      <c r="A67" s="78">
        <v>1</v>
      </c>
      <c r="B67" s="81" t="s">
        <v>51</v>
      </c>
      <c r="C67" s="79">
        <v>0</v>
      </c>
      <c r="D67" s="80">
        <v>0.03</v>
      </c>
      <c r="E67" s="79">
        <f>ROUND(C67*D67,2)</f>
        <v>0</v>
      </c>
      <c r="F67" s="88">
        <f>E67</f>
        <v>0</v>
      </c>
      <c r="G67" s="89"/>
    </row>
    <row r="68" spans="1:7">
      <c r="A68" s="78">
        <v>1</v>
      </c>
      <c r="B68" s="81" t="s">
        <v>13</v>
      </c>
      <c r="C68" s="79">
        <v>0</v>
      </c>
      <c r="D68" s="80">
        <v>0.03</v>
      </c>
      <c r="E68" s="79">
        <f>C68/1.05*D68</f>
        <v>0</v>
      </c>
      <c r="F68" s="88">
        <v>0</v>
      </c>
      <c r="G68" s="89"/>
    </row>
    <row r="69" spans="1:7">
      <c r="A69" s="78">
        <v>2</v>
      </c>
      <c r="B69" s="81" t="s">
        <v>46</v>
      </c>
      <c r="C69" s="79">
        <v>0</v>
      </c>
      <c r="D69" s="80">
        <v>0</v>
      </c>
      <c r="E69" s="90">
        <f>ROUND(C69*D69,2)</f>
        <v>0</v>
      </c>
      <c r="F69" s="91">
        <f>E69</f>
        <v>0</v>
      </c>
      <c r="G69" s="53"/>
    </row>
    <row r="70" spans="1:7">
      <c r="A70" s="78">
        <v>3</v>
      </c>
      <c r="B70" s="81" t="s">
        <v>19</v>
      </c>
      <c r="C70" s="82">
        <f>F68</f>
        <v>0</v>
      </c>
      <c r="D70" s="80">
        <v>0.05</v>
      </c>
      <c r="E70" s="90">
        <f>E68*D70</f>
        <v>0</v>
      </c>
      <c r="F70" s="91">
        <f>E70</f>
        <v>0</v>
      </c>
      <c r="G70" s="53"/>
    </row>
    <row r="71" spans="1:7">
      <c r="A71" s="78">
        <v>4</v>
      </c>
      <c r="B71" s="81" t="s">
        <v>20</v>
      </c>
      <c r="C71" s="82">
        <f>C70</f>
        <v>0</v>
      </c>
      <c r="D71" s="80">
        <v>0.03</v>
      </c>
      <c r="E71" s="90">
        <f>E68*D71</f>
        <v>0</v>
      </c>
      <c r="F71" s="91">
        <f>E71</f>
        <v>0</v>
      </c>
      <c r="G71" s="53"/>
    </row>
    <row r="72" spans="1:7">
      <c r="A72" s="78">
        <v>5</v>
      </c>
      <c r="B72" s="81" t="s">
        <v>21</v>
      </c>
      <c r="C72" s="82">
        <f>C70</f>
        <v>0</v>
      </c>
      <c r="D72" s="80">
        <v>0.02</v>
      </c>
      <c r="E72" s="90">
        <f>E68*D72</f>
        <v>0</v>
      </c>
      <c r="F72" s="91">
        <f>E72</f>
        <v>0</v>
      </c>
      <c r="G72" s="53"/>
    </row>
    <row r="73" spans="1:7">
      <c r="A73" s="78">
        <v>6</v>
      </c>
      <c r="B73" s="81" t="s">
        <v>52</v>
      </c>
      <c r="C73" s="82">
        <f>C67</f>
        <v>0</v>
      </c>
      <c r="D73" s="80">
        <v>0.03</v>
      </c>
      <c r="E73" s="90">
        <f>ROUND(C73*D73,2)</f>
        <v>0</v>
      </c>
      <c r="F73" s="91">
        <f>E73</f>
        <v>0</v>
      </c>
      <c r="G73" s="53"/>
    </row>
    <row r="74" spans="1:7">
      <c r="A74" s="78">
        <v>7</v>
      </c>
      <c r="B74" s="81" t="s">
        <v>47</v>
      </c>
      <c r="C74" s="82">
        <v>0</v>
      </c>
      <c r="D74" s="83">
        <v>0.0005</v>
      </c>
      <c r="E74" s="90">
        <f>ROUND(C74*D74,2)</f>
        <v>0</v>
      </c>
      <c r="F74" s="91">
        <f>ROUND(E74,1)</f>
        <v>0</v>
      </c>
      <c r="G74" s="53"/>
    </row>
    <row r="75" spans="1:7">
      <c r="A75" s="78">
        <v>8</v>
      </c>
      <c r="B75" s="81" t="s">
        <v>48</v>
      </c>
      <c r="C75" s="82">
        <v>0</v>
      </c>
      <c r="D75" s="83">
        <v>0.0003</v>
      </c>
      <c r="E75" s="90">
        <f>ROUND(C75*D75,2)</f>
        <v>0</v>
      </c>
      <c r="F75" s="91">
        <f>ROUND(E75,1)</f>
        <v>0</v>
      </c>
      <c r="G75" s="53"/>
    </row>
    <row r="76" spans="1:7">
      <c r="A76" s="78" t="s">
        <v>53</v>
      </c>
      <c r="B76" s="78"/>
      <c r="C76" s="78"/>
      <c r="D76" s="78"/>
      <c r="E76" s="90">
        <f>SUM(E68:E75)</f>
        <v>0</v>
      </c>
      <c r="F76" s="91">
        <f>SUM(F68:F75)</f>
        <v>0</v>
      </c>
      <c r="G76" s="53"/>
    </row>
    <row r="77" spans="1:7">
      <c r="A77" s="92"/>
      <c r="B77" s="93"/>
      <c r="C77" s="93"/>
      <c r="D77" s="94"/>
      <c r="E77" s="79"/>
      <c r="F77" s="79"/>
      <c r="G77" s="53"/>
    </row>
    <row r="78" spans="1:7">
      <c r="A78" s="92"/>
      <c r="B78" s="93"/>
      <c r="C78" s="93"/>
      <c r="D78" s="94"/>
      <c r="E78" s="79"/>
      <c r="F78" s="95"/>
      <c r="G78" s="53"/>
    </row>
    <row r="79" spans="1:7">
      <c r="A79" s="92"/>
      <c r="B79" s="93" t="s">
        <v>54</v>
      </c>
      <c r="C79" s="93"/>
      <c r="D79" s="94"/>
      <c r="E79" s="79">
        <f>W79*0.02</f>
        <v>0</v>
      </c>
      <c r="F79" s="79">
        <v>0</v>
      </c>
      <c r="G79" s="53"/>
    </row>
    <row r="80" spans="1:7">
      <c r="A80" s="92"/>
      <c r="B80" s="93" t="s">
        <v>55</v>
      </c>
      <c r="C80" s="93"/>
      <c r="D80" s="94"/>
      <c r="E80" s="79"/>
      <c r="F80" s="95"/>
      <c r="G80" s="53"/>
    </row>
    <row r="81" spans="1:7">
      <c r="A81" s="92"/>
      <c r="B81" s="93" t="s">
        <v>56</v>
      </c>
      <c r="C81" s="93"/>
      <c r="D81" s="94"/>
      <c r="E81" s="79"/>
      <c r="F81" s="79"/>
      <c r="G81" s="53"/>
    </row>
    <row r="82" spans="1:7">
      <c r="A82" s="92"/>
      <c r="B82" s="93" t="s">
        <v>57</v>
      </c>
      <c r="C82" s="93"/>
      <c r="D82" s="94"/>
      <c r="E82" s="79"/>
      <c r="F82" s="79"/>
      <c r="G82" s="53"/>
    </row>
    <row r="83" spans="1:7">
      <c r="A83" s="96" t="s">
        <v>58</v>
      </c>
      <c r="B83" s="97"/>
      <c r="C83" s="97"/>
      <c r="D83" s="98"/>
      <c r="E83" s="79">
        <f>SUM(E77:E82)+E76+E64+E48</f>
        <v>0</v>
      </c>
      <c r="F83" s="79">
        <f>SUM(F77:F82)+F76+F64+F48</f>
        <v>0</v>
      </c>
      <c r="G83" s="81"/>
    </row>
  </sheetData>
  <mergeCells count="13">
    <mergeCell ref="A2:G2"/>
    <mergeCell ref="A17:D17"/>
    <mergeCell ref="A18:G18"/>
    <mergeCell ref="A32:D32"/>
    <mergeCell ref="A33:G33"/>
    <mergeCell ref="A46:D46"/>
    <mergeCell ref="A49:G49"/>
    <mergeCell ref="A50:G50"/>
    <mergeCell ref="A64:D64"/>
    <mergeCell ref="A65:G65"/>
    <mergeCell ref="A76:D76"/>
    <mergeCell ref="A83:D83"/>
    <mergeCell ref="L5:L6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6"/>
  <sheetViews>
    <sheetView view="pageBreakPreview" zoomScaleNormal="100" workbookViewId="0">
      <selection activeCell="C30" sqref="C30"/>
    </sheetView>
  </sheetViews>
  <sheetFormatPr defaultColWidth="9" defaultRowHeight="12"/>
  <cols>
    <col min="1" max="1" width="5.88333333333333" style="153" customWidth="1"/>
    <col min="2" max="2" width="20.75" style="153" customWidth="1"/>
    <col min="3" max="3" width="13.475" style="153" customWidth="1"/>
    <col min="4" max="4" width="9" style="153"/>
    <col min="5" max="5" width="12.8833333333333" style="154" customWidth="1"/>
    <col min="6" max="6" width="12.75" style="154" customWidth="1"/>
    <col min="7" max="7" width="13.1333333333333" style="153" customWidth="1"/>
    <col min="8" max="8" width="4.46666666666667" style="153" customWidth="1"/>
    <col min="9" max="9" width="8.25" style="155" customWidth="1"/>
    <col min="10" max="10" width="39.3833333333333" style="156" customWidth="1"/>
    <col min="11" max="11" width="14.1333333333333" style="153" customWidth="1"/>
    <col min="12" max="12" width="12.7166666666667" style="153" customWidth="1"/>
    <col min="13" max="13" width="10.9666666666667" style="153" customWidth="1"/>
    <col min="14" max="14" width="8.15" style="153" customWidth="1"/>
    <col min="15" max="15" width="13.3666666666667" style="157" customWidth="1"/>
    <col min="16" max="16" width="16" style="157"/>
    <col min="17" max="17" width="12.6333333333333" style="157"/>
    <col min="18" max="16384" width="9" style="153"/>
  </cols>
  <sheetData>
    <row r="1" spans="16:17">
      <c r="P1" s="178"/>
      <c r="Q1" s="178"/>
    </row>
    <row r="2" s="153" customFormat="1" ht="14" customHeight="1" spans="1:17">
      <c r="A2" s="158" t="s">
        <v>59</v>
      </c>
      <c r="B2" s="158"/>
      <c r="C2" s="158"/>
      <c r="D2" s="158"/>
      <c r="E2" s="159"/>
      <c r="F2" s="159"/>
      <c r="G2" s="158"/>
      <c r="I2" s="196" t="s">
        <v>60</v>
      </c>
      <c r="J2" s="158" t="s">
        <v>61</v>
      </c>
      <c r="K2" s="197" t="s">
        <v>3</v>
      </c>
      <c r="L2" s="197" t="s">
        <v>62</v>
      </c>
      <c r="M2" s="158" t="s">
        <v>8</v>
      </c>
      <c r="N2" s="198" t="s">
        <v>6</v>
      </c>
      <c r="O2" s="179"/>
      <c r="P2" s="179"/>
      <c r="Q2" s="179"/>
    </row>
    <row r="3" ht="14" customHeight="1" spans="1:14">
      <c r="A3" s="160" t="s">
        <v>1</v>
      </c>
      <c r="B3" s="160" t="s">
        <v>2</v>
      </c>
      <c r="C3" s="160" t="s">
        <v>3</v>
      </c>
      <c r="D3" s="160" t="s">
        <v>4</v>
      </c>
      <c r="E3" s="161" t="s">
        <v>3</v>
      </c>
      <c r="F3" s="161" t="s">
        <v>5</v>
      </c>
      <c r="G3" s="160" t="s">
        <v>6</v>
      </c>
      <c r="I3" s="199" t="s">
        <v>63</v>
      </c>
      <c r="J3" s="158" t="s">
        <v>64</v>
      </c>
      <c r="K3" s="200">
        <v>780000</v>
      </c>
      <c r="L3" s="200">
        <f>K3/1.05*0.05</f>
        <v>37142.8571428571</v>
      </c>
      <c r="M3" s="200" t="s">
        <v>65</v>
      </c>
      <c r="N3" s="201" t="s">
        <v>66</v>
      </c>
    </row>
    <row r="4" ht="14" customHeight="1" spans="1:14">
      <c r="A4" s="160">
        <v>1</v>
      </c>
      <c r="B4" s="162" t="s">
        <v>9</v>
      </c>
      <c r="C4" s="163">
        <f>0/1.05</f>
        <v>0</v>
      </c>
      <c r="D4" s="50">
        <v>0.05</v>
      </c>
      <c r="E4" s="164">
        <f t="shared" ref="E4:E7" si="0">ROUND(C4*D4,2)</f>
        <v>0</v>
      </c>
      <c r="F4" s="164">
        <f t="shared" ref="F4:F18" si="1">E4</f>
        <v>0</v>
      </c>
      <c r="G4" s="162"/>
      <c r="I4" s="199"/>
      <c r="J4" s="158"/>
      <c r="K4" s="200">
        <v>824713</v>
      </c>
      <c r="L4" s="200">
        <f>K4/1.05*0.05</f>
        <v>39272.0476190476</v>
      </c>
      <c r="M4" s="200" t="s">
        <v>67</v>
      </c>
      <c r="N4" s="202"/>
    </row>
    <row r="5" ht="14" customHeight="1" spans="1:14">
      <c r="A5" s="160">
        <v>2</v>
      </c>
      <c r="B5" s="162" t="s">
        <v>10</v>
      </c>
      <c r="C5" s="163">
        <f>E4</f>
        <v>0</v>
      </c>
      <c r="D5" s="50">
        <v>0.07</v>
      </c>
      <c r="E5" s="164">
        <f t="shared" si="0"/>
        <v>0</v>
      </c>
      <c r="F5" s="164">
        <f t="shared" si="1"/>
        <v>0</v>
      </c>
      <c r="G5" s="162"/>
      <c r="I5" s="199"/>
      <c r="J5" s="158" t="s">
        <v>68</v>
      </c>
      <c r="K5" s="200">
        <v>211997</v>
      </c>
      <c r="L5" s="200">
        <f t="shared" ref="L5:L10" si="2">K5/1.09*0.09</f>
        <v>17504.3394495413</v>
      </c>
      <c r="M5" s="200" t="s">
        <v>69</v>
      </c>
      <c r="N5" s="202"/>
    </row>
    <row r="6" ht="14" customHeight="1" spans="1:16">
      <c r="A6" s="160">
        <v>3</v>
      </c>
      <c r="B6" s="162" t="s">
        <v>11</v>
      </c>
      <c r="C6" s="163">
        <f>E4</f>
        <v>0</v>
      </c>
      <c r="D6" s="50">
        <v>0.03</v>
      </c>
      <c r="E6" s="164">
        <f t="shared" si="0"/>
        <v>0</v>
      </c>
      <c r="F6" s="164">
        <f t="shared" si="1"/>
        <v>0</v>
      </c>
      <c r="G6" s="162"/>
      <c r="I6" s="199"/>
      <c r="J6" s="158"/>
      <c r="K6" s="200">
        <v>205452</v>
      </c>
      <c r="L6" s="200">
        <f t="shared" si="2"/>
        <v>16963.9266055046</v>
      </c>
      <c r="M6" s="200" t="s">
        <v>70</v>
      </c>
      <c r="N6" s="202"/>
      <c r="P6" s="180"/>
    </row>
    <row r="7" ht="14" customHeight="1" spans="1:16">
      <c r="A7" s="160">
        <v>4</v>
      </c>
      <c r="B7" s="162" t="s">
        <v>12</v>
      </c>
      <c r="C7" s="163">
        <f>E4</f>
        <v>0</v>
      </c>
      <c r="D7" s="50">
        <v>0.02</v>
      </c>
      <c r="E7" s="164">
        <f t="shared" si="0"/>
        <v>0</v>
      </c>
      <c r="F7" s="164">
        <f t="shared" si="1"/>
        <v>0</v>
      </c>
      <c r="G7" s="160"/>
      <c r="I7" s="199"/>
      <c r="J7" s="158"/>
      <c r="K7" s="200">
        <v>292000</v>
      </c>
      <c r="L7" s="200">
        <f t="shared" si="2"/>
        <v>24110.0917431193</v>
      </c>
      <c r="M7" s="200" t="s">
        <v>71</v>
      </c>
      <c r="N7" s="202"/>
      <c r="P7" s="180"/>
    </row>
    <row r="8" ht="14" customHeight="1" spans="1:14">
      <c r="A8" s="160">
        <v>5</v>
      </c>
      <c r="B8" s="162" t="s">
        <v>13</v>
      </c>
      <c r="C8" s="163">
        <v>0</v>
      </c>
      <c r="D8" s="50">
        <v>0.03</v>
      </c>
      <c r="E8" s="164">
        <f>C8/1.05*D8</f>
        <v>0</v>
      </c>
      <c r="F8" s="164">
        <f t="shared" si="1"/>
        <v>0</v>
      </c>
      <c r="G8" s="160"/>
      <c r="I8" s="199"/>
      <c r="J8" s="158"/>
      <c r="K8" s="200">
        <v>161985</v>
      </c>
      <c r="L8" s="200">
        <f t="shared" si="2"/>
        <v>13374.9082568807</v>
      </c>
      <c r="M8" s="200" t="s">
        <v>72</v>
      </c>
      <c r="N8" s="202"/>
    </row>
    <row r="9" ht="14" customHeight="1" spans="1:14">
      <c r="A9" s="160">
        <v>6</v>
      </c>
      <c r="B9" s="162" t="s">
        <v>17</v>
      </c>
      <c r="C9" s="163">
        <v>0</v>
      </c>
      <c r="D9" s="50">
        <v>0.05</v>
      </c>
      <c r="E9" s="164">
        <f>C9/1.05*D9</f>
        <v>0</v>
      </c>
      <c r="F9" s="164">
        <f t="shared" si="1"/>
        <v>0</v>
      </c>
      <c r="G9" s="160"/>
      <c r="I9" s="199"/>
      <c r="J9" s="158"/>
      <c r="K9" s="200">
        <v>6530</v>
      </c>
      <c r="L9" s="200">
        <f t="shared" si="2"/>
        <v>539.174311926605</v>
      </c>
      <c r="M9" s="200" t="s">
        <v>73</v>
      </c>
      <c r="N9" s="202"/>
    </row>
    <row r="10" ht="14" customHeight="1" spans="1:14">
      <c r="A10" s="160">
        <v>7</v>
      </c>
      <c r="B10" s="162" t="s">
        <v>18</v>
      </c>
      <c r="C10" s="163">
        <v>0</v>
      </c>
      <c r="D10" s="50">
        <v>0.02</v>
      </c>
      <c r="E10" s="164">
        <f>ROUND(C10*D10,2)</f>
        <v>0</v>
      </c>
      <c r="F10" s="164">
        <f t="shared" si="1"/>
        <v>0</v>
      </c>
      <c r="G10" s="165"/>
      <c r="I10" s="199"/>
      <c r="J10" s="158"/>
      <c r="K10" s="200">
        <v>202644</v>
      </c>
      <c r="L10" s="200">
        <f t="shared" si="2"/>
        <v>16732.0733944954</v>
      </c>
      <c r="M10" s="200" t="s">
        <v>74</v>
      </c>
      <c r="N10" s="203"/>
    </row>
    <row r="11" ht="14" customHeight="1" spans="1:14">
      <c r="A11" s="160">
        <v>8</v>
      </c>
      <c r="B11" s="162" t="s">
        <v>19</v>
      </c>
      <c r="C11" s="166">
        <f>E8+E9</f>
        <v>0</v>
      </c>
      <c r="D11" s="50">
        <v>0.07</v>
      </c>
      <c r="E11" s="164">
        <f>ROUND(C11*D11,2)</f>
        <v>0</v>
      </c>
      <c r="F11" s="164">
        <f t="shared" si="1"/>
        <v>0</v>
      </c>
      <c r="G11" s="162"/>
      <c r="I11" s="199"/>
      <c r="J11" s="204" t="s">
        <v>75</v>
      </c>
      <c r="K11" s="205">
        <v>4000</v>
      </c>
      <c r="L11" s="206"/>
      <c r="M11" s="206"/>
      <c r="N11" s="207"/>
    </row>
    <row r="12" ht="14" customHeight="1" spans="1:14">
      <c r="A12" s="160">
        <v>9</v>
      </c>
      <c r="B12" s="162" t="s">
        <v>20</v>
      </c>
      <c r="C12" s="166">
        <f>E8+E9</f>
        <v>0</v>
      </c>
      <c r="D12" s="50">
        <v>0.03</v>
      </c>
      <c r="E12" s="164">
        <f t="shared" ref="E12:E18" si="3">ROUND(C12*D12,2)</f>
        <v>0</v>
      </c>
      <c r="F12" s="164">
        <f t="shared" si="1"/>
        <v>0</v>
      </c>
      <c r="G12" s="162"/>
      <c r="I12" s="199"/>
      <c r="J12" s="204" t="s">
        <v>76</v>
      </c>
      <c r="K12" s="205">
        <v>200000</v>
      </c>
      <c r="L12" s="206" t="s">
        <v>77</v>
      </c>
      <c r="M12" s="206"/>
      <c r="N12" s="206"/>
    </row>
    <row r="13" ht="14" customHeight="1" spans="1:14">
      <c r="A13" s="160">
        <v>10</v>
      </c>
      <c r="B13" s="162" t="s">
        <v>21</v>
      </c>
      <c r="C13" s="166">
        <f>E8+E9</f>
        <v>0</v>
      </c>
      <c r="D13" s="50">
        <v>0.02</v>
      </c>
      <c r="E13" s="164">
        <f t="shared" si="3"/>
        <v>0</v>
      </c>
      <c r="F13" s="164">
        <f t="shared" si="1"/>
        <v>0</v>
      </c>
      <c r="G13" s="162"/>
      <c r="I13" s="199"/>
      <c r="J13" s="204" t="s">
        <v>78</v>
      </c>
      <c r="K13" s="205">
        <v>6530</v>
      </c>
      <c r="L13" s="206"/>
      <c r="M13" s="206"/>
      <c r="N13" s="206"/>
    </row>
    <row r="14" ht="14" customHeight="1" spans="1:14">
      <c r="A14" s="160">
        <v>11</v>
      </c>
      <c r="B14" s="162" t="s">
        <v>25</v>
      </c>
      <c r="C14" s="166">
        <f>C9-E9</f>
        <v>0</v>
      </c>
      <c r="D14" s="50">
        <v>0.12</v>
      </c>
      <c r="E14" s="164">
        <f t="shared" si="3"/>
        <v>0</v>
      </c>
      <c r="F14" s="164">
        <f t="shared" si="1"/>
        <v>0</v>
      </c>
      <c r="G14" s="162"/>
      <c r="I14" s="199"/>
      <c r="J14" s="204" t="s">
        <v>79</v>
      </c>
      <c r="K14" s="205">
        <v>10000</v>
      </c>
      <c r="L14" s="206"/>
      <c r="M14" s="206"/>
      <c r="N14" s="206"/>
    </row>
    <row r="15" s="153" customFormat="1" ht="14" customHeight="1" spans="1:17">
      <c r="A15" s="160">
        <v>12</v>
      </c>
      <c r="B15" s="167" t="s">
        <v>80</v>
      </c>
      <c r="C15" s="166">
        <f>K3+K4</f>
        <v>1604713</v>
      </c>
      <c r="D15" s="168">
        <v>0.0005</v>
      </c>
      <c r="E15" s="164">
        <f>C15*D15</f>
        <v>802.3565</v>
      </c>
      <c r="F15" s="164">
        <f t="shared" si="1"/>
        <v>802.3565</v>
      </c>
      <c r="G15" s="162"/>
      <c r="I15" s="199"/>
      <c r="J15" s="204" t="s">
        <v>81</v>
      </c>
      <c r="K15" s="205">
        <v>2000</v>
      </c>
      <c r="L15" s="206"/>
      <c r="M15" s="206"/>
      <c r="N15" s="206"/>
      <c r="O15" s="181"/>
      <c r="P15" s="181"/>
      <c r="Q15" s="181"/>
    </row>
    <row r="16" s="153" customFormat="1" ht="14" customHeight="1" spans="1:17">
      <c r="A16" s="160">
        <v>13</v>
      </c>
      <c r="B16" s="167" t="s">
        <v>48</v>
      </c>
      <c r="C16" s="166">
        <v>0</v>
      </c>
      <c r="D16" s="168">
        <v>0.0003</v>
      </c>
      <c r="E16" s="164">
        <f t="shared" si="3"/>
        <v>0</v>
      </c>
      <c r="F16" s="164">
        <f t="shared" si="1"/>
        <v>0</v>
      </c>
      <c r="G16" s="162"/>
      <c r="I16" s="199"/>
      <c r="J16" s="208" t="s">
        <v>82</v>
      </c>
      <c r="K16" s="209">
        <v>32000</v>
      </c>
      <c r="L16" s="206" t="s">
        <v>77</v>
      </c>
      <c r="M16" s="206"/>
      <c r="N16" s="206"/>
      <c r="O16" s="181"/>
      <c r="P16" s="181"/>
      <c r="Q16" s="181"/>
    </row>
    <row r="17" s="153" customFormat="1" ht="14" customHeight="1" spans="1:17">
      <c r="A17" s="160">
        <v>14</v>
      </c>
      <c r="B17" s="162" t="s">
        <v>38</v>
      </c>
      <c r="C17" s="166">
        <v>0</v>
      </c>
      <c r="D17" s="50">
        <v>0.01</v>
      </c>
      <c r="E17" s="164">
        <f t="shared" si="3"/>
        <v>0</v>
      </c>
      <c r="F17" s="164">
        <f t="shared" si="1"/>
        <v>0</v>
      </c>
      <c r="G17" s="162"/>
      <c r="I17" s="199"/>
      <c r="J17" s="208"/>
      <c r="K17" s="208"/>
      <c r="L17" s="206"/>
      <c r="M17" s="206"/>
      <c r="N17" s="206"/>
      <c r="O17" s="181"/>
      <c r="P17" s="181"/>
      <c r="Q17" s="181"/>
    </row>
    <row r="18" s="153" customFormat="1" ht="14" customHeight="1" spans="1:17">
      <c r="A18" s="160">
        <v>15</v>
      </c>
      <c r="B18" s="162" t="s">
        <v>39</v>
      </c>
      <c r="C18" s="166">
        <f>(K4+K3)/1.05</f>
        <v>1528298.0952381</v>
      </c>
      <c r="D18" s="50">
        <v>0.03</v>
      </c>
      <c r="E18" s="164">
        <f t="shared" si="3"/>
        <v>45848.94</v>
      </c>
      <c r="F18" s="164">
        <f t="shared" si="1"/>
        <v>45848.94</v>
      </c>
      <c r="G18" s="162"/>
      <c r="I18" s="199"/>
      <c r="J18" s="208"/>
      <c r="K18" s="208"/>
      <c r="L18" s="206"/>
      <c r="M18" s="206"/>
      <c r="N18" s="206"/>
      <c r="O18" s="181"/>
      <c r="P18" s="181"/>
      <c r="Q18" s="181"/>
    </row>
    <row r="19" s="153" customFormat="1" ht="14" customHeight="1" spans="1:17">
      <c r="A19" s="160" t="s">
        <v>28</v>
      </c>
      <c r="B19" s="160"/>
      <c r="C19" s="160"/>
      <c r="D19" s="160"/>
      <c r="E19" s="164">
        <f>SUM(E4:E18)</f>
        <v>46651.2965</v>
      </c>
      <c r="F19" s="164">
        <f>SUM(F4:F18)</f>
        <v>46651.2965</v>
      </c>
      <c r="G19" s="162"/>
      <c r="I19" s="196"/>
      <c r="J19" s="208"/>
      <c r="K19" s="206"/>
      <c r="L19" s="206"/>
      <c r="M19" s="206"/>
      <c r="N19" s="206"/>
      <c r="O19" s="181"/>
      <c r="P19" s="181"/>
      <c r="Q19" s="181"/>
    </row>
    <row r="20" s="153" customFormat="1" ht="14" customHeight="1" spans="1:17">
      <c r="A20" s="158" t="s">
        <v>83</v>
      </c>
      <c r="B20" s="158"/>
      <c r="C20" s="158"/>
      <c r="D20" s="158"/>
      <c r="E20" s="159"/>
      <c r="F20" s="159"/>
      <c r="G20" s="158"/>
      <c r="I20" s="196"/>
      <c r="J20" s="208"/>
      <c r="K20" s="206"/>
      <c r="L20" s="206"/>
      <c r="M20" s="206"/>
      <c r="N20" s="206"/>
      <c r="O20" s="181"/>
      <c r="P20" s="181"/>
      <c r="Q20" s="181"/>
    </row>
    <row r="21" s="153" customFormat="1" ht="14" customHeight="1" spans="1:17">
      <c r="A21" s="160" t="s">
        <v>1</v>
      </c>
      <c r="B21" s="160" t="s">
        <v>2</v>
      </c>
      <c r="C21" s="160" t="s">
        <v>3</v>
      </c>
      <c r="D21" s="160" t="s">
        <v>4</v>
      </c>
      <c r="E21" s="161" t="s">
        <v>3</v>
      </c>
      <c r="F21" s="161" t="s">
        <v>5</v>
      </c>
      <c r="G21" s="160" t="s">
        <v>6</v>
      </c>
      <c r="I21" s="199" t="s">
        <v>84</v>
      </c>
      <c r="J21" s="158" t="s">
        <v>85</v>
      </c>
      <c r="K21" s="200">
        <v>244952.38</v>
      </c>
      <c r="L21" s="200">
        <v>12247.62</v>
      </c>
      <c r="M21" s="200" t="s">
        <v>86</v>
      </c>
      <c r="N21" s="201" t="s">
        <v>66</v>
      </c>
      <c r="O21" s="181"/>
      <c r="P21" s="181"/>
      <c r="Q21" s="181"/>
    </row>
    <row r="22" s="153" customFormat="1" ht="14" customHeight="1" spans="1:17">
      <c r="A22" s="160">
        <v>1</v>
      </c>
      <c r="B22" s="162" t="s">
        <v>30</v>
      </c>
      <c r="C22" s="163">
        <f>22530</f>
        <v>22530</v>
      </c>
      <c r="D22" s="50">
        <v>0.03</v>
      </c>
      <c r="E22" s="164">
        <f>C22/1.09*D22</f>
        <v>620.091743119266</v>
      </c>
      <c r="F22" s="164">
        <f>E22</f>
        <v>620.091743119266</v>
      </c>
      <c r="G22" s="162"/>
      <c r="I22" s="199"/>
      <c r="J22" s="158"/>
      <c r="K22" s="200">
        <v>206827.62</v>
      </c>
      <c r="L22" s="200">
        <v>10341.38</v>
      </c>
      <c r="M22" s="200" t="s">
        <v>87</v>
      </c>
      <c r="N22" s="202"/>
      <c r="O22" s="181"/>
      <c r="P22" s="181"/>
      <c r="Q22" s="181"/>
    </row>
    <row r="23" s="153" customFormat="1" ht="14" customHeight="1" spans="1:17">
      <c r="A23" s="160">
        <v>2</v>
      </c>
      <c r="B23" s="162" t="s">
        <v>31</v>
      </c>
      <c r="C23" s="163">
        <f>E22</f>
        <v>620.091743119266</v>
      </c>
      <c r="D23" s="50">
        <v>0.07</v>
      </c>
      <c r="E23" s="164">
        <f t="shared" ref="E23:E33" si="4">ROUND(C23*D23,2)</f>
        <v>43.41</v>
      </c>
      <c r="F23" s="164">
        <f>E23</f>
        <v>43.41</v>
      </c>
      <c r="G23" s="162"/>
      <c r="I23" s="199"/>
      <c r="J23" s="158"/>
      <c r="K23" s="200">
        <v>-206991.43</v>
      </c>
      <c r="L23" s="200">
        <v>-10349.57</v>
      </c>
      <c r="M23" s="200" t="s">
        <v>88</v>
      </c>
      <c r="N23" s="203"/>
      <c r="O23" s="181"/>
      <c r="P23" s="181"/>
      <c r="Q23" s="181"/>
    </row>
    <row r="24" s="153" customFormat="1" ht="14" customHeight="1" spans="1:17">
      <c r="A24" s="160">
        <v>3</v>
      </c>
      <c r="B24" s="162" t="s">
        <v>32</v>
      </c>
      <c r="C24" s="163">
        <f>E22</f>
        <v>620.091743119266</v>
      </c>
      <c r="D24" s="50">
        <v>0.03</v>
      </c>
      <c r="E24" s="164">
        <f t="shared" si="4"/>
        <v>18.6</v>
      </c>
      <c r="F24" s="164">
        <f>E24</f>
        <v>18.6</v>
      </c>
      <c r="G24" s="162"/>
      <c r="I24" s="199"/>
      <c r="J24" s="210" t="s">
        <v>89</v>
      </c>
      <c r="K24" s="211">
        <v>30000</v>
      </c>
      <c r="L24" s="206" t="s">
        <v>77</v>
      </c>
      <c r="M24" s="206"/>
      <c r="N24" s="206"/>
      <c r="O24" s="181"/>
      <c r="P24" s="181"/>
      <c r="Q24" s="181"/>
    </row>
    <row r="25" s="153" customFormat="1" ht="14" customHeight="1" spans="1:17">
      <c r="A25" s="160">
        <v>4</v>
      </c>
      <c r="B25" s="162" t="s">
        <v>33</v>
      </c>
      <c r="C25" s="163">
        <f>E22</f>
        <v>620.091743119266</v>
      </c>
      <c r="D25" s="50">
        <v>0.02</v>
      </c>
      <c r="E25" s="164">
        <f t="shared" si="4"/>
        <v>12.4</v>
      </c>
      <c r="F25" s="164">
        <f>E25</f>
        <v>12.4</v>
      </c>
      <c r="G25" s="162"/>
      <c r="I25" s="199"/>
      <c r="J25" s="210" t="s">
        <v>90</v>
      </c>
      <c r="K25" s="211">
        <v>37463</v>
      </c>
      <c r="L25" s="206"/>
      <c r="M25" s="206"/>
      <c r="N25" s="206"/>
      <c r="O25" s="181"/>
      <c r="P25" s="181"/>
      <c r="Q25" s="181"/>
    </row>
    <row r="26" s="153" customFormat="1" ht="14" customHeight="1" spans="1:17">
      <c r="A26" s="160">
        <v>5</v>
      </c>
      <c r="B26" s="162" t="s">
        <v>18</v>
      </c>
      <c r="C26" s="163">
        <v>0</v>
      </c>
      <c r="D26" s="50">
        <v>0.06</v>
      </c>
      <c r="E26" s="164">
        <f t="shared" si="4"/>
        <v>0</v>
      </c>
      <c r="F26" s="164">
        <v>0</v>
      </c>
      <c r="G26" s="162" t="s">
        <v>34</v>
      </c>
      <c r="I26" s="155"/>
      <c r="J26" s="156"/>
      <c r="O26" s="181"/>
      <c r="P26" s="181"/>
      <c r="Q26" s="181"/>
    </row>
    <row r="27" s="153" customFormat="1" ht="14" customHeight="1" spans="1:17">
      <c r="A27" s="160">
        <v>6</v>
      </c>
      <c r="B27" s="162" t="s">
        <v>35</v>
      </c>
      <c r="C27" s="166">
        <f>E26</f>
        <v>0</v>
      </c>
      <c r="D27" s="50">
        <v>0.07</v>
      </c>
      <c r="E27" s="164">
        <f t="shared" si="4"/>
        <v>0</v>
      </c>
      <c r="F27" s="164">
        <v>0</v>
      </c>
      <c r="G27" s="162" t="s">
        <v>34</v>
      </c>
      <c r="I27" s="155"/>
      <c r="J27" s="156"/>
      <c r="O27" s="181"/>
      <c r="P27" s="181"/>
      <c r="Q27" s="181"/>
    </row>
    <row r="28" s="153" customFormat="1" ht="14" customHeight="1" spans="1:17">
      <c r="A28" s="160">
        <v>7</v>
      </c>
      <c r="B28" s="162" t="s">
        <v>36</v>
      </c>
      <c r="C28" s="166">
        <f>E26</f>
        <v>0</v>
      </c>
      <c r="D28" s="50">
        <v>0.03</v>
      </c>
      <c r="E28" s="164">
        <f t="shared" si="4"/>
        <v>0</v>
      </c>
      <c r="F28" s="164">
        <v>0</v>
      </c>
      <c r="G28" s="162" t="s">
        <v>34</v>
      </c>
      <c r="I28" s="155"/>
      <c r="J28" s="156"/>
      <c r="O28" s="181"/>
      <c r="P28" s="181"/>
      <c r="Q28" s="181"/>
    </row>
    <row r="29" s="153" customFormat="1" ht="14" customHeight="1" spans="1:17">
      <c r="A29" s="160">
        <v>8</v>
      </c>
      <c r="B29" s="162" t="s">
        <v>37</v>
      </c>
      <c r="C29" s="166">
        <f>E26</f>
        <v>0</v>
      </c>
      <c r="D29" s="50">
        <v>0.02</v>
      </c>
      <c r="E29" s="164">
        <f t="shared" si="4"/>
        <v>0</v>
      </c>
      <c r="F29" s="164">
        <v>0</v>
      </c>
      <c r="G29" s="162" t="s">
        <v>34</v>
      </c>
      <c r="I29" s="155"/>
      <c r="J29" s="156"/>
      <c r="O29" s="181"/>
      <c r="P29" s="181"/>
      <c r="Q29" s="181"/>
    </row>
    <row r="30" s="153" customFormat="1" ht="14" customHeight="1" spans="1:17">
      <c r="A30" s="160">
        <v>9</v>
      </c>
      <c r="B30" s="162" t="s">
        <v>38</v>
      </c>
      <c r="C30" s="166">
        <f>C22-E22</f>
        <v>21909.9082568807</v>
      </c>
      <c r="D30" s="50">
        <v>0.01</v>
      </c>
      <c r="E30" s="164">
        <f t="shared" si="4"/>
        <v>219.1</v>
      </c>
      <c r="F30" s="164">
        <f t="shared" ref="F30:F32" si="5">E30</f>
        <v>219.1</v>
      </c>
      <c r="G30" s="169"/>
      <c r="I30" s="155"/>
      <c r="J30" s="156"/>
      <c r="O30" s="181"/>
      <c r="P30" s="181"/>
      <c r="Q30" s="181"/>
    </row>
    <row r="31" s="153" customFormat="1" ht="14" customHeight="1" spans="1:17">
      <c r="A31" s="160">
        <v>10</v>
      </c>
      <c r="B31" s="162" t="s">
        <v>39</v>
      </c>
      <c r="C31" s="166">
        <f>0/1.09</f>
        <v>0</v>
      </c>
      <c r="D31" s="50">
        <v>0.03</v>
      </c>
      <c r="E31" s="164">
        <f t="shared" si="4"/>
        <v>0</v>
      </c>
      <c r="F31" s="164">
        <f t="shared" si="5"/>
        <v>0</v>
      </c>
      <c r="G31" s="169"/>
      <c r="I31" s="155"/>
      <c r="J31" s="156"/>
      <c r="O31" s="181"/>
      <c r="P31" s="181"/>
      <c r="Q31" s="181"/>
    </row>
    <row r="32" s="153" customFormat="1" ht="14" customHeight="1" spans="1:17">
      <c r="A32" s="160">
        <v>11</v>
      </c>
      <c r="B32" s="162" t="s">
        <v>26</v>
      </c>
      <c r="C32" s="166">
        <v>0</v>
      </c>
      <c r="D32" s="170">
        <v>0.0005</v>
      </c>
      <c r="E32" s="164">
        <f t="shared" si="4"/>
        <v>0</v>
      </c>
      <c r="F32" s="164">
        <f t="shared" si="5"/>
        <v>0</v>
      </c>
      <c r="G32" s="162"/>
      <c r="I32" s="155"/>
      <c r="J32" s="156"/>
      <c r="O32" s="181"/>
      <c r="P32" s="181"/>
      <c r="Q32" s="181"/>
    </row>
    <row r="33" s="153" customFormat="1" ht="14" customHeight="1" spans="1:17">
      <c r="A33" s="160">
        <v>11</v>
      </c>
      <c r="B33" s="162" t="s">
        <v>40</v>
      </c>
      <c r="C33" s="166">
        <v>0</v>
      </c>
      <c r="D33" s="170">
        <v>0.0003</v>
      </c>
      <c r="E33" s="164">
        <f t="shared" si="4"/>
        <v>0</v>
      </c>
      <c r="F33" s="164">
        <f>ROUND(E33,1)</f>
        <v>0</v>
      </c>
      <c r="G33" s="169"/>
      <c r="I33" s="155"/>
      <c r="J33" s="156"/>
      <c r="O33" s="181"/>
      <c r="P33" s="181"/>
      <c r="Q33" s="181"/>
    </row>
    <row r="34" s="153" customFormat="1" ht="14" customHeight="1" spans="1:17">
      <c r="A34" s="160" t="s">
        <v>28</v>
      </c>
      <c r="B34" s="160"/>
      <c r="C34" s="160"/>
      <c r="D34" s="160"/>
      <c r="E34" s="164">
        <f>SUM(E22:E33)</f>
        <v>913.601743119266</v>
      </c>
      <c r="F34" s="164">
        <f>SUM(F22:F33)</f>
        <v>913.601743119266</v>
      </c>
      <c r="G34" s="162"/>
      <c r="I34" s="155"/>
      <c r="J34" s="156"/>
      <c r="O34" s="181"/>
      <c r="P34" s="181"/>
      <c r="Q34" s="181"/>
    </row>
    <row r="35" s="153" customFormat="1" ht="14" customHeight="1" spans="1:17">
      <c r="A35" s="158" t="s">
        <v>91</v>
      </c>
      <c r="B35" s="158"/>
      <c r="C35" s="158"/>
      <c r="D35" s="158"/>
      <c r="E35" s="159"/>
      <c r="F35" s="159"/>
      <c r="G35" s="158"/>
      <c r="I35" s="155"/>
      <c r="J35" s="156"/>
      <c r="O35" s="181"/>
      <c r="P35" s="181"/>
      <c r="Q35" s="181"/>
    </row>
    <row r="36" s="153" customFormat="1" ht="14" customHeight="1" spans="1:17">
      <c r="A36" s="160" t="s">
        <v>1</v>
      </c>
      <c r="B36" s="160" t="s">
        <v>2</v>
      </c>
      <c r="C36" s="160" t="s">
        <v>3</v>
      </c>
      <c r="D36" s="160" t="s">
        <v>4</v>
      </c>
      <c r="E36" s="161" t="s">
        <v>3</v>
      </c>
      <c r="F36" s="161" t="s">
        <v>5</v>
      </c>
      <c r="G36" s="160" t="s">
        <v>6</v>
      </c>
      <c r="I36" s="155"/>
      <c r="J36" s="156"/>
      <c r="O36" s="181"/>
      <c r="P36" s="181"/>
      <c r="Q36" s="181"/>
    </row>
    <row r="37" s="153" customFormat="1" ht="14" customHeight="1" spans="1:17">
      <c r="A37" s="160">
        <v>1</v>
      </c>
      <c r="B37" s="162" t="s">
        <v>30</v>
      </c>
      <c r="C37" s="163">
        <f>0/1.09</f>
        <v>0</v>
      </c>
      <c r="D37" s="50">
        <v>0.03</v>
      </c>
      <c r="E37" s="164">
        <f>C37/1.09*D37</f>
        <v>0</v>
      </c>
      <c r="F37" s="164">
        <f t="shared" ref="F37:F40" si="6">E37</f>
        <v>0</v>
      </c>
      <c r="G37" s="162"/>
      <c r="I37" s="155"/>
      <c r="J37" s="156"/>
      <c r="O37" s="181"/>
      <c r="P37" s="181"/>
      <c r="Q37" s="181"/>
    </row>
    <row r="38" s="153" customFormat="1" ht="14" customHeight="1" spans="1:17">
      <c r="A38" s="160">
        <v>2</v>
      </c>
      <c r="B38" s="162" t="s">
        <v>31</v>
      </c>
      <c r="C38" s="163">
        <f>E37</f>
        <v>0</v>
      </c>
      <c r="D38" s="50">
        <v>0.07</v>
      </c>
      <c r="E38" s="164">
        <f t="shared" ref="E38:E47" si="7">ROUND(C38*D38,2)</f>
        <v>0</v>
      </c>
      <c r="F38" s="164">
        <f t="shared" si="6"/>
        <v>0</v>
      </c>
      <c r="G38" s="162"/>
      <c r="I38" s="155"/>
      <c r="J38" s="156"/>
      <c r="O38" s="181"/>
      <c r="P38" s="181"/>
      <c r="Q38" s="181"/>
    </row>
    <row r="39" s="153" customFormat="1" ht="14" customHeight="1" spans="1:17">
      <c r="A39" s="160">
        <v>3</v>
      </c>
      <c r="B39" s="162" t="s">
        <v>32</v>
      </c>
      <c r="C39" s="163">
        <f>E37</f>
        <v>0</v>
      </c>
      <c r="D39" s="50">
        <v>0.03</v>
      </c>
      <c r="E39" s="164">
        <f t="shared" si="7"/>
        <v>0</v>
      </c>
      <c r="F39" s="164">
        <f t="shared" si="6"/>
        <v>0</v>
      </c>
      <c r="G39" s="162"/>
      <c r="I39" s="155"/>
      <c r="J39" s="156"/>
      <c r="O39" s="181"/>
      <c r="P39" s="181"/>
      <c r="Q39" s="181"/>
    </row>
    <row r="40" s="153" customFormat="1" ht="14" customHeight="1" spans="1:17">
      <c r="A40" s="160">
        <v>4</v>
      </c>
      <c r="B40" s="162" t="s">
        <v>33</v>
      </c>
      <c r="C40" s="163">
        <f>E37</f>
        <v>0</v>
      </c>
      <c r="D40" s="50">
        <v>0.02</v>
      </c>
      <c r="E40" s="164">
        <f t="shared" si="7"/>
        <v>0</v>
      </c>
      <c r="F40" s="164">
        <f t="shared" si="6"/>
        <v>0</v>
      </c>
      <c r="G40" s="160"/>
      <c r="I40" s="155"/>
      <c r="J40" s="156"/>
      <c r="O40" s="181"/>
      <c r="P40" s="181"/>
      <c r="Q40" s="181"/>
    </row>
    <row r="41" s="153" customFormat="1" ht="14" customHeight="1" spans="1:17">
      <c r="A41" s="160">
        <v>5</v>
      </c>
      <c r="B41" s="162" t="s">
        <v>18</v>
      </c>
      <c r="C41" s="163">
        <v>0</v>
      </c>
      <c r="D41" s="50">
        <v>0.06</v>
      </c>
      <c r="E41" s="164">
        <f t="shared" si="7"/>
        <v>0</v>
      </c>
      <c r="F41" s="164">
        <v>0</v>
      </c>
      <c r="G41" s="162" t="s">
        <v>34</v>
      </c>
      <c r="I41" s="155"/>
      <c r="J41" s="156"/>
      <c r="O41" s="181"/>
      <c r="P41" s="181"/>
      <c r="Q41" s="181"/>
    </row>
    <row r="42" s="153" customFormat="1" ht="14" customHeight="1" spans="1:17">
      <c r="A42" s="160">
        <v>6</v>
      </c>
      <c r="B42" s="162" t="s">
        <v>35</v>
      </c>
      <c r="C42" s="166">
        <f>E41</f>
        <v>0</v>
      </c>
      <c r="D42" s="50">
        <v>0.07</v>
      </c>
      <c r="E42" s="164">
        <f t="shared" si="7"/>
        <v>0</v>
      </c>
      <c r="F42" s="164">
        <v>0</v>
      </c>
      <c r="G42" s="162" t="s">
        <v>34</v>
      </c>
      <c r="I42" s="155"/>
      <c r="J42" s="156"/>
      <c r="O42" s="181"/>
      <c r="P42" s="181"/>
      <c r="Q42" s="181"/>
    </row>
    <row r="43" s="153" customFormat="1" ht="14" customHeight="1" spans="1:17">
      <c r="A43" s="160">
        <v>7</v>
      </c>
      <c r="B43" s="162" t="s">
        <v>36</v>
      </c>
      <c r="C43" s="166">
        <f>E41</f>
        <v>0</v>
      </c>
      <c r="D43" s="50">
        <v>0.03</v>
      </c>
      <c r="E43" s="164">
        <f t="shared" si="7"/>
        <v>0</v>
      </c>
      <c r="F43" s="164">
        <v>0</v>
      </c>
      <c r="G43" s="162" t="s">
        <v>34</v>
      </c>
      <c r="I43" s="155"/>
      <c r="J43" s="156"/>
      <c r="O43" s="181"/>
      <c r="P43" s="181"/>
      <c r="Q43" s="181"/>
    </row>
    <row r="44" s="153" customFormat="1" ht="14" customHeight="1" spans="1:17">
      <c r="A44" s="160">
        <v>8</v>
      </c>
      <c r="B44" s="162" t="s">
        <v>37</v>
      </c>
      <c r="C44" s="166">
        <f>E41</f>
        <v>0</v>
      </c>
      <c r="D44" s="50">
        <v>0.02</v>
      </c>
      <c r="E44" s="164">
        <f t="shared" si="7"/>
        <v>0</v>
      </c>
      <c r="F44" s="164">
        <v>0</v>
      </c>
      <c r="G44" s="162" t="s">
        <v>34</v>
      </c>
      <c r="I44" s="155"/>
      <c r="J44" s="156"/>
      <c r="O44" s="181"/>
      <c r="P44" s="181"/>
      <c r="Q44" s="181"/>
    </row>
    <row r="45" s="153" customFormat="1" ht="14" customHeight="1" spans="1:17">
      <c r="A45" s="160">
        <v>9</v>
      </c>
      <c r="B45" s="162" t="s">
        <v>42</v>
      </c>
      <c r="C45" s="166">
        <f>C37-E37</f>
        <v>0</v>
      </c>
      <c r="D45" s="50">
        <v>0.01</v>
      </c>
      <c r="E45" s="164">
        <f t="shared" si="7"/>
        <v>0</v>
      </c>
      <c r="F45" s="164">
        <f t="shared" ref="F45:F49" si="8">E45</f>
        <v>0</v>
      </c>
      <c r="G45" s="169"/>
      <c r="I45" s="155"/>
      <c r="J45" s="156"/>
      <c r="O45" s="181"/>
      <c r="P45" s="181"/>
      <c r="Q45" s="181"/>
    </row>
    <row r="46" s="153" customFormat="1" ht="14" customHeight="1" spans="1:17">
      <c r="A46" s="160">
        <v>10</v>
      </c>
      <c r="B46" s="162" t="s">
        <v>26</v>
      </c>
      <c r="C46" s="166">
        <f>C37</f>
        <v>0</v>
      </c>
      <c r="D46" s="170">
        <v>0.0005</v>
      </c>
      <c r="E46" s="164">
        <f t="shared" si="7"/>
        <v>0</v>
      </c>
      <c r="F46" s="164">
        <f t="shared" si="8"/>
        <v>0</v>
      </c>
      <c r="G46" s="162"/>
      <c r="I46" s="155"/>
      <c r="J46" s="156"/>
      <c r="O46" s="181"/>
      <c r="P46" s="181"/>
      <c r="Q46" s="181"/>
    </row>
    <row r="47" s="153" customFormat="1" ht="14" customHeight="1" spans="1:17">
      <c r="A47" s="160">
        <v>11</v>
      </c>
      <c r="B47" s="162" t="s">
        <v>40</v>
      </c>
      <c r="C47" s="166">
        <v>0</v>
      </c>
      <c r="D47" s="170">
        <v>0.0003</v>
      </c>
      <c r="E47" s="164">
        <f t="shared" si="7"/>
        <v>0</v>
      </c>
      <c r="F47" s="164">
        <v>0</v>
      </c>
      <c r="G47" s="169"/>
      <c r="I47" s="155"/>
      <c r="J47" s="156"/>
      <c r="O47" s="181"/>
      <c r="P47" s="181"/>
      <c r="Q47" s="181"/>
    </row>
    <row r="48" s="153" customFormat="1" ht="14" customHeight="1" spans="1:17">
      <c r="A48" s="160" t="s">
        <v>28</v>
      </c>
      <c r="B48" s="160"/>
      <c r="C48" s="160"/>
      <c r="D48" s="160"/>
      <c r="E48" s="164">
        <f>SUM(E37:E47)</f>
        <v>0</v>
      </c>
      <c r="F48" s="164">
        <f>SUM(F37:F47)</f>
        <v>0</v>
      </c>
      <c r="G48" s="162"/>
      <c r="I48" s="155"/>
      <c r="J48" s="156"/>
      <c r="O48" s="181"/>
      <c r="P48" s="181"/>
      <c r="Q48" s="181"/>
    </row>
    <row r="49" s="153" customFormat="1" ht="14" customHeight="1" spans="1:17">
      <c r="A49" s="160"/>
      <c r="B49" s="160" t="s">
        <v>43</v>
      </c>
      <c r="C49" s="160"/>
      <c r="D49" s="160"/>
      <c r="E49" s="164">
        <v>0</v>
      </c>
      <c r="F49" s="164">
        <f t="shared" si="8"/>
        <v>0</v>
      </c>
      <c r="G49" s="162"/>
      <c r="I49" s="155"/>
      <c r="J49" s="156"/>
      <c r="O49" s="181"/>
      <c r="P49" s="181"/>
      <c r="Q49" s="181"/>
    </row>
    <row r="50" s="153" customFormat="1" ht="14" customHeight="1" spans="1:17">
      <c r="A50" s="171"/>
      <c r="B50" s="171" t="s">
        <v>44</v>
      </c>
      <c r="C50" s="171"/>
      <c r="D50" s="171"/>
      <c r="E50" s="172">
        <f>E19+E34+E48+E49</f>
        <v>47564.8982431193</v>
      </c>
      <c r="F50" s="172">
        <f>F19+F34+F48+F49</f>
        <v>47564.8982431193</v>
      </c>
      <c r="G50" s="173"/>
      <c r="I50" s="155"/>
      <c r="J50" s="156"/>
      <c r="O50" s="181"/>
      <c r="P50" s="181"/>
      <c r="Q50" s="181"/>
    </row>
    <row r="51" s="153" customFormat="1" ht="14" customHeight="1" spans="1:17">
      <c r="A51" s="174"/>
      <c r="B51" s="175"/>
      <c r="C51" s="175"/>
      <c r="D51" s="175"/>
      <c r="E51" s="176"/>
      <c r="F51" s="176"/>
      <c r="G51" s="177"/>
      <c r="I51" s="155"/>
      <c r="J51" s="156"/>
      <c r="O51" s="181"/>
      <c r="P51" s="181"/>
      <c r="Q51" s="181"/>
    </row>
    <row r="52" s="153" customFormat="1" ht="14" customHeight="1" spans="1:17">
      <c r="A52" s="158" t="s">
        <v>92</v>
      </c>
      <c r="B52" s="158"/>
      <c r="C52" s="158"/>
      <c r="D52" s="158"/>
      <c r="E52" s="159"/>
      <c r="F52" s="159"/>
      <c r="G52" s="158"/>
      <c r="I52" s="155"/>
      <c r="J52" s="156"/>
      <c r="O52" s="181"/>
      <c r="P52" s="181"/>
      <c r="Q52" s="181"/>
    </row>
    <row r="53" s="153" customFormat="1" ht="14" customHeight="1" spans="1:17">
      <c r="A53" s="160" t="s">
        <v>1</v>
      </c>
      <c r="B53" s="160" t="s">
        <v>2</v>
      </c>
      <c r="C53" s="160" t="s">
        <v>3</v>
      </c>
      <c r="D53" s="160" t="s">
        <v>4</v>
      </c>
      <c r="E53" s="161" t="s">
        <v>3</v>
      </c>
      <c r="F53" s="161" t="s">
        <v>5</v>
      </c>
      <c r="G53" s="160" t="s">
        <v>6</v>
      </c>
      <c r="I53" s="155"/>
      <c r="J53" s="156"/>
      <c r="O53" s="181"/>
      <c r="P53" s="181"/>
      <c r="Q53" s="181"/>
    </row>
    <row r="54" s="153" customFormat="1" ht="14" customHeight="1" spans="1:17">
      <c r="A54" s="160">
        <v>1</v>
      </c>
      <c r="B54" s="162" t="s">
        <v>30</v>
      </c>
      <c r="C54" s="163">
        <f>37463</f>
        <v>37463</v>
      </c>
      <c r="D54" s="50">
        <v>0.03</v>
      </c>
      <c r="E54" s="164">
        <f>C54/1.05*D54</f>
        <v>1070.37142857143</v>
      </c>
      <c r="F54" s="164">
        <f t="shared" ref="F54:F66" si="9">E54</f>
        <v>1070.37142857143</v>
      </c>
      <c r="G54" s="162"/>
      <c r="I54" s="155"/>
      <c r="J54" s="156"/>
      <c r="O54" s="181"/>
      <c r="P54" s="181"/>
      <c r="Q54" s="181"/>
    </row>
    <row r="55" s="153" customFormat="1" ht="14" customHeight="1" spans="1:17">
      <c r="A55" s="160">
        <v>2</v>
      </c>
      <c r="B55" s="162" t="s">
        <v>31</v>
      </c>
      <c r="C55" s="163">
        <f>F54</f>
        <v>1070.37142857143</v>
      </c>
      <c r="D55" s="50">
        <v>0.07</v>
      </c>
      <c r="E55" s="164">
        <f t="shared" ref="E55:E63" si="10">ROUND(C55*D55,2)</f>
        <v>74.93</v>
      </c>
      <c r="F55" s="164">
        <f t="shared" si="9"/>
        <v>74.93</v>
      </c>
      <c r="G55" s="162"/>
      <c r="I55" s="155"/>
      <c r="J55" s="156"/>
      <c r="O55" s="181"/>
      <c r="P55" s="181"/>
      <c r="Q55" s="181"/>
    </row>
    <row r="56" s="153" customFormat="1" ht="14" customHeight="1" spans="1:17">
      <c r="A56" s="160">
        <v>3</v>
      </c>
      <c r="B56" s="162" t="s">
        <v>32</v>
      </c>
      <c r="C56" s="163">
        <f>E54</f>
        <v>1070.37142857143</v>
      </c>
      <c r="D56" s="50">
        <v>0.03</v>
      </c>
      <c r="E56" s="164">
        <f t="shared" si="10"/>
        <v>32.11</v>
      </c>
      <c r="F56" s="164">
        <f t="shared" si="9"/>
        <v>32.11</v>
      </c>
      <c r="G56" s="162"/>
      <c r="I56" s="155"/>
      <c r="J56" s="156"/>
      <c r="O56" s="181"/>
      <c r="P56" s="181"/>
      <c r="Q56" s="181"/>
    </row>
    <row r="57" s="153" customFormat="1" ht="14" customHeight="1" spans="1:17">
      <c r="A57" s="160">
        <v>4</v>
      </c>
      <c r="B57" s="162" t="s">
        <v>33</v>
      </c>
      <c r="C57" s="163">
        <f>E54</f>
        <v>1070.37142857143</v>
      </c>
      <c r="D57" s="50">
        <v>0.02</v>
      </c>
      <c r="E57" s="164">
        <f t="shared" si="10"/>
        <v>21.41</v>
      </c>
      <c r="F57" s="164">
        <f t="shared" si="9"/>
        <v>21.41</v>
      </c>
      <c r="G57" s="162"/>
      <c r="I57" s="155"/>
      <c r="J57" s="156"/>
      <c r="O57" s="181"/>
      <c r="P57" s="181"/>
      <c r="Q57" s="181"/>
    </row>
    <row r="58" s="153" customFormat="1" ht="14" customHeight="1" spans="1:17">
      <c r="A58" s="160">
        <v>5</v>
      </c>
      <c r="B58" s="162" t="s">
        <v>46</v>
      </c>
      <c r="C58" s="163">
        <v>0</v>
      </c>
      <c r="D58" s="50">
        <v>0.02</v>
      </c>
      <c r="E58" s="164">
        <f t="shared" si="10"/>
        <v>0</v>
      </c>
      <c r="F58" s="164">
        <f t="shared" si="9"/>
        <v>0</v>
      </c>
      <c r="G58" s="162"/>
      <c r="I58" s="155"/>
      <c r="J58" s="156"/>
      <c r="O58" s="181"/>
      <c r="P58" s="181"/>
      <c r="Q58" s="181"/>
    </row>
    <row r="59" s="153" customFormat="1" ht="14" customHeight="1" spans="1:17">
      <c r="A59" s="160">
        <v>6</v>
      </c>
      <c r="B59" s="162" t="s">
        <v>19</v>
      </c>
      <c r="C59" s="166">
        <f>E58</f>
        <v>0</v>
      </c>
      <c r="D59" s="50">
        <v>0.07</v>
      </c>
      <c r="E59" s="164">
        <f t="shared" si="10"/>
        <v>0</v>
      </c>
      <c r="F59" s="164">
        <f t="shared" si="9"/>
        <v>0</v>
      </c>
      <c r="G59" s="162"/>
      <c r="I59" s="155"/>
      <c r="J59" s="156"/>
      <c r="O59" s="181"/>
      <c r="P59" s="181"/>
      <c r="Q59" s="181"/>
    </row>
    <row r="60" s="153" customFormat="1" ht="14" customHeight="1" spans="1:17">
      <c r="A60" s="160">
        <v>7</v>
      </c>
      <c r="B60" s="162" t="s">
        <v>20</v>
      </c>
      <c r="C60" s="166">
        <f>E58</f>
        <v>0</v>
      </c>
      <c r="D60" s="50">
        <v>0.03</v>
      </c>
      <c r="E60" s="164">
        <f t="shared" si="10"/>
        <v>0</v>
      </c>
      <c r="F60" s="164">
        <f t="shared" si="9"/>
        <v>0</v>
      </c>
      <c r="G60" s="162"/>
      <c r="I60" s="155"/>
      <c r="J60" s="156"/>
      <c r="O60" s="181"/>
      <c r="P60" s="181"/>
      <c r="Q60" s="181"/>
    </row>
    <row r="61" s="153" customFormat="1" ht="14" customHeight="1" spans="1:17">
      <c r="A61" s="160">
        <v>8</v>
      </c>
      <c r="B61" s="162" t="s">
        <v>21</v>
      </c>
      <c r="C61" s="166">
        <f>E58</f>
        <v>0</v>
      </c>
      <c r="D61" s="50">
        <v>0.02</v>
      </c>
      <c r="E61" s="164">
        <f t="shared" si="10"/>
        <v>0</v>
      </c>
      <c r="F61" s="164">
        <f t="shared" si="9"/>
        <v>0</v>
      </c>
      <c r="G61" s="162"/>
      <c r="I61" s="155"/>
      <c r="J61" s="156"/>
      <c r="O61" s="181"/>
      <c r="P61" s="181"/>
      <c r="Q61" s="181"/>
    </row>
    <row r="62" s="153" customFormat="1" ht="14" customHeight="1" spans="1:17">
      <c r="A62" s="160">
        <v>9</v>
      </c>
      <c r="B62" s="162" t="s">
        <v>38</v>
      </c>
      <c r="C62" s="166">
        <f>C54-E54</f>
        <v>36392.6285714286</v>
      </c>
      <c r="D62" s="50">
        <v>0.01</v>
      </c>
      <c r="E62" s="164">
        <f t="shared" si="10"/>
        <v>363.93</v>
      </c>
      <c r="F62" s="164">
        <f t="shared" si="9"/>
        <v>363.93</v>
      </c>
      <c r="G62" s="162"/>
      <c r="I62" s="155"/>
      <c r="J62" s="156"/>
      <c r="O62" s="181"/>
      <c r="P62" s="181"/>
      <c r="Q62" s="181"/>
    </row>
    <row r="63" s="153" customFormat="1" ht="14" customHeight="1" spans="1:17">
      <c r="A63" s="160">
        <v>10</v>
      </c>
      <c r="B63" s="162" t="s">
        <v>39</v>
      </c>
      <c r="C63" s="166">
        <f>0/1.09</f>
        <v>0</v>
      </c>
      <c r="D63" s="50">
        <v>0.03</v>
      </c>
      <c r="E63" s="164">
        <f t="shared" si="10"/>
        <v>0</v>
      </c>
      <c r="F63" s="164">
        <f t="shared" si="9"/>
        <v>0</v>
      </c>
      <c r="G63" s="162"/>
      <c r="I63" s="155"/>
      <c r="J63" s="156"/>
      <c r="O63" s="181"/>
      <c r="P63" s="181"/>
      <c r="Q63" s="181"/>
    </row>
    <row r="64" s="153" customFormat="1" ht="14" customHeight="1" spans="1:17">
      <c r="A64" s="160">
        <v>11</v>
      </c>
      <c r="B64" s="162" t="s">
        <v>47</v>
      </c>
      <c r="C64" s="166">
        <v>0</v>
      </c>
      <c r="D64" s="170">
        <v>0.0005</v>
      </c>
      <c r="E64" s="164">
        <f>C64*D64</f>
        <v>0</v>
      </c>
      <c r="F64" s="164">
        <f t="shared" si="9"/>
        <v>0</v>
      </c>
      <c r="G64" s="162"/>
      <c r="I64" s="155"/>
      <c r="J64" s="156"/>
      <c r="O64" s="181"/>
      <c r="P64" s="181"/>
      <c r="Q64" s="181"/>
    </row>
    <row r="65" s="153" customFormat="1" ht="14" customHeight="1" spans="1:17">
      <c r="A65" s="160">
        <v>12</v>
      </c>
      <c r="B65" s="162" t="s">
        <v>48</v>
      </c>
      <c r="C65" s="166">
        <v>0</v>
      </c>
      <c r="D65" s="170">
        <v>0.0003</v>
      </c>
      <c r="E65" s="164">
        <f>ROUND(C65*D65,2)</f>
        <v>0</v>
      </c>
      <c r="F65" s="164">
        <f t="shared" si="9"/>
        <v>0</v>
      </c>
      <c r="G65" s="162"/>
      <c r="I65" s="155"/>
      <c r="J65" s="156"/>
      <c r="O65" s="181"/>
      <c r="P65" s="181"/>
      <c r="Q65" s="181"/>
    </row>
    <row r="66" s="153" customFormat="1" ht="14" customHeight="1" spans="1:17">
      <c r="A66" s="160">
        <v>13</v>
      </c>
      <c r="B66" s="162" t="s">
        <v>43</v>
      </c>
      <c r="C66" s="166"/>
      <c r="D66" s="170"/>
      <c r="E66" s="164">
        <v>0</v>
      </c>
      <c r="F66" s="164">
        <f t="shared" si="9"/>
        <v>0</v>
      </c>
      <c r="G66" s="162"/>
      <c r="I66" s="155"/>
      <c r="J66" s="156"/>
      <c r="O66" s="181"/>
      <c r="P66" s="181"/>
      <c r="Q66" s="181"/>
    </row>
    <row r="67" s="153" customFormat="1" ht="14" customHeight="1" spans="1:17">
      <c r="A67" s="171" t="s">
        <v>49</v>
      </c>
      <c r="B67" s="171"/>
      <c r="C67" s="171"/>
      <c r="D67" s="171"/>
      <c r="E67" s="172">
        <f>SUM(E54:E66)</f>
        <v>1562.75142857143</v>
      </c>
      <c r="F67" s="172">
        <f>SUM(F54:F66)</f>
        <v>1562.75142857143</v>
      </c>
      <c r="G67" s="173"/>
      <c r="I67" s="155"/>
      <c r="J67" s="156"/>
      <c r="O67" s="181"/>
      <c r="P67" s="181"/>
      <c r="Q67" s="181"/>
    </row>
    <row r="68" s="153" customFormat="1" ht="14" customHeight="1" spans="1:17">
      <c r="A68" s="158" t="s">
        <v>93</v>
      </c>
      <c r="B68" s="158"/>
      <c r="C68" s="158"/>
      <c r="D68" s="158"/>
      <c r="E68" s="159"/>
      <c r="F68" s="159"/>
      <c r="G68" s="158"/>
      <c r="I68" s="155"/>
      <c r="J68" s="156"/>
      <c r="O68" s="181"/>
      <c r="P68" s="181"/>
      <c r="Q68" s="181"/>
    </row>
    <row r="69" s="153" customFormat="1" ht="14" customHeight="1" spans="1:17">
      <c r="A69" s="160" t="s">
        <v>1</v>
      </c>
      <c r="B69" s="160" t="s">
        <v>2</v>
      </c>
      <c r="C69" s="160" t="s">
        <v>3</v>
      </c>
      <c r="D69" s="160" t="s">
        <v>4</v>
      </c>
      <c r="E69" s="161" t="s">
        <v>3</v>
      </c>
      <c r="F69" s="161" t="s">
        <v>5</v>
      </c>
      <c r="G69" s="185" t="s">
        <v>6</v>
      </c>
      <c r="I69" s="155"/>
      <c r="J69" s="156"/>
      <c r="O69" s="181"/>
      <c r="P69" s="181"/>
      <c r="Q69" s="181"/>
    </row>
    <row r="70" s="153" customFormat="1" ht="14" customHeight="1" spans="1:17">
      <c r="A70" s="160">
        <v>1</v>
      </c>
      <c r="B70" s="162" t="s">
        <v>51</v>
      </c>
      <c r="C70" s="163">
        <v>0</v>
      </c>
      <c r="D70" s="50">
        <v>0.03</v>
      </c>
      <c r="E70" s="164">
        <f>ROUND(C70*D70,2)</f>
        <v>0</v>
      </c>
      <c r="F70" s="186">
        <f t="shared" ref="F70:F76" si="11">E70</f>
        <v>0</v>
      </c>
      <c r="G70" s="187"/>
      <c r="I70" s="155"/>
      <c r="J70" s="156"/>
      <c r="O70" s="181"/>
      <c r="P70" s="181"/>
      <c r="Q70" s="181"/>
    </row>
    <row r="71" s="153" customFormat="1" ht="14" customHeight="1" spans="1:17">
      <c r="A71" s="160">
        <v>1</v>
      </c>
      <c r="B71" s="162" t="s">
        <v>13</v>
      </c>
      <c r="C71" s="163">
        <v>0</v>
      </c>
      <c r="D71" s="50">
        <v>0.03</v>
      </c>
      <c r="E71" s="164">
        <f>C71/1.05*D71</f>
        <v>0</v>
      </c>
      <c r="F71" s="186">
        <v>0</v>
      </c>
      <c r="G71" s="187"/>
      <c r="I71" s="155"/>
      <c r="J71" s="156"/>
      <c r="O71" s="181"/>
      <c r="P71" s="181"/>
      <c r="Q71" s="181"/>
    </row>
    <row r="72" s="153" customFormat="1" ht="14" customHeight="1" spans="1:17">
      <c r="A72" s="160">
        <v>2</v>
      </c>
      <c r="B72" s="162" t="s">
        <v>46</v>
      </c>
      <c r="C72" s="163">
        <v>0</v>
      </c>
      <c r="D72" s="50">
        <v>0</v>
      </c>
      <c r="E72" s="164">
        <f t="shared" ref="E72:E78" si="12">ROUND(C72*D72,2)</f>
        <v>0</v>
      </c>
      <c r="F72" s="186">
        <f t="shared" si="11"/>
        <v>0</v>
      </c>
      <c r="G72" s="169"/>
      <c r="I72" s="155"/>
      <c r="J72" s="156"/>
      <c r="O72" s="181"/>
      <c r="P72" s="181"/>
      <c r="Q72" s="181"/>
    </row>
    <row r="73" s="153" customFormat="1" ht="14" customHeight="1" spans="1:17">
      <c r="A73" s="160">
        <v>3</v>
      </c>
      <c r="B73" s="162" t="s">
        <v>19</v>
      </c>
      <c r="C73" s="166">
        <f>F71</f>
        <v>0</v>
      </c>
      <c r="D73" s="50">
        <v>0.05</v>
      </c>
      <c r="E73" s="164">
        <f>E71*D73</f>
        <v>0</v>
      </c>
      <c r="F73" s="186">
        <f t="shared" si="11"/>
        <v>0</v>
      </c>
      <c r="G73" s="169"/>
      <c r="I73" s="155"/>
      <c r="J73" s="156"/>
      <c r="O73" s="181"/>
      <c r="P73" s="181"/>
      <c r="Q73" s="181"/>
    </row>
    <row r="74" s="153" customFormat="1" ht="14" customHeight="1" spans="1:17">
      <c r="A74" s="160">
        <v>4</v>
      </c>
      <c r="B74" s="162" t="s">
        <v>20</v>
      </c>
      <c r="C74" s="166">
        <f>C73</f>
        <v>0</v>
      </c>
      <c r="D74" s="50">
        <v>0.03</v>
      </c>
      <c r="E74" s="164">
        <f>E71*D74</f>
        <v>0</v>
      </c>
      <c r="F74" s="186">
        <f t="shared" si="11"/>
        <v>0</v>
      </c>
      <c r="G74" s="169"/>
      <c r="I74" s="155"/>
      <c r="J74" s="156"/>
      <c r="O74" s="181"/>
      <c r="P74" s="181"/>
      <c r="Q74" s="181"/>
    </row>
    <row r="75" s="153" customFormat="1" ht="14" customHeight="1" spans="1:17">
      <c r="A75" s="160">
        <v>5</v>
      </c>
      <c r="B75" s="162" t="s">
        <v>21</v>
      </c>
      <c r="C75" s="166">
        <f>C73</f>
        <v>0</v>
      </c>
      <c r="D75" s="50">
        <v>0.02</v>
      </c>
      <c r="E75" s="164">
        <f>E71*D75</f>
        <v>0</v>
      </c>
      <c r="F75" s="186">
        <f t="shared" si="11"/>
        <v>0</v>
      </c>
      <c r="G75" s="169"/>
      <c r="I75" s="155"/>
      <c r="J75" s="156"/>
      <c r="O75" s="181"/>
      <c r="P75" s="181"/>
      <c r="Q75" s="181"/>
    </row>
    <row r="76" s="153" customFormat="1" ht="14" customHeight="1" spans="1:17">
      <c r="A76" s="160">
        <v>6</v>
      </c>
      <c r="B76" s="162" t="s">
        <v>52</v>
      </c>
      <c r="C76" s="166">
        <f>C70</f>
        <v>0</v>
      </c>
      <c r="D76" s="50">
        <v>0.03</v>
      </c>
      <c r="E76" s="164">
        <f t="shared" si="12"/>
        <v>0</v>
      </c>
      <c r="F76" s="186">
        <f t="shared" si="11"/>
        <v>0</v>
      </c>
      <c r="G76" s="169"/>
      <c r="I76" s="155"/>
      <c r="J76" s="156"/>
      <c r="O76" s="181"/>
      <c r="P76" s="181"/>
      <c r="Q76" s="181"/>
    </row>
    <row r="77" s="153" customFormat="1" ht="14" customHeight="1" spans="1:17">
      <c r="A77" s="160">
        <v>7</v>
      </c>
      <c r="B77" s="162" t="s">
        <v>47</v>
      </c>
      <c r="C77" s="166">
        <v>0</v>
      </c>
      <c r="D77" s="170">
        <v>0.0005</v>
      </c>
      <c r="E77" s="164">
        <f t="shared" si="12"/>
        <v>0</v>
      </c>
      <c r="F77" s="186">
        <f>ROUND(E77,1)</f>
        <v>0</v>
      </c>
      <c r="G77" s="169"/>
      <c r="I77" s="155"/>
      <c r="J77" s="156"/>
      <c r="O77" s="181"/>
      <c r="P77" s="181"/>
      <c r="Q77" s="181"/>
    </row>
    <row r="78" s="153" customFormat="1" ht="14" customHeight="1" spans="1:17">
      <c r="A78" s="160">
        <v>8</v>
      </c>
      <c r="B78" s="162" t="s">
        <v>48</v>
      </c>
      <c r="C78" s="166">
        <v>0</v>
      </c>
      <c r="D78" s="170">
        <v>0.0003</v>
      </c>
      <c r="E78" s="164">
        <f t="shared" si="12"/>
        <v>0</v>
      </c>
      <c r="F78" s="186">
        <f>ROUND(E78,1)</f>
        <v>0</v>
      </c>
      <c r="G78" s="169"/>
      <c r="I78" s="155"/>
      <c r="J78" s="156"/>
      <c r="O78" s="181"/>
      <c r="P78" s="181"/>
      <c r="Q78" s="181"/>
    </row>
    <row r="79" s="153" customFormat="1" ht="14" customHeight="1" spans="1:17">
      <c r="A79" s="160" t="s">
        <v>53</v>
      </c>
      <c r="B79" s="160"/>
      <c r="C79" s="160"/>
      <c r="D79" s="160"/>
      <c r="E79" s="164">
        <f>SUM(E71:E78)</f>
        <v>0</v>
      </c>
      <c r="F79" s="186">
        <f>SUM(F71:F78)</f>
        <v>0</v>
      </c>
      <c r="G79" s="169"/>
      <c r="I79" s="155"/>
      <c r="J79" s="156"/>
      <c r="O79" s="181"/>
      <c r="P79" s="181"/>
      <c r="Q79" s="181"/>
    </row>
    <row r="80" s="153" customFormat="1" ht="14" customHeight="1" spans="1:17">
      <c r="A80" s="188"/>
      <c r="B80" s="189"/>
      <c r="C80" s="189"/>
      <c r="D80" s="190"/>
      <c r="E80" s="164"/>
      <c r="F80" s="164"/>
      <c r="G80" s="169"/>
      <c r="I80" s="155"/>
      <c r="J80" s="156"/>
      <c r="O80" s="181"/>
      <c r="P80" s="181"/>
      <c r="Q80" s="181"/>
    </row>
    <row r="81" s="153" customFormat="1" ht="14" customHeight="1" spans="1:17">
      <c r="A81" s="188"/>
      <c r="B81" s="189"/>
      <c r="C81" s="189"/>
      <c r="D81" s="190"/>
      <c r="E81" s="164"/>
      <c r="F81" s="186"/>
      <c r="G81" s="169"/>
      <c r="I81" s="155"/>
      <c r="J81" s="156"/>
      <c r="O81" s="181"/>
      <c r="P81" s="181"/>
      <c r="Q81" s="181"/>
    </row>
    <row r="82" s="153" customFormat="1" ht="14" customHeight="1" spans="1:17">
      <c r="A82" s="188"/>
      <c r="B82" s="189" t="s">
        <v>54</v>
      </c>
      <c r="C82" s="189"/>
      <c r="D82" s="190"/>
      <c r="E82" s="164">
        <f>X82*0.02</f>
        <v>0</v>
      </c>
      <c r="F82" s="164">
        <v>0</v>
      </c>
      <c r="G82" s="169"/>
      <c r="I82" s="155"/>
      <c r="J82" s="156"/>
      <c r="O82" s="181"/>
      <c r="P82" s="181"/>
      <c r="Q82" s="181"/>
    </row>
    <row r="83" s="153" customFormat="1" ht="14" customHeight="1" spans="1:17">
      <c r="A83" s="188"/>
      <c r="B83" s="189" t="s">
        <v>55</v>
      </c>
      <c r="C83" s="189"/>
      <c r="D83" s="190"/>
      <c r="E83" s="164"/>
      <c r="F83" s="186"/>
      <c r="G83" s="169"/>
      <c r="I83" s="155"/>
      <c r="J83" s="156"/>
      <c r="O83" s="181"/>
      <c r="P83" s="181"/>
      <c r="Q83" s="181"/>
    </row>
    <row r="84" s="153" customFormat="1" ht="14" customHeight="1" spans="1:17">
      <c r="A84" s="188"/>
      <c r="B84" s="189" t="s">
        <v>56</v>
      </c>
      <c r="C84" s="189"/>
      <c r="D84" s="190"/>
      <c r="E84" s="164"/>
      <c r="F84" s="164"/>
      <c r="G84" s="169"/>
      <c r="I84" s="155"/>
      <c r="J84" s="156"/>
      <c r="O84" s="181"/>
      <c r="P84" s="181"/>
      <c r="Q84" s="181"/>
    </row>
    <row r="85" s="153" customFormat="1" ht="14" customHeight="1" spans="1:17">
      <c r="A85" s="188"/>
      <c r="B85" s="189" t="s">
        <v>57</v>
      </c>
      <c r="C85" s="189"/>
      <c r="D85" s="190"/>
      <c r="E85" s="164"/>
      <c r="F85" s="164"/>
      <c r="G85" s="169"/>
      <c r="I85" s="155"/>
      <c r="J85" s="156"/>
      <c r="O85" s="181"/>
      <c r="P85" s="181"/>
      <c r="Q85" s="181"/>
    </row>
    <row r="86" s="153" customFormat="1" ht="14" customHeight="1" spans="1:17">
      <c r="A86" s="191" t="s">
        <v>94</v>
      </c>
      <c r="B86" s="192"/>
      <c r="C86" s="192"/>
      <c r="D86" s="193"/>
      <c r="E86" s="172">
        <f>SUM(E80:E85)+E79+E67+E50</f>
        <v>49127.6496716907</v>
      </c>
      <c r="F86" s="172">
        <f>SUM(F80:F85)+F79+F67+F50</f>
        <v>49127.6496716907</v>
      </c>
      <c r="G86" s="173"/>
      <c r="I86" s="155"/>
      <c r="J86" s="156"/>
      <c r="O86" s="181"/>
      <c r="P86" s="181"/>
      <c r="Q86" s="181"/>
    </row>
  </sheetData>
  <mergeCells count="21">
    <mergeCell ref="P1:Q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I3:I16"/>
    <mergeCell ref="I21:I25"/>
    <mergeCell ref="J3:J4"/>
    <mergeCell ref="J5:J10"/>
    <mergeCell ref="J21:J23"/>
    <mergeCell ref="N3:N10"/>
    <mergeCell ref="N21:N23"/>
    <mergeCell ref="P6:P7"/>
  </mergeCells>
  <pageMargins left="0.75" right="0.75" top="1" bottom="1" header="0.511805555555556" footer="0.511805555555556"/>
  <pageSetup paperSize="9" scale="47" orientation="portrait"/>
  <headerFooter/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86"/>
  <sheetViews>
    <sheetView workbookViewId="0">
      <selection activeCell="C18" sqref="C18"/>
    </sheetView>
  </sheetViews>
  <sheetFormatPr defaultColWidth="9" defaultRowHeight="12"/>
  <cols>
    <col min="1" max="1" width="5.88333333333333" style="153" customWidth="1"/>
    <col min="2" max="2" width="20.75" style="153" customWidth="1"/>
    <col min="3" max="3" width="13.475" style="153" customWidth="1"/>
    <col min="4" max="4" width="9" style="153"/>
    <col min="5" max="5" width="16.1083333333333" style="154" customWidth="1"/>
    <col min="6" max="6" width="12.75" style="154" customWidth="1"/>
    <col min="7" max="7" width="13.1333333333333" style="153" customWidth="1"/>
    <col min="8" max="8" width="4.46666666666667" style="153" customWidth="1"/>
    <col min="9" max="9" width="8.25" style="155" customWidth="1"/>
    <col min="10" max="10" width="19.875" style="156" customWidth="1"/>
    <col min="11" max="11" width="22.375" style="153" customWidth="1"/>
    <col min="12" max="12" width="12.7166666666667" style="153" customWidth="1"/>
    <col min="13" max="13" width="10.9666666666667" style="153" customWidth="1"/>
    <col min="14" max="14" width="13.3666666666667" style="157" customWidth="1"/>
    <col min="15" max="15" width="16" style="157"/>
    <col min="16" max="16" width="12.6333333333333" style="157"/>
    <col min="17" max="16384" width="9" style="153"/>
  </cols>
  <sheetData>
    <row r="1" s="153" customFormat="1" spans="5:16">
      <c r="E1" s="154"/>
      <c r="F1" s="154"/>
      <c r="I1" s="155"/>
      <c r="J1" s="156"/>
      <c r="N1" s="157"/>
      <c r="O1" s="178"/>
      <c r="P1" s="178"/>
    </row>
    <row r="2" s="153" customFormat="1" ht="14" customHeight="1" spans="1:16">
      <c r="A2" s="158" t="s">
        <v>95</v>
      </c>
      <c r="B2" s="158"/>
      <c r="C2" s="158"/>
      <c r="D2" s="158"/>
      <c r="E2" s="159"/>
      <c r="F2" s="159"/>
      <c r="G2" s="158"/>
      <c r="I2"/>
      <c r="J2"/>
      <c r="K2"/>
      <c r="L2"/>
      <c r="M2"/>
      <c r="N2" s="179"/>
      <c r="O2" s="179"/>
      <c r="P2" s="179"/>
    </row>
    <row r="3" s="153" customFormat="1" ht="14" customHeight="1" spans="1:16">
      <c r="A3" s="160" t="s">
        <v>1</v>
      </c>
      <c r="B3" s="160" t="s">
        <v>2</v>
      </c>
      <c r="C3" s="160" t="s">
        <v>3</v>
      </c>
      <c r="D3" s="160" t="s">
        <v>4</v>
      </c>
      <c r="E3" s="161" t="s">
        <v>3</v>
      </c>
      <c r="F3" s="161" t="s">
        <v>5</v>
      </c>
      <c r="G3" s="160" t="s">
        <v>6</v>
      </c>
      <c r="I3"/>
      <c r="J3"/>
      <c r="K3"/>
      <c r="L3"/>
      <c r="M3"/>
      <c r="N3" s="157"/>
      <c r="O3" s="157"/>
      <c r="P3" s="157"/>
    </row>
    <row r="4" s="153" customFormat="1" ht="14" customHeight="1" spans="1:16">
      <c r="A4" s="160">
        <v>1</v>
      </c>
      <c r="B4" s="162" t="s">
        <v>9</v>
      </c>
      <c r="C4" s="163">
        <f>(J13+J14)/1.05</f>
        <v>716200</v>
      </c>
      <c r="D4" s="50">
        <v>0.05</v>
      </c>
      <c r="E4" s="164">
        <f t="shared" ref="E4:E7" si="0">ROUND(C4*D4,2)</f>
        <v>35810</v>
      </c>
      <c r="F4" s="164">
        <f t="shared" ref="F4:F18" si="1">E4</f>
        <v>35810</v>
      </c>
      <c r="G4" s="162"/>
      <c r="I4"/>
      <c r="J4"/>
      <c r="K4"/>
      <c r="L4"/>
      <c r="M4"/>
      <c r="N4" s="157"/>
      <c r="O4" s="157"/>
      <c r="P4" s="157"/>
    </row>
    <row r="5" s="153" customFormat="1" ht="14" customHeight="1" spans="1:16">
      <c r="A5" s="160">
        <v>2</v>
      </c>
      <c r="B5" s="162" t="s">
        <v>10</v>
      </c>
      <c r="C5" s="163">
        <f>E4</f>
        <v>35810</v>
      </c>
      <c r="D5" s="50">
        <v>0.07</v>
      </c>
      <c r="E5" s="164">
        <f t="shared" si="0"/>
        <v>2506.7</v>
      </c>
      <c r="F5" s="164">
        <f t="shared" si="1"/>
        <v>2506.7</v>
      </c>
      <c r="G5" s="162"/>
      <c r="I5"/>
      <c r="J5"/>
      <c r="K5"/>
      <c r="L5"/>
      <c r="M5"/>
      <c r="N5" s="157"/>
      <c r="O5" s="157"/>
      <c r="P5" s="157"/>
    </row>
    <row r="6" s="153" customFormat="1" ht="14" customHeight="1" spans="1:16">
      <c r="A6" s="160">
        <v>3</v>
      </c>
      <c r="B6" s="162" t="s">
        <v>11</v>
      </c>
      <c r="C6" s="163">
        <f>E4</f>
        <v>35810</v>
      </c>
      <c r="D6" s="50">
        <v>0.03</v>
      </c>
      <c r="E6" s="164">
        <f t="shared" si="0"/>
        <v>1074.3</v>
      </c>
      <c r="F6" s="164">
        <f t="shared" si="1"/>
        <v>1074.3</v>
      </c>
      <c r="G6" s="162"/>
      <c r="I6"/>
      <c r="J6"/>
      <c r="K6"/>
      <c r="L6"/>
      <c r="M6"/>
      <c r="N6" s="157"/>
      <c r="O6" s="180"/>
      <c r="P6" s="157"/>
    </row>
    <row r="7" s="153" customFormat="1" ht="14" customHeight="1" spans="1:16">
      <c r="A7" s="160">
        <v>4</v>
      </c>
      <c r="B7" s="162" t="s">
        <v>12</v>
      </c>
      <c r="C7" s="163">
        <f>E4</f>
        <v>35810</v>
      </c>
      <c r="D7" s="50">
        <v>0.02</v>
      </c>
      <c r="E7" s="164">
        <f t="shared" si="0"/>
        <v>716.2</v>
      </c>
      <c r="F7" s="164">
        <f t="shared" si="1"/>
        <v>716.2</v>
      </c>
      <c r="G7" s="160"/>
      <c r="I7"/>
      <c r="J7"/>
      <c r="K7"/>
      <c r="L7"/>
      <c r="M7"/>
      <c r="N7" s="157"/>
      <c r="O7" s="180"/>
      <c r="P7" s="157"/>
    </row>
    <row r="8" s="153" customFormat="1" ht="14" customHeight="1" spans="1:16">
      <c r="A8" s="160">
        <v>5</v>
      </c>
      <c r="B8" s="162" t="s">
        <v>13</v>
      </c>
      <c r="C8" s="163">
        <v>0</v>
      </c>
      <c r="D8" s="50">
        <v>0.03</v>
      </c>
      <c r="E8" s="164">
        <f>C8/1.05*D8</f>
        <v>0</v>
      </c>
      <c r="F8" s="164">
        <f t="shared" si="1"/>
        <v>0</v>
      </c>
      <c r="G8" s="160"/>
      <c r="I8"/>
      <c r="J8"/>
      <c r="K8"/>
      <c r="L8"/>
      <c r="M8"/>
      <c r="N8" s="157"/>
      <c r="O8" s="157"/>
      <c r="P8" s="157"/>
    </row>
    <row r="9" s="153" customFormat="1" ht="14" customHeight="1" spans="1:16">
      <c r="A9" s="160">
        <v>6</v>
      </c>
      <c r="B9" s="162" t="s">
        <v>17</v>
      </c>
      <c r="C9" s="163">
        <v>0</v>
      </c>
      <c r="D9" s="50">
        <v>0.05</v>
      </c>
      <c r="E9" s="164">
        <f>C9/1.05*D9</f>
        <v>0</v>
      </c>
      <c r="F9" s="164">
        <f t="shared" si="1"/>
        <v>0</v>
      </c>
      <c r="G9" s="160"/>
      <c r="I9"/>
      <c r="J9"/>
      <c r="K9"/>
      <c r="L9"/>
      <c r="M9"/>
      <c r="N9" s="157"/>
      <c r="O9" s="157"/>
      <c r="P9" s="157"/>
    </row>
    <row r="10" s="153" customFormat="1" ht="14" customHeight="1" spans="1:16">
      <c r="A10" s="160">
        <v>7</v>
      </c>
      <c r="B10" s="162" t="s">
        <v>18</v>
      </c>
      <c r="C10" s="163">
        <v>0</v>
      </c>
      <c r="D10" s="50">
        <v>0.02</v>
      </c>
      <c r="E10" s="164">
        <f t="shared" ref="E10:E14" si="2">ROUND(C10*D10,2)</f>
        <v>0</v>
      </c>
      <c r="F10" s="164">
        <f t="shared" si="1"/>
        <v>0</v>
      </c>
      <c r="G10" s="165"/>
      <c r="I10"/>
      <c r="J10"/>
      <c r="K10"/>
      <c r="L10"/>
      <c r="M10"/>
      <c r="N10" s="157"/>
      <c r="O10" s="157"/>
      <c r="P10" s="157"/>
    </row>
    <row r="11" s="153" customFormat="1" ht="14" customHeight="1" spans="1:16">
      <c r="A11" s="160">
        <v>8</v>
      </c>
      <c r="B11" s="162" t="s">
        <v>19</v>
      </c>
      <c r="C11" s="166">
        <f>E8+E9</f>
        <v>0</v>
      </c>
      <c r="D11" s="50">
        <v>0.07</v>
      </c>
      <c r="E11" s="164">
        <f t="shared" si="2"/>
        <v>0</v>
      </c>
      <c r="F11" s="164">
        <f t="shared" si="1"/>
        <v>0</v>
      </c>
      <c r="G11" s="162"/>
      <c r="I11"/>
      <c r="J11" s="123">
        <v>979964</v>
      </c>
      <c r="K11" s="123" t="s">
        <v>96</v>
      </c>
      <c r="L11"/>
      <c r="M11" s="66">
        <v>200000</v>
      </c>
      <c r="N11" s="157"/>
      <c r="O11" s="157"/>
      <c r="P11" s="157"/>
    </row>
    <row r="12" s="153" customFormat="1" ht="14" customHeight="1" spans="1:16">
      <c r="A12" s="160">
        <v>9</v>
      </c>
      <c r="B12" s="162" t="s">
        <v>20</v>
      </c>
      <c r="C12" s="166">
        <f>E8+E9</f>
        <v>0</v>
      </c>
      <c r="D12" s="50">
        <v>0.03</v>
      </c>
      <c r="E12" s="164">
        <f t="shared" si="2"/>
        <v>0</v>
      </c>
      <c r="F12" s="164">
        <f t="shared" si="1"/>
        <v>0</v>
      </c>
      <c r="G12" s="162"/>
      <c r="I12"/>
      <c r="J12" s="123">
        <v>451070</v>
      </c>
      <c r="K12" s="123" t="s">
        <v>97</v>
      </c>
      <c r="L12"/>
      <c r="M12" s="66">
        <v>20000</v>
      </c>
      <c r="N12" s="157"/>
      <c r="O12" s="157"/>
      <c r="P12" s="157"/>
    </row>
    <row r="13" s="153" customFormat="1" ht="14" customHeight="1" spans="1:16">
      <c r="A13" s="160">
        <v>10</v>
      </c>
      <c r="B13" s="162" t="s">
        <v>21</v>
      </c>
      <c r="C13" s="166">
        <f>E8+E9</f>
        <v>0</v>
      </c>
      <c r="D13" s="50">
        <v>0.02</v>
      </c>
      <c r="E13" s="164">
        <f t="shared" si="2"/>
        <v>0</v>
      </c>
      <c r="F13" s="164">
        <f t="shared" si="1"/>
        <v>0</v>
      </c>
      <c r="G13" s="162"/>
      <c r="I13"/>
      <c r="J13" s="123">
        <v>262010</v>
      </c>
      <c r="K13" s="123" t="s">
        <v>98</v>
      </c>
      <c r="L13"/>
      <c r="M13" s="66">
        <v>262010</v>
      </c>
      <c r="N13" s="157"/>
      <c r="O13" s="157"/>
      <c r="P13" s="157"/>
    </row>
    <row r="14" s="153" customFormat="1" ht="14" customHeight="1" spans="1:16">
      <c r="A14" s="160">
        <v>11</v>
      </c>
      <c r="B14" s="162" t="s">
        <v>25</v>
      </c>
      <c r="C14" s="166">
        <f>C9-E9</f>
        <v>0</v>
      </c>
      <c r="D14" s="50">
        <v>0.12</v>
      </c>
      <c r="E14" s="164">
        <f t="shared" si="2"/>
        <v>0</v>
      </c>
      <c r="F14" s="164">
        <f t="shared" si="1"/>
        <v>0</v>
      </c>
      <c r="G14" s="162"/>
      <c r="I14"/>
      <c r="J14" s="123">
        <v>490000</v>
      </c>
      <c r="K14" s="123" t="s">
        <v>99</v>
      </c>
      <c r="L14"/>
      <c r="M14" s="66">
        <v>20000</v>
      </c>
      <c r="N14" s="157"/>
      <c r="O14" s="157"/>
      <c r="P14" s="157"/>
    </row>
    <row r="15" s="153" customFormat="1" ht="14" customHeight="1" spans="1:16">
      <c r="A15" s="160">
        <v>12</v>
      </c>
      <c r="B15" s="167" t="s">
        <v>80</v>
      </c>
      <c r="C15" s="166">
        <v>0</v>
      </c>
      <c r="D15" s="168">
        <v>0.0005</v>
      </c>
      <c r="E15" s="164">
        <f>C15*D15</f>
        <v>0</v>
      </c>
      <c r="F15" s="164">
        <f t="shared" si="1"/>
        <v>0</v>
      </c>
      <c r="G15" s="162"/>
      <c r="I15"/>
      <c r="J15" s="123">
        <v>191818</v>
      </c>
      <c r="K15" s="123" t="s">
        <v>100</v>
      </c>
      <c r="L15"/>
      <c r="M15" s="66">
        <v>250000</v>
      </c>
      <c r="N15" s="181"/>
      <c r="O15" s="181"/>
      <c r="P15" s="181"/>
    </row>
    <row r="16" s="153" customFormat="1" ht="14" customHeight="1" spans="1:16">
      <c r="A16" s="160">
        <v>13</v>
      </c>
      <c r="B16" s="167" t="s">
        <v>48</v>
      </c>
      <c r="C16" s="166">
        <v>0</v>
      </c>
      <c r="D16" s="168">
        <v>0.0003</v>
      </c>
      <c r="E16" s="164">
        <f t="shared" ref="E16:E18" si="3">ROUND(C16*D16,2)</f>
        <v>0</v>
      </c>
      <c r="F16" s="164">
        <f t="shared" si="1"/>
        <v>0</v>
      </c>
      <c r="G16" s="162"/>
      <c r="I16"/>
      <c r="L16"/>
      <c r="M16"/>
      <c r="N16" s="181"/>
      <c r="O16" s="181"/>
      <c r="P16" s="181"/>
    </row>
    <row r="17" s="153" customFormat="1" ht="14" customHeight="1" spans="1:16">
      <c r="A17" s="160">
        <v>14</v>
      </c>
      <c r="B17" s="162" t="s">
        <v>38</v>
      </c>
      <c r="C17" s="166">
        <f>J13/1.05</f>
        <v>249533.333333333</v>
      </c>
      <c r="D17" s="50">
        <v>0.01</v>
      </c>
      <c r="E17" s="164">
        <f t="shared" si="3"/>
        <v>2495.33</v>
      </c>
      <c r="F17" s="164">
        <f t="shared" si="1"/>
        <v>2495.33</v>
      </c>
      <c r="G17" s="162"/>
      <c r="I17"/>
      <c r="L17"/>
      <c r="M17"/>
      <c r="N17" s="181"/>
      <c r="O17" s="181"/>
      <c r="P17" s="181"/>
    </row>
    <row r="18" s="153" customFormat="1" ht="14" customHeight="1" spans="1:16">
      <c r="A18" s="160">
        <v>15</v>
      </c>
      <c r="B18" s="162" t="s">
        <v>39</v>
      </c>
      <c r="C18" s="166">
        <f>J14/1.05</f>
        <v>466666.666666667</v>
      </c>
      <c r="D18" s="50">
        <v>0.03</v>
      </c>
      <c r="E18" s="164">
        <f t="shared" si="3"/>
        <v>14000</v>
      </c>
      <c r="F18" s="164">
        <f t="shared" si="1"/>
        <v>14000</v>
      </c>
      <c r="G18" s="162"/>
      <c r="I18"/>
      <c r="L18"/>
      <c r="M18"/>
      <c r="N18" s="181"/>
      <c r="O18" s="181"/>
      <c r="P18" s="181"/>
    </row>
    <row r="19" s="153" customFormat="1" ht="14" customHeight="1" spans="1:16">
      <c r="A19" s="160" t="s">
        <v>28</v>
      </c>
      <c r="B19" s="160"/>
      <c r="C19" s="160"/>
      <c r="D19" s="160"/>
      <c r="E19" s="164">
        <f>SUM(E4:E18)</f>
        <v>56602.53</v>
      </c>
      <c r="F19" s="164">
        <f>SUM(F4:F18)</f>
        <v>56602.53</v>
      </c>
      <c r="G19" s="162"/>
      <c r="I19"/>
      <c r="L19"/>
      <c r="M19"/>
      <c r="N19" s="181"/>
      <c r="O19" s="181"/>
      <c r="P19" s="181"/>
    </row>
    <row r="20" s="153" customFormat="1" ht="14" customHeight="1" spans="1:16">
      <c r="A20" s="158" t="s">
        <v>101</v>
      </c>
      <c r="B20" s="158"/>
      <c r="C20" s="158"/>
      <c r="D20" s="158"/>
      <c r="E20" s="159"/>
      <c r="F20" s="159"/>
      <c r="G20" s="158"/>
      <c r="I20"/>
      <c r="J20"/>
      <c r="K20"/>
      <c r="L20"/>
      <c r="M20"/>
      <c r="N20" s="181"/>
      <c r="O20" s="181"/>
      <c r="P20" s="181"/>
    </row>
    <row r="21" s="153" customFormat="1" ht="14" customHeight="1" spans="1:16">
      <c r="A21" s="160" t="s">
        <v>1</v>
      </c>
      <c r="B21" s="160" t="s">
        <v>2</v>
      </c>
      <c r="C21" s="160" t="s">
        <v>3</v>
      </c>
      <c r="D21" s="160" t="s">
        <v>4</v>
      </c>
      <c r="E21" s="161" t="s">
        <v>3</v>
      </c>
      <c r="F21" s="161" t="s">
        <v>5</v>
      </c>
      <c r="G21" s="160" t="s">
        <v>6</v>
      </c>
      <c r="I21"/>
      <c r="J21"/>
      <c r="K21"/>
      <c r="L21"/>
      <c r="M21"/>
      <c r="N21" s="181"/>
      <c r="O21" s="181"/>
      <c r="P21" s="181"/>
    </row>
    <row r="22" s="153" customFormat="1" ht="14" customHeight="1" spans="1:16">
      <c r="A22" s="160">
        <v>1</v>
      </c>
      <c r="B22" s="162" t="s">
        <v>30</v>
      </c>
      <c r="C22" s="163">
        <f>J11+J12</f>
        <v>1431034</v>
      </c>
      <c r="D22" s="50">
        <v>0.03</v>
      </c>
      <c r="E22" s="164">
        <f>C22/1.09*D22</f>
        <v>39386.2568807339</v>
      </c>
      <c r="F22" s="164">
        <f t="shared" ref="F22:F25" si="4">E22</f>
        <v>39386.2568807339</v>
      </c>
      <c r="G22" s="162"/>
      <c r="I22"/>
      <c r="L22"/>
      <c r="M22"/>
      <c r="N22" s="181"/>
      <c r="O22" s="181"/>
      <c r="P22" s="181"/>
    </row>
    <row r="23" s="153" customFormat="1" ht="14" customHeight="1" spans="1:16">
      <c r="A23" s="160">
        <v>2</v>
      </c>
      <c r="B23" s="162" t="s">
        <v>31</v>
      </c>
      <c r="C23" s="163">
        <f>E22</f>
        <v>39386.2568807339</v>
      </c>
      <c r="D23" s="50">
        <v>0.07</v>
      </c>
      <c r="E23" s="164">
        <f t="shared" ref="E23:E33" si="5">ROUND(C23*D23,2)</f>
        <v>2757.04</v>
      </c>
      <c r="F23" s="164">
        <f t="shared" si="4"/>
        <v>2757.04</v>
      </c>
      <c r="G23" s="162"/>
      <c r="I23"/>
      <c r="J23"/>
      <c r="K23"/>
      <c r="L23"/>
      <c r="M23"/>
      <c r="N23" s="181"/>
      <c r="O23" s="181"/>
      <c r="P23" s="181"/>
    </row>
    <row r="24" s="153" customFormat="1" ht="14" customHeight="1" spans="1:16">
      <c r="A24" s="160">
        <v>3</v>
      </c>
      <c r="B24" s="162" t="s">
        <v>32</v>
      </c>
      <c r="C24" s="163">
        <f>E22</f>
        <v>39386.2568807339</v>
      </c>
      <c r="D24" s="50">
        <v>0.03</v>
      </c>
      <c r="E24" s="164">
        <f t="shared" si="5"/>
        <v>1181.59</v>
      </c>
      <c r="F24" s="164">
        <f t="shared" si="4"/>
        <v>1181.59</v>
      </c>
      <c r="G24" s="162"/>
      <c r="I24"/>
      <c r="J24"/>
      <c r="K24"/>
      <c r="L24"/>
      <c r="M24"/>
      <c r="N24" s="181"/>
      <c r="O24" s="181"/>
      <c r="P24" s="181"/>
    </row>
    <row r="25" s="153" customFormat="1" ht="14" customHeight="1" spans="1:16">
      <c r="A25" s="160">
        <v>4</v>
      </c>
      <c r="B25" s="162" t="s">
        <v>33</v>
      </c>
      <c r="C25" s="163">
        <f>E22</f>
        <v>39386.2568807339</v>
      </c>
      <c r="D25" s="50">
        <v>0.02</v>
      </c>
      <c r="E25" s="164">
        <f t="shared" si="5"/>
        <v>787.73</v>
      </c>
      <c r="F25" s="164">
        <f t="shared" si="4"/>
        <v>787.73</v>
      </c>
      <c r="G25" s="162"/>
      <c r="I25"/>
      <c r="J25"/>
      <c r="K25"/>
      <c r="L25"/>
      <c r="M25"/>
      <c r="N25" s="181"/>
      <c r="O25" s="181"/>
      <c r="P25" s="181"/>
    </row>
    <row r="26" s="153" customFormat="1" ht="14" customHeight="1" spans="1:16">
      <c r="A26" s="160">
        <v>5</v>
      </c>
      <c r="B26" s="162" t="s">
        <v>18</v>
      </c>
      <c r="C26" s="163">
        <v>0</v>
      </c>
      <c r="D26" s="50">
        <v>0.06</v>
      </c>
      <c r="E26" s="164">
        <f t="shared" si="5"/>
        <v>0</v>
      </c>
      <c r="F26" s="164">
        <v>0</v>
      </c>
      <c r="G26" s="162"/>
      <c r="I26"/>
      <c r="J26"/>
      <c r="K26"/>
      <c r="L26"/>
      <c r="M26"/>
      <c r="N26" s="181"/>
      <c r="O26" s="181"/>
      <c r="P26" s="181"/>
    </row>
    <row r="27" s="153" customFormat="1" ht="14" customHeight="1" spans="1:16">
      <c r="A27" s="160">
        <v>6</v>
      </c>
      <c r="B27" s="162" t="s">
        <v>35</v>
      </c>
      <c r="C27" s="166">
        <f>E26</f>
        <v>0</v>
      </c>
      <c r="D27" s="50">
        <v>0.07</v>
      </c>
      <c r="E27" s="164">
        <f t="shared" si="5"/>
        <v>0</v>
      </c>
      <c r="F27" s="164">
        <v>0</v>
      </c>
      <c r="G27" s="162"/>
      <c r="M27" s="182"/>
      <c r="N27" s="181"/>
      <c r="O27" s="181"/>
      <c r="P27" s="181"/>
    </row>
    <row r="28" s="153" customFormat="1" ht="14" customHeight="1" spans="1:16">
      <c r="A28" s="160">
        <v>7</v>
      </c>
      <c r="B28" s="162" t="s">
        <v>36</v>
      </c>
      <c r="C28" s="166">
        <f>E26</f>
        <v>0</v>
      </c>
      <c r="D28" s="50">
        <v>0.03</v>
      </c>
      <c r="E28" s="164">
        <f t="shared" si="5"/>
        <v>0</v>
      </c>
      <c r="F28" s="164">
        <v>0</v>
      </c>
      <c r="G28" s="162"/>
      <c r="M28" s="182"/>
      <c r="N28" s="181"/>
      <c r="O28" s="181"/>
      <c r="P28" s="181"/>
    </row>
    <row r="29" s="153" customFormat="1" ht="14" customHeight="1" spans="1:16">
      <c r="A29" s="160">
        <v>8</v>
      </c>
      <c r="B29" s="162" t="s">
        <v>37</v>
      </c>
      <c r="C29" s="166">
        <f>E26</f>
        <v>0</v>
      </c>
      <c r="D29" s="50">
        <v>0.02</v>
      </c>
      <c r="E29" s="164">
        <f t="shared" si="5"/>
        <v>0</v>
      </c>
      <c r="F29" s="164">
        <v>0</v>
      </c>
      <c r="G29" s="162"/>
      <c r="I29" s="155"/>
      <c r="J29" s="183"/>
      <c r="K29" s="184"/>
      <c r="N29" s="181"/>
      <c r="O29" s="181"/>
      <c r="P29" s="181"/>
    </row>
    <row r="30" s="153" customFormat="1" ht="14" customHeight="1" spans="1:16">
      <c r="A30" s="160">
        <v>9</v>
      </c>
      <c r="B30" s="162" t="s">
        <v>38</v>
      </c>
      <c r="C30" s="166">
        <f>J12/1.09</f>
        <v>413825.688073394</v>
      </c>
      <c r="D30" s="50">
        <v>0.01</v>
      </c>
      <c r="E30" s="164">
        <f t="shared" si="5"/>
        <v>4138.26</v>
      </c>
      <c r="F30" s="164">
        <f t="shared" ref="F30:F32" si="6">E30</f>
        <v>4138.26</v>
      </c>
      <c r="G30" s="169"/>
      <c r="I30" s="155"/>
      <c r="J30" s="183"/>
      <c r="K30" s="184"/>
      <c r="N30" s="181"/>
      <c r="O30" s="181"/>
      <c r="P30" s="181"/>
    </row>
    <row r="31" s="153" customFormat="1" ht="14" customHeight="1" spans="1:16">
      <c r="A31" s="160">
        <v>10</v>
      </c>
      <c r="B31" s="162" t="s">
        <v>39</v>
      </c>
      <c r="C31" s="166">
        <f>J11/1.09</f>
        <v>899049.541284404</v>
      </c>
      <c r="D31" s="50">
        <v>0.03</v>
      </c>
      <c r="E31" s="164">
        <f t="shared" si="5"/>
        <v>26971.49</v>
      </c>
      <c r="F31" s="164">
        <f t="shared" si="6"/>
        <v>26971.49</v>
      </c>
      <c r="G31" s="169"/>
      <c r="I31" s="155"/>
      <c r="N31" s="181"/>
      <c r="O31" s="181"/>
      <c r="P31" s="181"/>
    </row>
    <row r="32" s="153" customFormat="1" ht="14" customHeight="1" spans="1:16">
      <c r="A32" s="160">
        <v>11</v>
      </c>
      <c r="B32" s="162" t="s">
        <v>102</v>
      </c>
      <c r="C32" s="166">
        <f>0</f>
        <v>0</v>
      </c>
      <c r="D32" s="170">
        <v>0.0005</v>
      </c>
      <c r="E32" s="164">
        <f t="shared" si="5"/>
        <v>0</v>
      </c>
      <c r="F32" s="164">
        <f t="shared" si="6"/>
        <v>0</v>
      </c>
      <c r="G32" s="162"/>
      <c r="I32" s="155"/>
      <c r="N32" s="181"/>
      <c r="O32" s="181"/>
      <c r="P32" s="181"/>
    </row>
    <row r="33" s="153" customFormat="1" ht="14" customHeight="1" spans="1:16">
      <c r="A33" s="160">
        <v>11</v>
      </c>
      <c r="B33" s="162" t="s">
        <v>40</v>
      </c>
      <c r="C33" s="166">
        <v>0</v>
      </c>
      <c r="D33" s="170">
        <v>0.0003</v>
      </c>
      <c r="E33" s="164">
        <f t="shared" si="5"/>
        <v>0</v>
      </c>
      <c r="F33" s="164">
        <f>ROUND(E33,1)</f>
        <v>0</v>
      </c>
      <c r="G33" s="169"/>
      <c r="I33" s="155"/>
      <c r="N33" s="181"/>
      <c r="O33" s="181"/>
      <c r="P33" s="181"/>
    </row>
    <row r="34" s="153" customFormat="1" ht="14" customHeight="1" spans="1:16">
      <c r="A34" s="160" t="s">
        <v>28</v>
      </c>
      <c r="B34" s="160"/>
      <c r="C34" s="160"/>
      <c r="D34" s="160"/>
      <c r="E34" s="164">
        <f>SUM(E22:E33)</f>
        <v>75222.3668807339</v>
      </c>
      <c r="F34" s="164">
        <f>SUM(F22:F33)</f>
        <v>75222.3668807339</v>
      </c>
      <c r="G34" s="162"/>
      <c r="I34" s="155"/>
      <c r="J34" s="183"/>
      <c r="K34" s="184"/>
      <c r="N34" s="181"/>
      <c r="O34" s="181"/>
      <c r="P34" s="181"/>
    </row>
    <row r="35" s="153" customFormat="1" ht="14" customHeight="1" spans="1:16">
      <c r="A35" s="158" t="s">
        <v>103</v>
      </c>
      <c r="B35" s="158"/>
      <c r="C35" s="158"/>
      <c r="D35" s="158"/>
      <c r="E35" s="159"/>
      <c r="F35" s="159"/>
      <c r="G35" s="158"/>
      <c r="I35" s="155"/>
      <c r="J35" s="183"/>
      <c r="K35" s="184"/>
      <c r="N35" s="181"/>
      <c r="O35" s="181"/>
      <c r="P35" s="181"/>
    </row>
    <row r="36" s="153" customFormat="1" ht="14" customHeight="1" spans="1:16">
      <c r="A36" s="160" t="s">
        <v>1</v>
      </c>
      <c r="B36" s="160" t="s">
        <v>2</v>
      </c>
      <c r="C36" s="160" t="s">
        <v>3</v>
      </c>
      <c r="D36" s="160" t="s">
        <v>4</v>
      </c>
      <c r="E36" s="161" t="s">
        <v>3</v>
      </c>
      <c r="F36" s="161" t="s">
        <v>5</v>
      </c>
      <c r="G36" s="160" t="s">
        <v>6</v>
      </c>
      <c r="I36" s="155"/>
      <c r="J36" s="183"/>
      <c r="K36" s="184"/>
      <c r="N36" s="181"/>
      <c r="O36" s="181"/>
      <c r="P36" s="181"/>
    </row>
    <row r="37" s="153" customFormat="1" ht="14" customHeight="1" spans="1:16">
      <c r="A37" s="160">
        <v>1</v>
      </c>
      <c r="B37" s="162" t="s">
        <v>30</v>
      </c>
      <c r="C37" s="163">
        <f>0/1.09</f>
        <v>0</v>
      </c>
      <c r="D37" s="50">
        <v>0.03</v>
      </c>
      <c r="E37" s="164">
        <f>C37/1.09*D37</f>
        <v>0</v>
      </c>
      <c r="F37" s="164">
        <f t="shared" ref="F37:F40" si="7">E37</f>
        <v>0</v>
      </c>
      <c r="G37" s="162"/>
      <c r="I37" s="155"/>
      <c r="N37" s="181"/>
      <c r="O37" s="181"/>
      <c r="P37" s="181"/>
    </row>
    <row r="38" s="153" customFormat="1" ht="14" customHeight="1" spans="1:16">
      <c r="A38" s="160">
        <v>2</v>
      </c>
      <c r="B38" s="162" t="s">
        <v>31</v>
      </c>
      <c r="C38" s="163">
        <f>E37</f>
        <v>0</v>
      </c>
      <c r="D38" s="50">
        <v>0.07</v>
      </c>
      <c r="E38" s="164">
        <f t="shared" ref="E38:E47" si="8">ROUND(C38*D38,2)</f>
        <v>0</v>
      </c>
      <c r="F38" s="164">
        <f t="shared" si="7"/>
        <v>0</v>
      </c>
      <c r="G38" s="162"/>
      <c r="I38" s="155"/>
      <c r="N38" s="181"/>
      <c r="O38" s="181"/>
      <c r="P38" s="181"/>
    </row>
    <row r="39" s="153" customFormat="1" ht="14" customHeight="1" spans="1:16">
      <c r="A39" s="160">
        <v>3</v>
      </c>
      <c r="B39" s="162" t="s">
        <v>32</v>
      </c>
      <c r="C39" s="163">
        <f>E37</f>
        <v>0</v>
      </c>
      <c r="D39" s="50">
        <v>0.03</v>
      </c>
      <c r="E39" s="164">
        <f t="shared" si="8"/>
        <v>0</v>
      </c>
      <c r="F39" s="164">
        <f t="shared" si="7"/>
        <v>0</v>
      </c>
      <c r="G39" s="162"/>
      <c r="I39" s="155"/>
      <c r="J39" s="156"/>
      <c r="N39" s="181"/>
      <c r="O39" s="181"/>
      <c r="P39" s="181"/>
    </row>
    <row r="40" s="153" customFormat="1" ht="14" customHeight="1" spans="1:16">
      <c r="A40" s="160">
        <v>4</v>
      </c>
      <c r="B40" s="162" t="s">
        <v>33</v>
      </c>
      <c r="C40" s="163">
        <f>E37</f>
        <v>0</v>
      </c>
      <c r="D40" s="50">
        <v>0.02</v>
      </c>
      <c r="E40" s="164">
        <f t="shared" si="8"/>
        <v>0</v>
      </c>
      <c r="F40" s="164">
        <f t="shared" si="7"/>
        <v>0</v>
      </c>
      <c r="G40" s="160"/>
      <c r="I40" s="155"/>
      <c r="J40" s="156"/>
      <c r="N40" s="181"/>
      <c r="O40" s="181"/>
      <c r="P40" s="181"/>
    </row>
    <row r="41" s="153" customFormat="1" ht="14" customHeight="1" spans="1:16">
      <c r="A41" s="160">
        <v>5</v>
      </c>
      <c r="B41" s="162" t="s">
        <v>18</v>
      </c>
      <c r="C41" s="163">
        <v>0</v>
      </c>
      <c r="D41" s="50">
        <v>0.06</v>
      </c>
      <c r="E41" s="164">
        <f t="shared" si="8"/>
        <v>0</v>
      </c>
      <c r="F41" s="164">
        <v>0</v>
      </c>
      <c r="G41" s="162"/>
      <c r="I41" s="155"/>
      <c r="J41" s="156"/>
      <c r="N41" s="181"/>
      <c r="O41" s="181"/>
      <c r="P41" s="181"/>
    </row>
    <row r="42" s="153" customFormat="1" ht="14" customHeight="1" spans="1:16">
      <c r="A42" s="160">
        <v>6</v>
      </c>
      <c r="B42" s="162" t="s">
        <v>35</v>
      </c>
      <c r="C42" s="166">
        <f>E41</f>
        <v>0</v>
      </c>
      <c r="D42" s="50">
        <v>0.07</v>
      </c>
      <c r="E42" s="164">
        <f t="shared" si="8"/>
        <v>0</v>
      </c>
      <c r="F42" s="164">
        <v>0</v>
      </c>
      <c r="G42" s="162"/>
      <c r="I42" s="155"/>
      <c r="J42" s="156"/>
      <c r="N42" s="181"/>
      <c r="O42" s="181"/>
      <c r="P42" s="181"/>
    </row>
    <row r="43" s="153" customFormat="1" ht="14" customHeight="1" spans="1:16">
      <c r="A43" s="160">
        <v>7</v>
      </c>
      <c r="B43" s="162" t="s">
        <v>36</v>
      </c>
      <c r="C43" s="166">
        <f>E41</f>
        <v>0</v>
      </c>
      <c r="D43" s="50">
        <v>0.03</v>
      </c>
      <c r="E43" s="164">
        <f t="shared" si="8"/>
        <v>0</v>
      </c>
      <c r="F43" s="164">
        <v>0</v>
      </c>
      <c r="G43" s="162"/>
      <c r="I43" s="155"/>
      <c r="J43" s="156"/>
      <c r="N43" s="181"/>
      <c r="O43" s="181"/>
      <c r="P43" s="181"/>
    </row>
    <row r="44" s="153" customFormat="1" ht="14" customHeight="1" spans="1:16">
      <c r="A44" s="160">
        <v>8</v>
      </c>
      <c r="B44" s="162" t="s">
        <v>37</v>
      </c>
      <c r="C44" s="166">
        <f>E41</f>
        <v>0</v>
      </c>
      <c r="D44" s="50">
        <v>0.02</v>
      </c>
      <c r="E44" s="164">
        <f t="shared" si="8"/>
        <v>0</v>
      </c>
      <c r="F44" s="164">
        <v>0</v>
      </c>
      <c r="G44" s="162"/>
      <c r="I44" s="155"/>
      <c r="J44" s="156"/>
      <c r="N44" s="181"/>
      <c r="O44" s="181"/>
      <c r="P44" s="181"/>
    </row>
    <row r="45" s="153" customFormat="1" ht="14" customHeight="1" spans="1:16">
      <c r="A45" s="160">
        <v>9</v>
      </c>
      <c r="B45" s="162" t="s">
        <v>42</v>
      </c>
      <c r="C45" s="166">
        <f>C37-E37</f>
        <v>0</v>
      </c>
      <c r="D45" s="50">
        <v>0.01</v>
      </c>
      <c r="E45" s="164">
        <f t="shared" si="8"/>
        <v>0</v>
      </c>
      <c r="F45" s="164">
        <f t="shared" ref="F45:F49" si="9">E45</f>
        <v>0</v>
      </c>
      <c r="G45" s="169"/>
      <c r="I45" s="155"/>
      <c r="J45" s="156"/>
      <c r="N45" s="181"/>
      <c r="O45" s="181"/>
      <c r="P45" s="181"/>
    </row>
    <row r="46" s="153" customFormat="1" ht="14" customHeight="1" spans="1:16">
      <c r="A46" s="160">
        <v>10</v>
      </c>
      <c r="B46" s="162" t="s">
        <v>26</v>
      </c>
      <c r="C46" s="166">
        <f>C37</f>
        <v>0</v>
      </c>
      <c r="D46" s="170">
        <v>0.0005</v>
      </c>
      <c r="E46" s="164">
        <f t="shared" si="8"/>
        <v>0</v>
      </c>
      <c r="F46" s="164">
        <f t="shared" si="9"/>
        <v>0</v>
      </c>
      <c r="G46" s="162"/>
      <c r="I46" s="155"/>
      <c r="J46" s="156"/>
      <c r="N46" s="181"/>
      <c r="O46" s="181"/>
      <c r="P46" s="181"/>
    </row>
    <row r="47" s="153" customFormat="1" ht="14" customHeight="1" spans="1:16">
      <c r="A47" s="160">
        <v>11</v>
      </c>
      <c r="B47" s="162" t="s">
        <v>40</v>
      </c>
      <c r="C47" s="166">
        <v>0</v>
      </c>
      <c r="D47" s="170">
        <v>0.0003</v>
      </c>
      <c r="E47" s="164">
        <f t="shared" si="8"/>
        <v>0</v>
      </c>
      <c r="F47" s="164">
        <v>0</v>
      </c>
      <c r="G47" s="169"/>
      <c r="I47" s="155"/>
      <c r="J47" s="156"/>
      <c r="N47" s="181"/>
      <c r="O47" s="181"/>
      <c r="P47" s="181"/>
    </row>
    <row r="48" s="153" customFormat="1" ht="14" customHeight="1" spans="1:16">
      <c r="A48" s="160" t="s">
        <v>28</v>
      </c>
      <c r="B48" s="160"/>
      <c r="C48" s="160"/>
      <c r="D48" s="160"/>
      <c r="E48" s="164">
        <f>SUM(E37:E47)</f>
        <v>0</v>
      </c>
      <c r="F48" s="164">
        <f>SUM(F37:F47)</f>
        <v>0</v>
      </c>
      <c r="G48" s="162"/>
      <c r="I48" s="155"/>
      <c r="J48" s="156"/>
      <c r="N48" s="181"/>
      <c r="O48" s="181"/>
      <c r="P48" s="181"/>
    </row>
    <row r="49" s="153" customFormat="1" ht="14" customHeight="1" spans="1:16">
      <c r="A49" s="160"/>
      <c r="B49" s="160" t="s">
        <v>43</v>
      </c>
      <c r="C49" s="160"/>
      <c r="D49" s="160"/>
      <c r="E49" s="164">
        <v>0</v>
      </c>
      <c r="F49" s="164">
        <f t="shared" si="9"/>
        <v>0</v>
      </c>
      <c r="G49" s="162"/>
      <c r="I49" s="155"/>
      <c r="J49" s="156"/>
      <c r="N49" s="181"/>
      <c r="O49" s="181"/>
      <c r="P49" s="181"/>
    </row>
    <row r="50" s="153" customFormat="1" ht="14" customHeight="1" spans="1:16">
      <c r="A50" s="171"/>
      <c r="B50" s="171" t="s">
        <v>44</v>
      </c>
      <c r="C50" s="171"/>
      <c r="D50" s="171"/>
      <c r="E50" s="172">
        <f>E19+E34+E48+E49</f>
        <v>131824.896880734</v>
      </c>
      <c r="F50" s="172">
        <f>F19+F34+F48+F49</f>
        <v>131824.896880734</v>
      </c>
      <c r="G50" s="173"/>
      <c r="I50" s="155"/>
      <c r="J50" s="156"/>
      <c r="N50" s="181"/>
      <c r="O50" s="181"/>
      <c r="P50" s="181"/>
    </row>
    <row r="51" s="153" customFormat="1" ht="14" customHeight="1" spans="1:16">
      <c r="A51" s="174"/>
      <c r="B51" s="175"/>
      <c r="C51" s="175"/>
      <c r="D51" s="175"/>
      <c r="E51" s="176"/>
      <c r="F51" s="176"/>
      <c r="G51" s="177"/>
      <c r="I51" s="155"/>
      <c r="J51" s="156"/>
      <c r="N51" s="181"/>
      <c r="O51" s="181"/>
      <c r="P51" s="181"/>
    </row>
    <row r="52" s="153" customFormat="1" ht="14" customHeight="1" spans="1:16">
      <c r="A52" s="158" t="s">
        <v>104</v>
      </c>
      <c r="B52" s="158"/>
      <c r="C52" s="158"/>
      <c r="D52" s="158"/>
      <c r="E52" s="159"/>
      <c r="F52" s="159"/>
      <c r="G52" s="158"/>
      <c r="I52" s="155"/>
      <c r="J52" s="156"/>
      <c r="N52" s="181"/>
      <c r="O52" s="181"/>
      <c r="P52" s="181"/>
    </row>
    <row r="53" s="153" customFormat="1" ht="14" customHeight="1" spans="1:16">
      <c r="A53" s="160" t="s">
        <v>1</v>
      </c>
      <c r="B53" s="160" t="s">
        <v>2</v>
      </c>
      <c r="C53" s="160" t="s">
        <v>3</v>
      </c>
      <c r="D53" s="160" t="s">
        <v>4</v>
      </c>
      <c r="E53" s="161" t="s">
        <v>3</v>
      </c>
      <c r="F53" s="161" t="s">
        <v>5</v>
      </c>
      <c r="G53" s="160" t="s">
        <v>6</v>
      </c>
      <c r="I53" s="155"/>
      <c r="J53" s="156"/>
      <c r="N53" s="181"/>
      <c r="O53" s="181"/>
      <c r="P53" s="181"/>
    </row>
    <row r="54" s="153" customFormat="1" ht="14" customHeight="1" spans="1:16">
      <c r="A54" s="160">
        <v>1</v>
      </c>
      <c r="B54" s="162" t="s">
        <v>30</v>
      </c>
      <c r="C54" s="163">
        <f>J15</f>
        <v>191818</v>
      </c>
      <c r="D54" s="50">
        <v>0.03</v>
      </c>
      <c r="E54" s="164">
        <f>C54/1.05*D54</f>
        <v>5480.51428571429</v>
      </c>
      <c r="F54" s="164">
        <f t="shared" ref="F54:F66" si="10">E54</f>
        <v>5480.51428571429</v>
      </c>
      <c r="G54" s="162"/>
      <c r="I54" s="155"/>
      <c r="J54" s="156"/>
      <c r="N54" s="181"/>
      <c r="O54" s="181"/>
      <c r="P54" s="181"/>
    </row>
    <row r="55" s="153" customFormat="1" ht="14" customHeight="1" spans="1:16">
      <c r="A55" s="160">
        <v>2</v>
      </c>
      <c r="B55" s="162" t="s">
        <v>31</v>
      </c>
      <c r="C55" s="163">
        <f>F54</f>
        <v>5480.51428571429</v>
      </c>
      <c r="D55" s="50">
        <v>0.07</v>
      </c>
      <c r="E55" s="164">
        <f t="shared" ref="E55:E63" si="11">ROUND(C55*D55,2)</f>
        <v>383.64</v>
      </c>
      <c r="F55" s="164">
        <f t="shared" si="10"/>
        <v>383.64</v>
      </c>
      <c r="G55" s="162"/>
      <c r="I55" s="155"/>
      <c r="J55" s="156"/>
      <c r="N55" s="181"/>
      <c r="O55" s="181"/>
      <c r="P55" s="181"/>
    </row>
    <row r="56" s="153" customFormat="1" ht="14" customHeight="1" spans="1:16">
      <c r="A56" s="160">
        <v>3</v>
      </c>
      <c r="B56" s="162" t="s">
        <v>32</v>
      </c>
      <c r="C56" s="163">
        <f>E54</f>
        <v>5480.51428571429</v>
      </c>
      <c r="D56" s="50">
        <v>0.03</v>
      </c>
      <c r="E56" s="164">
        <f t="shared" si="11"/>
        <v>164.42</v>
      </c>
      <c r="F56" s="164">
        <f t="shared" si="10"/>
        <v>164.42</v>
      </c>
      <c r="G56" s="162"/>
      <c r="I56" s="155"/>
      <c r="J56" s="156"/>
      <c r="N56" s="181"/>
      <c r="O56" s="181"/>
      <c r="P56" s="181"/>
    </row>
    <row r="57" s="153" customFormat="1" ht="14" customHeight="1" spans="1:16">
      <c r="A57" s="160">
        <v>4</v>
      </c>
      <c r="B57" s="162" t="s">
        <v>33</v>
      </c>
      <c r="C57" s="163">
        <f>E54</f>
        <v>5480.51428571429</v>
      </c>
      <c r="D57" s="50">
        <v>0.02</v>
      </c>
      <c r="E57" s="164">
        <f t="shared" si="11"/>
        <v>109.61</v>
      </c>
      <c r="F57" s="164">
        <f t="shared" si="10"/>
        <v>109.61</v>
      </c>
      <c r="G57" s="162"/>
      <c r="I57" s="155"/>
      <c r="J57" s="156"/>
      <c r="N57" s="181"/>
      <c r="O57" s="181"/>
      <c r="P57" s="181"/>
    </row>
    <row r="58" s="153" customFormat="1" ht="14" customHeight="1" spans="1:16">
      <c r="A58" s="160">
        <v>5</v>
      </c>
      <c r="B58" s="162" t="s">
        <v>46</v>
      </c>
      <c r="C58" s="163">
        <v>0</v>
      </c>
      <c r="D58" s="50">
        <v>0.02</v>
      </c>
      <c r="E58" s="164">
        <f t="shared" si="11"/>
        <v>0</v>
      </c>
      <c r="F58" s="164">
        <f t="shared" si="10"/>
        <v>0</v>
      </c>
      <c r="G58" s="162"/>
      <c r="I58" s="155"/>
      <c r="J58" s="156"/>
      <c r="N58" s="181"/>
      <c r="O58" s="181"/>
      <c r="P58" s="181"/>
    </row>
    <row r="59" s="153" customFormat="1" ht="14" customHeight="1" spans="1:16">
      <c r="A59" s="160">
        <v>6</v>
      </c>
      <c r="B59" s="162" t="s">
        <v>19</v>
      </c>
      <c r="C59" s="166">
        <f>E58</f>
        <v>0</v>
      </c>
      <c r="D59" s="50">
        <v>0.07</v>
      </c>
      <c r="E59" s="164">
        <f t="shared" si="11"/>
        <v>0</v>
      </c>
      <c r="F59" s="164">
        <f t="shared" si="10"/>
        <v>0</v>
      </c>
      <c r="G59" s="162"/>
      <c r="I59" s="155"/>
      <c r="J59" s="156"/>
      <c r="N59" s="181"/>
      <c r="O59" s="181"/>
      <c r="P59" s="181"/>
    </row>
    <row r="60" s="153" customFormat="1" ht="14" customHeight="1" spans="1:16">
      <c r="A60" s="160">
        <v>7</v>
      </c>
      <c r="B60" s="162" t="s">
        <v>20</v>
      </c>
      <c r="C60" s="166">
        <f>E58</f>
        <v>0</v>
      </c>
      <c r="D60" s="50">
        <v>0.03</v>
      </c>
      <c r="E60" s="164">
        <f t="shared" si="11"/>
        <v>0</v>
      </c>
      <c r="F60" s="164">
        <f t="shared" si="10"/>
        <v>0</v>
      </c>
      <c r="G60" s="162"/>
      <c r="I60" s="155"/>
      <c r="J60" s="156"/>
      <c r="N60" s="181"/>
      <c r="O60" s="181"/>
      <c r="P60" s="181"/>
    </row>
    <row r="61" s="153" customFormat="1" ht="14" customHeight="1" spans="1:16">
      <c r="A61" s="160">
        <v>8</v>
      </c>
      <c r="B61" s="162" t="s">
        <v>21</v>
      </c>
      <c r="C61" s="166">
        <f>E58</f>
        <v>0</v>
      </c>
      <c r="D61" s="50">
        <v>0.02</v>
      </c>
      <c r="E61" s="164">
        <f t="shared" si="11"/>
        <v>0</v>
      </c>
      <c r="F61" s="164">
        <f t="shared" si="10"/>
        <v>0</v>
      </c>
      <c r="G61" s="162"/>
      <c r="I61" s="155"/>
      <c r="J61" s="156"/>
      <c r="N61" s="181"/>
      <c r="O61" s="181"/>
      <c r="P61" s="181"/>
    </row>
    <row r="62" s="153" customFormat="1" ht="14" customHeight="1" spans="1:16">
      <c r="A62" s="160">
        <v>9</v>
      </c>
      <c r="B62" s="162" t="s">
        <v>38</v>
      </c>
      <c r="C62" s="166">
        <f>0</f>
        <v>0</v>
      </c>
      <c r="D62" s="50">
        <v>0.01</v>
      </c>
      <c r="E62" s="164">
        <f t="shared" si="11"/>
        <v>0</v>
      </c>
      <c r="F62" s="164">
        <f t="shared" si="10"/>
        <v>0</v>
      </c>
      <c r="G62" s="162"/>
      <c r="I62" s="155"/>
      <c r="J62" s="156"/>
      <c r="N62" s="181"/>
      <c r="O62" s="181"/>
      <c r="P62" s="181"/>
    </row>
    <row r="63" s="153" customFormat="1" ht="14" customHeight="1" spans="1:16">
      <c r="A63" s="160">
        <v>10</v>
      </c>
      <c r="B63" s="162" t="s">
        <v>39</v>
      </c>
      <c r="C63" s="166">
        <f>C54-E54</f>
        <v>186337.485714286</v>
      </c>
      <c r="D63" s="50">
        <v>0.03</v>
      </c>
      <c r="E63" s="164">
        <f t="shared" si="11"/>
        <v>5590.12</v>
      </c>
      <c r="F63" s="164">
        <f t="shared" si="10"/>
        <v>5590.12</v>
      </c>
      <c r="G63" s="162"/>
      <c r="I63" s="155"/>
      <c r="J63" s="156"/>
      <c r="N63" s="181"/>
      <c r="O63" s="181"/>
      <c r="P63" s="181"/>
    </row>
    <row r="64" s="153" customFormat="1" ht="14" customHeight="1" spans="1:16">
      <c r="A64" s="160">
        <v>11</v>
      </c>
      <c r="B64" s="162" t="s">
        <v>47</v>
      </c>
      <c r="C64" s="166">
        <v>0</v>
      </c>
      <c r="D64" s="170">
        <v>0.0005</v>
      </c>
      <c r="E64" s="164">
        <f>C64*D64</f>
        <v>0</v>
      </c>
      <c r="F64" s="164">
        <f t="shared" si="10"/>
        <v>0</v>
      </c>
      <c r="G64" s="162"/>
      <c r="I64" s="155"/>
      <c r="J64" s="156"/>
      <c r="N64" s="181"/>
      <c r="O64" s="181"/>
      <c r="P64" s="181"/>
    </row>
    <row r="65" s="153" customFormat="1" ht="14" customHeight="1" spans="1:16">
      <c r="A65" s="160">
        <v>12</v>
      </c>
      <c r="B65" s="162" t="s">
        <v>48</v>
      </c>
      <c r="C65" s="166">
        <v>0</v>
      </c>
      <c r="D65" s="170">
        <v>0.0003</v>
      </c>
      <c r="E65" s="164">
        <f>ROUND(C65*D65,2)</f>
        <v>0</v>
      </c>
      <c r="F65" s="164">
        <f t="shared" si="10"/>
        <v>0</v>
      </c>
      <c r="G65" s="162"/>
      <c r="I65" s="155"/>
      <c r="J65" s="156"/>
      <c r="N65" s="181"/>
      <c r="O65" s="181"/>
      <c r="P65" s="181"/>
    </row>
    <row r="66" s="153" customFormat="1" ht="14" customHeight="1" spans="1:16">
      <c r="A66" s="160">
        <v>13</v>
      </c>
      <c r="B66" s="162" t="s">
        <v>43</v>
      </c>
      <c r="C66" s="166"/>
      <c r="D66" s="170"/>
      <c r="E66" s="164">
        <v>0</v>
      </c>
      <c r="F66" s="164">
        <f t="shared" si="10"/>
        <v>0</v>
      </c>
      <c r="G66" s="162"/>
      <c r="I66" s="155"/>
      <c r="J66" s="156"/>
      <c r="N66" s="181"/>
      <c r="O66" s="181"/>
      <c r="P66" s="181"/>
    </row>
    <row r="67" s="153" customFormat="1" ht="14" customHeight="1" spans="1:16">
      <c r="A67" s="171" t="s">
        <v>49</v>
      </c>
      <c r="B67" s="171"/>
      <c r="C67" s="171"/>
      <c r="D67" s="171"/>
      <c r="E67" s="172">
        <f>SUM(E54:E66)</f>
        <v>11728.3042857143</v>
      </c>
      <c r="F67" s="172">
        <f>SUM(F54:F66)</f>
        <v>11728.3042857143</v>
      </c>
      <c r="G67" s="173"/>
      <c r="I67" s="155"/>
      <c r="J67" s="156"/>
      <c r="N67" s="181"/>
      <c r="O67" s="181"/>
      <c r="P67" s="181"/>
    </row>
    <row r="68" s="153" customFormat="1" ht="14" customHeight="1" spans="1:16">
      <c r="A68" s="158" t="s">
        <v>105</v>
      </c>
      <c r="B68" s="158"/>
      <c r="C68" s="158"/>
      <c r="D68" s="158"/>
      <c r="E68" s="159"/>
      <c r="F68" s="159"/>
      <c r="G68" s="158"/>
      <c r="I68" s="155"/>
      <c r="J68" s="156"/>
      <c r="N68" s="181"/>
      <c r="O68" s="181"/>
      <c r="P68" s="181"/>
    </row>
    <row r="69" s="153" customFormat="1" ht="14" customHeight="1" spans="1:16">
      <c r="A69" s="160" t="s">
        <v>1</v>
      </c>
      <c r="B69" s="160" t="s">
        <v>2</v>
      </c>
      <c r="C69" s="160" t="s">
        <v>3</v>
      </c>
      <c r="D69" s="160" t="s">
        <v>4</v>
      </c>
      <c r="E69" s="161" t="s">
        <v>3</v>
      </c>
      <c r="F69" s="161" t="s">
        <v>5</v>
      </c>
      <c r="G69" s="185" t="s">
        <v>6</v>
      </c>
      <c r="I69" s="155"/>
      <c r="J69" s="156"/>
      <c r="N69" s="181"/>
      <c r="O69" s="181"/>
      <c r="P69" s="181"/>
    </row>
    <row r="70" s="153" customFormat="1" ht="14" customHeight="1" spans="1:16">
      <c r="A70" s="160">
        <v>1</v>
      </c>
      <c r="B70" s="162" t="s">
        <v>51</v>
      </c>
      <c r="C70" s="163">
        <v>0</v>
      </c>
      <c r="D70" s="50">
        <v>0.03</v>
      </c>
      <c r="E70" s="164">
        <f>ROUND(C70*D70,2)</f>
        <v>0</v>
      </c>
      <c r="F70" s="186">
        <f t="shared" ref="F70:F76" si="12">E70</f>
        <v>0</v>
      </c>
      <c r="G70" s="187"/>
      <c r="I70" s="155"/>
      <c r="J70" s="156"/>
      <c r="N70" s="181"/>
      <c r="O70" s="181"/>
      <c r="P70" s="181"/>
    </row>
    <row r="71" s="153" customFormat="1" ht="14" customHeight="1" spans="1:16">
      <c r="A71" s="160">
        <v>1</v>
      </c>
      <c r="B71" s="162" t="s">
        <v>13</v>
      </c>
      <c r="C71" s="163">
        <v>0</v>
      </c>
      <c r="D71" s="50">
        <v>0.03</v>
      </c>
      <c r="E71" s="164">
        <f>C71/1.05*D71</f>
        <v>0</v>
      </c>
      <c r="F71" s="186">
        <v>0</v>
      </c>
      <c r="G71" s="187"/>
      <c r="I71" s="155"/>
      <c r="J71" s="156"/>
      <c r="N71" s="181"/>
      <c r="O71" s="181"/>
      <c r="P71" s="181"/>
    </row>
    <row r="72" s="153" customFormat="1" ht="14" customHeight="1" spans="1:16">
      <c r="A72" s="160">
        <v>2</v>
      </c>
      <c r="B72" s="162" t="s">
        <v>46</v>
      </c>
      <c r="C72" s="163">
        <v>0</v>
      </c>
      <c r="D72" s="50">
        <v>0</v>
      </c>
      <c r="E72" s="164">
        <f t="shared" ref="E72:E78" si="13">ROUND(C72*D72,2)</f>
        <v>0</v>
      </c>
      <c r="F72" s="186">
        <f t="shared" si="12"/>
        <v>0</v>
      </c>
      <c r="G72" s="169"/>
      <c r="I72" s="155"/>
      <c r="J72" s="156"/>
      <c r="N72" s="181"/>
      <c r="O72" s="181"/>
      <c r="P72" s="181"/>
    </row>
    <row r="73" s="153" customFormat="1" ht="14" customHeight="1" spans="1:16">
      <c r="A73" s="160">
        <v>3</v>
      </c>
      <c r="B73" s="162" t="s">
        <v>19</v>
      </c>
      <c r="C73" s="166">
        <f>F71</f>
        <v>0</v>
      </c>
      <c r="D73" s="50">
        <v>0.05</v>
      </c>
      <c r="E73" s="164">
        <f>E71*D73</f>
        <v>0</v>
      </c>
      <c r="F73" s="186">
        <f t="shared" si="12"/>
        <v>0</v>
      </c>
      <c r="G73" s="169"/>
      <c r="I73" s="155"/>
      <c r="J73" s="156"/>
      <c r="N73" s="181"/>
      <c r="O73" s="181"/>
      <c r="P73" s="181"/>
    </row>
    <row r="74" s="153" customFormat="1" ht="14" customHeight="1" spans="1:16">
      <c r="A74" s="160">
        <v>4</v>
      </c>
      <c r="B74" s="162" t="s">
        <v>20</v>
      </c>
      <c r="C74" s="166">
        <f>C73</f>
        <v>0</v>
      </c>
      <c r="D74" s="50">
        <v>0.03</v>
      </c>
      <c r="E74" s="164">
        <f>E71*D74</f>
        <v>0</v>
      </c>
      <c r="F74" s="186">
        <f t="shared" si="12"/>
        <v>0</v>
      </c>
      <c r="G74" s="169"/>
      <c r="I74" s="155"/>
      <c r="J74" s="156"/>
      <c r="N74" s="181"/>
      <c r="O74" s="181"/>
      <c r="P74" s="181"/>
    </row>
    <row r="75" s="153" customFormat="1" ht="14" customHeight="1" spans="1:16">
      <c r="A75" s="160">
        <v>5</v>
      </c>
      <c r="B75" s="162" t="s">
        <v>21</v>
      </c>
      <c r="C75" s="166">
        <f>C73</f>
        <v>0</v>
      </c>
      <c r="D75" s="50">
        <v>0.02</v>
      </c>
      <c r="E75" s="164">
        <f>E71*D75</f>
        <v>0</v>
      </c>
      <c r="F75" s="186">
        <f t="shared" si="12"/>
        <v>0</v>
      </c>
      <c r="G75" s="169"/>
      <c r="I75" s="155"/>
      <c r="J75" s="156"/>
      <c r="N75" s="181"/>
      <c r="O75" s="181"/>
      <c r="P75" s="181"/>
    </row>
    <row r="76" s="153" customFormat="1" ht="14" customHeight="1" spans="1:16">
      <c r="A76" s="160">
        <v>6</v>
      </c>
      <c r="B76" s="162" t="s">
        <v>52</v>
      </c>
      <c r="C76" s="166">
        <f>C70</f>
        <v>0</v>
      </c>
      <c r="D76" s="50">
        <v>0.03</v>
      </c>
      <c r="E76" s="164">
        <f t="shared" si="13"/>
        <v>0</v>
      </c>
      <c r="F76" s="186">
        <f t="shared" si="12"/>
        <v>0</v>
      </c>
      <c r="G76" s="169"/>
      <c r="I76" s="155"/>
      <c r="J76" s="156"/>
      <c r="N76" s="181"/>
      <c r="O76" s="181"/>
      <c r="P76" s="181"/>
    </row>
    <row r="77" s="153" customFormat="1" ht="14" customHeight="1" spans="1:16">
      <c r="A77" s="160">
        <v>7</v>
      </c>
      <c r="B77" s="162" t="s">
        <v>47</v>
      </c>
      <c r="C77" s="166">
        <v>0</v>
      </c>
      <c r="D77" s="170">
        <v>0.0005</v>
      </c>
      <c r="E77" s="164">
        <f t="shared" si="13"/>
        <v>0</v>
      </c>
      <c r="F77" s="186">
        <f>ROUND(E77,1)</f>
        <v>0</v>
      </c>
      <c r="G77" s="169"/>
      <c r="I77" s="155"/>
      <c r="J77" s="156"/>
      <c r="N77" s="181"/>
      <c r="O77" s="181"/>
      <c r="P77" s="181"/>
    </row>
    <row r="78" s="153" customFormat="1" ht="14" customHeight="1" spans="1:16">
      <c r="A78" s="160">
        <v>8</v>
      </c>
      <c r="B78" s="162" t="s">
        <v>48</v>
      </c>
      <c r="C78" s="166">
        <v>0</v>
      </c>
      <c r="D78" s="170">
        <v>0.0003</v>
      </c>
      <c r="E78" s="164">
        <f t="shared" si="13"/>
        <v>0</v>
      </c>
      <c r="F78" s="186">
        <f>ROUND(E78,1)</f>
        <v>0</v>
      </c>
      <c r="G78" s="169"/>
      <c r="I78" s="155"/>
      <c r="J78" s="156"/>
      <c r="N78" s="181"/>
      <c r="O78" s="181"/>
      <c r="P78" s="181"/>
    </row>
    <row r="79" s="153" customFormat="1" ht="14" customHeight="1" spans="1:16">
      <c r="A79" s="160" t="s">
        <v>53</v>
      </c>
      <c r="B79" s="160"/>
      <c r="C79" s="160"/>
      <c r="D79" s="160"/>
      <c r="E79" s="164">
        <f>SUM(E71:E78)</f>
        <v>0</v>
      </c>
      <c r="F79" s="186">
        <f>SUM(F71:F78)</f>
        <v>0</v>
      </c>
      <c r="G79" s="169"/>
      <c r="I79" s="155"/>
      <c r="J79" s="194"/>
      <c r="K79" s="181"/>
      <c r="L79" s="181"/>
      <c r="M79" s="181"/>
      <c r="N79" s="181"/>
      <c r="O79" s="181"/>
      <c r="P79" s="181"/>
    </row>
    <row r="80" s="153" customFormat="1" ht="14" customHeight="1" spans="1:16">
      <c r="A80" s="188"/>
      <c r="B80" s="189"/>
      <c r="C80" s="189"/>
      <c r="D80" s="190"/>
      <c r="E80" s="164"/>
      <c r="F80" s="164"/>
      <c r="G80" s="169"/>
      <c r="I80" s="155"/>
      <c r="J80" s="195"/>
      <c r="K80" s="195"/>
      <c r="L80" s="195"/>
      <c r="M80" s="195"/>
      <c r="N80" s="181"/>
      <c r="O80" s="181"/>
      <c r="P80" s="181"/>
    </row>
    <row r="81" s="153" customFormat="1" ht="14" customHeight="1" spans="1:16">
      <c r="A81" s="188"/>
      <c r="B81" s="189"/>
      <c r="C81" s="189"/>
      <c r="D81" s="190"/>
      <c r="E81" s="164"/>
      <c r="F81" s="186"/>
      <c r="G81" s="169"/>
      <c r="I81" s="155"/>
      <c r="J81" s="195"/>
      <c r="K81" s="195"/>
      <c r="L81" s="195"/>
      <c r="M81" s="195"/>
      <c r="N81" s="181"/>
      <c r="O81" s="181"/>
      <c r="P81" s="181"/>
    </row>
    <row r="82" s="153" customFormat="1" ht="14" customHeight="1" spans="1:16">
      <c r="A82" s="188"/>
      <c r="B82" s="189" t="s">
        <v>54</v>
      </c>
      <c r="C82" s="189"/>
      <c r="D82" s="190"/>
      <c r="E82" s="164">
        <f>工会经费!F3</f>
        <v>2326.023</v>
      </c>
      <c r="F82" s="164">
        <v>0</v>
      </c>
      <c r="G82" s="169"/>
      <c r="I82" s="155"/>
      <c r="J82" s="194"/>
      <c r="K82" s="181"/>
      <c r="L82" s="181"/>
      <c r="M82" s="181"/>
      <c r="N82" s="181"/>
      <c r="O82" s="181"/>
      <c r="P82" s="181"/>
    </row>
    <row r="83" s="153" customFormat="1" ht="14" customHeight="1" spans="1:16">
      <c r="A83" s="188"/>
      <c r="B83" s="189" t="s">
        <v>55</v>
      </c>
      <c r="C83" s="189"/>
      <c r="D83" s="190"/>
      <c r="E83" s="85">
        <f>51925.6/2*6</f>
        <v>155776.8</v>
      </c>
      <c r="F83" s="186"/>
      <c r="G83" s="169"/>
      <c r="I83" s="155"/>
      <c r="J83" s="156"/>
      <c r="N83" s="181"/>
      <c r="O83" s="181"/>
      <c r="P83" s="181"/>
    </row>
    <row r="84" s="153" customFormat="1" ht="14" customHeight="1" spans="1:16">
      <c r="A84" s="188"/>
      <c r="B84" s="189" t="s">
        <v>56</v>
      </c>
      <c r="C84" s="189"/>
      <c r="D84" s="190"/>
      <c r="E84" s="164">
        <f>(11150.71+10735.83)/2*6</f>
        <v>65659.62</v>
      </c>
      <c r="F84" s="164"/>
      <c r="G84" s="169"/>
      <c r="I84" s="155"/>
      <c r="J84" s="156"/>
      <c r="N84" s="181"/>
      <c r="O84" s="181"/>
      <c r="P84" s="181"/>
    </row>
    <row r="85" s="153" customFormat="1" ht="14" customHeight="1" spans="1:16">
      <c r="A85" s="188"/>
      <c r="B85" s="189" t="s">
        <v>57</v>
      </c>
      <c r="C85" s="189"/>
      <c r="D85" s="190"/>
      <c r="E85" s="164">
        <v>2218.22</v>
      </c>
      <c r="F85" s="164"/>
      <c r="G85" s="169"/>
      <c r="I85" s="155"/>
      <c r="J85" s="156"/>
      <c r="N85" s="181"/>
      <c r="O85" s="181"/>
      <c r="P85" s="181"/>
    </row>
    <row r="86" s="153" customFormat="1" ht="14" customHeight="1" spans="1:16">
      <c r="A86" s="191" t="s">
        <v>94</v>
      </c>
      <c r="B86" s="192"/>
      <c r="C86" s="192"/>
      <c r="D86" s="193"/>
      <c r="E86" s="172">
        <f>SUM(E80:E85)+E79+E67+E50</f>
        <v>369533.864166448</v>
      </c>
      <c r="F86" s="172">
        <f>SUM(F80:F85)+F79+F67+F50</f>
        <v>143553.201166448</v>
      </c>
      <c r="G86" s="173"/>
      <c r="I86" s="155"/>
      <c r="J86" s="156"/>
      <c r="N86" s="181"/>
      <c r="O86" s="181"/>
      <c r="P86" s="181"/>
    </row>
  </sheetData>
  <mergeCells count="14">
    <mergeCell ref="O1:P1"/>
    <mergeCell ref="A2:G2"/>
    <mergeCell ref="A19:D19"/>
    <mergeCell ref="A20:G20"/>
    <mergeCell ref="A34:D34"/>
    <mergeCell ref="A35:G35"/>
    <mergeCell ref="A48:D48"/>
    <mergeCell ref="A51:G51"/>
    <mergeCell ref="A52:G52"/>
    <mergeCell ref="A67:D67"/>
    <mergeCell ref="A68:G68"/>
    <mergeCell ref="A79:D79"/>
    <mergeCell ref="A86:D86"/>
    <mergeCell ref="O6:O7"/>
  </mergeCells>
  <pageMargins left="0.75" right="0.75" top="1" bottom="1" header="0.5" footer="0.5"/>
  <pageSetup paperSize="9" scale="96" orientation="portrait"/>
  <headerFooter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F25"/>
  <sheetViews>
    <sheetView workbookViewId="0">
      <selection activeCell="A9" sqref="A9:A14"/>
    </sheetView>
  </sheetViews>
  <sheetFormatPr defaultColWidth="9" defaultRowHeight="13.5" outlineLevelCol="5"/>
  <cols>
    <col min="2" max="2" width="61.625" customWidth="1"/>
    <col min="3" max="3" width="13.75" customWidth="1"/>
    <col min="4" max="4" width="12.125" customWidth="1"/>
    <col min="5" max="5" width="14.125"/>
    <col min="6" max="6" width="20.25" customWidth="1"/>
  </cols>
  <sheetData>
    <row r="3" ht="14.25" spans="1:6">
      <c r="A3" s="136" t="s">
        <v>60</v>
      </c>
      <c r="B3" s="137" t="s">
        <v>61</v>
      </c>
      <c r="C3" s="138" t="s">
        <v>3</v>
      </c>
      <c r="D3" s="138" t="s">
        <v>62</v>
      </c>
      <c r="E3" s="137" t="s">
        <v>28</v>
      </c>
      <c r="F3" s="139" t="s">
        <v>6</v>
      </c>
    </row>
    <row r="4" ht="14.25" spans="1:6">
      <c r="A4" s="140" t="s">
        <v>106</v>
      </c>
      <c r="B4" s="137" t="s">
        <v>107</v>
      </c>
      <c r="C4" s="141">
        <v>225200</v>
      </c>
      <c r="D4" s="141">
        <f t="shared" ref="D4:D8" si="0">C4/1.05*0.05</f>
        <v>10723.8095238095</v>
      </c>
      <c r="E4" s="141"/>
      <c r="F4" s="142" t="s">
        <v>108</v>
      </c>
    </row>
    <row r="5" ht="14.25" spans="1:6">
      <c r="A5" s="140"/>
      <c r="B5" s="137" t="s">
        <v>109</v>
      </c>
      <c r="C5" s="141">
        <v>229404</v>
      </c>
      <c r="D5" s="141">
        <f>C5/1.09*0.09</f>
        <v>18941.6146788991</v>
      </c>
      <c r="E5" s="141"/>
      <c r="F5" s="143"/>
    </row>
    <row r="6" ht="14.25" spans="1:6">
      <c r="A6" s="140"/>
      <c r="B6" s="137" t="s">
        <v>110</v>
      </c>
      <c r="C6" s="141">
        <v>229404</v>
      </c>
      <c r="D6" s="141">
        <f>C6/1.09*0.09</f>
        <v>18941.6146788991</v>
      </c>
      <c r="E6" s="141"/>
      <c r="F6" s="143"/>
    </row>
    <row r="7" ht="14.25" spans="1:6">
      <c r="A7" s="140"/>
      <c r="B7" s="144" t="s">
        <v>111</v>
      </c>
      <c r="C7" s="145">
        <v>305070</v>
      </c>
      <c r="D7" s="141">
        <f t="shared" si="0"/>
        <v>14527.1428571429</v>
      </c>
      <c r="E7" s="141"/>
      <c r="F7" s="143"/>
    </row>
    <row r="8" ht="14.25" spans="1:6">
      <c r="A8" s="140"/>
      <c r="B8" s="144" t="s">
        <v>112</v>
      </c>
      <c r="C8" s="145">
        <v>262010</v>
      </c>
      <c r="D8" s="141">
        <f t="shared" si="0"/>
        <v>12476.6666666667</v>
      </c>
      <c r="E8" s="141"/>
      <c r="F8" s="146"/>
    </row>
    <row r="9" ht="14.25" spans="1:6">
      <c r="A9" s="140" t="s">
        <v>113</v>
      </c>
      <c r="B9" s="147" t="s">
        <v>114</v>
      </c>
      <c r="C9" s="148">
        <v>273400</v>
      </c>
      <c r="D9" s="149"/>
      <c r="E9" s="141">
        <f>C9+C10</f>
        <v>979964</v>
      </c>
      <c r="F9" s="139" t="s">
        <v>115</v>
      </c>
    </row>
    <row r="10" ht="14.25" spans="1:6">
      <c r="A10" s="140"/>
      <c r="B10" s="147" t="s">
        <v>116</v>
      </c>
      <c r="C10" s="148">
        <v>706564</v>
      </c>
      <c r="D10" s="149"/>
      <c r="E10" s="141"/>
      <c r="F10" s="139"/>
    </row>
    <row r="11" ht="14.25" spans="1:6">
      <c r="A11" s="140"/>
      <c r="B11" s="147" t="s">
        <v>117</v>
      </c>
      <c r="C11" s="148">
        <v>180973</v>
      </c>
      <c r="D11" s="141"/>
      <c r="E11" s="141">
        <f>C11+C12+C13+C14</f>
        <v>451070</v>
      </c>
      <c r="F11" s="139" t="s">
        <v>118</v>
      </c>
    </row>
    <row r="12" ht="14.25" spans="1:6">
      <c r="A12" s="140"/>
      <c r="B12" s="147" t="s">
        <v>119</v>
      </c>
      <c r="C12" s="148">
        <v>108973</v>
      </c>
      <c r="D12" s="141"/>
      <c r="E12" s="141"/>
      <c r="F12" s="139"/>
    </row>
    <row r="13" ht="14.25" spans="1:6">
      <c r="A13" s="140"/>
      <c r="B13" s="147" t="s">
        <v>120</v>
      </c>
      <c r="C13" s="148">
        <v>83124</v>
      </c>
      <c r="D13" s="149"/>
      <c r="E13" s="149"/>
      <c r="F13" s="139"/>
    </row>
    <row r="14" ht="14.25" spans="1:6">
      <c r="A14" s="140"/>
      <c r="B14" s="147" t="s">
        <v>121</v>
      </c>
      <c r="C14" s="148">
        <v>78000</v>
      </c>
      <c r="D14" s="149"/>
      <c r="E14" s="149"/>
      <c r="F14" s="139"/>
    </row>
    <row r="15" ht="14.25" spans="1:6">
      <c r="A15" s="136" t="s">
        <v>122</v>
      </c>
      <c r="B15" s="147" t="s">
        <v>123</v>
      </c>
      <c r="C15" s="148">
        <v>262010</v>
      </c>
      <c r="D15" s="139"/>
      <c r="E15" s="139">
        <f>C15</f>
        <v>262010</v>
      </c>
      <c r="F15" s="139" t="s">
        <v>124</v>
      </c>
    </row>
    <row r="16" ht="14.25" spans="1:6">
      <c r="A16" s="140" t="s">
        <v>125</v>
      </c>
      <c r="B16" s="147" t="s">
        <v>126</v>
      </c>
      <c r="C16" s="148">
        <v>250000</v>
      </c>
      <c r="D16" s="149"/>
      <c r="E16" s="149">
        <f>C16+C17+C18+C19</f>
        <v>490000</v>
      </c>
      <c r="F16" s="139" t="s">
        <v>127</v>
      </c>
    </row>
    <row r="17" ht="14.25" spans="1:6">
      <c r="A17" s="140"/>
      <c r="B17" s="144" t="s">
        <v>128</v>
      </c>
      <c r="C17" s="145">
        <v>200000</v>
      </c>
      <c r="D17" s="149"/>
      <c r="E17" s="149"/>
      <c r="F17" s="139"/>
    </row>
    <row r="18" ht="14.25" spans="1:6">
      <c r="A18" s="140"/>
      <c r="B18" s="144" t="s">
        <v>129</v>
      </c>
      <c r="C18" s="145">
        <v>20000</v>
      </c>
      <c r="D18" s="149"/>
      <c r="E18" s="149"/>
      <c r="F18" s="139"/>
    </row>
    <row r="19" ht="14.25" spans="1:6">
      <c r="A19" s="140"/>
      <c r="B19" s="147" t="s">
        <v>130</v>
      </c>
      <c r="C19" s="148">
        <v>20000</v>
      </c>
      <c r="D19" s="149"/>
      <c r="E19" s="149"/>
      <c r="F19" s="139"/>
    </row>
    <row r="20" ht="14.25" spans="1:6">
      <c r="A20" s="140" t="s">
        <v>84</v>
      </c>
      <c r="B20" s="150" t="s">
        <v>89</v>
      </c>
      <c r="C20" s="151">
        <v>30000</v>
      </c>
      <c r="D20" s="149"/>
      <c r="E20" s="149">
        <f>C20+C21+C22+C23</f>
        <v>191818</v>
      </c>
      <c r="F20" s="139" t="s">
        <v>131</v>
      </c>
    </row>
    <row r="21" ht="14.25" spans="1:6">
      <c r="A21" s="140"/>
      <c r="B21" s="147" t="s">
        <v>132</v>
      </c>
      <c r="C21" s="148">
        <v>34760</v>
      </c>
      <c r="D21" s="149"/>
      <c r="E21" s="141"/>
      <c r="F21" s="139"/>
    </row>
    <row r="22" ht="14.25" spans="1:6">
      <c r="A22" s="140"/>
      <c r="B22" s="147" t="s">
        <v>133</v>
      </c>
      <c r="C22" s="148">
        <v>1380</v>
      </c>
      <c r="D22" s="149"/>
      <c r="E22" s="141"/>
      <c r="F22" s="139"/>
    </row>
    <row r="23" ht="14.25" spans="1:6">
      <c r="A23" s="140"/>
      <c r="B23" s="147" t="s">
        <v>134</v>
      </c>
      <c r="C23" s="148">
        <v>125678</v>
      </c>
      <c r="D23" s="149"/>
      <c r="E23" s="141"/>
      <c r="F23" s="139"/>
    </row>
    <row r="24" ht="14.25" spans="1:6">
      <c r="A24" s="140" t="s">
        <v>135</v>
      </c>
      <c r="B24" s="152" t="s">
        <v>136</v>
      </c>
      <c r="C24" s="149">
        <v>251160</v>
      </c>
      <c r="D24" s="149">
        <v>11960</v>
      </c>
      <c r="E24" s="149"/>
      <c r="F24" s="142" t="s">
        <v>108</v>
      </c>
    </row>
    <row r="25" ht="14.25" spans="1:6">
      <c r="A25" s="140"/>
      <c r="B25" s="152" t="s">
        <v>136</v>
      </c>
      <c r="C25" s="149">
        <v>-224640</v>
      </c>
      <c r="D25" s="149">
        <v>-10697.14</v>
      </c>
      <c r="E25" s="149"/>
      <c r="F25" s="146"/>
    </row>
  </sheetData>
  <mergeCells count="7">
    <mergeCell ref="A4:A8"/>
    <mergeCell ref="A9:A14"/>
    <mergeCell ref="A16:A19"/>
    <mergeCell ref="A20:A23"/>
    <mergeCell ref="A24:A25"/>
    <mergeCell ref="F4:F8"/>
    <mergeCell ref="F24:F2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2"/>
  <sheetViews>
    <sheetView workbookViewId="0">
      <selection activeCell="L15" sqref="L15"/>
    </sheetView>
  </sheetViews>
  <sheetFormatPr defaultColWidth="9" defaultRowHeight="13.5"/>
  <cols>
    <col min="2" max="2" width="24.875" customWidth="1"/>
    <col min="4" max="4" width="12.6333333333333" style="67" customWidth="1"/>
    <col min="7" max="7" width="11.5" customWidth="1"/>
    <col min="8" max="8" width="9.375" customWidth="1"/>
    <col min="9" max="9" width="12.375" customWidth="1"/>
  </cols>
  <sheetData>
    <row r="2" ht="14.25" spans="1:11">
      <c r="A2" s="131" t="s">
        <v>8</v>
      </c>
      <c r="B2" s="131" t="s">
        <v>137</v>
      </c>
      <c r="C2" s="131" t="s">
        <v>138</v>
      </c>
      <c r="D2" s="131" t="s">
        <v>139</v>
      </c>
      <c r="E2" s="131" t="s">
        <v>140</v>
      </c>
      <c r="F2" s="131" t="s">
        <v>4</v>
      </c>
      <c r="G2" s="132" t="s">
        <v>62</v>
      </c>
      <c r="H2" s="131" t="s">
        <v>141</v>
      </c>
      <c r="I2" s="131" t="s">
        <v>142</v>
      </c>
      <c r="J2" s="131" t="s">
        <v>6</v>
      </c>
      <c r="K2" s="134"/>
    </row>
    <row r="3" ht="14.25" spans="1:10">
      <c r="A3" s="131" t="s">
        <v>65</v>
      </c>
      <c r="B3" s="131" t="s">
        <v>143</v>
      </c>
      <c r="C3" s="131">
        <v>55.66</v>
      </c>
      <c r="D3" s="133">
        <f t="shared" ref="D3:D6" si="0">E3/C3</f>
        <v>14013.6543298599</v>
      </c>
      <c r="E3" s="131">
        <v>780000</v>
      </c>
      <c r="F3" s="131">
        <v>0.05</v>
      </c>
      <c r="G3" s="132">
        <f>E3/1.05*0.05</f>
        <v>37142.8571428571</v>
      </c>
      <c r="H3" s="213" t="s">
        <v>144</v>
      </c>
      <c r="I3" s="131" t="s">
        <v>145</v>
      </c>
      <c r="J3" s="123"/>
    </row>
    <row r="4" ht="14.25" spans="1:10">
      <c r="A4" s="131" t="s">
        <v>67</v>
      </c>
      <c r="B4" s="131" t="s">
        <v>146</v>
      </c>
      <c r="C4" s="131">
        <v>62.96</v>
      </c>
      <c r="D4" s="133">
        <f t="shared" si="0"/>
        <v>13098.999364676</v>
      </c>
      <c r="E4" s="131">
        <v>824713</v>
      </c>
      <c r="F4" s="131">
        <v>0.05</v>
      </c>
      <c r="G4" s="132">
        <f>E4/1.05*0.05</f>
        <v>39272.0476190476</v>
      </c>
      <c r="H4" s="213" t="s">
        <v>147</v>
      </c>
      <c r="I4" s="131" t="s">
        <v>145</v>
      </c>
      <c r="J4" s="123"/>
    </row>
    <row r="5" ht="14.25" spans="1:10">
      <c r="A5" s="131" t="s">
        <v>148</v>
      </c>
      <c r="B5" s="131" t="s">
        <v>149</v>
      </c>
      <c r="C5" s="131">
        <v>74.86</v>
      </c>
      <c r="D5" s="133">
        <f t="shared" si="0"/>
        <v>3500</v>
      </c>
      <c r="E5" s="131">
        <v>262010</v>
      </c>
      <c r="F5" s="131">
        <v>0.05</v>
      </c>
      <c r="G5" s="132">
        <v>12476.67</v>
      </c>
      <c r="H5" s="213" t="s">
        <v>150</v>
      </c>
      <c r="I5" s="131" t="s">
        <v>151</v>
      </c>
      <c r="J5" s="123"/>
    </row>
    <row r="6" ht="14.25" spans="1:10">
      <c r="A6" s="131" t="s">
        <v>152</v>
      </c>
      <c r="B6" s="131" t="s">
        <v>153</v>
      </c>
      <c r="C6" s="131">
        <v>101.69</v>
      </c>
      <c r="D6" s="133">
        <f t="shared" si="0"/>
        <v>3000</v>
      </c>
      <c r="E6" s="131">
        <v>305070</v>
      </c>
      <c r="F6" s="131">
        <v>0.05</v>
      </c>
      <c r="G6" s="132">
        <v>14527.14</v>
      </c>
      <c r="H6" s="213" t="s">
        <v>154</v>
      </c>
      <c r="I6" s="131" t="s">
        <v>155</v>
      </c>
      <c r="J6" s="123"/>
    </row>
    <row r="7" ht="14.25" spans="1:10">
      <c r="A7" s="131" t="s">
        <v>156</v>
      </c>
      <c r="B7" s="131" t="s">
        <v>157</v>
      </c>
      <c r="C7" s="131">
        <v>85.38</v>
      </c>
      <c r="D7" s="133">
        <v>2825.68</v>
      </c>
      <c r="E7" s="131">
        <v>262970</v>
      </c>
      <c r="F7" s="131">
        <v>0.09</v>
      </c>
      <c r="G7" s="131">
        <v>21713.15</v>
      </c>
      <c r="H7" s="213" t="s">
        <v>158</v>
      </c>
      <c r="I7" s="131" t="s">
        <v>159</v>
      </c>
      <c r="J7" s="123"/>
    </row>
    <row r="8" ht="14.25" spans="1:10">
      <c r="A8" s="131" t="s">
        <v>160</v>
      </c>
      <c r="B8" s="131" t="s">
        <v>161</v>
      </c>
      <c r="C8" s="131">
        <v>94.45</v>
      </c>
      <c r="D8" s="133">
        <f t="shared" ref="D8:D22" si="1">E8/C8</f>
        <v>2800</v>
      </c>
      <c r="E8" s="131">
        <v>264460</v>
      </c>
      <c r="F8" s="131">
        <v>0.09</v>
      </c>
      <c r="G8" s="131">
        <v>21836.15</v>
      </c>
      <c r="H8" s="213" t="s">
        <v>162</v>
      </c>
      <c r="I8" s="131" t="s">
        <v>163</v>
      </c>
      <c r="J8" s="123"/>
    </row>
    <row r="9" ht="14.25" spans="1:10">
      <c r="A9" s="131" t="s">
        <v>15</v>
      </c>
      <c r="B9" s="131" t="s">
        <v>164</v>
      </c>
      <c r="C9" s="131">
        <v>72.37</v>
      </c>
      <c r="D9" s="133">
        <f t="shared" si="1"/>
        <v>3000</v>
      </c>
      <c r="E9" s="131">
        <v>217110</v>
      </c>
      <c r="F9" s="131">
        <v>0.09</v>
      </c>
      <c r="G9" s="131">
        <v>178926.51</v>
      </c>
      <c r="H9" s="213" t="s">
        <v>165</v>
      </c>
      <c r="I9" s="131" t="s">
        <v>166</v>
      </c>
      <c r="J9" s="123"/>
    </row>
    <row r="10" ht="14.25" spans="1:10">
      <c r="A10" s="131" t="s">
        <v>69</v>
      </c>
      <c r="B10" s="131" t="s">
        <v>167</v>
      </c>
      <c r="C10" s="131">
        <v>77.09</v>
      </c>
      <c r="D10" s="133">
        <f t="shared" si="1"/>
        <v>2749.99351407446</v>
      </c>
      <c r="E10" s="131">
        <v>211997</v>
      </c>
      <c r="F10" s="131">
        <v>0.09</v>
      </c>
      <c r="G10" s="131">
        <v>17504.34</v>
      </c>
      <c r="H10" s="213" t="s">
        <v>168</v>
      </c>
      <c r="I10" s="131" t="s">
        <v>169</v>
      </c>
      <c r="J10" s="123"/>
    </row>
    <row r="11" ht="14.25" spans="1:10">
      <c r="A11" s="131" t="s">
        <v>70</v>
      </c>
      <c r="B11" s="131" t="s">
        <v>170</v>
      </c>
      <c r="C11" s="131">
        <v>72.37</v>
      </c>
      <c r="D11" s="133">
        <f t="shared" si="1"/>
        <v>2838.91115102943</v>
      </c>
      <c r="E11" s="131">
        <v>205452</v>
      </c>
      <c r="F11" s="131">
        <v>0.09</v>
      </c>
      <c r="G11" s="131">
        <v>16963.93</v>
      </c>
      <c r="H11" s="213" t="s">
        <v>171</v>
      </c>
      <c r="I11" s="131" t="s">
        <v>172</v>
      </c>
      <c r="J11" s="123"/>
    </row>
    <row r="12" ht="14.25" spans="1:10">
      <c r="A12" s="131" t="s">
        <v>71</v>
      </c>
      <c r="B12" s="131" t="s">
        <v>173</v>
      </c>
      <c r="C12" s="131">
        <v>94.45</v>
      </c>
      <c r="D12" s="133">
        <f t="shared" si="1"/>
        <v>3091.58284806776</v>
      </c>
      <c r="E12" s="131">
        <v>292000</v>
      </c>
      <c r="F12" s="131">
        <v>0.09</v>
      </c>
      <c r="G12" s="131">
        <v>24110.09</v>
      </c>
      <c r="H12" s="213" t="s">
        <v>174</v>
      </c>
      <c r="I12" s="131" t="s">
        <v>175</v>
      </c>
      <c r="J12" s="123"/>
    </row>
    <row r="13" ht="14.25" spans="1:10">
      <c r="A13" s="131" t="s">
        <v>72</v>
      </c>
      <c r="B13" s="131" t="s">
        <v>176</v>
      </c>
      <c r="C13" s="131">
        <v>54.91</v>
      </c>
      <c r="D13" s="133">
        <f t="shared" si="1"/>
        <v>2950.00910580951</v>
      </c>
      <c r="E13" s="131">
        <v>161985</v>
      </c>
      <c r="F13" s="131">
        <v>0.09</v>
      </c>
      <c r="G13" s="131">
        <v>13374.91</v>
      </c>
      <c r="H13" s="213" t="s">
        <v>177</v>
      </c>
      <c r="I13" s="131" t="s">
        <v>178</v>
      </c>
      <c r="J13" s="123"/>
    </row>
    <row r="14" ht="14.25" spans="1:10">
      <c r="A14" s="131" t="s">
        <v>73</v>
      </c>
      <c r="B14" s="131" t="s">
        <v>179</v>
      </c>
      <c r="C14" s="131">
        <v>91.51</v>
      </c>
      <c r="D14" s="133">
        <f t="shared" si="1"/>
        <v>71.3583214949186</v>
      </c>
      <c r="E14" s="131">
        <v>6530</v>
      </c>
      <c r="F14" s="131">
        <v>0.09</v>
      </c>
      <c r="G14" s="131">
        <v>539.17</v>
      </c>
      <c r="H14" s="213" t="s">
        <v>180</v>
      </c>
      <c r="I14" s="131" t="s">
        <v>181</v>
      </c>
      <c r="J14" s="123"/>
    </row>
    <row r="15" ht="14.25" spans="1:10">
      <c r="A15" s="131" t="s">
        <v>182</v>
      </c>
      <c r="B15" s="131" t="s">
        <v>183</v>
      </c>
      <c r="C15" s="131">
        <v>81.93</v>
      </c>
      <c r="D15" s="133">
        <f t="shared" si="1"/>
        <v>2800</v>
      </c>
      <c r="E15" s="131">
        <v>229404</v>
      </c>
      <c r="F15" s="131">
        <v>0.09</v>
      </c>
      <c r="G15" s="131">
        <v>18941.61</v>
      </c>
      <c r="H15" s="213" t="s">
        <v>184</v>
      </c>
      <c r="I15" s="131" t="s">
        <v>185</v>
      </c>
      <c r="J15" s="123"/>
    </row>
    <row r="16" ht="14.25" spans="1:10">
      <c r="A16" s="131" t="s">
        <v>186</v>
      </c>
      <c r="B16" s="131" t="s">
        <v>187</v>
      </c>
      <c r="C16" s="131">
        <v>81.93</v>
      </c>
      <c r="D16" s="133">
        <f t="shared" si="1"/>
        <v>2800</v>
      </c>
      <c r="E16" s="131">
        <v>229404</v>
      </c>
      <c r="F16" s="131">
        <v>0.09</v>
      </c>
      <c r="G16" s="131">
        <v>18941.61</v>
      </c>
      <c r="H16" s="213" t="s">
        <v>188</v>
      </c>
      <c r="I16" s="131" t="s">
        <v>185</v>
      </c>
      <c r="J16" s="123"/>
    </row>
    <row r="17" ht="14.25" spans="1:10">
      <c r="A17" s="131" t="s">
        <v>87</v>
      </c>
      <c r="B17" s="131" t="s">
        <v>189</v>
      </c>
      <c r="C17" s="131">
        <v>88.35</v>
      </c>
      <c r="D17" s="133">
        <f t="shared" si="1"/>
        <v>-2460</v>
      </c>
      <c r="E17" s="131">
        <v>-217341</v>
      </c>
      <c r="F17" s="131">
        <v>0.05</v>
      </c>
      <c r="G17" s="132">
        <f>E17/1.05*0.05</f>
        <v>-10349.5714285714</v>
      </c>
      <c r="H17" s="131" t="s">
        <v>190</v>
      </c>
      <c r="I17" s="135">
        <v>44973</v>
      </c>
      <c r="J17" s="123"/>
    </row>
    <row r="18" ht="14.25" spans="1:10">
      <c r="A18" s="131" t="s">
        <v>87</v>
      </c>
      <c r="B18" s="131" t="s">
        <v>189</v>
      </c>
      <c r="C18" s="131">
        <v>88.28</v>
      </c>
      <c r="D18" s="133">
        <f t="shared" si="1"/>
        <v>2460.0022655188</v>
      </c>
      <c r="E18" s="131">
        <v>217169</v>
      </c>
      <c r="F18" s="131">
        <v>0.05</v>
      </c>
      <c r="G18" s="132">
        <f>E18/1.05*0.05</f>
        <v>10341.380952381</v>
      </c>
      <c r="H18" s="131" t="s">
        <v>190</v>
      </c>
      <c r="I18" s="135">
        <v>44973</v>
      </c>
      <c r="J18" s="123"/>
    </row>
    <row r="19" ht="14.25" spans="1:10">
      <c r="A19" s="131" t="s">
        <v>86</v>
      </c>
      <c r="B19" s="131" t="s">
        <v>191</v>
      </c>
      <c r="C19" s="131">
        <v>99.69</v>
      </c>
      <c r="D19" s="133">
        <f t="shared" si="1"/>
        <v>2579.99799378072</v>
      </c>
      <c r="E19" s="131">
        <v>257200</v>
      </c>
      <c r="F19" s="131">
        <v>0.05</v>
      </c>
      <c r="G19" s="132">
        <v>12247.6</v>
      </c>
      <c r="H19" s="213" t="s">
        <v>192</v>
      </c>
      <c r="I19" s="135">
        <v>44980</v>
      </c>
      <c r="J19" s="123"/>
    </row>
    <row r="20" ht="14.25" spans="1:10">
      <c r="A20" s="131" t="s">
        <v>193</v>
      </c>
      <c r="B20" s="131" t="s">
        <v>194</v>
      </c>
      <c r="C20" s="131">
        <v>90.08</v>
      </c>
      <c r="D20" s="133">
        <f t="shared" si="1"/>
        <v>2500</v>
      </c>
      <c r="E20" s="131">
        <v>225200</v>
      </c>
      <c r="F20" s="131">
        <v>0.05</v>
      </c>
      <c r="G20" s="132">
        <v>10723.81</v>
      </c>
      <c r="H20" s="213" t="s">
        <v>195</v>
      </c>
      <c r="I20" s="135">
        <v>45006</v>
      </c>
      <c r="J20" s="123"/>
    </row>
    <row r="21" ht="14.25" spans="1:10">
      <c r="A21" s="131" t="s">
        <v>196</v>
      </c>
      <c r="B21" s="131" t="s">
        <v>197</v>
      </c>
      <c r="C21" s="131">
        <v>38.64</v>
      </c>
      <c r="D21" s="133">
        <f t="shared" si="1"/>
        <v>6500</v>
      </c>
      <c r="E21" s="131">
        <v>251160</v>
      </c>
      <c r="F21" s="131">
        <v>0.05</v>
      </c>
      <c r="G21" s="132">
        <v>11960</v>
      </c>
      <c r="H21" s="213" t="s">
        <v>198</v>
      </c>
      <c r="I21" s="135">
        <v>45013</v>
      </c>
      <c r="J21" s="123"/>
    </row>
    <row r="22" ht="14.25" spans="1:10">
      <c r="A22" s="131" t="s">
        <v>196</v>
      </c>
      <c r="B22" s="131" t="s">
        <v>197</v>
      </c>
      <c r="C22" s="131">
        <v>-34.56</v>
      </c>
      <c r="D22" s="133">
        <f t="shared" si="1"/>
        <v>6500</v>
      </c>
      <c r="E22" s="131">
        <v>-224640</v>
      </c>
      <c r="F22" s="131">
        <v>0.05</v>
      </c>
      <c r="G22" s="132">
        <v>-10697</v>
      </c>
      <c r="H22" s="213" t="s">
        <v>199</v>
      </c>
      <c r="I22" s="135">
        <v>45013</v>
      </c>
      <c r="J22" s="123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:N10"/>
  <sheetViews>
    <sheetView workbookViewId="0">
      <selection activeCell="M9" sqref="M9"/>
    </sheetView>
  </sheetViews>
  <sheetFormatPr defaultColWidth="9" defaultRowHeight="13.5"/>
  <cols>
    <col min="1" max="3" width="9" style="125"/>
    <col min="4" max="4" width="14.8833333333333" style="125" customWidth="1"/>
    <col min="5" max="6" width="13" style="125" customWidth="1"/>
    <col min="7" max="7" width="18.1333333333333" style="125" customWidth="1"/>
    <col min="8" max="9" width="10.6333333333333" style="125" customWidth="1"/>
    <col min="10" max="11" width="13.3833333333333" style="125" customWidth="1"/>
    <col min="12" max="12" width="19" style="125" customWidth="1"/>
    <col min="13" max="13" width="27.8833333333333" style="125" customWidth="1"/>
    <col min="14" max="14" width="16.3833333333333" style="125" customWidth="1"/>
    <col min="15" max="16384" width="9" style="125"/>
  </cols>
  <sheetData>
    <row r="4" s="125" customFormat="1" ht="41.25" customHeight="1" spans="3:14">
      <c r="C4" s="126" t="s">
        <v>200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</row>
    <row r="5" s="125" customFormat="1" ht="48" customHeight="1" spans="3:14">
      <c r="C5" s="127" t="s">
        <v>1</v>
      </c>
      <c r="D5" s="127" t="s">
        <v>201</v>
      </c>
      <c r="E5" s="128" t="s">
        <v>202</v>
      </c>
      <c r="F5" s="129" t="s">
        <v>203</v>
      </c>
      <c r="G5" s="129" t="s">
        <v>204</v>
      </c>
      <c r="H5" s="127" t="s">
        <v>205</v>
      </c>
      <c r="I5" s="127" t="s">
        <v>206</v>
      </c>
      <c r="J5" s="127" t="s">
        <v>207</v>
      </c>
      <c r="K5" s="127" t="s">
        <v>208</v>
      </c>
      <c r="L5" s="127" t="s">
        <v>209</v>
      </c>
      <c r="M5" s="127" t="s">
        <v>210</v>
      </c>
      <c r="N5" s="127" t="s">
        <v>6</v>
      </c>
    </row>
    <row r="6" s="125" customFormat="1" ht="48" customHeight="1" spans="3:14">
      <c r="C6" s="127">
        <v>1</v>
      </c>
      <c r="D6" s="127" t="s">
        <v>211</v>
      </c>
      <c r="E6" s="127">
        <v>33446.1</v>
      </c>
      <c r="F6" s="127">
        <v>33430.6</v>
      </c>
      <c r="G6" s="127">
        <f>33430.6-3013.53-30417.07</f>
        <v>0</v>
      </c>
      <c r="H6" s="127" t="s">
        <v>212</v>
      </c>
      <c r="I6" s="127">
        <v>6</v>
      </c>
      <c r="J6" s="127">
        <f t="shared" ref="J6:J9" si="0">ROUND(G6*I6,2)</f>
        <v>0</v>
      </c>
      <c r="K6" s="127"/>
      <c r="L6" s="127" t="s">
        <v>213</v>
      </c>
      <c r="M6" s="127" t="s">
        <v>214</v>
      </c>
      <c r="N6" s="127" t="s">
        <v>215</v>
      </c>
    </row>
    <row r="7" s="125" customFormat="1" ht="48" customHeight="1" spans="3:14">
      <c r="C7" s="127">
        <v>2</v>
      </c>
      <c r="D7" s="127" t="s">
        <v>216</v>
      </c>
      <c r="E7" s="127">
        <v>37188.2</v>
      </c>
      <c r="F7" s="127">
        <v>37057</v>
      </c>
      <c r="G7" s="127">
        <v>11150.71</v>
      </c>
      <c r="H7" s="127" t="s">
        <v>212</v>
      </c>
      <c r="I7" s="127">
        <v>6</v>
      </c>
      <c r="J7" s="127">
        <f t="shared" si="0"/>
        <v>66904.26</v>
      </c>
      <c r="K7" s="127">
        <f t="shared" ref="K7:K9" si="1">J7/2</f>
        <v>33452.13</v>
      </c>
      <c r="L7" s="127" t="s">
        <v>217</v>
      </c>
      <c r="M7" s="127" t="s">
        <v>218</v>
      </c>
      <c r="N7" s="127" t="s">
        <v>215</v>
      </c>
    </row>
    <row r="8" s="125" customFormat="1" ht="48" customHeight="1" spans="3:14">
      <c r="C8" s="127">
        <v>3</v>
      </c>
      <c r="D8" s="127" t="s">
        <v>219</v>
      </c>
      <c r="E8" s="127">
        <v>27452.9</v>
      </c>
      <c r="F8" s="127"/>
      <c r="G8" s="127">
        <v>10735.83</v>
      </c>
      <c r="H8" s="127" t="s">
        <v>212</v>
      </c>
      <c r="I8" s="127">
        <v>6</v>
      </c>
      <c r="J8" s="127">
        <f t="shared" si="0"/>
        <v>64414.98</v>
      </c>
      <c r="K8" s="127">
        <f t="shared" si="1"/>
        <v>32207.49</v>
      </c>
      <c r="L8" s="127" t="s">
        <v>220</v>
      </c>
      <c r="M8" s="127" t="s">
        <v>221</v>
      </c>
      <c r="N8" s="127" t="s">
        <v>215</v>
      </c>
    </row>
    <row r="9" s="125" customFormat="1" ht="48" customHeight="1" spans="3:14">
      <c r="C9" s="127">
        <v>5</v>
      </c>
      <c r="D9" s="127" t="s">
        <v>222</v>
      </c>
      <c r="E9" s="127"/>
      <c r="F9" s="127"/>
      <c r="G9" s="127">
        <v>51925.6</v>
      </c>
      <c r="H9" s="127" t="s">
        <v>212</v>
      </c>
      <c r="I9" s="127">
        <v>6</v>
      </c>
      <c r="J9" s="127">
        <f t="shared" si="0"/>
        <v>311553.6</v>
      </c>
      <c r="K9" s="127">
        <f t="shared" si="1"/>
        <v>155776.8</v>
      </c>
      <c r="L9" s="127"/>
      <c r="M9" s="127" t="s">
        <v>223</v>
      </c>
      <c r="N9" s="130" t="s">
        <v>224</v>
      </c>
    </row>
    <row r="10" s="125" customFormat="1" ht="48" customHeight="1" spans="3:14">
      <c r="C10" s="127" t="s">
        <v>58</v>
      </c>
      <c r="D10" s="127"/>
      <c r="E10" s="127"/>
      <c r="F10" s="127"/>
      <c r="G10" s="127">
        <f>SUM(G6:G9)</f>
        <v>73812.14</v>
      </c>
      <c r="H10" s="130"/>
      <c r="I10" s="130"/>
      <c r="J10" s="127">
        <f>SUM(J6:J9)</f>
        <v>442872.84</v>
      </c>
      <c r="K10" s="127">
        <f>SUM(K7:K9)</f>
        <v>221436.42</v>
      </c>
      <c r="L10" s="127"/>
      <c r="M10" s="127"/>
      <c r="N10" s="130"/>
    </row>
  </sheetData>
  <mergeCells count="2">
    <mergeCell ref="C4:N4"/>
    <mergeCell ref="C10:D10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H9" sqref="H9"/>
    </sheetView>
  </sheetViews>
  <sheetFormatPr defaultColWidth="8.89166666666667" defaultRowHeight="13.5" outlineLevelRow="3" outlineLevelCol="5"/>
  <cols>
    <col min="1" max="1" width="14.1083333333333" customWidth="1"/>
    <col min="6" max="6" width="9.66666666666667" customWidth="1"/>
  </cols>
  <sheetData>
    <row r="1" ht="18.75" spans="1:6">
      <c r="A1" s="121" t="s">
        <v>225</v>
      </c>
      <c r="B1" s="121"/>
      <c r="C1" s="121"/>
      <c r="D1" s="121"/>
      <c r="E1" s="121"/>
      <c r="F1" s="121"/>
    </row>
    <row r="2" spans="1:6">
      <c r="A2" s="122" t="s">
        <v>226</v>
      </c>
      <c r="B2" s="122" t="s">
        <v>227</v>
      </c>
      <c r="C2" s="122" t="s">
        <v>228</v>
      </c>
      <c r="D2" s="122" t="s">
        <v>229</v>
      </c>
      <c r="E2" s="122" t="s">
        <v>58</v>
      </c>
      <c r="F2" s="122" t="s">
        <v>230</v>
      </c>
    </row>
    <row r="3" spans="1:6">
      <c r="A3" s="122" t="s">
        <v>231</v>
      </c>
      <c r="B3" s="123">
        <v>40518.67</v>
      </c>
      <c r="C3" s="123">
        <v>37215.74</v>
      </c>
      <c r="D3" s="123">
        <v>38566.74</v>
      </c>
      <c r="E3" s="122">
        <f>B3+C3+D3</f>
        <v>116301.15</v>
      </c>
      <c r="F3" s="124">
        <f>E3*0.02</f>
        <v>2326.023</v>
      </c>
    </row>
    <row r="4" spans="1:6">
      <c r="A4" s="122" t="s">
        <v>58</v>
      </c>
      <c r="B4" s="122">
        <f t="shared" ref="B4:F4" si="0">SUM(B3:B3)</f>
        <v>40518.67</v>
      </c>
      <c r="C4" s="122">
        <f t="shared" si="0"/>
        <v>37215.74</v>
      </c>
      <c r="D4" s="122">
        <f t="shared" si="0"/>
        <v>38566.74</v>
      </c>
      <c r="E4" s="122">
        <f t="shared" si="0"/>
        <v>116301.15</v>
      </c>
      <c r="F4" s="124">
        <f t="shared" si="0"/>
        <v>2326.023</v>
      </c>
    </row>
  </sheetData>
  <mergeCells count="1">
    <mergeCell ref="A1:F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selection activeCell="J7" sqref="J7"/>
    </sheetView>
  </sheetViews>
  <sheetFormatPr defaultColWidth="9" defaultRowHeight="13.5"/>
  <cols>
    <col min="1" max="1" width="15.1333333333333" customWidth="1"/>
    <col min="2" max="2" width="17.5" style="99" customWidth="1"/>
    <col min="3" max="3" width="16" style="99"/>
    <col min="4" max="4" width="14.1333333333333" style="99" customWidth="1"/>
    <col min="5" max="5" width="21.5" style="99" customWidth="1"/>
    <col min="6" max="6" width="23.5" style="99" customWidth="1"/>
    <col min="7" max="7" width="16" style="99"/>
    <col min="8" max="8" width="13.75" style="99"/>
    <col min="10" max="10" width="11.5" customWidth="1"/>
    <col min="11" max="11" width="9.125" customWidth="1"/>
  </cols>
  <sheetData>
    <row r="1" ht="40" customHeight="1" spans="1:4">
      <c r="A1" s="100" t="s">
        <v>232</v>
      </c>
      <c r="B1" s="101"/>
      <c r="C1" s="102" t="s">
        <v>233</v>
      </c>
      <c r="D1" s="103" t="s">
        <v>234</v>
      </c>
    </row>
    <row r="2" ht="40" customHeight="1" spans="1:4">
      <c r="A2" s="104" t="s">
        <v>235</v>
      </c>
      <c r="B2" s="105" t="s">
        <v>236</v>
      </c>
      <c r="C2" s="106">
        <v>55.66</v>
      </c>
      <c r="D2" s="107">
        <f>A3*C2</f>
        <v>132670.320453687</v>
      </c>
    </row>
    <row r="3" ht="40" customHeight="1" spans="1:4">
      <c r="A3" s="104">
        <f>(53462711.92-2528130.34)/21368.9</f>
        <v>2383.58462906373</v>
      </c>
      <c r="B3" s="105">
        <f>(3361993.25-76015.96)/1803.99</f>
        <v>1821.50526887621</v>
      </c>
      <c r="C3" s="106">
        <v>62.96</v>
      </c>
      <c r="D3" s="107">
        <f>A3*C3</f>
        <v>150070.488245853</v>
      </c>
    </row>
    <row r="4" ht="40" customHeight="1" spans="1:4">
      <c r="A4" s="108"/>
      <c r="B4" s="109" t="s">
        <v>58</v>
      </c>
      <c r="C4" s="109">
        <f>SUM(C2:C3)</f>
        <v>118.62</v>
      </c>
      <c r="D4" s="110">
        <f>SUM(D2:D3)</f>
        <v>282740.80869954</v>
      </c>
    </row>
    <row r="5" ht="40" customHeight="1" spans="1:2">
      <c r="A5" s="99"/>
      <c r="B5" s="111"/>
    </row>
    <row r="6" ht="40" customHeight="1" spans="1:8">
      <c r="A6" s="112"/>
      <c r="B6" s="113" t="s">
        <v>3</v>
      </c>
      <c r="C6" s="102" t="s">
        <v>237</v>
      </c>
      <c r="D6" s="114" t="s">
        <v>238</v>
      </c>
      <c r="E6" s="114" t="s">
        <v>239</v>
      </c>
      <c r="F6" s="114" t="s">
        <v>240</v>
      </c>
      <c r="G6" s="114" t="s">
        <v>241</v>
      </c>
      <c r="H6" s="103" t="s">
        <v>242</v>
      </c>
    </row>
    <row r="7" ht="40" customHeight="1" spans="1:8">
      <c r="A7" s="104" t="s">
        <v>243</v>
      </c>
      <c r="B7" s="106">
        <v>780000</v>
      </c>
      <c r="C7" s="106">
        <f>B7/1.05</f>
        <v>742857.142857143</v>
      </c>
      <c r="D7" s="105">
        <f>B7/1.05*0.05</f>
        <v>37142.8571428571</v>
      </c>
      <c r="E7" s="105">
        <f>B7-D7</f>
        <v>742857.142857143</v>
      </c>
      <c r="F7" s="105">
        <f>E7-D2</f>
        <v>610186.822403455</v>
      </c>
      <c r="G7" s="115">
        <f>(F7+F8)/D4</f>
        <v>4.4052971775368</v>
      </c>
      <c r="H7" s="116">
        <f>F9*0.5-D4*0.15</f>
        <v>580367.521964347</v>
      </c>
    </row>
    <row r="8" ht="40" customHeight="1" spans="1:10">
      <c r="A8" s="104"/>
      <c r="B8" s="106">
        <v>824713</v>
      </c>
      <c r="C8" s="106">
        <f>B8/1.05</f>
        <v>785440.952380952</v>
      </c>
      <c r="D8" s="105">
        <f>B8/1.05*0.05</f>
        <v>39272.0476190476</v>
      </c>
      <c r="E8" s="105">
        <f>B8-D8</f>
        <v>785440.952380952</v>
      </c>
      <c r="F8" s="105">
        <f>E8-D3</f>
        <v>635370.4641351</v>
      </c>
      <c r="G8" s="115"/>
      <c r="H8" s="117"/>
      <c r="J8" s="66"/>
    </row>
    <row r="9" ht="40" customHeight="1" spans="1:10">
      <c r="A9" s="118" t="s">
        <v>58</v>
      </c>
      <c r="B9" s="109">
        <f>SUM(B7:B8)</f>
        <v>1604713</v>
      </c>
      <c r="C9" s="109">
        <f>SUM(C7:C8)</f>
        <v>1528298.0952381</v>
      </c>
      <c r="D9" s="109">
        <f>SUM(D7:D8)</f>
        <v>76414.9047619048</v>
      </c>
      <c r="E9" s="109">
        <f>SUM(E7:E8)</f>
        <v>1528298.0952381</v>
      </c>
      <c r="F9" s="109">
        <f>SUM(F7:F8)</f>
        <v>1245557.28653856</v>
      </c>
      <c r="G9" s="119"/>
      <c r="H9" s="120"/>
      <c r="J9" s="66"/>
    </row>
    <row r="10" spans="10:10">
      <c r="J10" s="66"/>
    </row>
    <row r="11" spans="10:10">
      <c r="J11" s="66"/>
    </row>
  </sheetData>
  <mergeCells count="4">
    <mergeCell ref="A1:B1"/>
    <mergeCell ref="A7:A8"/>
    <mergeCell ref="G7:G8"/>
    <mergeCell ref="H7:H8"/>
  </mergeCells>
  <pageMargins left="0.75" right="0.75" top="1" bottom="1" header="0.511805555555556" footer="0.511805555555556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M83"/>
  <sheetViews>
    <sheetView workbookViewId="0">
      <selection activeCell="C15" sqref="C15"/>
    </sheetView>
  </sheetViews>
  <sheetFormatPr defaultColWidth="9" defaultRowHeight="13.5"/>
  <cols>
    <col min="2" max="2" width="27.125" customWidth="1"/>
    <col min="3" max="4" width="12.6333333333333" customWidth="1"/>
    <col min="6" max="6" width="13.75" customWidth="1"/>
    <col min="7" max="7" width="11.5" customWidth="1"/>
    <col min="10" max="10" width="42.875" customWidth="1"/>
    <col min="11" max="11" width="16.625" customWidth="1"/>
    <col min="12" max="12" width="9.625" customWidth="1"/>
    <col min="13" max="13" width="4.625" customWidth="1"/>
  </cols>
  <sheetData>
    <row r="2" customFormat="1" spans="1:8">
      <c r="A2" s="43" t="s">
        <v>244</v>
      </c>
      <c r="B2" s="43"/>
      <c r="C2" s="43"/>
      <c r="D2" s="43"/>
      <c r="E2" s="43"/>
      <c r="F2" s="43"/>
      <c r="G2" s="43"/>
      <c r="H2" s="43"/>
    </row>
    <row r="3" ht="17" customHeight="1" spans="1:13">
      <c r="A3" s="44" t="s">
        <v>1</v>
      </c>
      <c r="B3" s="44" t="s">
        <v>2</v>
      </c>
      <c r="C3" s="44" t="s">
        <v>245</v>
      </c>
      <c r="D3" s="44"/>
      <c r="E3" s="44" t="s">
        <v>4</v>
      </c>
      <c r="F3" s="44" t="s">
        <v>246</v>
      </c>
      <c r="G3" s="44" t="s">
        <v>5</v>
      </c>
      <c r="H3" s="44" t="s">
        <v>6</v>
      </c>
      <c r="J3" s="57" t="s">
        <v>247</v>
      </c>
      <c r="K3" s="58" t="s">
        <v>3</v>
      </c>
      <c r="L3" s="57" t="s">
        <v>8</v>
      </c>
      <c r="M3" s="59" t="s">
        <v>6</v>
      </c>
    </row>
    <row r="4" ht="17" customHeight="1" spans="1:13">
      <c r="A4" s="44">
        <v>1</v>
      </c>
      <c r="B4" s="45" t="s">
        <v>9</v>
      </c>
      <c r="C4" s="46">
        <f>0/1.05</f>
        <v>0</v>
      </c>
      <c r="D4" s="46"/>
      <c r="E4" s="47">
        <v>0.05</v>
      </c>
      <c r="F4" s="46">
        <f t="shared" ref="F4:F7" si="0">ROUND(C4*E4,2)</f>
        <v>0</v>
      </c>
      <c r="G4" s="46">
        <f t="shared" ref="G4:G16" si="1">F4</f>
        <v>0</v>
      </c>
      <c r="H4" s="45"/>
      <c r="J4" s="60" t="s">
        <v>248</v>
      </c>
      <c r="K4" s="61">
        <v>341</v>
      </c>
      <c r="L4" s="61" t="s">
        <v>249</v>
      </c>
      <c r="M4" s="63"/>
    </row>
    <row r="5" ht="17" customHeight="1" spans="1:13">
      <c r="A5" s="44">
        <v>2</v>
      </c>
      <c r="B5" s="45" t="s">
        <v>10</v>
      </c>
      <c r="C5" s="46">
        <f>F4</f>
        <v>0</v>
      </c>
      <c r="D5" s="46"/>
      <c r="E5" s="47">
        <v>0.07</v>
      </c>
      <c r="F5" s="46">
        <f t="shared" si="0"/>
        <v>0</v>
      </c>
      <c r="G5" s="46">
        <f t="shared" si="1"/>
        <v>0</v>
      </c>
      <c r="H5" s="45"/>
      <c r="J5" s="60" t="s">
        <v>250</v>
      </c>
      <c r="K5" s="61">
        <v>2921.2</v>
      </c>
      <c r="L5" s="61" t="s">
        <v>251</v>
      </c>
      <c r="M5" s="63"/>
    </row>
    <row r="6" ht="17" customHeight="1" spans="1:13">
      <c r="A6" s="44">
        <v>3</v>
      </c>
      <c r="B6" s="45" t="s">
        <v>11</v>
      </c>
      <c r="C6" s="46">
        <f>F4</f>
        <v>0</v>
      </c>
      <c r="D6" s="46"/>
      <c r="E6" s="47">
        <v>0.03</v>
      </c>
      <c r="F6" s="46">
        <f t="shared" si="0"/>
        <v>0</v>
      </c>
      <c r="G6" s="46">
        <f t="shared" si="1"/>
        <v>0</v>
      </c>
      <c r="H6" s="45"/>
      <c r="J6" s="60" t="s">
        <v>252</v>
      </c>
      <c r="K6" s="61">
        <v>150000</v>
      </c>
      <c r="L6" s="61" t="s">
        <v>253</v>
      </c>
      <c r="M6" s="63"/>
    </row>
    <row r="7" ht="17" customHeight="1" spans="1:13">
      <c r="A7" s="44">
        <v>4</v>
      </c>
      <c r="B7" s="45" t="s">
        <v>12</v>
      </c>
      <c r="C7" s="46">
        <f>F4</f>
        <v>0</v>
      </c>
      <c r="D7" s="46"/>
      <c r="E7" s="47">
        <v>0.02</v>
      </c>
      <c r="F7" s="46">
        <f t="shared" si="0"/>
        <v>0</v>
      </c>
      <c r="G7" s="46">
        <f t="shared" si="1"/>
        <v>0</v>
      </c>
      <c r="H7" s="44"/>
      <c r="J7" s="60" t="s">
        <v>58</v>
      </c>
      <c r="K7" s="61">
        <f>SUM(K4:K6)</f>
        <v>153262.2</v>
      </c>
      <c r="L7" s="61"/>
      <c r="M7" s="63"/>
    </row>
    <row r="8" ht="17" customHeight="1" spans="1:13">
      <c r="A8" s="44">
        <v>5</v>
      </c>
      <c r="B8" s="45" t="s">
        <v>13</v>
      </c>
      <c r="C8" s="46">
        <v>0</v>
      </c>
      <c r="D8" s="46"/>
      <c r="E8" s="47">
        <v>0.03</v>
      </c>
      <c r="F8" s="46">
        <f>C8/1.05*E8</f>
        <v>0</v>
      </c>
      <c r="G8" s="46">
        <f t="shared" si="1"/>
        <v>0</v>
      </c>
      <c r="H8" s="44"/>
      <c r="J8" s="60"/>
      <c r="K8" s="61"/>
      <c r="L8" s="61"/>
      <c r="M8" s="61"/>
    </row>
    <row r="9" ht="17" customHeight="1" spans="1:8">
      <c r="A9" s="44">
        <v>6</v>
      </c>
      <c r="B9" s="45" t="s">
        <v>17</v>
      </c>
      <c r="C9" s="46">
        <v>0</v>
      </c>
      <c r="D9" s="46"/>
      <c r="E9" s="47">
        <v>0.05</v>
      </c>
      <c r="F9" s="46">
        <f>C9/1.05*E9</f>
        <v>0</v>
      </c>
      <c r="G9" s="46">
        <f t="shared" si="1"/>
        <v>0</v>
      </c>
      <c r="H9" s="44"/>
    </row>
    <row r="10" ht="17" customHeight="1" spans="1:8">
      <c r="A10" s="44">
        <v>7</v>
      </c>
      <c r="B10" s="45" t="s">
        <v>18</v>
      </c>
      <c r="C10" s="46">
        <v>0</v>
      </c>
      <c r="D10" s="46"/>
      <c r="E10" s="47">
        <v>0.02</v>
      </c>
      <c r="F10" s="46">
        <f t="shared" ref="F10:F16" si="2">ROUND(C10*E10,2)</f>
        <v>0</v>
      </c>
      <c r="G10" s="46">
        <f t="shared" si="1"/>
        <v>0</v>
      </c>
      <c r="H10" s="48"/>
    </row>
    <row r="11" ht="17" customHeight="1" spans="1:8">
      <c r="A11" s="44">
        <v>8</v>
      </c>
      <c r="B11" s="45" t="s">
        <v>19</v>
      </c>
      <c r="C11" s="46">
        <f>F8+F9</f>
        <v>0</v>
      </c>
      <c r="D11" s="49"/>
      <c r="E11" s="47">
        <v>0.07</v>
      </c>
      <c r="F11" s="46">
        <f t="shared" si="2"/>
        <v>0</v>
      </c>
      <c r="G11" s="46">
        <f t="shared" si="1"/>
        <v>0</v>
      </c>
      <c r="H11" s="45"/>
    </row>
    <row r="12" ht="17" customHeight="1" spans="1:8">
      <c r="A12" s="44">
        <v>9</v>
      </c>
      <c r="B12" s="45" t="s">
        <v>20</v>
      </c>
      <c r="C12" s="46">
        <f>F8+F9</f>
        <v>0</v>
      </c>
      <c r="D12" s="49"/>
      <c r="E12" s="47">
        <v>0.03</v>
      </c>
      <c r="F12" s="46">
        <f t="shared" si="2"/>
        <v>0</v>
      </c>
      <c r="G12" s="46">
        <f t="shared" si="1"/>
        <v>0</v>
      </c>
      <c r="H12" s="45"/>
    </row>
    <row r="13" ht="17" customHeight="1" spans="1:13">
      <c r="A13" s="44">
        <v>10</v>
      </c>
      <c r="B13" s="45" t="s">
        <v>21</v>
      </c>
      <c r="C13" s="46">
        <f>F8+F9</f>
        <v>0</v>
      </c>
      <c r="D13" s="49"/>
      <c r="E13" s="47">
        <v>0.02</v>
      </c>
      <c r="F13" s="46">
        <f t="shared" si="2"/>
        <v>0</v>
      </c>
      <c r="G13" s="46">
        <f t="shared" si="1"/>
        <v>0</v>
      </c>
      <c r="H13" s="45"/>
      <c r="J13" s="57" t="s">
        <v>254</v>
      </c>
      <c r="K13" s="58" t="s">
        <v>3</v>
      </c>
      <c r="L13" s="57" t="s">
        <v>8</v>
      </c>
      <c r="M13" s="59" t="s">
        <v>6</v>
      </c>
    </row>
    <row r="14" ht="17" customHeight="1" spans="1:13">
      <c r="A14" s="44">
        <v>11</v>
      </c>
      <c r="B14" s="45" t="s">
        <v>25</v>
      </c>
      <c r="C14" s="46">
        <f>C9-F9</f>
        <v>0</v>
      </c>
      <c r="D14" s="49"/>
      <c r="E14" s="47">
        <v>0.12</v>
      </c>
      <c r="F14" s="46">
        <f t="shared" si="2"/>
        <v>0</v>
      </c>
      <c r="G14" s="46">
        <f t="shared" si="1"/>
        <v>0</v>
      </c>
      <c r="H14" s="45"/>
      <c r="J14" s="60" t="s">
        <v>255</v>
      </c>
      <c r="K14" s="61">
        <v>263035</v>
      </c>
      <c r="L14" s="61" t="s">
        <v>256</v>
      </c>
      <c r="M14" s="63"/>
    </row>
    <row r="15" customFormat="1" ht="17" customHeight="1" spans="1:13">
      <c r="A15" s="44">
        <v>12</v>
      </c>
      <c r="B15" s="45" t="s">
        <v>257</v>
      </c>
      <c r="C15" s="46">
        <f>K23</f>
        <v>630068</v>
      </c>
      <c r="D15" s="49"/>
      <c r="E15" s="51">
        <v>0.0005</v>
      </c>
      <c r="F15" s="46">
        <f t="shared" si="2"/>
        <v>315.03</v>
      </c>
      <c r="G15" s="52">
        <f t="shared" si="1"/>
        <v>315.03</v>
      </c>
      <c r="H15" s="45"/>
      <c r="J15" s="60" t="s">
        <v>258</v>
      </c>
      <c r="K15" s="61">
        <v>272700</v>
      </c>
      <c r="L15" s="61" t="s">
        <v>259</v>
      </c>
      <c r="M15" s="63"/>
    </row>
    <row r="16" customFormat="1" ht="17" customHeight="1" spans="1:13">
      <c r="A16" s="44">
        <v>13</v>
      </c>
      <c r="B16" s="45" t="s">
        <v>26</v>
      </c>
      <c r="C16" s="46">
        <v>0</v>
      </c>
      <c r="D16" s="49"/>
      <c r="E16" s="51">
        <v>0.0005</v>
      </c>
      <c r="F16" s="52">
        <f t="shared" si="2"/>
        <v>0</v>
      </c>
      <c r="G16" s="52">
        <f t="shared" si="1"/>
        <v>0</v>
      </c>
      <c r="H16" s="45"/>
      <c r="J16" s="60" t="s">
        <v>58</v>
      </c>
      <c r="K16" s="61">
        <f>SUM(K14:K15)</f>
        <v>535735</v>
      </c>
      <c r="L16" s="61"/>
      <c r="M16" s="61"/>
    </row>
    <row r="17" customFormat="1" ht="17" customHeight="1" spans="1:8">
      <c r="A17" s="44" t="s">
        <v>28</v>
      </c>
      <c r="B17" s="44"/>
      <c r="C17" s="44"/>
      <c r="D17" s="44"/>
      <c r="E17" s="44"/>
      <c r="F17" s="46">
        <f>SUM(F4:F16)</f>
        <v>315.03</v>
      </c>
      <c r="G17" s="46">
        <f>SUM(G4:G16)</f>
        <v>315.03</v>
      </c>
      <c r="H17" s="45"/>
    </row>
    <row r="18" customFormat="1" ht="33" customHeight="1" spans="1:8">
      <c r="A18" s="43" t="s">
        <v>260</v>
      </c>
      <c r="B18" s="43"/>
      <c r="C18" s="43"/>
      <c r="D18" s="43"/>
      <c r="E18" s="43"/>
      <c r="F18" s="43"/>
      <c r="G18" s="43"/>
      <c r="H18" s="43"/>
    </row>
    <row r="19" customFormat="1" ht="19" customHeight="1" spans="1:8">
      <c r="A19" s="44" t="s">
        <v>1</v>
      </c>
      <c r="B19" s="44" t="s">
        <v>2</v>
      </c>
      <c r="C19" s="44" t="s">
        <v>245</v>
      </c>
      <c r="D19" s="44" t="s">
        <v>261</v>
      </c>
      <c r="E19" s="44" t="s">
        <v>4</v>
      </c>
      <c r="F19" s="44" t="s">
        <v>246</v>
      </c>
      <c r="G19" s="44" t="s">
        <v>5</v>
      </c>
      <c r="H19" s="44" t="s">
        <v>6</v>
      </c>
    </row>
    <row r="20" customFormat="1" ht="19" customHeight="1" spans="1:13">
      <c r="A20" s="44">
        <v>1</v>
      </c>
      <c r="B20" s="45" t="s">
        <v>262</v>
      </c>
      <c r="C20" s="46">
        <f>K5+K4+K6</f>
        <v>153262.2</v>
      </c>
      <c r="D20" s="46">
        <f>C20/1.09</f>
        <v>140607.52293578</v>
      </c>
      <c r="E20" s="47">
        <v>0.09</v>
      </c>
      <c r="F20" s="46">
        <f>D20*E20</f>
        <v>12654.6770642202</v>
      </c>
      <c r="G20" s="46"/>
      <c r="H20" s="45"/>
      <c r="J20" s="57" t="s">
        <v>263</v>
      </c>
      <c r="K20" s="58" t="s">
        <v>3</v>
      </c>
      <c r="L20" s="57" t="s">
        <v>8</v>
      </c>
      <c r="M20" s="59" t="s">
        <v>6</v>
      </c>
    </row>
    <row r="21" customFormat="1" ht="19" customHeight="1" spans="1:13">
      <c r="A21" s="44"/>
      <c r="B21" s="45" t="s">
        <v>264</v>
      </c>
      <c r="C21" s="46">
        <f>K16</f>
        <v>535735</v>
      </c>
      <c r="D21" s="46">
        <f>C21/1.09</f>
        <v>491500</v>
      </c>
      <c r="E21" s="47">
        <v>0.09</v>
      </c>
      <c r="F21" s="46">
        <f>D21*E21</f>
        <v>44235</v>
      </c>
      <c r="G21" s="46"/>
      <c r="H21" s="45"/>
      <c r="J21" s="60" t="s">
        <v>265</v>
      </c>
      <c r="K21" s="61">
        <v>272699.8</v>
      </c>
      <c r="L21" s="61" t="s">
        <v>259</v>
      </c>
      <c r="M21" s="63"/>
    </row>
    <row r="22" customFormat="1" ht="19" customHeight="1" spans="1:13">
      <c r="A22" s="44">
        <v>2</v>
      </c>
      <c r="B22" s="45" t="s">
        <v>266</v>
      </c>
      <c r="C22" s="46"/>
      <c r="D22" s="46"/>
      <c r="E22" s="47"/>
      <c r="F22" s="46">
        <v>5401.13</v>
      </c>
      <c r="G22" s="46"/>
      <c r="H22" s="45"/>
      <c r="J22" s="60" t="s">
        <v>267</v>
      </c>
      <c r="K22" s="61">
        <v>245790</v>
      </c>
      <c r="L22" s="61" t="s">
        <v>268</v>
      </c>
      <c r="M22" s="63"/>
    </row>
    <row r="23" customFormat="1" ht="19" customHeight="1" spans="1:13">
      <c r="A23" s="44"/>
      <c r="B23" s="45" t="s">
        <v>269</v>
      </c>
      <c r="C23" s="46"/>
      <c r="D23" s="46"/>
      <c r="E23" s="47"/>
      <c r="F23" s="46">
        <v>453531.54</v>
      </c>
      <c r="G23" s="46"/>
      <c r="H23" s="45"/>
      <c r="J23" s="60" t="s">
        <v>270</v>
      </c>
      <c r="K23" s="61">
        <v>630068</v>
      </c>
      <c r="L23" s="61" t="s">
        <v>271</v>
      </c>
      <c r="M23" s="61"/>
    </row>
    <row r="24" customFormat="1" ht="19" customHeight="1" spans="1:13">
      <c r="A24" s="44">
        <v>3</v>
      </c>
      <c r="B24" s="45" t="s">
        <v>272</v>
      </c>
      <c r="C24" s="46"/>
      <c r="D24" s="46"/>
      <c r="E24" s="47"/>
      <c r="F24" s="46">
        <f>F20+F21-F22-F23</f>
        <v>-402042.99293578</v>
      </c>
      <c r="G24" s="46"/>
      <c r="H24" s="45"/>
      <c r="J24" s="60" t="s">
        <v>58</v>
      </c>
      <c r="K24" s="61">
        <f>SUM(K21:K23)</f>
        <v>1148557.8</v>
      </c>
      <c r="L24" s="61"/>
      <c r="M24" s="61"/>
    </row>
    <row r="25" customFormat="1" ht="19" customHeight="1" spans="1:8">
      <c r="A25" s="44">
        <v>4</v>
      </c>
      <c r="B25" s="45" t="s">
        <v>10</v>
      </c>
      <c r="C25" s="46">
        <f t="shared" ref="C25:C27" si="3">IF(F24&lt;=0,0,F24)</f>
        <v>0</v>
      </c>
      <c r="D25" s="46"/>
      <c r="E25" s="47">
        <v>0.07</v>
      </c>
      <c r="F25" s="46">
        <f>ROUND(C25*E25,2)</f>
        <v>0</v>
      </c>
      <c r="G25" s="46">
        <f>F25</f>
        <v>0</v>
      </c>
      <c r="H25" s="45"/>
    </row>
    <row r="26" customFormat="1" ht="19" customHeight="1" spans="1:8">
      <c r="A26" s="44">
        <v>5</v>
      </c>
      <c r="B26" s="45" t="s">
        <v>11</v>
      </c>
      <c r="C26" s="46">
        <f>IF(F24&lt;=0,0,F24)</f>
        <v>0</v>
      </c>
      <c r="D26" s="46"/>
      <c r="E26" s="47">
        <v>0.03</v>
      </c>
      <c r="F26" s="46">
        <f>ROUND(C26*E26,2)</f>
        <v>0</v>
      </c>
      <c r="G26" s="46">
        <f>F26</f>
        <v>0</v>
      </c>
      <c r="H26" s="45"/>
    </row>
    <row r="27" customFormat="1" ht="19" customHeight="1" spans="1:8">
      <c r="A27" s="44">
        <v>6</v>
      </c>
      <c r="B27" s="45" t="s">
        <v>12</v>
      </c>
      <c r="C27" s="46">
        <f>IF(F24&lt;=0,0,F24)</f>
        <v>0</v>
      </c>
      <c r="D27" s="46"/>
      <c r="E27" s="47">
        <v>0.02</v>
      </c>
      <c r="F27" s="46">
        <f>ROUND(C27*E27,2)</f>
        <v>0</v>
      </c>
      <c r="G27" s="46">
        <f>F27</f>
        <v>0</v>
      </c>
      <c r="H27" s="45"/>
    </row>
    <row r="28" customFormat="1" ht="19" customHeight="1" spans="1:8">
      <c r="A28" s="44">
        <v>7</v>
      </c>
      <c r="B28" s="45" t="s">
        <v>38</v>
      </c>
      <c r="C28" s="49"/>
      <c r="D28" s="49">
        <f>D20</f>
        <v>140607.52293578</v>
      </c>
      <c r="E28" s="47">
        <v>0.01</v>
      </c>
      <c r="F28" s="46">
        <f>ROUND(D28*E28,2)</f>
        <v>1406.08</v>
      </c>
      <c r="G28" s="46">
        <f t="shared" ref="G28:G30" si="4">F28</f>
        <v>1406.08</v>
      </c>
      <c r="H28" s="53"/>
    </row>
    <row r="29" customFormat="1" ht="19" customHeight="1" spans="1:8">
      <c r="A29" s="44">
        <v>8</v>
      </c>
      <c r="B29" s="45" t="s">
        <v>39</v>
      </c>
      <c r="C29" s="49"/>
      <c r="D29" s="49"/>
      <c r="E29" s="47">
        <v>0.03</v>
      </c>
      <c r="F29" s="46">
        <f>ROUND(C29*E29,2)</f>
        <v>0</v>
      </c>
      <c r="G29" s="46">
        <f t="shared" si="4"/>
        <v>0</v>
      </c>
      <c r="H29" s="53"/>
    </row>
    <row r="30" customFormat="1" ht="19" customHeight="1" spans="1:8">
      <c r="A30" s="44">
        <v>9</v>
      </c>
      <c r="B30" s="45" t="s">
        <v>257</v>
      </c>
      <c r="C30" s="49">
        <f>K21+K22</f>
        <v>518489.8</v>
      </c>
      <c r="D30" s="49"/>
      <c r="E30" s="51">
        <v>0.0005</v>
      </c>
      <c r="F30" s="46">
        <f>ROUND(C30*E30,2)</f>
        <v>259.24</v>
      </c>
      <c r="G30" s="52">
        <f t="shared" si="4"/>
        <v>259.24</v>
      </c>
      <c r="H30" s="45"/>
    </row>
    <row r="31" customFormat="1" ht="19" customHeight="1" spans="1:8">
      <c r="A31" s="44">
        <v>10</v>
      </c>
      <c r="B31" s="45" t="s">
        <v>40</v>
      </c>
      <c r="C31" s="49">
        <v>0</v>
      </c>
      <c r="D31" s="49"/>
      <c r="E31" s="51">
        <v>0.0003</v>
      </c>
      <c r="F31" s="46">
        <f>ROUND(C31*E31,2)</f>
        <v>0</v>
      </c>
      <c r="G31" s="46">
        <f>ROUND(F31,1)</f>
        <v>0</v>
      </c>
      <c r="H31" s="53"/>
    </row>
    <row r="32" customFormat="1" ht="22" customHeight="1" spans="1:8">
      <c r="A32" s="44" t="s">
        <v>28</v>
      </c>
      <c r="B32" s="44"/>
      <c r="C32" s="44"/>
      <c r="D32" s="44"/>
      <c r="E32" s="44"/>
      <c r="F32" s="46">
        <f>SUM(F25:F31)</f>
        <v>1665.32</v>
      </c>
      <c r="G32" s="46">
        <f>SUM(G20:G31)</f>
        <v>1665.32</v>
      </c>
      <c r="H32" s="45"/>
    </row>
    <row r="33" customFormat="1" spans="1:8">
      <c r="A33" s="43" t="s">
        <v>273</v>
      </c>
      <c r="B33" s="43"/>
      <c r="C33" s="43"/>
      <c r="D33" s="43"/>
      <c r="E33" s="43"/>
      <c r="F33" s="43"/>
      <c r="G33" s="43"/>
      <c r="H33" s="43"/>
    </row>
    <row r="34" customFormat="1" spans="1:8">
      <c r="A34" s="44" t="s">
        <v>1</v>
      </c>
      <c r="B34" s="44" t="s">
        <v>2</v>
      </c>
      <c r="C34" s="44" t="s">
        <v>245</v>
      </c>
      <c r="D34" s="44"/>
      <c r="E34" s="44" t="s">
        <v>4</v>
      </c>
      <c r="F34" s="44" t="s">
        <v>246</v>
      </c>
      <c r="G34" s="44" t="s">
        <v>5</v>
      </c>
      <c r="H34" s="44" t="s">
        <v>6</v>
      </c>
    </row>
    <row r="35" customFormat="1" spans="1:8">
      <c r="A35" s="44">
        <v>1</v>
      </c>
      <c r="B35" s="45" t="s">
        <v>30</v>
      </c>
      <c r="C35" s="46"/>
      <c r="D35" s="46"/>
      <c r="E35" s="47">
        <v>0.03</v>
      </c>
      <c r="F35" s="46">
        <f>C35/1.09*E35</f>
        <v>0</v>
      </c>
      <c r="G35" s="46">
        <f t="shared" ref="G35:G38" si="5">F35</f>
        <v>0</v>
      </c>
      <c r="H35" s="45"/>
    </row>
    <row r="36" customFormat="1" spans="1:8">
      <c r="A36" s="44">
        <v>2</v>
      </c>
      <c r="B36" s="45" t="s">
        <v>31</v>
      </c>
      <c r="C36" s="46">
        <f>F35</f>
        <v>0</v>
      </c>
      <c r="D36" s="46"/>
      <c r="E36" s="47">
        <v>0.07</v>
      </c>
      <c r="F36" s="46">
        <f t="shared" ref="F36:F45" si="6">ROUND(C36*E36,2)</f>
        <v>0</v>
      </c>
      <c r="G36" s="46">
        <f t="shared" si="5"/>
        <v>0</v>
      </c>
      <c r="H36" s="45"/>
    </row>
    <row r="37" customFormat="1" spans="1:8">
      <c r="A37" s="44">
        <v>3</v>
      </c>
      <c r="B37" s="45" t="s">
        <v>32</v>
      </c>
      <c r="C37" s="46">
        <f>F35</f>
        <v>0</v>
      </c>
      <c r="D37" s="46"/>
      <c r="E37" s="47">
        <v>0.03</v>
      </c>
      <c r="F37" s="46">
        <f t="shared" si="6"/>
        <v>0</v>
      </c>
      <c r="G37" s="46">
        <f t="shared" si="5"/>
        <v>0</v>
      </c>
      <c r="H37" s="45"/>
    </row>
    <row r="38" customFormat="1" spans="1:8">
      <c r="A38" s="44">
        <v>4</v>
      </c>
      <c r="B38" s="45" t="s">
        <v>33</v>
      </c>
      <c r="C38" s="46">
        <f>F35</f>
        <v>0</v>
      </c>
      <c r="D38" s="46"/>
      <c r="E38" s="47">
        <v>0.02</v>
      </c>
      <c r="F38" s="46">
        <f t="shared" si="6"/>
        <v>0</v>
      </c>
      <c r="G38" s="46">
        <f t="shared" si="5"/>
        <v>0</v>
      </c>
      <c r="H38" s="44"/>
    </row>
    <row r="39" customFormat="1" spans="1:8">
      <c r="A39" s="44">
        <v>5</v>
      </c>
      <c r="B39" s="45" t="s">
        <v>18</v>
      </c>
      <c r="C39" s="46">
        <v>0</v>
      </c>
      <c r="D39" s="46"/>
      <c r="E39" s="47">
        <v>0.06</v>
      </c>
      <c r="F39" s="46">
        <f t="shared" si="6"/>
        <v>0</v>
      </c>
      <c r="G39" s="46">
        <v>0</v>
      </c>
      <c r="H39" s="45" t="s">
        <v>34</v>
      </c>
    </row>
    <row r="40" customFormat="1" spans="1:8">
      <c r="A40" s="44">
        <v>6</v>
      </c>
      <c r="B40" s="45" t="s">
        <v>35</v>
      </c>
      <c r="C40" s="49">
        <f>F39</f>
        <v>0</v>
      </c>
      <c r="D40" s="49"/>
      <c r="E40" s="47">
        <v>0.07</v>
      </c>
      <c r="F40" s="46">
        <f t="shared" si="6"/>
        <v>0</v>
      </c>
      <c r="G40" s="46">
        <v>0</v>
      </c>
      <c r="H40" s="45" t="s">
        <v>34</v>
      </c>
    </row>
    <row r="41" customFormat="1" spans="1:8">
      <c r="A41" s="44">
        <v>7</v>
      </c>
      <c r="B41" s="45" t="s">
        <v>36</v>
      </c>
      <c r="C41" s="49">
        <f>F39</f>
        <v>0</v>
      </c>
      <c r="D41" s="49"/>
      <c r="E41" s="47">
        <v>0.03</v>
      </c>
      <c r="F41" s="46">
        <f t="shared" si="6"/>
        <v>0</v>
      </c>
      <c r="G41" s="46">
        <v>0</v>
      </c>
      <c r="H41" s="45" t="s">
        <v>34</v>
      </c>
    </row>
    <row r="42" customFormat="1" spans="1:8">
      <c r="A42" s="44">
        <v>8</v>
      </c>
      <c r="B42" s="45" t="s">
        <v>37</v>
      </c>
      <c r="C42" s="49">
        <f>F39</f>
        <v>0</v>
      </c>
      <c r="D42" s="49"/>
      <c r="E42" s="47">
        <v>0.02</v>
      </c>
      <c r="F42" s="46">
        <f t="shared" si="6"/>
        <v>0</v>
      </c>
      <c r="G42" s="46">
        <v>0</v>
      </c>
      <c r="H42" s="45" t="s">
        <v>34</v>
      </c>
    </row>
    <row r="43" customFormat="1" spans="1:8">
      <c r="A43" s="44">
        <v>9</v>
      </c>
      <c r="B43" s="45" t="s">
        <v>42</v>
      </c>
      <c r="C43" s="49">
        <f>C35-F35</f>
        <v>0</v>
      </c>
      <c r="D43" s="49"/>
      <c r="E43" s="47">
        <v>0.01</v>
      </c>
      <c r="F43" s="46">
        <f t="shared" si="6"/>
        <v>0</v>
      </c>
      <c r="G43" s="46">
        <f t="shared" ref="G43:G47" si="7">F43</f>
        <v>0</v>
      </c>
      <c r="H43" s="53"/>
    </row>
    <row r="44" customFormat="1" spans="1:8">
      <c r="A44" s="44">
        <v>10</v>
      </c>
      <c r="B44" s="45" t="s">
        <v>26</v>
      </c>
      <c r="C44" s="49">
        <f>C35</f>
        <v>0</v>
      </c>
      <c r="D44" s="49"/>
      <c r="E44" s="51">
        <v>0.0005</v>
      </c>
      <c r="F44" s="52">
        <f t="shared" si="6"/>
        <v>0</v>
      </c>
      <c r="G44" s="52">
        <f t="shared" si="7"/>
        <v>0</v>
      </c>
      <c r="H44" s="45"/>
    </row>
    <row r="45" customFormat="1" spans="1:8">
      <c r="A45" s="44">
        <v>11</v>
      </c>
      <c r="B45" s="45" t="s">
        <v>40</v>
      </c>
      <c r="C45" s="49">
        <v>0</v>
      </c>
      <c r="D45" s="49"/>
      <c r="E45" s="51">
        <v>0.0003</v>
      </c>
      <c r="F45" s="46">
        <f t="shared" si="6"/>
        <v>0</v>
      </c>
      <c r="G45" s="46">
        <v>0</v>
      </c>
      <c r="H45" s="53"/>
    </row>
    <row r="46" customFormat="1" spans="1:8">
      <c r="A46" s="44" t="s">
        <v>28</v>
      </c>
      <c r="B46" s="44"/>
      <c r="C46" s="44"/>
      <c r="D46" s="44"/>
      <c r="E46" s="44"/>
      <c r="F46" s="46">
        <f>SUM(F35:F45)</f>
        <v>0</v>
      </c>
      <c r="G46" s="46">
        <f>SUM(G35:G45)</f>
        <v>0</v>
      </c>
      <c r="H46" s="45"/>
    </row>
    <row r="47" customFormat="1" spans="1:8">
      <c r="A47" s="44"/>
      <c r="B47" s="44" t="s">
        <v>43</v>
      </c>
      <c r="C47" s="44"/>
      <c r="D47" s="44"/>
      <c r="E47" s="44"/>
      <c r="F47" s="46">
        <v>0</v>
      </c>
      <c r="G47" s="46">
        <f t="shared" si="7"/>
        <v>0</v>
      </c>
      <c r="H47" s="45"/>
    </row>
    <row r="48" customFormat="1" spans="1:8">
      <c r="A48" s="54"/>
      <c r="B48" s="54" t="s">
        <v>44</v>
      </c>
      <c r="C48" s="54"/>
      <c r="D48" s="54"/>
      <c r="E48" s="54"/>
      <c r="F48" s="55">
        <f>F17+F32+F46+F47</f>
        <v>1980.35</v>
      </c>
      <c r="G48" s="55">
        <f>G17+G32+G46+G47</f>
        <v>1980.35</v>
      </c>
      <c r="H48" s="56"/>
    </row>
    <row r="49" customFormat="1" spans="1:8">
      <c r="A49" s="74"/>
      <c r="B49" s="75"/>
      <c r="C49" s="75"/>
      <c r="D49" s="75"/>
      <c r="E49" s="75"/>
      <c r="F49" s="75"/>
      <c r="G49" s="75"/>
      <c r="H49" s="76"/>
    </row>
    <row r="50" customFormat="1" spans="1:8">
      <c r="A50" s="77" t="s">
        <v>274</v>
      </c>
      <c r="B50" s="77"/>
      <c r="C50" s="77"/>
      <c r="D50" s="77"/>
      <c r="E50" s="77"/>
      <c r="F50" s="77"/>
      <c r="G50" s="77"/>
      <c r="H50" s="77"/>
    </row>
    <row r="51" customFormat="1" spans="1:8">
      <c r="A51" s="44" t="s">
        <v>1</v>
      </c>
      <c r="B51" s="44" t="s">
        <v>2</v>
      </c>
      <c r="C51" s="44" t="s">
        <v>245</v>
      </c>
      <c r="D51" s="44"/>
      <c r="E51" s="44" t="s">
        <v>4</v>
      </c>
      <c r="F51" s="44" t="s">
        <v>246</v>
      </c>
      <c r="G51" s="44" t="s">
        <v>5</v>
      </c>
      <c r="H51" s="44" t="s">
        <v>6</v>
      </c>
    </row>
    <row r="52" customFormat="1" spans="1:8">
      <c r="A52" s="78">
        <v>1</v>
      </c>
      <c r="B52" s="45" t="s">
        <v>30</v>
      </c>
      <c r="C52" s="79">
        <v>0</v>
      </c>
      <c r="D52" s="79"/>
      <c r="E52" s="80">
        <v>0.03</v>
      </c>
      <c r="F52" s="79">
        <f>C52/1.05*E52</f>
        <v>0</v>
      </c>
      <c r="G52" s="79">
        <f t="shared" ref="G52:G63" si="8">F52</f>
        <v>0</v>
      </c>
      <c r="H52" s="81"/>
    </row>
    <row r="53" customFormat="1" spans="1:8">
      <c r="A53" s="78">
        <v>2</v>
      </c>
      <c r="B53" s="45" t="s">
        <v>31</v>
      </c>
      <c r="C53" s="79">
        <f>G52</f>
        <v>0</v>
      </c>
      <c r="D53" s="79"/>
      <c r="E53" s="80">
        <v>0.07</v>
      </c>
      <c r="F53" s="79">
        <f t="shared" ref="F53:F60" si="9">ROUND(C53*E53,2)</f>
        <v>0</v>
      </c>
      <c r="G53" s="79">
        <f t="shared" si="8"/>
        <v>0</v>
      </c>
      <c r="H53" s="81"/>
    </row>
    <row r="54" customFormat="1" spans="1:8">
      <c r="A54" s="78">
        <v>3</v>
      </c>
      <c r="B54" s="45" t="s">
        <v>32</v>
      </c>
      <c r="C54" s="79">
        <f>F52</f>
        <v>0</v>
      </c>
      <c r="D54" s="79"/>
      <c r="E54" s="80">
        <v>0.03</v>
      </c>
      <c r="F54" s="79">
        <f t="shared" si="9"/>
        <v>0</v>
      </c>
      <c r="G54" s="79">
        <f t="shared" si="8"/>
        <v>0</v>
      </c>
      <c r="H54" s="81"/>
    </row>
    <row r="55" customFormat="1" spans="1:8">
      <c r="A55" s="78">
        <v>4</v>
      </c>
      <c r="B55" s="45" t="s">
        <v>33</v>
      </c>
      <c r="C55" s="79">
        <f>F52</f>
        <v>0</v>
      </c>
      <c r="D55" s="79"/>
      <c r="E55" s="80">
        <v>0.02</v>
      </c>
      <c r="F55" s="79">
        <f t="shared" si="9"/>
        <v>0</v>
      </c>
      <c r="G55" s="79">
        <f t="shared" si="8"/>
        <v>0</v>
      </c>
      <c r="H55" s="81"/>
    </row>
    <row r="56" customFormat="1" spans="1:8">
      <c r="A56" s="78">
        <v>5</v>
      </c>
      <c r="B56" s="81" t="s">
        <v>46</v>
      </c>
      <c r="C56" s="79">
        <v>0</v>
      </c>
      <c r="D56" s="79"/>
      <c r="E56" s="80">
        <v>0.02</v>
      </c>
      <c r="F56" s="79">
        <f t="shared" si="9"/>
        <v>0</v>
      </c>
      <c r="G56" s="79">
        <f t="shared" si="8"/>
        <v>0</v>
      </c>
      <c r="H56" s="81"/>
    </row>
    <row r="57" customFormat="1" spans="1:8">
      <c r="A57" s="78">
        <v>6</v>
      </c>
      <c r="B57" s="81" t="s">
        <v>19</v>
      </c>
      <c r="C57" s="82">
        <f>F56</f>
        <v>0</v>
      </c>
      <c r="D57" s="82"/>
      <c r="E57" s="80">
        <v>0.07</v>
      </c>
      <c r="F57" s="79">
        <f t="shared" si="9"/>
        <v>0</v>
      </c>
      <c r="G57" s="79">
        <f t="shared" si="8"/>
        <v>0</v>
      </c>
      <c r="H57" s="81"/>
    </row>
    <row r="58" customFormat="1" spans="1:8">
      <c r="A58" s="78">
        <v>7</v>
      </c>
      <c r="B58" s="81" t="s">
        <v>20</v>
      </c>
      <c r="C58" s="82">
        <f>F56</f>
        <v>0</v>
      </c>
      <c r="D58" s="82"/>
      <c r="E58" s="80">
        <v>0.03</v>
      </c>
      <c r="F58" s="79">
        <f t="shared" si="9"/>
        <v>0</v>
      </c>
      <c r="G58" s="79">
        <f t="shared" si="8"/>
        <v>0</v>
      </c>
      <c r="H58" s="81"/>
    </row>
    <row r="59" customFormat="1" spans="1:8">
      <c r="A59" s="78">
        <v>8</v>
      </c>
      <c r="B59" s="81" t="s">
        <v>21</v>
      </c>
      <c r="C59" s="82">
        <f>F56</f>
        <v>0</v>
      </c>
      <c r="D59" s="82"/>
      <c r="E59" s="80">
        <v>0.02</v>
      </c>
      <c r="F59" s="79">
        <f t="shared" si="9"/>
        <v>0</v>
      </c>
      <c r="G59" s="79">
        <f t="shared" si="8"/>
        <v>0</v>
      </c>
      <c r="H59" s="81"/>
    </row>
    <row r="60" customFormat="1" spans="1:8">
      <c r="A60" s="78">
        <v>9</v>
      </c>
      <c r="B60" s="81" t="s">
        <v>42</v>
      </c>
      <c r="C60" s="82">
        <v>0</v>
      </c>
      <c r="D60" s="82"/>
      <c r="E60" s="80">
        <v>0.01</v>
      </c>
      <c r="F60" s="79">
        <f t="shared" si="9"/>
        <v>0</v>
      </c>
      <c r="G60" s="79">
        <f t="shared" si="8"/>
        <v>0</v>
      </c>
      <c r="H60" s="81"/>
    </row>
    <row r="61" customFormat="1" spans="1:8">
      <c r="A61" s="78">
        <v>10</v>
      </c>
      <c r="B61" s="81" t="s">
        <v>47</v>
      </c>
      <c r="C61" s="82">
        <v>0</v>
      </c>
      <c r="D61" s="82"/>
      <c r="E61" s="83">
        <v>0.0005</v>
      </c>
      <c r="F61" s="79">
        <f>C61*E61</f>
        <v>0</v>
      </c>
      <c r="G61" s="79">
        <f t="shared" si="8"/>
        <v>0</v>
      </c>
      <c r="H61" s="81"/>
    </row>
    <row r="62" customFormat="1" spans="1:8">
      <c r="A62" s="78">
        <v>11</v>
      </c>
      <c r="B62" s="81" t="s">
        <v>48</v>
      </c>
      <c r="C62" s="82">
        <v>0</v>
      </c>
      <c r="D62" s="82"/>
      <c r="E62" s="83">
        <v>0.0003</v>
      </c>
      <c r="F62" s="79">
        <f>ROUND(C62*E62,2)</f>
        <v>0</v>
      </c>
      <c r="G62" s="79">
        <f t="shared" si="8"/>
        <v>0</v>
      </c>
      <c r="H62" s="81"/>
    </row>
    <row r="63" customFormat="1" spans="1:8">
      <c r="A63" s="78">
        <v>12</v>
      </c>
      <c r="B63" s="81" t="s">
        <v>43</v>
      </c>
      <c r="C63" s="82"/>
      <c r="D63" s="82"/>
      <c r="E63" s="83"/>
      <c r="F63" s="79">
        <v>0</v>
      </c>
      <c r="G63" s="79">
        <f t="shared" si="8"/>
        <v>0</v>
      </c>
      <c r="H63" s="81"/>
    </row>
    <row r="64" customFormat="1" spans="1:8">
      <c r="A64" s="84" t="s">
        <v>49</v>
      </c>
      <c r="B64" s="84"/>
      <c r="C64" s="84"/>
      <c r="D64" s="84"/>
      <c r="E64" s="84"/>
      <c r="F64" s="85">
        <f>SUM(F52:F63)</f>
        <v>0</v>
      </c>
      <c r="G64" s="85">
        <f>SUM(G52:G63)</f>
        <v>0</v>
      </c>
      <c r="H64" s="86"/>
    </row>
    <row r="65" customFormat="1" spans="1:8">
      <c r="A65" s="77" t="s">
        <v>275</v>
      </c>
      <c r="B65" s="77"/>
      <c r="C65" s="77"/>
      <c r="D65" s="77"/>
      <c r="E65" s="77"/>
      <c r="F65" s="77"/>
      <c r="G65" s="77"/>
      <c r="H65" s="77"/>
    </row>
    <row r="66" customFormat="1" spans="1:8">
      <c r="A66" s="44" t="s">
        <v>1</v>
      </c>
      <c r="B66" s="44" t="s">
        <v>2</v>
      </c>
      <c r="C66" s="44" t="s">
        <v>245</v>
      </c>
      <c r="D66" s="44"/>
      <c r="E66" s="44" t="s">
        <v>4</v>
      </c>
      <c r="F66" s="44" t="s">
        <v>246</v>
      </c>
      <c r="G66" s="44" t="s">
        <v>5</v>
      </c>
      <c r="H66" s="87" t="s">
        <v>6</v>
      </c>
    </row>
    <row r="67" customFormat="1" spans="1:8">
      <c r="A67" s="78">
        <v>1</v>
      </c>
      <c r="B67" s="81" t="s">
        <v>51</v>
      </c>
      <c r="C67" s="79">
        <v>0</v>
      </c>
      <c r="D67" s="79"/>
      <c r="E67" s="80">
        <v>0.03</v>
      </c>
      <c r="F67" s="79">
        <f>ROUND(C67*E67,2)</f>
        <v>0</v>
      </c>
      <c r="G67" s="88">
        <f t="shared" ref="G67:G73" si="10">F67</f>
        <v>0</v>
      </c>
      <c r="H67" s="89"/>
    </row>
    <row r="68" customFormat="1" spans="1:8">
      <c r="A68" s="78">
        <v>1</v>
      </c>
      <c r="B68" s="81" t="s">
        <v>13</v>
      </c>
      <c r="C68" s="79">
        <v>0</v>
      </c>
      <c r="D68" s="79"/>
      <c r="E68" s="80">
        <v>0.03</v>
      </c>
      <c r="F68" s="79">
        <f>C68/1.05*E68</f>
        <v>0</v>
      </c>
      <c r="G68" s="88">
        <v>0</v>
      </c>
      <c r="H68" s="89"/>
    </row>
    <row r="69" customFormat="1" spans="1:8">
      <c r="A69" s="78">
        <v>2</v>
      </c>
      <c r="B69" s="81" t="s">
        <v>46</v>
      </c>
      <c r="C69" s="79">
        <v>0</v>
      </c>
      <c r="D69" s="79"/>
      <c r="E69" s="80">
        <v>0</v>
      </c>
      <c r="F69" s="90">
        <f t="shared" ref="F69:F75" si="11">ROUND(C69*E69,2)</f>
        <v>0</v>
      </c>
      <c r="G69" s="91">
        <f t="shared" si="10"/>
        <v>0</v>
      </c>
      <c r="H69" s="53"/>
    </row>
    <row r="70" customFormat="1" spans="1:8">
      <c r="A70" s="78">
        <v>3</v>
      </c>
      <c r="B70" s="81" t="s">
        <v>19</v>
      </c>
      <c r="C70" s="82">
        <f>G68</f>
        <v>0</v>
      </c>
      <c r="D70" s="82"/>
      <c r="E70" s="80">
        <v>0.05</v>
      </c>
      <c r="F70" s="90">
        <f>F68*E70</f>
        <v>0</v>
      </c>
      <c r="G70" s="91">
        <f t="shared" si="10"/>
        <v>0</v>
      </c>
      <c r="H70" s="53"/>
    </row>
    <row r="71" customFormat="1" spans="1:8">
      <c r="A71" s="78">
        <v>4</v>
      </c>
      <c r="B71" s="81" t="s">
        <v>20</v>
      </c>
      <c r="C71" s="82">
        <f>C70</f>
        <v>0</v>
      </c>
      <c r="D71" s="82"/>
      <c r="E71" s="80">
        <v>0.03</v>
      </c>
      <c r="F71" s="90">
        <f>F68*E71</f>
        <v>0</v>
      </c>
      <c r="G71" s="91">
        <f t="shared" si="10"/>
        <v>0</v>
      </c>
      <c r="H71" s="53"/>
    </row>
    <row r="72" customFormat="1" spans="1:8">
      <c r="A72" s="78">
        <v>5</v>
      </c>
      <c r="B72" s="81" t="s">
        <v>21</v>
      </c>
      <c r="C72" s="82">
        <f>C70</f>
        <v>0</v>
      </c>
      <c r="D72" s="82"/>
      <c r="E72" s="80">
        <v>0.02</v>
      </c>
      <c r="F72" s="90">
        <f>F68*E72</f>
        <v>0</v>
      </c>
      <c r="G72" s="91">
        <f t="shared" si="10"/>
        <v>0</v>
      </c>
      <c r="H72" s="53"/>
    </row>
    <row r="73" customFormat="1" spans="1:8">
      <c r="A73" s="78">
        <v>6</v>
      </c>
      <c r="B73" s="81" t="s">
        <v>52</v>
      </c>
      <c r="C73" s="82">
        <f>C67</f>
        <v>0</v>
      </c>
      <c r="D73" s="82"/>
      <c r="E73" s="80">
        <v>0.03</v>
      </c>
      <c r="F73" s="90">
        <f t="shared" si="11"/>
        <v>0</v>
      </c>
      <c r="G73" s="91">
        <f t="shared" si="10"/>
        <v>0</v>
      </c>
      <c r="H73" s="53"/>
    </row>
    <row r="74" customFormat="1" spans="1:8">
      <c r="A74" s="78">
        <v>7</v>
      </c>
      <c r="B74" s="81" t="s">
        <v>47</v>
      </c>
      <c r="C74" s="82">
        <v>0</v>
      </c>
      <c r="D74" s="82"/>
      <c r="E74" s="83">
        <v>0.0005</v>
      </c>
      <c r="F74" s="90">
        <f t="shared" si="11"/>
        <v>0</v>
      </c>
      <c r="G74" s="91">
        <f>ROUND(F74,1)</f>
        <v>0</v>
      </c>
      <c r="H74" s="53"/>
    </row>
    <row r="75" customFormat="1" spans="1:8">
      <c r="A75" s="78">
        <v>8</v>
      </c>
      <c r="B75" s="81" t="s">
        <v>48</v>
      </c>
      <c r="C75" s="82">
        <v>0</v>
      </c>
      <c r="D75" s="82"/>
      <c r="E75" s="83">
        <v>0.0003</v>
      </c>
      <c r="F75" s="90">
        <f t="shared" si="11"/>
        <v>0</v>
      </c>
      <c r="G75" s="91">
        <f>ROUND(F75,1)</f>
        <v>0</v>
      </c>
      <c r="H75" s="53"/>
    </row>
    <row r="76" customFormat="1" spans="1:8">
      <c r="A76" s="78" t="s">
        <v>53</v>
      </c>
      <c r="B76" s="78"/>
      <c r="C76" s="78"/>
      <c r="D76" s="78"/>
      <c r="E76" s="78"/>
      <c r="F76" s="90">
        <f>SUM(F68:F75)</f>
        <v>0</v>
      </c>
      <c r="G76" s="91">
        <f>SUM(G68:G75)</f>
        <v>0</v>
      </c>
      <c r="H76" s="53"/>
    </row>
    <row r="77" customFormat="1" spans="1:8">
      <c r="A77" s="92"/>
      <c r="B77" s="93"/>
      <c r="C77" s="93"/>
      <c r="D77" s="93"/>
      <c r="E77" s="94"/>
      <c r="F77" s="79"/>
      <c r="G77" s="79"/>
      <c r="H77" s="53"/>
    </row>
    <row r="78" customFormat="1" spans="1:8">
      <c r="A78" s="92"/>
      <c r="B78" s="93"/>
      <c r="C78" s="93"/>
      <c r="D78" s="93"/>
      <c r="E78" s="94"/>
      <c r="F78" s="79"/>
      <c r="G78" s="95"/>
      <c r="H78" s="53"/>
    </row>
    <row r="79" customFormat="1" spans="1:8">
      <c r="A79" s="92"/>
      <c r="B79" s="93" t="s">
        <v>54</v>
      </c>
      <c r="C79" s="93"/>
      <c r="D79" s="93"/>
      <c r="E79" s="94"/>
      <c r="F79" s="79">
        <f>X79*0.02</f>
        <v>0</v>
      </c>
      <c r="G79" s="79">
        <v>0</v>
      </c>
      <c r="H79" s="53"/>
    </row>
    <row r="80" customFormat="1" spans="1:8">
      <c r="A80" s="92"/>
      <c r="B80" s="93" t="s">
        <v>55</v>
      </c>
      <c r="C80" s="93"/>
      <c r="D80" s="93"/>
      <c r="E80" s="94"/>
      <c r="F80" s="79"/>
      <c r="G80" s="95"/>
      <c r="H80" s="53"/>
    </row>
    <row r="81" customFormat="1" spans="1:8">
      <c r="A81" s="92"/>
      <c r="B81" s="93" t="s">
        <v>56</v>
      </c>
      <c r="C81" s="93"/>
      <c r="D81" s="93"/>
      <c r="E81" s="94"/>
      <c r="F81" s="79"/>
      <c r="G81" s="79"/>
      <c r="H81" s="53"/>
    </row>
    <row r="82" customFormat="1" spans="1:8">
      <c r="A82" s="92"/>
      <c r="B82" s="93" t="s">
        <v>57</v>
      </c>
      <c r="C82" s="93"/>
      <c r="D82" s="93"/>
      <c r="E82" s="94"/>
      <c r="F82" s="79"/>
      <c r="G82" s="79"/>
      <c r="H82" s="53"/>
    </row>
    <row r="83" customFormat="1" spans="1:8">
      <c r="A83" s="96" t="s">
        <v>58</v>
      </c>
      <c r="B83" s="97"/>
      <c r="C83" s="97"/>
      <c r="D83" s="97"/>
      <c r="E83" s="98"/>
      <c r="F83" s="79">
        <f>SUM(F77:F82)+F76+F64+F48</f>
        <v>1980.35</v>
      </c>
      <c r="G83" s="79">
        <f>SUM(G77:G82)+G76+G64+G48</f>
        <v>1980.35</v>
      </c>
      <c r="H83" s="81"/>
    </row>
  </sheetData>
  <mergeCells count="13">
    <mergeCell ref="A2:H2"/>
    <mergeCell ref="A17:E17"/>
    <mergeCell ref="A18:H18"/>
    <mergeCell ref="A32:E32"/>
    <mergeCell ref="A33:H33"/>
    <mergeCell ref="A46:E46"/>
    <mergeCell ref="A49:H49"/>
    <mergeCell ref="A50:H50"/>
    <mergeCell ref="A64:E64"/>
    <mergeCell ref="A65:H65"/>
    <mergeCell ref="A76:E76"/>
    <mergeCell ref="A83:E83"/>
    <mergeCell ref="M5:M6"/>
  </mergeCells>
  <printOptions gridLines="1"/>
  <pageMargins left="0.75" right="0.75" top="1" bottom="1" header="0.5" footer="0.5"/>
  <pageSetup paperSize="9" scale="70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53"/>
  <sheetViews>
    <sheetView topLeftCell="A9" workbookViewId="0">
      <selection activeCell="F29" sqref="F29"/>
    </sheetView>
  </sheetViews>
  <sheetFormatPr defaultColWidth="9" defaultRowHeight="13.5"/>
  <cols>
    <col min="2" max="2" width="27.125" customWidth="1"/>
    <col min="3" max="4" width="14.875" customWidth="1"/>
    <col min="6" max="6" width="13.75" customWidth="1"/>
    <col min="7" max="7" width="11.5" customWidth="1"/>
    <col min="8" max="8" width="14.875" customWidth="1"/>
    <col min="10" max="10" width="36.25" customWidth="1"/>
    <col min="11" max="11" width="19.875" customWidth="1"/>
    <col min="12" max="12" width="12.375" customWidth="1"/>
    <col min="13" max="13" width="9.625" customWidth="1"/>
    <col min="15" max="15" width="13.75" customWidth="1"/>
  </cols>
  <sheetData>
    <row r="2" customFormat="1" spans="1:8">
      <c r="A2" s="43" t="s">
        <v>276</v>
      </c>
      <c r="B2" s="43"/>
      <c r="C2" s="43"/>
      <c r="D2" s="43"/>
      <c r="E2" s="43"/>
      <c r="F2" s="43"/>
      <c r="G2" s="43"/>
      <c r="H2" s="43"/>
    </row>
    <row r="3" ht="17" customHeight="1" spans="1:13">
      <c r="A3" s="44" t="s">
        <v>1</v>
      </c>
      <c r="B3" s="44" t="s">
        <v>2</v>
      </c>
      <c r="C3" s="44" t="s">
        <v>245</v>
      </c>
      <c r="D3" s="44" t="s">
        <v>261</v>
      </c>
      <c r="E3" s="44" t="s">
        <v>4</v>
      </c>
      <c r="F3" s="44" t="s">
        <v>246</v>
      </c>
      <c r="G3" s="44" t="s">
        <v>5</v>
      </c>
      <c r="H3" s="44" t="s">
        <v>6</v>
      </c>
      <c r="J3" s="57" t="s">
        <v>277</v>
      </c>
      <c r="K3" s="58" t="s">
        <v>3</v>
      </c>
      <c r="L3" s="57" t="s">
        <v>8</v>
      </c>
      <c r="M3" s="59" t="s">
        <v>6</v>
      </c>
    </row>
    <row r="4" ht="17" customHeight="1" spans="1:13">
      <c r="A4" s="44">
        <v>1</v>
      </c>
      <c r="B4" s="45" t="s">
        <v>9</v>
      </c>
      <c r="C4" s="46">
        <f>K4</f>
        <v>100000</v>
      </c>
      <c r="D4" s="46">
        <f>C4/1.05</f>
        <v>95238.0952380952</v>
      </c>
      <c r="E4" s="47">
        <v>0.05</v>
      </c>
      <c r="F4" s="46">
        <f>ROUND(D4*E4,2)</f>
        <v>4761.9</v>
      </c>
      <c r="G4" s="46"/>
      <c r="H4" s="45"/>
      <c r="J4" s="60" t="s">
        <v>278</v>
      </c>
      <c r="K4" s="61">
        <v>100000</v>
      </c>
      <c r="L4" s="62" t="s">
        <v>279</v>
      </c>
      <c r="M4" s="63"/>
    </row>
    <row r="5" ht="17" customHeight="1" spans="1:13">
      <c r="A5" s="44">
        <v>3</v>
      </c>
      <c r="B5" s="45" t="s">
        <v>272</v>
      </c>
      <c r="C5" s="46"/>
      <c r="D5" s="46"/>
      <c r="E5" s="47"/>
      <c r="F5" s="46">
        <f>F4</f>
        <v>4761.9</v>
      </c>
      <c r="G5" s="46"/>
      <c r="H5" s="45"/>
      <c r="J5" s="60" t="s">
        <v>280</v>
      </c>
      <c r="K5" s="61">
        <v>50000</v>
      </c>
      <c r="L5" s="62" t="s">
        <v>281</v>
      </c>
      <c r="M5" s="61"/>
    </row>
    <row r="6" ht="17" customHeight="1" spans="1:13">
      <c r="A6" s="44">
        <v>4</v>
      </c>
      <c r="B6" s="45" t="s">
        <v>10</v>
      </c>
      <c r="C6" s="46">
        <f>F4</f>
        <v>4761.9</v>
      </c>
      <c r="D6" s="46"/>
      <c r="E6" s="47">
        <v>0.07</v>
      </c>
      <c r="F6" s="46">
        <f>ROUND(C6*E6,2)</f>
        <v>333.33</v>
      </c>
      <c r="G6" s="46"/>
      <c r="H6" s="45"/>
      <c r="J6" s="64" t="s">
        <v>282</v>
      </c>
      <c r="K6" s="61">
        <v>180000</v>
      </c>
      <c r="L6" s="61" t="s">
        <v>283</v>
      </c>
      <c r="M6" s="65" t="s">
        <v>284</v>
      </c>
    </row>
    <row r="7" ht="17" customHeight="1" spans="1:13">
      <c r="A7" s="44">
        <v>5</v>
      </c>
      <c r="B7" s="45" t="s">
        <v>11</v>
      </c>
      <c r="C7" s="46">
        <f>F4</f>
        <v>4761.9</v>
      </c>
      <c r="D7" s="46"/>
      <c r="E7" s="47">
        <v>0.03</v>
      </c>
      <c r="F7" s="46">
        <f>ROUND(C7*E7,2)</f>
        <v>142.86</v>
      </c>
      <c r="G7" s="46"/>
      <c r="H7" s="45"/>
      <c r="J7" s="64" t="s">
        <v>285</v>
      </c>
      <c r="K7" s="61">
        <v>190000</v>
      </c>
      <c r="L7" s="61" t="s">
        <v>249</v>
      </c>
      <c r="M7" s="65" t="s">
        <v>284</v>
      </c>
    </row>
    <row r="8" ht="17" customHeight="1" spans="1:13">
      <c r="A8" s="44">
        <v>6</v>
      </c>
      <c r="B8" s="45" t="s">
        <v>12</v>
      </c>
      <c r="C8" s="46">
        <f>F4</f>
        <v>4761.9</v>
      </c>
      <c r="D8" s="46"/>
      <c r="E8" s="47">
        <v>0.02</v>
      </c>
      <c r="F8" s="46">
        <f>ROUND(C8*E8,2)</f>
        <v>95.24</v>
      </c>
      <c r="G8" s="46"/>
      <c r="H8" s="44"/>
      <c r="J8" s="64" t="s">
        <v>286</v>
      </c>
      <c r="K8" s="61">
        <v>68000</v>
      </c>
      <c r="L8" s="61" t="s">
        <v>287</v>
      </c>
      <c r="M8" s="65" t="s">
        <v>284</v>
      </c>
    </row>
    <row r="9" ht="17" customHeight="1" spans="1:13">
      <c r="A9" s="44">
        <v>7</v>
      </c>
      <c r="B9" s="45" t="s">
        <v>13</v>
      </c>
      <c r="C9" s="46">
        <v>0</v>
      </c>
      <c r="D9" s="46"/>
      <c r="E9" s="47">
        <v>0.03</v>
      </c>
      <c r="F9" s="46">
        <f>C9/1.05*E9</f>
        <v>0</v>
      </c>
      <c r="G9" s="46"/>
      <c r="H9" s="44"/>
      <c r="J9" s="60"/>
      <c r="K9" s="61"/>
      <c r="L9" s="62"/>
      <c r="M9" s="63"/>
    </row>
    <row r="10" ht="17" customHeight="1" spans="1:13">
      <c r="A10" s="44">
        <v>8</v>
      </c>
      <c r="B10" s="45" t="s">
        <v>17</v>
      </c>
      <c r="C10" s="46">
        <v>0</v>
      </c>
      <c r="D10" s="46"/>
      <c r="E10" s="47">
        <v>0.05</v>
      </c>
      <c r="F10" s="46">
        <f>C10/1.05*E10</f>
        <v>0</v>
      </c>
      <c r="G10" s="46"/>
      <c r="H10" s="44"/>
      <c r="J10" s="60" t="s">
        <v>58</v>
      </c>
      <c r="K10" s="61">
        <f>SUM(K4:K9)</f>
        <v>588000</v>
      </c>
      <c r="L10" s="61"/>
      <c r="M10" s="63"/>
    </row>
    <row r="11" customFormat="1" ht="17" customHeight="1" spans="1:13">
      <c r="A11" s="44">
        <v>9</v>
      </c>
      <c r="B11" s="45" t="s">
        <v>18</v>
      </c>
      <c r="C11" s="46">
        <v>0</v>
      </c>
      <c r="D11" s="46"/>
      <c r="E11" s="47">
        <v>0.02</v>
      </c>
      <c r="F11" s="46">
        <f t="shared" ref="F11:F19" si="0">ROUND(C11*E11,2)</f>
        <v>0</v>
      </c>
      <c r="G11" s="46"/>
      <c r="H11" s="48"/>
      <c r="J11" s="60"/>
      <c r="K11" s="61"/>
      <c r="L11" s="61"/>
      <c r="M11" s="61"/>
    </row>
    <row r="12" customFormat="1" ht="17" customHeight="1" spans="1:8">
      <c r="A12" s="44">
        <v>10</v>
      </c>
      <c r="B12" s="45" t="s">
        <v>19</v>
      </c>
      <c r="C12" s="49">
        <f>F9+F10</f>
        <v>0</v>
      </c>
      <c r="D12" s="49"/>
      <c r="E12" s="47">
        <v>0.07</v>
      </c>
      <c r="F12" s="46">
        <f t="shared" si="0"/>
        <v>0</v>
      </c>
      <c r="G12" s="46"/>
      <c r="H12" s="45"/>
    </row>
    <row r="13" customFormat="1" ht="17" customHeight="1" spans="1:8">
      <c r="A13" s="44">
        <v>11</v>
      </c>
      <c r="B13" s="45" t="s">
        <v>20</v>
      </c>
      <c r="C13" s="49">
        <f>F9+F10</f>
        <v>0</v>
      </c>
      <c r="D13" s="49"/>
      <c r="E13" s="47">
        <v>0.03</v>
      </c>
      <c r="F13" s="46">
        <f t="shared" si="0"/>
        <v>0</v>
      </c>
      <c r="G13" s="46"/>
      <c r="H13" s="45"/>
    </row>
    <row r="14" customFormat="1" ht="17" customHeight="1" spans="1:8">
      <c r="A14" s="44">
        <v>12</v>
      </c>
      <c r="B14" s="45" t="s">
        <v>21</v>
      </c>
      <c r="C14" s="49">
        <f>F9+F10</f>
        <v>0</v>
      </c>
      <c r="D14" s="49"/>
      <c r="E14" s="47">
        <v>0.02</v>
      </c>
      <c r="F14" s="46">
        <f t="shared" si="0"/>
        <v>0</v>
      </c>
      <c r="G14" s="46"/>
      <c r="H14" s="45"/>
    </row>
    <row r="15" ht="17" customHeight="1" spans="1:8">
      <c r="A15" s="44">
        <v>13</v>
      </c>
      <c r="B15" s="45" t="s">
        <v>38</v>
      </c>
      <c r="C15" s="49"/>
      <c r="D15" s="49"/>
      <c r="E15" s="50">
        <v>0.01</v>
      </c>
      <c r="F15" s="46">
        <f t="shared" si="0"/>
        <v>0</v>
      </c>
      <c r="G15" s="46"/>
      <c r="H15" s="45"/>
    </row>
    <row r="16" ht="17" customHeight="1" spans="1:13">
      <c r="A16" s="44">
        <v>14</v>
      </c>
      <c r="B16" s="45" t="s">
        <v>39</v>
      </c>
      <c r="C16" s="49">
        <f>D4</f>
        <v>95238.0952380952</v>
      </c>
      <c r="D16" s="49"/>
      <c r="E16" s="50">
        <v>0.03</v>
      </c>
      <c r="F16" s="46">
        <f t="shared" si="0"/>
        <v>2857.14</v>
      </c>
      <c r="G16" s="46"/>
      <c r="H16" s="45"/>
      <c r="J16" s="57" t="s">
        <v>288</v>
      </c>
      <c r="K16" s="58" t="s">
        <v>3</v>
      </c>
      <c r="L16" s="57" t="s">
        <v>8</v>
      </c>
      <c r="M16" s="59" t="s">
        <v>6</v>
      </c>
    </row>
    <row r="17" customFormat="1" ht="17" customHeight="1" spans="1:13">
      <c r="A17" s="44">
        <v>15</v>
      </c>
      <c r="B17" s="45" t="s">
        <v>25</v>
      </c>
      <c r="C17" s="49">
        <f>C10-F10</f>
        <v>0</v>
      </c>
      <c r="D17" s="49"/>
      <c r="E17" s="47">
        <v>0.12</v>
      </c>
      <c r="F17" s="46">
        <f t="shared" si="0"/>
        <v>0</v>
      </c>
      <c r="G17" s="46"/>
      <c r="H17" s="45"/>
      <c r="J17" s="60" t="s">
        <v>289</v>
      </c>
      <c r="K17" s="61">
        <v>206255</v>
      </c>
      <c r="L17" s="60" t="s">
        <v>289</v>
      </c>
      <c r="M17" s="63"/>
    </row>
    <row r="18" customFormat="1" ht="17" customHeight="1" spans="1:13">
      <c r="A18" s="44">
        <v>16</v>
      </c>
      <c r="B18" s="45" t="s">
        <v>257</v>
      </c>
      <c r="C18" s="49"/>
      <c r="D18" s="49"/>
      <c r="E18" s="51">
        <v>0.0005</v>
      </c>
      <c r="F18" s="46">
        <f t="shared" si="0"/>
        <v>0</v>
      </c>
      <c r="G18" s="52"/>
      <c r="H18" s="45"/>
      <c r="J18" s="64" t="s">
        <v>287</v>
      </c>
      <c r="K18" s="61">
        <v>258973</v>
      </c>
      <c r="L18" s="60" t="s">
        <v>287</v>
      </c>
      <c r="M18" s="63"/>
    </row>
    <row r="19" customFormat="1" ht="17" customHeight="1" spans="1:13">
      <c r="A19" s="44">
        <v>17</v>
      </c>
      <c r="B19" s="45" t="s">
        <v>26</v>
      </c>
      <c r="C19" s="49">
        <v>0</v>
      </c>
      <c r="D19" s="49"/>
      <c r="E19" s="51">
        <v>0.0005</v>
      </c>
      <c r="F19" s="52">
        <f t="shared" si="0"/>
        <v>0</v>
      </c>
      <c r="G19" s="52"/>
      <c r="H19" s="45"/>
      <c r="J19" s="64" t="s">
        <v>249</v>
      </c>
      <c r="K19" s="61">
        <v>237585.00004</v>
      </c>
      <c r="L19" s="60" t="s">
        <v>249</v>
      </c>
      <c r="M19" s="63"/>
    </row>
    <row r="20" customFormat="1" ht="17" customHeight="1" spans="1:15">
      <c r="A20" s="44" t="s">
        <v>28</v>
      </c>
      <c r="B20" s="44"/>
      <c r="C20" s="44"/>
      <c r="D20" s="44"/>
      <c r="E20" s="44"/>
      <c r="F20" s="46">
        <f>SUM(F5:F19)</f>
        <v>8190.47</v>
      </c>
      <c r="G20" s="46">
        <f>SUM(G4:G19)</f>
        <v>0</v>
      </c>
      <c r="H20" s="45"/>
      <c r="J20" s="64" t="s">
        <v>283</v>
      </c>
      <c r="K20" s="61">
        <v>242501.5</v>
      </c>
      <c r="L20" s="60" t="s">
        <v>283</v>
      </c>
      <c r="M20" s="63"/>
      <c r="O20" s="66">
        <v>1727031.52</v>
      </c>
    </row>
    <row r="21" customFormat="1" ht="17" customHeight="1" spans="1:15">
      <c r="A21" s="43" t="s">
        <v>290</v>
      </c>
      <c r="B21" s="43"/>
      <c r="C21" s="43"/>
      <c r="D21" s="43"/>
      <c r="E21" s="43"/>
      <c r="F21" s="43"/>
      <c r="G21" s="43"/>
      <c r="H21" s="43"/>
      <c r="J21" s="60" t="s">
        <v>291</v>
      </c>
      <c r="K21" s="61">
        <v>136275</v>
      </c>
      <c r="L21" s="60" t="s">
        <v>291</v>
      </c>
      <c r="M21" s="63"/>
      <c r="O21" s="66">
        <v>1703233.6</v>
      </c>
    </row>
    <row r="22" customFormat="1" ht="17" customHeight="1" spans="1:15">
      <c r="A22" s="44" t="s">
        <v>1</v>
      </c>
      <c r="B22" s="44" t="s">
        <v>2</v>
      </c>
      <c r="C22" s="44" t="s">
        <v>245</v>
      </c>
      <c r="D22" s="44" t="s">
        <v>261</v>
      </c>
      <c r="E22" s="44" t="s">
        <v>4</v>
      </c>
      <c r="F22" s="44" t="s">
        <v>246</v>
      </c>
      <c r="G22" s="44" t="s">
        <v>5</v>
      </c>
      <c r="H22" s="44" t="s">
        <v>6</v>
      </c>
      <c r="J22" s="60" t="s">
        <v>292</v>
      </c>
      <c r="K22" s="61">
        <v>238979</v>
      </c>
      <c r="L22" s="60" t="s">
        <v>292</v>
      </c>
      <c r="M22" s="63"/>
      <c r="O22">
        <f>O20-O21</f>
        <v>23797.9199999999</v>
      </c>
    </row>
    <row r="23" customFormat="1" ht="17" customHeight="1" spans="1:13">
      <c r="A23" s="44">
        <v>1</v>
      </c>
      <c r="B23" s="45" t="s">
        <v>293</v>
      </c>
      <c r="C23" s="46">
        <f>K5</f>
        <v>50000</v>
      </c>
      <c r="D23" s="46">
        <f>C23/1.09</f>
        <v>45871.5596330275</v>
      </c>
      <c r="E23" s="47">
        <v>0.09</v>
      </c>
      <c r="F23" s="46">
        <f>D23*E23</f>
        <v>4128.44036697248</v>
      </c>
      <c r="G23" s="46"/>
      <c r="H23" s="45"/>
      <c r="J23" s="60" t="s">
        <v>253</v>
      </c>
      <c r="K23" s="61">
        <v>108973.3</v>
      </c>
      <c r="L23" s="60" t="s">
        <v>253</v>
      </c>
      <c r="M23" s="63"/>
    </row>
    <row r="24" customFormat="1" ht="17" customHeight="1" spans="1:13">
      <c r="A24" s="44">
        <v>2</v>
      </c>
      <c r="B24" s="45" t="s">
        <v>264</v>
      </c>
      <c r="C24" s="46">
        <f>K24</f>
        <v>1429541.80004</v>
      </c>
      <c r="D24" s="46">
        <f>C24/1.09</f>
        <v>1311506.23856881</v>
      </c>
      <c r="E24" s="47">
        <v>0.09</v>
      </c>
      <c r="F24" s="46">
        <f>D24*E24</f>
        <v>118035.561471193</v>
      </c>
      <c r="G24" s="46"/>
      <c r="H24" s="45"/>
      <c r="J24" s="60" t="s">
        <v>58</v>
      </c>
      <c r="K24" s="61">
        <f>SUM(K17:K23)</f>
        <v>1429541.80004</v>
      </c>
      <c r="L24" s="61"/>
      <c r="M24" s="61"/>
    </row>
    <row r="25" customFormat="1" ht="17" customHeight="1" spans="1:8">
      <c r="A25" s="44">
        <v>3</v>
      </c>
      <c r="B25" s="45" t="s">
        <v>294</v>
      </c>
      <c r="C25" s="46">
        <v>3400</v>
      </c>
      <c r="D25" s="46">
        <f>C25/1.06</f>
        <v>3207.54716981132</v>
      </c>
      <c r="E25" s="47">
        <v>0.06</v>
      </c>
      <c r="F25" s="46">
        <f>D25*E25</f>
        <v>192.452830188679</v>
      </c>
      <c r="G25" s="46"/>
      <c r="H25" s="45"/>
    </row>
    <row r="26" customFormat="1" ht="17" customHeight="1" spans="1:12">
      <c r="A26" s="44">
        <v>4</v>
      </c>
      <c r="B26" s="45" t="s">
        <v>266</v>
      </c>
      <c r="C26" s="46"/>
      <c r="D26" s="46"/>
      <c r="E26" s="47"/>
      <c r="F26" s="46">
        <v>716.32</v>
      </c>
      <c r="G26" s="46"/>
      <c r="H26" s="45"/>
      <c r="J26" s="67">
        <f>D23+D24</f>
        <v>1357377.79820183</v>
      </c>
      <c r="K26" s="67">
        <f>E23+E24</f>
        <v>0.18</v>
      </c>
      <c r="L26" s="67">
        <f>F23+F24</f>
        <v>122164.001838165</v>
      </c>
    </row>
    <row r="27" customFormat="1" ht="20" customHeight="1" spans="1:15">
      <c r="A27" s="44">
        <v>5</v>
      </c>
      <c r="B27" s="45" t="s">
        <v>295</v>
      </c>
      <c r="C27" s="46"/>
      <c r="D27" s="46"/>
      <c r="E27" s="47"/>
      <c r="F27" s="46">
        <f>212.27+165.15</f>
        <v>377.42</v>
      </c>
      <c r="G27" s="46"/>
      <c r="H27" s="45"/>
      <c r="O27" s="66"/>
    </row>
    <row r="28" customFormat="1" ht="19" customHeight="1" spans="1:15">
      <c r="A28" s="44">
        <v>6</v>
      </c>
      <c r="B28" s="45" t="s">
        <v>269</v>
      </c>
      <c r="C28" s="46"/>
      <c r="D28" s="46"/>
      <c r="E28" s="47"/>
      <c r="F28" s="46">
        <v>402043</v>
      </c>
      <c r="G28" s="46"/>
      <c r="H28" s="45"/>
      <c r="O28" s="66"/>
    </row>
    <row r="29" customFormat="1" ht="19" customHeight="1" spans="1:13">
      <c r="A29" s="44">
        <v>7</v>
      </c>
      <c r="B29" s="45" t="s">
        <v>272</v>
      </c>
      <c r="C29" s="46"/>
      <c r="D29" s="46"/>
      <c r="E29" s="47"/>
      <c r="F29" s="46">
        <f>F23+F24+F25-F26+F27-F28</f>
        <v>-280025.445331646</v>
      </c>
      <c r="G29" s="46"/>
      <c r="H29" s="45"/>
      <c r="J29" s="68" t="s">
        <v>296</v>
      </c>
      <c r="K29" s="58" t="s">
        <v>3</v>
      </c>
      <c r="L29" s="57" t="s">
        <v>8</v>
      </c>
      <c r="M29" s="59" t="s">
        <v>6</v>
      </c>
    </row>
    <row r="30" customFormat="1" ht="19" customHeight="1" spans="1:13">
      <c r="A30" s="44">
        <v>8</v>
      </c>
      <c r="B30" s="45" t="s">
        <v>10</v>
      </c>
      <c r="C30" s="46">
        <f>IF(F29&lt;=0,0,F29)</f>
        <v>0</v>
      </c>
      <c r="D30" s="46"/>
      <c r="E30" s="47">
        <v>0.07</v>
      </c>
      <c r="F30" s="46">
        <f t="shared" ref="F30:F36" si="1">ROUND(C30*E30,2)</f>
        <v>0</v>
      </c>
      <c r="G30" s="46"/>
      <c r="H30" s="45" t="s">
        <v>34</v>
      </c>
      <c r="J30" s="60" t="s">
        <v>297</v>
      </c>
      <c r="K30" s="61">
        <v>242501.5</v>
      </c>
      <c r="L30" s="60" t="s">
        <v>297</v>
      </c>
      <c r="M30" s="63"/>
    </row>
    <row r="31" customFormat="1" ht="19" customHeight="1" spans="1:13">
      <c r="A31" s="44">
        <v>9</v>
      </c>
      <c r="B31" s="45" t="s">
        <v>11</v>
      </c>
      <c r="C31" s="46">
        <f>IF(F29&lt;=0,0,F29)</f>
        <v>0</v>
      </c>
      <c r="D31" s="46"/>
      <c r="E31" s="47">
        <v>0.03</v>
      </c>
      <c r="F31" s="46">
        <f t="shared" si="1"/>
        <v>0</v>
      </c>
      <c r="G31" s="46"/>
      <c r="H31" s="45" t="s">
        <v>34</v>
      </c>
      <c r="J31" s="60" t="s">
        <v>298</v>
      </c>
      <c r="K31" s="61">
        <v>237926</v>
      </c>
      <c r="L31" s="60" t="s">
        <v>298</v>
      </c>
      <c r="M31" s="63"/>
    </row>
    <row r="32" customFormat="1" ht="19" customHeight="1" spans="1:13">
      <c r="A32" s="44">
        <v>10</v>
      </c>
      <c r="B32" s="45" t="s">
        <v>12</v>
      </c>
      <c r="C32" s="46">
        <f>IF(F29&lt;=0,0,F29)</f>
        <v>0</v>
      </c>
      <c r="D32" s="46"/>
      <c r="E32" s="47">
        <v>0.02</v>
      </c>
      <c r="F32" s="46">
        <f t="shared" si="1"/>
        <v>0</v>
      </c>
      <c r="G32" s="46"/>
      <c r="H32" s="45" t="s">
        <v>34</v>
      </c>
      <c r="J32" s="60" t="s">
        <v>58</v>
      </c>
      <c r="K32" s="61">
        <f>SUM(K30:K31)</f>
        <v>480427.5</v>
      </c>
      <c r="L32" s="61"/>
      <c r="M32" s="61"/>
    </row>
    <row r="33" customFormat="1" ht="19" customHeight="1" spans="1:8">
      <c r="A33" s="44">
        <v>12</v>
      </c>
      <c r="B33" s="45" t="s">
        <v>38</v>
      </c>
      <c r="C33" s="46">
        <f>(K6+K7+K8)/1.09</f>
        <v>401834.862385321</v>
      </c>
      <c r="D33" s="46"/>
      <c r="E33" s="50">
        <v>0.01</v>
      </c>
      <c r="F33" s="46">
        <f t="shared" si="1"/>
        <v>4018.35</v>
      </c>
      <c r="G33" s="46"/>
      <c r="H33" s="53"/>
    </row>
    <row r="34" customFormat="1" ht="19" customHeight="1" spans="1:13">
      <c r="A34" s="44"/>
      <c r="B34" s="45" t="s">
        <v>39</v>
      </c>
      <c r="C34" s="46">
        <f>K5/1.09</f>
        <v>45871.5596330275</v>
      </c>
      <c r="D34" s="46"/>
      <c r="E34" s="50">
        <v>0.03</v>
      </c>
      <c r="F34" s="46">
        <f t="shared" si="1"/>
        <v>1376.15</v>
      </c>
      <c r="G34" s="46"/>
      <c r="H34" s="53"/>
      <c r="K34" s="69"/>
      <c r="L34" t="s">
        <v>261</v>
      </c>
      <c r="M34" t="s">
        <v>62</v>
      </c>
    </row>
    <row r="35" customFormat="1" ht="19" customHeight="1" spans="1:13">
      <c r="A35" s="44">
        <v>13</v>
      </c>
      <c r="B35" s="45" t="s">
        <v>257</v>
      </c>
      <c r="C35" s="46">
        <f>K32</f>
        <v>480427.5</v>
      </c>
      <c r="D35" s="46"/>
      <c r="E35" s="51">
        <v>0.0005</v>
      </c>
      <c r="F35" s="46">
        <f t="shared" si="1"/>
        <v>240.21</v>
      </c>
      <c r="G35" s="52"/>
      <c r="H35" s="45"/>
      <c r="J35" s="70"/>
      <c r="K35" s="71" t="s">
        <v>299</v>
      </c>
      <c r="L35" s="72">
        <v>-137614.68</v>
      </c>
      <c r="M35" s="72">
        <v>-12385.32</v>
      </c>
    </row>
    <row r="36" customFormat="1" ht="19" customHeight="1" spans="1:13">
      <c r="A36" s="44">
        <v>14</v>
      </c>
      <c r="B36" s="45" t="s">
        <v>40</v>
      </c>
      <c r="C36" s="46">
        <v>0</v>
      </c>
      <c r="D36" s="46">
        <f>SUM(D23:D35)</f>
        <v>1360585.34537165</v>
      </c>
      <c r="E36" s="51">
        <v>0.0003</v>
      </c>
      <c r="F36" s="46">
        <f t="shared" si="1"/>
        <v>0</v>
      </c>
      <c r="G36" s="46"/>
      <c r="H36" s="53"/>
      <c r="J36" s="70"/>
      <c r="K36" s="71" t="s">
        <v>299</v>
      </c>
      <c r="L36" s="72">
        <v>-312.84</v>
      </c>
      <c r="M36" s="72">
        <v>-28.16</v>
      </c>
    </row>
    <row r="37" customFormat="1" ht="19" customHeight="1" spans="1:13">
      <c r="A37" s="44" t="s">
        <v>28</v>
      </c>
      <c r="B37" s="44"/>
      <c r="C37" s="44"/>
      <c r="D37" s="44"/>
      <c r="E37" s="44"/>
      <c r="F37" s="46">
        <f>SUM(F30:F36)</f>
        <v>5634.71</v>
      </c>
      <c r="G37" s="46">
        <f>SUM(G23:G36)</f>
        <v>0</v>
      </c>
      <c r="H37" s="45"/>
      <c r="J37" s="70"/>
      <c r="K37" s="71" t="s">
        <v>299</v>
      </c>
      <c r="L37" s="72">
        <v>-197715.6</v>
      </c>
      <c r="M37" s="72">
        <v>-17794.4</v>
      </c>
    </row>
    <row r="38" customFormat="1" ht="19" customHeight="1" spans="1:13">
      <c r="A38" s="43" t="s">
        <v>300</v>
      </c>
      <c r="B38" s="43"/>
      <c r="C38" s="43"/>
      <c r="D38" s="43"/>
      <c r="E38" s="43"/>
      <c r="F38" s="43"/>
      <c r="G38" s="43"/>
      <c r="H38" s="43"/>
      <c r="J38" s="70"/>
      <c r="K38" s="71" t="s">
        <v>58</v>
      </c>
      <c r="L38" s="72">
        <f>SUM(L35:L37)</f>
        <v>-335643.12</v>
      </c>
      <c r="M38" s="72">
        <f>SUM(M35:M37)</f>
        <v>-30207.88</v>
      </c>
    </row>
    <row r="39" customFormat="1" ht="19" customHeight="1" spans="1:13">
      <c r="A39" s="44" t="s">
        <v>1</v>
      </c>
      <c r="B39" s="44" t="s">
        <v>2</v>
      </c>
      <c r="C39" s="44" t="s">
        <v>245</v>
      </c>
      <c r="D39" s="44"/>
      <c r="E39" s="44" t="s">
        <v>4</v>
      </c>
      <c r="F39" s="44" t="s">
        <v>246</v>
      </c>
      <c r="G39" s="44" t="s">
        <v>5</v>
      </c>
      <c r="H39" s="44" t="s">
        <v>6</v>
      </c>
      <c r="J39" s="70"/>
      <c r="K39" s="71" t="s">
        <v>301</v>
      </c>
      <c r="L39" s="72">
        <v>45871.56</v>
      </c>
      <c r="M39" s="72">
        <v>4128.44</v>
      </c>
    </row>
    <row r="40" customFormat="1" ht="19" customHeight="1" spans="1:13">
      <c r="A40" s="44">
        <v>1</v>
      </c>
      <c r="B40" s="45" t="s">
        <v>30</v>
      </c>
      <c r="C40" s="46"/>
      <c r="D40" s="46"/>
      <c r="E40" s="47">
        <v>0.03</v>
      </c>
      <c r="F40" s="46">
        <f>C40/1.09*E40</f>
        <v>0</v>
      </c>
      <c r="G40" s="46"/>
      <c r="H40" s="45"/>
      <c r="J40" s="70"/>
      <c r="K40" s="71" t="s">
        <v>302</v>
      </c>
      <c r="L40" s="73">
        <f>L38+L39</f>
        <v>-289771.56</v>
      </c>
      <c r="M40" s="73">
        <f>M38+M39</f>
        <v>-26079.44</v>
      </c>
    </row>
    <row r="41" customFormat="1" ht="19" customHeight="1" spans="1:13">
      <c r="A41" s="44">
        <v>2</v>
      </c>
      <c r="B41" s="45" t="s">
        <v>31</v>
      </c>
      <c r="C41" s="46">
        <f>F40</f>
        <v>0</v>
      </c>
      <c r="D41" s="46"/>
      <c r="E41" s="47">
        <v>0.07</v>
      </c>
      <c r="F41" s="46">
        <f t="shared" ref="F41:F50" si="2">ROUND(C41*E41,2)</f>
        <v>0</v>
      </c>
      <c r="G41" s="46"/>
      <c r="H41" s="45"/>
      <c r="J41" s="70"/>
      <c r="K41" s="72"/>
      <c r="L41" s="72"/>
      <c r="M41" s="72"/>
    </row>
    <row r="42" customFormat="1" ht="22" customHeight="1" spans="1:13">
      <c r="A42" s="44">
        <v>3</v>
      </c>
      <c r="B42" s="45" t="s">
        <v>32</v>
      </c>
      <c r="C42" s="46">
        <f>F40</f>
        <v>0</v>
      </c>
      <c r="D42" s="46"/>
      <c r="E42" s="47">
        <v>0.03</v>
      </c>
      <c r="F42" s="46">
        <f t="shared" si="2"/>
        <v>0</v>
      </c>
      <c r="G42" s="46"/>
      <c r="H42" s="45"/>
      <c r="J42" s="70"/>
      <c r="K42" s="72"/>
      <c r="L42" s="72"/>
      <c r="M42" s="72"/>
    </row>
    <row r="43" customFormat="1" spans="1:8">
      <c r="A43" s="44">
        <v>4</v>
      </c>
      <c r="B43" s="45" t="s">
        <v>33</v>
      </c>
      <c r="C43" s="46">
        <f>F40</f>
        <v>0</v>
      </c>
      <c r="D43" s="46"/>
      <c r="E43" s="47">
        <v>0.02</v>
      </c>
      <c r="F43" s="46">
        <f t="shared" si="2"/>
        <v>0</v>
      </c>
      <c r="G43" s="46"/>
      <c r="H43" s="44"/>
    </row>
    <row r="44" customFormat="1" spans="1:8">
      <c r="A44" s="44">
        <v>5</v>
      </c>
      <c r="B44" s="45" t="s">
        <v>18</v>
      </c>
      <c r="C44" s="46">
        <v>0</v>
      </c>
      <c r="D44" s="46"/>
      <c r="E44" s="47">
        <v>0.06</v>
      </c>
      <c r="F44" s="46">
        <f t="shared" si="2"/>
        <v>0</v>
      </c>
      <c r="G44" s="46"/>
      <c r="H44" s="45"/>
    </row>
    <row r="45" customFormat="1" spans="1:8">
      <c r="A45" s="44">
        <v>6</v>
      </c>
      <c r="B45" s="45" t="s">
        <v>35</v>
      </c>
      <c r="C45" s="49">
        <f>F44</f>
        <v>0</v>
      </c>
      <c r="D45" s="49"/>
      <c r="E45" s="47">
        <v>0.07</v>
      </c>
      <c r="F45" s="46">
        <f t="shared" si="2"/>
        <v>0</v>
      </c>
      <c r="G45" s="46"/>
      <c r="H45" s="45"/>
    </row>
    <row r="46" customFormat="1" spans="1:8">
      <c r="A46" s="44">
        <v>7</v>
      </c>
      <c r="B46" s="45" t="s">
        <v>36</v>
      </c>
      <c r="C46" s="49">
        <f>F44</f>
        <v>0</v>
      </c>
      <c r="D46" s="49"/>
      <c r="E46" s="47">
        <v>0.03</v>
      </c>
      <c r="F46" s="46">
        <f t="shared" si="2"/>
        <v>0</v>
      </c>
      <c r="G46" s="46"/>
      <c r="H46" s="45"/>
    </row>
    <row r="47" customFormat="1" spans="1:8">
      <c r="A47" s="44">
        <v>8</v>
      </c>
      <c r="B47" s="45" t="s">
        <v>37</v>
      </c>
      <c r="C47" s="49">
        <f>F44</f>
        <v>0</v>
      </c>
      <c r="D47" s="49"/>
      <c r="E47" s="47">
        <v>0.02</v>
      </c>
      <c r="F47" s="46">
        <f t="shared" si="2"/>
        <v>0</v>
      </c>
      <c r="G47" s="46"/>
      <c r="H47" s="45"/>
    </row>
    <row r="48" customFormat="1" spans="1:8">
      <c r="A48" s="44">
        <v>9</v>
      </c>
      <c r="B48" s="45" t="s">
        <v>42</v>
      </c>
      <c r="C48" s="49">
        <f>C40-F40</f>
        <v>0</v>
      </c>
      <c r="D48" s="49"/>
      <c r="E48" s="47">
        <v>0.01</v>
      </c>
      <c r="F48" s="46">
        <f t="shared" si="2"/>
        <v>0</v>
      </c>
      <c r="G48" s="46"/>
      <c r="H48" s="53"/>
    </row>
    <row r="49" customFormat="1" spans="1:8">
      <c r="A49" s="44">
        <v>10</v>
      </c>
      <c r="B49" s="45" t="s">
        <v>26</v>
      </c>
      <c r="C49" s="49">
        <f>C40</f>
        <v>0</v>
      </c>
      <c r="D49" s="49"/>
      <c r="E49" s="51">
        <v>0.0005</v>
      </c>
      <c r="F49" s="52">
        <f t="shared" si="2"/>
        <v>0</v>
      </c>
      <c r="G49" s="52"/>
      <c r="H49" s="45"/>
    </row>
    <row r="50" customFormat="1" spans="1:8">
      <c r="A50" s="44">
        <v>11</v>
      </c>
      <c r="B50" s="45" t="s">
        <v>40</v>
      </c>
      <c r="C50" s="49">
        <v>0</v>
      </c>
      <c r="D50" s="49"/>
      <c r="E50" s="51">
        <v>0.0003</v>
      </c>
      <c r="F50" s="46">
        <f t="shared" si="2"/>
        <v>0</v>
      </c>
      <c r="G50" s="46"/>
      <c r="H50" s="53"/>
    </row>
    <row r="51" customFormat="1" spans="1:8">
      <c r="A51" s="44" t="s">
        <v>28</v>
      </c>
      <c r="B51" s="44"/>
      <c r="C51" s="44"/>
      <c r="D51" s="44"/>
      <c r="E51" s="44"/>
      <c r="F51" s="46">
        <f>SUM(F40:F50)</f>
        <v>0</v>
      </c>
      <c r="G51" s="46"/>
      <c r="H51" s="45"/>
    </row>
    <row r="52" customFormat="1" spans="1:8">
      <c r="A52" s="44"/>
      <c r="B52" s="44" t="s">
        <v>43</v>
      </c>
      <c r="C52" s="44"/>
      <c r="D52" s="44"/>
      <c r="E52" s="44"/>
      <c r="F52" s="46">
        <v>0</v>
      </c>
      <c r="G52" s="46"/>
      <c r="H52" s="45"/>
    </row>
    <row r="53" spans="1:8">
      <c r="A53" s="54"/>
      <c r="B53" s="54" t="s">
        <v>44</v>
      </c>
      <c r="C53" s="54"/>
      <c r="D53" s="54"/>
      <c r="E53" s="54"/>
      <c r="F53" s="55">
        <f>F20+F37+F51</f>
        <v>13825.18</v>
      </c>
      <c r="G53" s="55">
        <f>G20+G37+G51</f>
        <v>0</v>
      </c>
      <c r="H53" s="56"/>
    </row>
  </sheetData>
  <mergeCells count="6">
    <mergeCell ref="A2:H2"/>
    <mergeCell ref="A20:E20"/>
    <mergeCell ref="A21:H21"/>
    <mergeCell ref="A37:E37"/>
    <mergeCell ref="A38:H38"/>
    <mergeCell ref="A51:E51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39"/>
  <sheetViews>
    <sheetView tabSelected="1" view="pageBreakPreview" zoomScaleNormal="85" workbookViewId="0">
      <selection activeCell="M39" sqref="A1:M39"/>
    </sheetView>
  </sheetViews>
  <sheetFormatPr defaultColWidth="9" defaultRowHeight="14.25"/>
  <cols>
    <col min="1" max="1" width="4.25" style="1" customWidth="1"/>
    <col min="2" max="2" width="20.375" style="1" customWidth="1"/>
    <col min="3" max="3" width="17.125" style="1" customWidth="1"/>
    <col min="4" max="4" width="16" style="1" customWidth="1"/>
    <col min="5" max="5" width="17.25" style="1" customWidth="1"/>
    <col min="6" max="6" width="13.75" style="1" customWidth="1"/>
    <col min="7" max="7" width="12.625" style="1" customWidth="1"/>
    <col min="8" max="8" width="10.375" style="1" customWidth="1"/>
    <col min="9" max="11" width="12.625" style="1" customWidth="1"/>
    <col min="12" max="12" width="10.375" style="1" customWidth="1"/>
    <col min="13" max="13" width="14.875" style="1" customWidth="1"/>
    <col min="14" max="14" width="9" style="1"/>
    <col min="15" max="15" width="13.75" style="1" customWidth="1"/>
    <col min="16" max="16" width="13.75" style="1"/>
    <col min="17" max="17" width="12.625" style="1"/>
    <col min="18" max="16382" width="9" style="1"/>
  </cols>
  <sheetData>
    <row r="1" s="1" customFormat="1"/>
    <row r="2" s="1" customFormat="1" ht="44" customHeight="1" spans="2:13">
      <c r="B2" s="2" t="s">
        <v>303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="1" customFormat="1" ht="23" customHeight="1" spans="2:13">
      <c r="B3" s="3" t="s">
        <v>304</v>
      </c>
      <c r="C3" s="1" t="s">
        <v>305</v>
      </c>
      <c r="D3" s="3" t="s">
        <v>306</v>
      </c>
      <c r="E3" s="4">
        <v>202312</v>
      </c>
      <c r="J3" s="3" t="s">
        <v>307</v>
      </c>
      <c r="K3" s="3"/>
      <c r="L3" s="3"/>
      <c r="M3" s="1" t="s">
        <v>308</v>
      </c>
    </row>
    <row r="4" s="1" customFormat="1" ht="18" customHeight="1" spans="2:13">
      <c r="B4" s="5" t="s">
        <v>309</v>
      </c>
      <c r="C4" s="5"/>
      <c r="D4" s="6" t="s">
        <v>310</v>
      </c>
      <c r="E4" s="7"/>
      <c r="F4" s="8" t="s">
        <v>311</v>
      </c>
      <c r="G4" s="9"/>
      <c r="H4" s="9"/>
      <c r="I4" s="9"/>
      <c r="J4" s="8" t="s">
        <v>312</v>
      </c>
      <c r="K4" s="9"/>
      <c r="L4" s="9" t="s">
        <v>313</v>
      </c>
      <c r="M4" s="36" t="s">
        <v>58</v>
      </c>
    </row>
    <row r="5" s="1" customFormat="1" ht="18" customHeight="1" spans="2:13">
      <c r="B5" s="5"/>
      <c r="C5" s="5"/>
      <c r="D5" s="6"/>
      <c r="E5" s="7"/>
      <c r="F5" s="10" t="s">
        <v>219</v>
      </c>
      <c r="G5" s="7"/>
      <c r="H5" s="10" t="s">
        <v>314</v>
      </c>
      <c r="I5" s="7"/>
      <c r="J5" s="8"/>
      <c r="K5" s="9"/>
      <c r="L5" s="37"/>
      <c r="M5" s="38"/>
    </row>
    <row r="6" s="1" customFormat="1" ht="18" customHeight="1" spans="2:13">
      <c r="B6" s="5"/>
      <c r="C6" s="5"/>
      <c r="D6" s="5" t="s">
        <v>219</v>
      </c>
      <c r="E6" s="5" t="s">
        <v>314</v>
      </c>
      <c r="F6" s="5" t="s">
        <v>315</v>
      </c>
      <c r="G6" s="5" t="s">
        <v>316</v>
      </c>
      <c r="H6" s="5" t="s">
        <v>315</v>
      </c>
      <c r="I6" s="5" t="s">
        <v>316</v>
      </c>
      <c r="J6" s="5" t="s">
        <v>219</v>
      </c>
      <c r="K6" s="10" t="s">
        <v>314</v>
      </c>
      <c r="L6" s="39"/>
      <c r="M6" s="40"/>
    </row>
    <row r="7" s="1" customFormat="1" ht="18" customHeight="1" spans="2:13">
      <c r="B7" s="11" t="s">
        <v>317</v>
      </c>
      <c r="C7" s="11"/>
      <c r="D7" s="12">
        <v>904761.9</v>
      </c>
      <c r="E7" s="12">
        <v>1463923.8</v>
      </c>
      <c r="F7" s="12">
        <v>0</v>
      </c>
      <c r="G7" s="12">
        <v>100000</v>
      </c>
      <c r="H7" s="12">
        <v>5000</v>
      </c>
      <c r="I7" s="12">
        <v>270000</v>
      </c>
      <c r="J7" s="12">
        <v>75199</v>
      </c>
      <c r="K7" s="12">
        <v>114109.27</v>
      </c>
      <c r="L7" s="12">
        <v>3207.55</v>
      </c>
      <c r="M7" s="12">
        <f>D7+E7+F7+J7</f>
        <v>2443884.7</v>
      </c>
    </row>
    <row r="8" s="1" customFormat="1" ht="18" customHeight="1" spans="2:16">
      <c r="B8" s="5" t="s">
        <v>318</v>
      </c>
      <c r="C8" s="5" t="s">
        <v>4</v>
      </c>
      <c r="D8" s="12"/>
      <c r="E8" s="12"/>
      <c r="F8" s="12"/>
      <c r="G8" s="12"/>
      <c r="H8" s="12"/>
      <c r="I8" s="12"/>
      <c r="J8" s="12"/>
      <c r="K8" s="12"/>
      <c r="L8" s="12"/>
      <c r="M8" s="12">
        <f>D8+E8+F8+J8</f>
        <v>0</v>
      </c>
      <c r="O8" s="33">
        <v>8317801.81</v>
      </c>
      <c r="P8" s="33">
        <v>849845.87</v>
      </c>
    </row>
    <row r="9" s="1" customFormat="1" ht="18" customHeight="1" spans="2:13">
      <c r="B9" s="11" t="s">
        <v>13</v>
      </c>
      <c r="C9" s="13">
        <v>0.03</v>
      </c>
      <c r="D9" s="12">
        <v>0</v>
      </c>
      <c r="E9" s="12">
        <v>0</v>
      </c>
      <c r="F9" s="12"/>
      <c r="G9" s="12"/>
      <c r="H9" s="12"/>
      <c r="I9" s="12"/>
      <c r="J9" s="12"/>
      <c r="K9" s="12"/>
      <c r="L9" s="12"/>
      <c r="M9" s="12">
        <f>D9+E9+F9+J9</f>
        <v>0</v>
      </c>
    </row>
    <row r="10" s="1" customFormat="1" ht="18" customHeight="1" spans="2:13">
      <c r="B10" s="11" t="s">
        <v>51</v>
      </c>
      <c r="C10" s="13">
        <v>0.05</v>
      </c>
      <c r="D10" s="12">
        <f>D7*$C$10</f>
        <v>45238.095</v>
      </c>
      <c r="E10" s="12"/>
      <c r="F10" s="12"/>
      <c r="G10" s="12"/>
      <c r="H10" s="12"/>
      <c r="I10" s="12"/>
      <c r="J10" s="12">
        <f>J7*C10</f>
        <v>3759.95</v>
      </c>
      <c r="K10" s="12"/>
      <c r="L10" s="12"/>
      <c r="M10" s="12">
        <f>SUM(D10:K10)</f>
        <v>48998.045</v>
      </c>
    </row>
    <row r="11" s="1" customFormat="1" ht="18" customHeight="1" spans="2:13">
      <c r="B11" s="11" t="s">
        <v>51</v>
      </c>
      <c r="C11" s="13">
        <v>0.06</v>
      </c>
      <c r="D11" s="12"/>
      <c r="E11" s="12"/>
      <c r="F11" s="12"/>
      <c r="G11" s="12"/>
      <c r="H11" s="12"/>
      <c r="I11" s="12"/>
      <c r="J11" s="12"/>
      <c r="K11" s="12"/>
      <c r="L11" s="12">
        <f>L7*C11</f>
        <v>192.453</v>
      </c>
      <c r="M11" s="12">
        <f>SUM(D11:K11)</f>
        <v>0</v>
      </c>
    </row>
    <row r="12" s="1" customFormat="1" ht="18" customHeight="1" spans="2:15">
      <c r="B12" s="11" t="s">
        <v>51</v>
      </c>
      <c r="C12" s="13">
        <v>0.09</v>
      </c>
      <c r="D12" s="12"/>
      <c r="E12" s="12">
        <f>E7*C12</f>
        <v>131753.142</v>
      </c>
      <c r="F12" s="12"/>
      <c r="G12" s="12"/>
      <c r="H12" s="12"/>
      <c r="I12" s="12"/>
      <c r="J12" s="12"/>
      <c r="K12" s="12">
        <f>K7*C12</f>
        <v>10269.8343</v>
      </c>
      <c r="L12" s="12"/>
      <c r="M12" s="12"/>
      <c r="O12" s="33"/>
    </row>
    <row r="13" s="1" customFormat="1" ht="18" customHeight="1" spans="2:16">
      <c r="B13" s="14" t="s">
        <v>319</v>
      </c>
      <c r="C13" s="13"/>
      <c r="D13" s="12"/>
      <c r="E13" s="12">
        <f>280025.445331646-K13-L13</f>
        <v>269563.158031646</v>
      </c>
      <c r="F13" s="12"/>
      <c r="G13" s="12"/>
      <c r="H13" s="12"/>
      <c r="I13" s="12"/>
      <c r="J13" s="12"/>
      <c r="K13" s="12">
        <v>10269.8343</v>
      </c>
      <c r="L13" s="12">
        <v>192.453</v>
      </c>
      <c r="M13" s="12"/>
      <c r="O13" s="33" t="s">
        <v>320</v>
      </c>
      <c r="P13" s="1" t="s">
        <v>321</v>
      </c>
    </row>
    <row r="14" s="1" customFormat="1" ht="18" customHeight="1" spans="2:16">
      <c r="B14" s="14" t="s">
        <v>322</v>
      </c>
      <c r="C14" s="13"/>
      <c r="D14" s="12">
        <v>646462.47</v>
      </c>
      <c r="E14" s="12"/>
      <c r="F14" s="12"/>
      <c r="G14" s="12"/>
      <c r="H14" s="12"/>
      <c r="I14" s="12"/>
      <c r="J14" s="12"/>
      <c r="K14" s="12"/>
      <c r="L14" s="12"/>
      <c r="M14" s="12"/>
      <c r="O14" s="33">
        <f>E7-O13</f>
        <v>1164475.17</v>
      </c>
      <c r="P14" s="1">
        <f>E12-P13</f>
        <v>104802.772</v>
      </c>
    </row>
    <row r="15" s="1" customFormat="1" ht="18" customHeight="1" spans="2:15">
      <c r="B15" s="11" t="s">
        <v>323</v>
      </c>
      <c r="C15" s="13"/>
      <c r="D15" s="15">
        <f>D10-D14</f>
        <v>-601224.375</v>
      </c>
      <c r="E15" s="15">
        <f>E12-E13</f>
        <v>-137810.016031646</v>
      </c>
      <c r="F15" s="12"/>
      <c r="G15" s="12"/>
      <c r="H15" s="12"/>
      <c r="I15" s="12"/>
      <c r="J15" s="12">
        <f>J10-J13</f>
        <v>3759.95</v>
      </c>
      <c r="K15" s="12">
        <f>K12-K13</f>
        <v>0</v>
      </c>
      <c r="L15" s="12">
        <f>L11-L13</f>
        <v>0</v>
      </c>
      <c r="M15" s="12">
        <f>+J15+K15</f>
        <v>3759.95</v>
      </c>
      <c r="O15" s="33"/>
    </row>
    <row r="16" s="1" customFormat="1" ht="18" customHeight="1" spans="2:15">
      <c r="B16" s="11" t="s">
        <v>19</v>
      </c>
      <c r="C16" s="13">
        <v>0.07</v>
      </c>
      <c r="D16" s="12">
        <v>0</v>
      </c>
      <c r="E16" s="12">
        <f>E10*$C$16</f>
        <v>0</v>
      </c>
      <c r="F16" s="12"/>
      <c r="G16" s="12"/>
      <c r="H16" s="12"/>
      <c r="I16" s="12"/>
      <c r="J16" s="12">
        <f>J10*$C$16</f>
        <v>263.1965</v>
      </c>
      <c r="K16" s="12">
        <f>K15*C16</f>
        <v>0</v>
      </c>
      <c r="L16" s="12">
        <f>L15*D16</f>
        <v>0</v>
      </c>
      <c r="M16" s="12">
        <f t="shared" ref="M15:M22" si="0">SUM(D16:K16)</f>
        <v>263.1965</v>
      </c>
      <c r="O16" s="29"/>
    </row>
    <row r="17" s="1" customFormat="1" ht="18" customHeight="1" spans="2:16">
      <c r="B17" s="11" t="s">
        <v>324</v>
      </c>
      <c r="C17" s="13">
        <v>0.02</v>
      </c>
      <c r="D17" s="12">
        <v>0</v>
      </c>
      <c r="E17" s="12">
        <f>E10*$C$17</f>
        <v>0</v>
      </c>
      <c r="F17" s="12"/>
      <c r="G17" s="12"/>
      <c r="H17" s="12"/>
      <c r="I17" s="12"/>
      <c r="J17" s="12">
        <f>J10*$C$17</f>
        <v>75.199</v>
      </c>
      <c r="K17" s="12">
        <f>K15*$C$17</f>
        <v>0</v>
      </c>
      <c r="L17" s="12">
        <f>L15*$C$17</f>
        <v>0</v>
      </c>
      <c r="M17" s="12">
        <f t="shared" si="0"/>
        <v>75.199</v>
      </c>
      <c r="P17" s="1" t="s">
        <v>325</v>
      </c>
    </row>
    <row r="18" s="1" customFormat="1" ht="18" customHeight="1" spans="2:13">
      <c r="B18" s="11" t="s">
        <v>326</v>
      </c>
      <c r="C18" s="13">
        <v>0.03</v>
      </c>
      <c r="D18" s="12">
        <v>0</v>
      </c>
      <c r="E18" s="12">
        <f>E10*$C$18</f>
        <v>0</v>
      </c>
      <c r="F18" s="12"/>
      <c r="G18" s="12"/>
      <c r="H18" s="12"/>
      <c r="I18" s="12"/>
      <c r="J18" s="12">
        <f>J10*$C$18</f>
        <v>112.7985</v>
      </c>
      <c r="K18" s="12">
        <f>K15*$C$18</f>
        <v>0</v>
      </c>
      <c r="L18" s="12">
        <f>L15*$C$18</f>
        <v>0</v>
      </c>
      <c r="M18" s="12">
        <f t="shared" si="0"/>
        <v>112.7985</v>
      </c>
    </row>
    <row r="19" s="1" customFormat="1" ht="18" customHeight="1" spans="2:15">
      <c r="B19" s="16" t="s">
        <v>52</v>
      </c>
      <c r="C19" s="17">
        <v>0.01</v>
      </c>
      <c r="D19" s="18"/>
      <c r="E19" s="18"/>
      <c r="F19" s="18">
        <f>F7/1.05*C19</f>
        <v>0</v>
      </c>
      <c r="G19" s="18"/>
      <c r="H19" s="18">
        <f>H7/1.09*C19</f>
        <v>45.8715596330275</v>
      </c>
      <c r="I19" s="18"/>
      <c r="J19" s="18"/>
      <c r="K19" s="18"/>
      <c r="L19" s="18"/>
      <c r="M19" s="12">
        <f t="shared" si="0"/>
        <v>45.8715596330275</v>
      </c>
      <c r="O19" s="29">
        <f>H7/1.09</f>
        <v>4587.15596330275</v>
      </c>
    </row>
    <row r="20" s="1" customFormat="1" ht="18" customHeight="1" spans="2:17">
      <c r="B20" s="16" t="s">
        <v>52</v>
      </c>
      <c r="C20" s="19">
        <v>0.03</v>
      </c>
      <c r="D20" s="18"/>
      <c r="E20" s="18"/>
      <c r="F20" s="18"/>
      <c r="G20" s="18">
        <f>G7/1.05*C20</f>
        <v>2857.14285714286</v>
      </c>
      <c r="H20" s="18"/>
      <c r="I20" s="18">
        <f>I7/1.09*C20</f>
        <v>7431.19266055046</v>
      </c>
      <c r="J20" s="18"/>
      <c r="K20" s="18"/>
      <c r="L20" s="18"/>
      <c r="M20" s="12">
        <f t="shared" si="0"/>
        <v>10288.3355176933</v>
      </c>
      <c r="O20" s="1">
        <f>G7/1.05</f>
        <v>95238.0952380952</v>
      </c>
      <c r="P20" s="1">
        <f>H7/1.05</f>
        <v>4761.90476190476</v>
      </c>
      <c r="Q20" s="1">
        <f>I7/1.09</f>
        <v>247706.422018349</v>
      </c>
    </row>
    <row r="21" s="1" customFormat="1" ht="18" customHeight="1" spans="2:13">
      <c r="B21" s="16" t="s">
        <v>52</v>
      </c>
      <c r="C21" s="19">
        <v>0.04</v>
      </c>
      <c r="D21" s="20"/>
      <c r="E21" s="12"/>
      <c r="F21" s="12"/>
      <c r="G21" s="12"/>
      <c r="H21" s="12"/>
      <c r="I21" s="12"/>
      <c r="J21" s="12"/>
      <c r="K21" s="12"/>
      <c r="L21" s="12"/>
      <c r="M21" s="12">
        <f t="shared" si="0"/>
        <v>0</v>
      </c>
    </row>
    <row r="22" s="1" customFormat="1" ht="18" customHeight="1" spans="2:15">
      <c r="B22" s="16" t="s">
        <v>327</v>
      </c>
      <c r="C22" s="21">
        <v>0.001</v>
      </c>
      <c r="D22" s="20"/>
      <c r="E22" s="12"/>
      <c r="F22" s="12"/>
      <c r="G22" s="12"/>
      <c r="H22" s="12"/>
      <c r="I22" s="12"/>
      <c r="J22" s="12">
        <f>J7*1.05*C22</f>
        <v>78.95895</v>
      </c>
      <c r="K22" s="12">
        <f>K7*1.09*C22</f>
        <v>124.3791043</v>
      </c>
      <c r="L22" s="12"/>
      <c r="M22" s="12">
        <f t="shared" si="0"/>
        <v>203.3380543</v>
      </c>
      <c r="O22" s="1">
        <f>M22/C22</f>
        <v>203338.0543</v>
      </c>
    </row>
    <row r="23" s="1" customFormat="1" ht="18" customHeight="1" spans="2:13">
      <c r="B23" s="16" t="s">
        <v>43</v>
      </c>
      <c r="C23" s="22">
        <v>0.25</v>
      </c>
      <c r="D23" s="20"/>
      <c r="E23" s="12"/>
      <c r="F23" s="12"/>
      <c r="G23" s="12"/>
      <c r="H23" s="12"/>
      <c r="I23" s="12"/>
      <c r="J23" s="12"/>
      <c r="K23" s="12"/>
      <c r="L23" s="12"/>
      <c r="M23" s="12">
        <f>D23+E23+F23+J23</f>
        <v>0</v>
      </c>
    </row>
    <row r="24" s="1" customFormat="1" ht="18" customHeight="1" spans="2:13">
      <c r="B24" s="16" t="s">
        <v>58</v>
      </c>
      <c r="C24" s="19"/>
      <c r="D24" s="20">
        <v>0</v>
      </c>
      <c r="E24" s="20">
        <f>SUM(E16:E18)</f>
        <v>0</v>
      </c>
      <c r="F24" s="20">
        <f>SUM(F9:F21)</f>
        <v>0</v>
      </c>
      <c r="G24" s="20">
        <f>SUM(G9:G21)</f>
        <v>2857.14285714286</v>
      </c>
      <c r="H24" s="20">
        <f>SUM(H9:H21)</f>
        <v>45.8715596330275</v>
      </c>
      <c r="I24" s="20">
        <f>SUM(I9:I21)</f>
        <v>7431.19266055046</v>
      </c>
      <c r="J24" s="20">
        <f>SUM(J15:J23)</f>
        <v>4290.10295</v>
      </c>
      <c r="K24" s="20">
        <f>SUM(K15:K23)</f>
        <v>124.3791043</v>
      </c>
      <c r="L24" s="20">
        <f>SUM(L15:L23)</f>
        <v>0</v>
      </c>
      <c r="M24" s="12">
        <f>SUM(M15:M23)</f>
        <v>14748.6891316263</v>
      </c>
    </row>
    <row r="25" s="1" customFormat="1" spans="2:13">
      <c r="B25" s="23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41"/>
    </row>
    <row r="26" s="1" customFormat="1" spans="2:13">
      <c r="B26" s="25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42"/>
    </row>
    <row r="27" s="1" customFormat="1" ht="15" spans="2:5">
      <c r="B27" s="27"/>
      <c r="C27" s="27"/>
      <c r="D27" s="28"/>
      <c r="E27" s="29"/>
    </row>
    <row r="28" s="1" customFormat="1" spans="2:9">
      <c r="B28" s="30" t="s">
        <v>328</v>
      </c>
      <c r="C28" s="30" t="s">
        <v>3</v>
      </c>
      <c r="D28" s="28"/>
      <c r="E28" s="29"/>
      <c r="F28" s="29"/>
      <c r="G28" s="29"/>
      <c r="H28" s="29"/>
      <c r="I28" s="29"/>
    </row>
    <row r="29" s="1" customFormat="1" spans="2:5">
      <c r="B29" s="31" t="s">
        <v>329</v>
      </c>
      <c r="C29" s="32">
        <v>13877332.32</v>
      </c>
      <c r="D29" s="28"/>
      <c r="E29" s="29"/>
    </row>
    <row r="30" s="1" customFormat="1" spans="2:5">
      <c r="B30" s="30" t="s">
        <v>330</v>
      </c>
      <c r="C30" s="32">
        <v>179513.05</v>
      </c>
      <c r="D30" s="28">
        <f>C29+C30</f>
        <v>14056845.37</v>
      </c>
      <c r="E30" s="29"/>
    </row>
    <row r="31" s="1" customFormat="1" spans="2:6">
      <c r="B31" s="30" t="s">
        <v>331</v>
      </c>
      <c r="C31" s="32">
        <v>11546442.25</v>
      </c>
      <c r="D31" s="28"/>
      <c r="E31" s="29"/>
      <c r="F31" s="33"/>
    </row>
    <row r="32" s="1" customFormat="1" spans="2:5">
      <c r="B32" s="30" t="s">
        <v>332</v>
      </c>
      <c r="C32" s="32">
        <v>525461.28</v>
      </c>
      <c r="D32" s="28"/>
      <c r="E32" s="29"/>
    </row>
    <row r="33" s="1" customFormat="1" spans="2:5">
      <c r="B33" s="30" t="s">
        <v>333</v>
      </c>
      <c r="C33" s="32">
        <v>122689.34</v>
      </c>
      <c r="D33" s="28"/>
      <c r="E33" s="29"/>
    </row>
    <row r="34" s="1" customFormat="1" ht="15" spans="2:5">
      <c r="B34" s="30" t="s">
        <v>334</v>
      </c>
      <c r="C34" s="32">
        <v>978010.88</v>
      </c>
      <c r="D34" s="34"/>
      <c r="E34" s="29"/>
    </row>
    <row r="35" s="1" customFormat="1" ht="15" spans="2:5">
      <c r="B35" s="30" t="s">
        <v>335</v>
      </c>
      <c r="C35" s="32">
        <v>-17778.52</v>
      </c>
      <c r="D35" s="34"/>
      <c r="E35" s="29"/>
    </row>
    <row r="36" spans="2:3">
      <c r="B36" s="30" t="s">
        <v>336</v>
      </c>
      <c r="C36" s="32">
        <f>C29+C30-C31-C32-C34-C35-C33</f>
        <v>902020.140000001</v>
      </c>
    </row>
    <row r="37" spans="2:3">
      <c r="B37" s="11" t="s">
        <v>337</v>
      </c>
      <c r="C37" s="35">
        <v>0.25</v>
      </c>
    </row>
    <row r="38" spans="2:3">
      <c r="B38" s="11" t="s">
        <v>338</v>
      </c>
      <c r="C38" s="32">
        <v>0</v>
      </c>
    </row>
    <row r="39" spans="2:3">
      <c r="B39" s="11" t="s">
        <v>339</v>
      </c>
      <c r="C39" s="32">
        <f>C36*C37-C38</f>
        <v>225505.035</v>
      </c>
    </row>
  </sheetData>
  <mergeCells count="10">
    <mergeCell ref="B2:M2"/>
    <mergeCell ref="D4:E4"/>
    <mergeCell ref="F4:I4"/>
    <mergeCell ref="J4:K4"/>
    <mergeCell ref="F5:G5"/>
    <mergeCell ref="H5:I5"/>
    <mergeCell ref="L4:L6"/>
    <mergeCell ref="M4:M6"/>
    <mergeCell ref="B4:C6"/>
    <mergeCell ref="B25:M26"/>
  </mergeCells>
  <pageMargins left="0.75" right="0.75" top="1" bottom="1" header="0.5" footer="0.5"/>
  <pageSetup paperSize="9" scale="48" orientation="portrait"/>
  <headerFooter/>
  <ignoredErrors>
    <ignoredError sqref="P14" evalErro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1月税金计算表</vt:lpstr>
      <vt:lpstr>2月税金计算表</vt:lpstr>
      <vt:lpstr>3月税金计算表</vt:lpstr>
      <vt:lpstr>预收明细</vt:lpstr>
      <vt:lpstr>开票明细</vt:lpstr>
      <vt:lpstr>土地使用税明细</vt:lpstr>
      <vt:lpstr>工会经费</vt:lpstr>
      <vt:lpstr>康泰尾盘清算数据</vt:lpstr>
      <vt:lpstr>10月税金计算表</vt:lpstr>
      <vt:lpstr>11月税金计算表</vt:lpstr>
      <vt:lpstr>12月税金计算表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2023-02-02T02:48:00Z</dcterms:created>
  <dcterms:modified xsi:type="dcterms:W3CDTF">2024-01-16T08:06:22Z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58B7DA3AABE442B2A5F57ECE6C78ED95_13</vt:lpwstr>
  </property>
  <property fmtid="{D5CDD505-2E9C-101B-9397-08002B2CF9AE}" pid="4" name="KSOReadingLayout">
    <vt:bool>true</vt:bool>
  </property>
</Properties>
</file>