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税金计算表" sheetId="1" r:id="rId1"/>
    <sheet name="土地使用税" sheetId="2" r:id="rId2"/>
    <sheet name="系统合同备案面积表" sheetId="3" r:id="rId3"/>
    <sheet name="2023年11月税金" sheetId="4" r:id="rId4"/>
    <sheet name="2023年12月税金" sheetId="5" r:id="rId5"/>
  </sheets>
  <definedNames>
    <definedName name="_xlnm.Print_Area" localSheetId="0">税金计算表!$A$1:$G$20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sharedStrings.xml><?xml version="1.0" encoding="utf-8"?>
<sst xmlns="http://schemas.openxmlformats.org/spreadsheetml/2006/main" count="176" uniqueCount="125">
  <si>
    <t>多浪小镇一期老项目销售不动产税金计算表2023年9月收入税金计算（新疆通力阿克苏分公司）</t>
  </si>
  <si>
    <t>预收明细表</t>
  </si>
  <si>
    <t>金额</t>
  </si>
  <si>
    <t>序号</t>
  </si>
  <si>
    <t>税种</t>
  </si>
  <si>
    <t>税率</t>
  </si>
  <si>
    <t>实缴</t>
  </si>
  <si>
    <t>备注</t>
  </si>
  <si>
    <t>收到古丽马热木交来多浪小镇C4-101商铺款</t>
  </si>
  <si>
    <t>预交-增值税</t>
  </si>
  <si>
    <t>收到阿力木江交来多浪小镇C4-102/103商铺款</t>
  </si>
  <si>
    <t>预交-城建税</t>
  </si>
  <si>
    <t>商铺合计</t>
  </si>
  <si>
    <t>预交-教育附加</t>
  </si>
  <si>
    <t>预交-地方教育附加</t>
  </si>
  <si>
    <t>增值税-开发票</t>
  </si>
  <si>
    <t>城建税</t>
  </si>
  <si>
    <t>教育附加</t>
  </si>
  <si>
    <t>地方教育附加</t>
  </si>
  <si>
    <t>预交土地增值税（普通）</t>
  </si>
  <si>
    <t>预交土地增值税（商铺）</t>
  </si>
  <si>
    <t>印花税（收入）</t>
  </si>
  <si>
    <t>印花税（购进）</t>
  </si>
  <si>
    <t>企业所得税</t>
  </si>
  <si>
    <t>新疆通力阿克苏分公司小计</t>
  </si>
  <si>
    <t>土地使用税（新分康泰及一至三期）</t>
  </si>
  <si>
    <t>总合计</t>
  </si>
  <si>
    <t>新疆分公司交纳7-12月土地使用税明细</t>
  </si>
  <si>
    <t>地块</t>
  </si>
  <si>
    <t>土地证面积</t>
  </si>
  <si>
    <t>总可售建筑面积</t>
  </si>
  <si>
    <t>合同备案销售面积</t>
  </si>
  <si>
    <t>已核减后地税局土地面积(平方)</t>
  </si>
  <si>
    <t>核减后土地面积</t>
  </si>
  <si>
    <t>土地等级</t>
  </si>
  <si>
    <t>单价(元)</t>
  </si>
  <si>
    <t>金额(元)</t>
  </si>
  <si>
    <t>10月份应交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</si>
  <si>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</si>
  <si>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</si>
  <si>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</si>
  <si>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</si>
  <si>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</si>
  <si>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</si>
  <si>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</si>
  <si>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</si>
  <si>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</si>
  <si>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</si>
  <si>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</si>
  <si>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</si>
  <si>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</si>
  <si>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合计</t>
  </si>
  <si>
    <t>制表人：</t>
  </si>
  <si>
    <t>制表时间：</t>
  </si>
  <si>
    <t>合同备案建筑面积</t>
  </si>
  <si>
    <t>A1</t>
  </si>
  <si>
    <t>C1</t>
  </si>
  <si>
    <t>康泰1</t>
  </si>
  <si>
    <t>A2</t>
  </si>
  <si>
    <t>C2</t>
  </si>
  <si>
    <t>康泰2#</t>
  </si>
  <si>
    <t>A3</t>
  </si>
  <si>
    <t>C3</t>
  </si>
  <si>
    <t>康泰3#</t>
  </si>
  <si>
    <t>A4</t>
  </si>
  <si>
    <t>C4</t>
  </si>
  <si>
    <t>康泰4#</t>
  </si>
  <si>
    <t>A5</t>
  </si>
  <si>
    <t>C5</t>
  </si>
  <si>
    <t>康泰5#</t>
  </si>
  <si>
    <t>A6</t>
  </si>
  <si>
    <t>C6</t>
  </si>
  <si>
    <t>康泰6#</t>
  </si>
  <si>
    <t>A7</t>
  </si>
  <si>
    <t>C7</t>
  </si>
  <si>
    <t>康泰7#</t>
  </si>
  <si>
    <t>A8</t>
  </si>
  <si>
    <t>C8</t>
  </si>
  <si>
    <t>A9</t>
  </si>
  <si>
    <t>C9</t>
  </si>
  <si>
    <t>A10</t>
  </si>
  <si>
    <t>C11</t>
  </si>
  <si>
    <t>A11</t>
  </si>
  <si>
    <t>C13</t>
  </si>
  <si>
    <t>A12</t>
  </si>
  <si>
    <t>C16</t>
  </si>
  <si>
    <t>A13</t>
  </si>
  <si>
    <t>C17</t>
  </si>
  <si>
    <t>A14</t>
  </si>
  <si>
    <t>A区小计</t>
  </si>
  <si>
    <t>C区小计</t>
  </si>
  <si>
    <t>康泰小计</t>
  </si>
  <si>
    <t>阿克苏分公司税金计算表</t>
  </si>
  <si>
    <t>项目名称：</t>
  </si>
  <si>
    <t>多浪一期</t>
  </si>
  <si>
    <t>期间</t>
  </si>
  <si>
    <t>日期</t>
  </si>
  <si>
    <t>2023.12.5</t>
  </si>
  <si>
    <t>预收款合计金额</t>
  </si>
  <si>
    <t>普通住宅</t>
  </si>
  <si>
    <t>商铺</t>
  </si>
  <si>
    <t>租赁收入（含税）</t>
  </si>
  <si>
    <t>前期已确认销项收入</t>
  </si>
  <si>
    <t>本期确认销项收入</t>
  </si>
  <si>
    <t>当月预收房款</t>
  </si>
  <si>
    <t>税目</t>
  </si>
  <si>
    <t>预缴增值税</t>
  </si>
  <si>
    <t>增值税</t>
  </si>
  <si>
    <t>预缴留抵</t>
  </si>
  <si>
    <t>应交增值税</t>
  </si>
  <si>
    <t>地方教育费附加</t>
  </si>
  <si>
    <t>教育费附加</t>
  </si>
  <si>
    <t>土地增值税</t>
  </si>
  <si>
    <t>印花税</t>
  </si>
  <si>
    <t>项目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</si>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</sst>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  <numFmt numFmtId="178" formatCode="_ * #,##0.0000_ ;_ * \-#,##0.0000_ ;_ * &quot;-&quot;??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0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43" fontId="6" fillId="0" borderId="0" xfId="1" applyFo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43" fontId="6" fillId="0" borderId="0" xfId="1" applyFont="1" applyBorder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3" fontId="7" fillId="0" borderId="13" xfId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3" fontId="9" fillId="0" borderId="3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9" fontId="9" fillId="0" borderId="3" xfId="0" applyNumberFormat="1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vertical="center"/>
    </xf>
    <xf numFmtId="177" fontId="9" fillId="0" borderId="3" xfId="0" applyNumberFormat="1" applyFont="1" applyFill="1" applyBorder="1" applyAlignment="1">
      <alignment vertical="center"/>
    </xf>
    <xf numFmtId="178" fontId="9" fillId="0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3" fontId="8" fillId="2" borderId="3" xfId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" fontId="3" fillId="0" borderId="3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176" fontId="12" fillId="0" borderId="1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3" fillId="2" borderId="7" xfId="0" applyNumberFormat="1" applyFont="1" applyFill="1" applyBorder="1" applyAlignment="1">
      <alignment horizontal="center" vertical="center"/>
    </xf>
    <xf numFmtId="176" fontId="13" fillId="2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view="pageBreakPreview" zoomScaleNormal="100" workbookViewId="0">
      <selection activeCell="I9" sqref="I9"/>
    </sheetView>
  </sheetViews>
  <sheetFormatPr defaultColWidth="9" defaultRowHeight="12"/>
  <cols>
    <col min="1" max="1" width="5.88333333333333" style="41" customWidth="1"/>
    <col min="2" max="2" width="20.75" style="41" customWidth="1"/>
    <col min="3" max="3" width="13.475" style="41" customWidth="1"/>
    <col min="4" max="4" width="9.375" style="41"/>
    <col min="5" max="5" width="16.1083333333333" style="42" customWidth="1"/>
    <col min="6" max="6" width="17.5" style="42" customWidth="1"/>
    <col min="7" max="7" width="13.1333333333333" style="41" customWidth="1"/>
    <col min="8" max="8" width="4.46666666666667" style="41" customWidth="1"/>
    <col min="9" max="9" width="8.25" style="43" customWidth="1"/>
    <col min="10" max="10" width="48.125" style="44" customWidth="1"/>
    <col min="11" max="11" width="27.625" style="41" customWidth="1"/>
    <col min="12" max="12" width="12.7166666666667" style="41" customWidth="1"/>
    <col min="13" max="13" width="10.9666666666667" style="41" customWidth="1"/>
    <col min="14" max="14" width="13.3666666666667" style="45" customWidth="1"/>
    <col min="15" max="15" width="16" style="45"/>
    <col min="16" max="16" width="12.6333333333333" style="45"/>
    <col min="17" max="16384" width="9" style="41"/>
  </cols>
  <sheetData>
    <row r="1" s="41" customFormat="1" spans="5:16">
      <c r="E1" s="42"/>
      <c r="F1" s="42"/>
      <c r="I1" s="43"/>
      <c r="J1" s="44"/>
      <c r="N1" s="45"/>
      <c r="O1" s="69"/>
      <c r="P1" s="69"/>
    </row>
    <row r="2" s="41" customFormat="1" ht="9" customHeight="1" spans="1:16">
      <c r="A2" s="46"/>
      <c r="B2" s="47"/>
      <c r="C2" s="47"/>
      <c r="D2" s="47"/>
      <c r="E2" s="48"/>
      <c r="F2" s="48"/>
      <c r="G2" s="49"/>
      <c r="I2" s="43"/>
      <c r="J2" s="44"/>
      <c r="N2" s="70"/>
      <c r="O2" s="70"/>
      <c r="P2" s="70"/>
    </row>
    <row r="3" s="41" customFormat="1" ht="20" customHeight="1" spans="1:16">
      <c r="A3" s="50" t="s">
        <v>0</v>
      </c>
      <c r="B3" s="50"/>
      <c r="C3" s="50"/>
      <c r="D3" s="50"/>
      <c r="E3" s="51"/>
      <c r="F3" s="51"/>
      <c r="G3" s="50"/>
      <c r="I3" s="43"/>
      <c r="J3" s="71" t="s">
        <v>1</v>
      </c>
      <c r="K3" s="72" t="s">
        <v>2</v>
      </c>
      <c r="N3" s="70"/>
      <c r="O3" s="70"/>
      <c r="P3" s="70"/>
    </row>
    <row r="4" s="41" customFormat="1" ht="20" customHeight="1" spans="1:16">
      <c r="A4" s="52" t="s">
        <v>3</v>
      </c>
      <c r="B4" s="52" t="s">
        <v>4</v>
      </c>
      <c r="C4" s="52" t="s">
        <v>2</v>
      </c>
      <c r="D4" s="52" t="s">
        <v>5</v>
      </c>
      <c r="E4" s="53" t="s">
        <v>2</v>
      </c>
      <c r="F4" s="53" t="s">
        <v>6</v>
      </c>
      <c r="G4" s="52" t="s">
        <v>7</v>
      </c>
      <c r="I4" s="43"/>
      <c r="J4" s="73" t="s">
        <v>8</v>
      </c>
      <c r="K4" s="74">
        <v>33000</v>
      </c>
      <c r="N4" s="70"/>
      <c r="O4" s="70"/>
      <c r="P4" s="70"/>
    </row>
    <row r="5" s="41" customFormat="1" ht="20" customHeight="1" spans="1:16">
      <c r="A5" s="52">
        <v>1</v>
      </c>
      <c r="B5" s="54" t="s">
        <v>9</v>
      </c>
      <c r="C5" s="55">
        <f>K6</f>
        <v>93500</v>
      </c>
      <c r="D5" s="56">
        <v>0.03</v>
      </c>
      <c r="E5" s="57">
        <f>C5/1.05*D5</f>
        <v>2671.42857142857</v>
      </c>
      <c r="F5" s="57">
        <f t="shared" ref="F5:F17" si="0">E5</f>
        <v>2671.42857142857</v>
      </c>
      <c r="G5" s="54"/>
      <c r="I5" s="43"/>
      <c r="J5" s="73" t="s">
        <v>10</v>
      </c>
      <c r="K5" s="74">
        <v>60500</v>
      </c>
      <c r="N5" s="70"/>
      <c r="O5" s="70"/>
      <c r="P5" s="70"/>
    </row>
    <row r="6" s="41" customFormat="1" ht="20" customHeight="1" spans="1:16">
      <c r="A6" s="52">
        <v>2</v>
      </c>
      <c r="B6" s="54" t="s">
        <v>11</v>
      </c>
      <c r="C6" s="55">
        <f>F5</f>
        <v>2671.42857142857</v>
      </c>
      <c r="D6" s="56">
        <v>0.07</v>
      </c>
      <c r="E6" s="57">
        <f t="shared" ref="E6:E14" si="1">ROUND(C6*D6,2)</f>
        <v>187</v>
      </c>
      <c r="F6" s="57">
        <f t="shared" si="0"/>
        <v>187</v>
      </c>
      <c r="G6" s="54"/>
      <c r="I6" s="43"/>
      <c r="J6" s="75" t="s">
        <v>12</v>
      </c>
      <c r="K6" s="74">
        <f>SUM(K4:K5)</f>
        <v>93500</v>
      </c>
      <c r="N6" s="70"/>
      <c r="O6" s="70"/>
      <c r="P6" s="70"/>
    </row>
    <row r="7" s="41" customFormat="1" ht="20" customHeight="1" spans="1:16">
      <c r="A7" s="52">
        <v>3</v>
      </c>
      <c r="B7" s="54" t="s">
        <v>13</v>
      </c>
      <c r="C7" s="55">
        <f>E5</f>
        <v>2671.42857142857</v>
      </c>
      <c r="D7" s="56">
        <v>0.03</v>
      </c>
      <c r="E7" s="57">
        <f t="shared" si="1"/>
        <v>80.14</v>
      </c>
      <c r="F7" s="57">
        <f t="shared" si="0"/>
        <v>80.14</v>
      </c>
      <c r="G7" s="54"/>
      <c r="I7" s="43"/>
      <c r="J7" s="73"/>
      <c r="K7" s="76"/>
      <c r="N7" s="70"/>
      <c r="O7" s="70"/>
      <c r="P7" s="70"/>
    </row>
    <row r="8" s="41" customFormat="1" ht="20" customHeight="1" spans="1:16">
      <c r="A8" s="52">
        <v>4</v>
      </c>
      <c r="B8" s="54" t="s">
        <v>14</v>
      </c>
      <c r="C8" s="55">
        <f>E5</f>
        <v>2671.42857142857</v>
      </c>
      <c r="D8" s="56">
        <v>0.02</v>
      </c>
      <c r="E8" s="57">
        <f t="shared" si="1"/>
        <v>53.43</v>
      </c>
      <c r="F8" s="57">
        <f t="shared" si="0"/>
        <v>53.43</v>
      </c>
      <c r="G8" s="54"/>
      <c r="I8" s="43"/>
      <c r="J8" s="73"/>
      <c r="K8" s="76"/>
      <c r="N8" s="70"/>
      <c r="O8" s="70"/>
      <c r="P8" s="70"/>
    </row>
    <row r="9" s="41" customFormat="1" ht="20" customHeight="1" spans="1:16">
      <c r="A9" s="52">
        <v>5</v>
      </c>
      <c r="B9" s="54" t="s">
        <v>15</v>
      </c>
      <c r="C9" s="55">
        <v>0</v>
      </c>
      <c r="D9" s="56">
        <v>0.02</v>
      </c>
      <c r="E9" s="57">
        <f t="shared" si="1"/>
        <v>0</v>
      </c>
      <c r="F9" s="57">
        <f t="shared" si="0"/>
        <v>0</v>
      </c>
      <c r="G9" s="54"/>
      <c r="I9" s="43"/>
      <c r="N9" s="70"/>
      <c r="O9" s="70"/>
      <c r="P9" s="70"/>
    </row>
    <row r="10" s="41" customFormat="1" ht="20" customHeight="1" spans="1:16">
      <c r="A10" s="52">
        <v>6</v>
      </c>
      <c r="B10" s="54" t="s">
        <v>16</v>
      </c>
      <c r="C10" s="58">
        <f>E9</f>
        <v>0</v>
      </c>
      <c r="D10" s="56">
        <v>0.07</v>
      </c>
      <c r="E10" s="57">
        <f t="shared" si="1"/>
        <v>0</v>
      </c>
      <c r="F10" s="57">
        <f t="shared" si="0"/>
        <v>0</v>
      </c>
      <c r="G10" s="54"/>
      <c r="I10" s="43"/>
      <c r="J10" s="44"/>
      <c r="N10" s="70"/>
      <c r="O10" s="70"/>
      <c r="P10" s="70"/>
    </row>
    <row r="11" s="41" customFormat="1" ht="20" customHeight="1" spans="1:16">
      <c r="A11" s="52">
        <v>7</v>
      </c>
      <c r="B11" s="54" t="s">
        <v>17</v>
      </c>
      <c r="C11" s="58">
        <f>E9</f>
        <v>0</v>
      </c>
      <c r="D11" s="56">
        <v>0.03</v>
      </c>
      <c r="E11" s="57">
        <f t="shared" si="1"/>
        <v>0</v>
      </c>
      <c r="F11" s="57">
        <f t="shared" si="0"/>
        <v>0</v>
      </c>
      <c r="G11" s="54"/>
      <c r="I11" s="43"/>
      <c r="J11" s="44"/>
      <c r="N11" s="70"/>
      <c r="O11" s="70"/>
      <c r="P11" s="70"/>
    </row>
    <row r="12" s="41" customFormat="1" ht="20" customHeight="1" spans="1:16">
      <c r="A12" s="52">
        <v>8</v>
      </c>
      <c r="B12" s="54" t="s">
        <v>18</v>
      </c>
      <c r="C12" s="58">
        <f>E9</f>
        <v>0</v>
      </c>
      <c r="D12" s="56">
        <v>0.02</v>
      </c>
      <c r="E12" s="57">
        <f t="shared" si="1"/>
        <v>0</v>
      </c>
      <c r="F12" s="57">
        <f t="shared" si="0"/>
        <v>0</v>
      </c>
      <c r="G12" s="54"/>
      <c r="I12" s="43"/>
      <c r="J12" s="44"/>
      <c r="N12" s="70"/>
      <c r="O12" s="70"/>
      <c r="P12" s="70"/>
    </row>
    <row r="13" s="41" customFormat="1" ht="20" customHeight="1" spans="1:16">
      <c r="A13" s="52">
        <v>9</v>
      </c>
      <c r="B13" s="54" t="s">
        <v>19</v>
      </c>
      <c r="C13" s="58">
        <f>0/1.05</f>
        <v>0</v>
      </c>
      <c r="D13" s="56">
        <v>0.01</v>
      </c>
      <c r="E13" s="57">
        <f t="shared" si="1"/>
        <v>0</v>
      </c>
      <c r="F13" s="57">
        <f t="shared" si="0"/>
        <v>0</v>
      </c>
      <c r="G13" s="54"/>
      <c r="I13" s="43"/>
      <c r="J13" s="44"/>
      <c r="N13" s="70"/>
      <c r="O13" s="70"/>
      <c r="P13" s="70"/>
    </row>
    <row r="14" s="41" customFormat="1" ht="20" customHeight="1" spans="1:16">
      <c r="A14" s="52">
        <v>10</v>
      </c>
      <c r="B14" s="54" t="s">
        <v>20</v>
      </c>
      <c r="C14" s="58">
        <f>K6/1.05</f>
        <v>89047.619047619</v>
      </c>
      <c r="D14" s="56">
        <v>0.03</v>
      </c>
      <c r="E14" s="57">
        <f t="shared" si="1"/>
        <v>2671.43</v>
      </c>
      <c r="F14" s="57">
        <f t="shared" si="0"/>
        <v>2671.43</v>
      </c>
      <c r="G14" s="54"/>
      <c r="I14" s="43"/>
      <c r="J14" s="44"/>
      <c r="N14" s="70"/>
      <c r="O14" s="70"/>
      <c r="P14" s="70"/>
    </row>
    <row r="15" s="41" customFormat="1" ht="20" customHeight="1" spans="1:16">
      <c r="A15" s="52">
        <v>11</v>
      </c>
      <c r="B15" s="54" t="s">
        <v>21</v>
      </c>
      <c r="C15" s="58">
        <v>0</v>
      </c>
      <c r="D15" s="59">
        <v>0.0005</v>
      </c>
      <c r="E15" s="57">
        <f>C15*D15</f>
        <v>0</v>
      </c>
      <c r="F15" s="57">
        <f t="shared" si="0"/>
        <v>0</v>
      </c>
      <c r="G15" s="54"/>
      <c r="I15" s="43"/>
      <c r="J15" s="44"/>
      <c r="N15" s="70"/>
      <c r="O15" s="70"/>
      <c r="P15" s="70"/>
    </row>
    <row r="16" s="41" customFormat="1" ht="20" customHeight="1" spans="1:16">
      <c r="A16" s="52">
        <v>12</v>
      </c>
      <c r="B16" s="54" t="s">
        <v>22</v>
      </c>
      <c r="C16" s="58">
        <v>0</v>
      </c>
      <c r="D16" s="59">
        <v>0.0003</v>
      </c>
      <c r="E16" s="57">
        <f>ROUND(C16*D16,2)</f>
        <v>0</v>
      </c>
      <c r="F16" s="57">
        <f t="shared" si="0"/>
        <v>0</v>
      </c>
      <c r="G16" s="54"/>
      <c r="I16" s="43"/>
      <c r="J16" s="44"/>
      <c r="N16" s="70"/>
      <c r="O16" s="70"/>
      <c r="P16" s="70"/>
    </row>
    <row r="17" s="41" customFormat="1" ht="20" customHeight="1" spans="1:16">
      <c r="A17" s="52">
        <v>13</v>
      </c>
      <c r="B17" s="54" t="s">
        <v>23</v>
      </c>
      <c r="C17" s="58"/>
      <c r="D17" s="59"/>
      <c r="E17" s="57">
        <v>187497.54</v>
      </c>
      <c r="F17" s="57">
        <f t="shared" si="0"/>
        <v>187497.54</v>
      </c>
      <c r="G17" s="54"/>
      <c r="I17" s="43"/>
      <c r="J17" s="44"/>
      <c r="N17" s="70"/>
      <c r="O17" s="70"/>
      <c r="P17" s="70"/>
    </row>
    <row r="18" s="41" customFormat="1" ht="20" customHeight="1" spans="1:16">
      <c r="A18" s="60" t="s">
        <v>24</v>
      </c>
      <c r="B18" s="60"/>
      <c r="C18" s="60"/>
      <c r="D18" s="60"/>
      <c r="E18" s="61">
        <f>SUM(E5:E17)</f>
        <v>193160.968571429</v>
      </c>
      <c r="F18" s="61">
        <f>SUM(F5:F17)</f>
        <v>193160.968571429</v>
      </c>
      <c r="G18" s="62"/>
      <c r="I18" s="43"/>
      <c r="J18" s="44"/>
      <c r="N18" s="70"/>
      <c r="O18" s="70"/>
      <c r="P18" s="70"/>
    </row>
    <row r="19" s="41" customFormat="1" ht="20" customHeight="1" spans="1:16">
      <c r="A19" s="63"/>
      <c r="B19" s="64" t="s">
        <v>25</v>
      </c>
      <c r="C19" s="64"/>
      <c r="D19" s="65"/>
      <c r="E19" s="57">
        <f>土地使用税!K9</f>
        <v>67297.015</v>
      </c>
      <c r="F19" s="57">
        <f>E19</f>
        <v>67297.015</v>
      </c>
      <c r="G19" s="54"/>
      <c r="I19" s="43"/>
      <c r="J19" s="44"/>
      <c r="N19" s="70"/>
      <c r="O19" s="70"/>
      <c r="P19" s="70"/>
    </row>
    <row r="20" s="41" customFormat="1" ht="20" customHeight="1" spans="1:16">
      <c r="A20" s="66" t="s">
        <v>26</v>
      </c>
      <c r="B20" s="67"/>
      <c r="C20" s="67"/>
      <c r="D20" s="68"/>
      <c r="E20" s="61">
        <f>E18+E19</f>
        <v>260457.983571429</v>
      </c>
      <c r="F20" s="61">
        <f>F18+F19</f>
        <v>260457.983571429</v>
      </c>
      <c r="G20" s="62"/>
      <c r="I20" s="43"/>
      <c r="J20" s="44"/>
      <c r="N20" s="70"/>
      <c r="O20" s="70"/>
      <c r="P20" s="70"/>
    </row>
  </sheetData>
  <mergeCells count="5">
    <mergeCell ref="O1:P1"/>
    <mergeCell ref="A2:G2"/>
    <mergeCell ref="A3:G3"/>
    <mergeCell ref="A18:D18"/>
    <mergeCell ref="A20:D20"/>
  </mergeCells>
  <pageMargins left="0.590277777777778" right="0.472222222222222" top="1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view="pageBreakPreview" zoomScale="70" zoomScaleNormal="55" workbookViewId="0">
      <selection activeCell="I9" sqref="I9"/>
    </sheetView>
  </sheetViews>
  <sheetFormatPr defaultColWidth="9" defaultRowHeight="13.5"/>
  <cols>
    <col min="1" max="1" width="9" style="90"/>
    <col min="2" max="2" width="22.2666666666667" style="90" customWidth="1"/>
    <col min="3" max="3" width="20.375" style="90" customWidth="1"/>
    <col min="4" max="5" width="32.625" style="90" customWidth="1"/>
    <col min="6" max="6" width="31.7833333333333" style="92" customWidth="1"/>
    <col min="7" max="7" width="31.2416666666667" style="92" customWidth="1"/>
    <col min="8" max="9" width="10.6333333333333" style="90" customWidth="1"/>
    <col min="10" max="10" width="21.4583333333333" style="92" customWidth="1"/>
    <col min="11" max="11" width="23.1833333333333" style="92" customWidth="1"/>
    <col min="12" max="12" width="18.5" style="90" customWidth="1"/>
    <col min="13" max="13" width="46.625" style="90" customWidth="1"/>
    <col min="14" max="14" width="17.725" style="90" customWidth="1"/>
    <col min="15" max="16384" width="9" style="90"/>
  </cols>
  <sheetData>
    <row r="1" s="90" customFormat="1" spans="6:11">
      <c r="F1" s="92"/>
      <c r="G1" s="92"/>
      <c r="J1" s="92"/>
      <c r="K1" s="92"/>
    </row>
    <row r="2" s="90" customFormat="1" spans="6:11">
      <c r="F2" s="92"/>
      <c r="G2" s="92"/>
      <c r="J2" s="92"/>
      <c r="K2" s="92"/>
    </row>
    <row r="3" s="90" customFormat="1" spans="6:11">
      <c r="F3" s="92"/>
      <c r="G3" s="92"/>
      <c r="J3" s="92"/>
      <c r="K3" s="92"/>
    </row>
    <row r="4" s="90" customFormat="1" ht="95" customHeight="1" spans="1:14">
      <c r="A4" s="93" t="s">
        <v>27</v>
      </c>
      <c r="B4" s="93"/>
      <c r="C4" s="93"/>
      <c r="D4" s="93"/>
      <c r="E4" s="93"/>
      <c r="F4" s="94"/>
      <c r="G4" s="94"/>
      <c r="H4" s="93"/>
      <c r="I4" s="93"/>
      <c r="J4" s="94"/>
      <c r="K4" s="94"/>
      <c r="L4" s="93"/>
      <c r="M4" s="93"/>
      <c r="N4" s="93"/>
    </row>
    <row r="5" s="91" customFormat="1" ht="77" customHeight="1" spans="1:14">
      <c r="A5" s="95" t="s">
        <v>3</v>
      </c>
      <c r="B5" s="95" t="s">
        <v>28</v>
      </c>
      <c r="C5" s="96" t="s">
        <v>29</v>
      </c>
      <c r="D5" s="97" t="s">
        <v>30</v>
      </c>
      <c r="E5" s="97" t="s">
        <v>31</v>
      </c>
      <c r="F5" s="98" t="s">
        <v>32</v>
      </c>
      <c r="G5" s="98" t="s">
        <v>33</v>
      </c>
      <c r="H5" s="95" t="s">
        <v>34</v>
      </c>
      <c r="I5" s="95" t="s">
        <v>35</v>
      </c>
      <c r="J5" s="106" t="s">
        <v>36</v>
      </c>
      <c r="K5" s="106" t="s">
        <v>37</v>
      </c>
      <c r="L5" s="95" t="s">
        <v>38</v>
      </c>
      <c r="M5" s="95" t="s">
        <v>39</v>
      </c>
      <c r="N5" s="95" t="s">
        <v>7</v>
      </c>
    </row>
    <row r="6" s="90" customFormat="1" ht="77" customHeight="1" spans="1:14">
      <c r="A6" s="99">
        <v>1</v>
      </c>
      <c r="B6" s="99" t="s">
        <v>40</v>
      </c>
      <c r="C6" s="99">
        <v>33446.1</v>
      </c>
      <c r="D6" s="100">
        <v>58118.02</v>
      </c>
      <c r="E6" s="100">
        <f>系统合同备案面积表!F17</f>
        <v>25292.23</v>
      </c>
      <c r="F6" s="101">
        <f>(E6+E7)/(D6+D7)*(C6+C7)</f>
        <v>49298.5355872068</v>
      </c>
      <c r="G6" s="101">
        <f>C6+C7-F6</f>
        <v>21335.7644127932</v>
      </c>
      <c r="H6" s="99" t="s">
        <v>41</v>
      </c>
      <c r="I6" s="99">
        <v>6</v>
      </c>
      <c r="J6" s="107">
        <f>ROUND(G6*I6,2)</f>
        <v>128014.59</v>
      </c>
      <c r="K6" s="107">
        <f>128569.42/2</f>
        <v>64284.71</v>
      </c>
      <c r="L6" s="99" t="s">
        <v>42</v>
      </c>
      <c r="M6" s="99" t="s">
        <v>43</v>
      </c>
      <c r="N6" s="99" t="s">
        <v>44</v>
      </c>
    </row>
    <row r="7" s="90" customFormat="1" ht="77" customHeight="1" spans="1:14">
      <c r="A7" s="99">
        <v>2</v>
      </c>
      <c r="B7" s="99" t="s">
        <v>45</v>
      </c>
      <c r="C7" s="99">
        <v>37188.2</v>
      </c>
      <c r="D7" s="100">
        <f>21670.6+14820.21</f>
        <v>36490.81</v>
      </c>
      <c r="E7" s="100">
        <f>系统合同备案面积表!C17</f>
        <v>40739.1</v>
      </c>
      <c r="F7" s="102"/>
      <c r="G7" s="102"/>
      <c r="H7" s="99" t="s">
        <v>41</v>
      </c>
      <c r="I7" s="99">
        <v>6</v>
      </c>
      <c r="J7" s="108"/>
      <c r="K7" s="108"/>
      <c r="L7" s="99" t="s">
        <v>46</v>
      </c>
      <c r="M7" s="99" t="s">
        <v>47</v>
      </c>
      <c r="N7" s="99" t="s">
        <v>44</v>
      </c>
    </row>
    <row r="8" s="90" customFormat="1" ht="77" customHeight="1" spans="1:14">
      <c r="A8" s="99">
        <v>3</v>
      </c>
      <c r="B8" s="99" t="s">
        <v>48</v>
      </c>
      <c r="C8" s="99">
        <v>27452.9</v>
      </c>
      <c r="D8" s="100">
        <v>46436.07</v>
      </c>
      <c r="E8" s="100">
        <f>系统合同备案面积表!I17</f>
        <v>44737.65</v>
      </c>
      <c r="F8" s="103">
        <f>E8/D8*C8</f>
        <v>26448.7979212065</v>
      </c>
      <c r="G8" s="103">
        <f>C8-F8</f>
        <v>1004.10207879349</v>
      </c>
      <c r="H8" s="99" t="s">
        <v>41</v>
      </c>
      <c r="I8" s="99">
        <v>6</v>
      </c>
      <c r="J8" s="109">
        <f>ROUND(G8*I8,2)</f>
        <v>6024.61</v>
      </c>
      <c r="K8" s="109">
        <f>J8/2</f>
        <v>3012.305</v>
      </c>
      <c r="L8" s="99" t="s">
        <v>49</v>
      </c>
      <c r="M8" s="99" t="s">
        <v>50</v>
      </c>
      <c r="N8" s="99" t="s">
        <v>44</v>
      </c>
    </row>
    <row r="9" s="90" customFormat="1" ht="77" customHeight="1" spans="1:14">
      <c r="A9" s="99" t="s">
        <v>51</v>
      </c>
      <c r="B9" s="99"/>
      <c r="C9" s="99">
        <f>SUM(C6:C8)</f>
        <v>98087.2</v>
      </c>
      <c r="D9" s="100">
        <f>SUM(D6:D8)</f>
        <v>141044.9</v>
      </c>
      <c r="E9" s="100">
        <f>SUM(E6:E8)</f>
        <v>110768.98</v>
      </c>
      <c r="F9" s="103">
        <f>E9/D9*C9</f>
        <v>77032.3428571752</v>
      </c>
      <c r="G9" s="103">
        <f>C9-F9</f>
        <v>21054.8571428247</v>
      </c>
      <c r="H9" s="104"/>
      <c r="I9" s="104"/>
      <c r="J9" s="109">
        <f>SUM(J6:J8)</f>
        <v>134039.2</v>
      </c>
      <c r="K9" s="109">
        <f>SUM(K6:K8)</f>
        <v>67297.015</v>
      </c>
      <c r="L9" s="99"/>
      <c r="M9" s="99"/>
      <c r="N9" s="104"/>
    </row>
    <row r="10" s="90" customFormat="1" ht="77" customHeight="1" spans="6:11">
      <c r="F10" s="92"/>
      <c r="G10" s="92"/>
      <c r="J10" s="92"/>
      <c r="K10" s="92"/>
    </row>
    <row r="11" s="90" customFormat="1" ht="77" customHeight="1" spans="2:11">
      <c r="B11" s="105" t="s">
        <v>52</v>
      </c>
      <c r="E11" s="105" t="s">
        <v>53</v>
      </c>
      <c r="F11" s="92"/>
      <c r="G11" s="92"/>
      <c r="J11" s="92"/>
      <c r="K11" s="92"/>
    </row>
  </sheetData>
  <mergeCells count="6">
    <mergeCell ref="A4:N4"/>
    <mergeCell ref="A9:B9"/>
    <mergeCell ref="F6:F7"/>
    <mergeCell ref="G6:G7"/>
    <mergeCell ref="J6:J7"/>
    <mergeCell ref="K6:K7"/>
  </mergeCells>
  <pageMargins left="0.75" right="0.75" top="1" bottom="1" header="0.5" footer="0.5"/>
  <pageSetup paperSize="9" scale="4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view="pageBreakPreview" zoomScaleNormal="100" workbookViewId="0">
      <selection activeCell="I9" sqref="I9"/>
    </sheetView>
  </sheetViews>
  <sheetFormatPr defaultColWidth="9" defaultRowHeight="13.5"/>
  <cols>
    <col min="2" max="2" width="9" style="77"/>
    <col min="3" max="3" width="17.125" style="77" customWidth="1"/>
    <col min="5" max="5" width="9" style="77"/>
    <col min="6" max="6" width="17.125" customWidth="1"/>
    <col min="8" max="8" width="9" style="77"/>
    <col min="9" max="9" width="17.125" customWidth="1"/>
  </cols>
  <sheetData>
    <row r="1" ht="14.25"/>
    <row r="2" ht="28" customHeight="1" spans="2:9">
      <c r="B2" s="78"/>
      <c r="C2" s="79" t="s">
        <v>54</v>
      </c>
      <c r="D2" s="80"/>
      <c r="E2" s="78"/>
      <c r="F2" s="79" t="s">
        <v>54</v>
      </c>
      <c r="H2" s="78"/>
      <c r="I2" s="79" t="s">
        <v>54</v>
      </c>
    </row>
    <row r="3" ht="28" customHeight="1" spans="2:9">
      <c r="B3" s="81" t="s">
        <v>55</v>
      </c>
      <c r="C3" s="82">
        <v>2577.1</v>
      </c>
      <c r="D3" s="80"/>
      <c r="E3" s="81" t="s">
        <v>56</v>
      </c>
      <c r="F3" s="82">
        <v>111.63</v>
      </c>
      <c r="H3" s="81" t="s">
        <v>57</v>
      </c>
      <c r="I3" s="85">
        <v>12713.57</v>
      </c>
    </row>
    <row r="4" ht="28" customHeight="1" spans="2:9">
      <c r="B4" s="81" t="s">
        <v>58</v>
      </c>
      <c r="C4" s="82">
        <v>3951.47</v>
      </c>
      <c r="D4" s="80"/>
      <c r="E4" s="81" t="s">
        <v>59</v>
      </c>
      <c r="F4" s="82">
        <v>415.88</v>
      </c>
      <c r="H4" s="81" t="s">
        <v>60</v>
      </c>
      <c r="I4" s="85">
        <v>4449.24</v>
      </c>
    </row>
    <row r="5" ht="28" customHeight="1" spans="2:9">
      <c r="B5" s="81" t="s">
        <v>61</v>
      </c>
      <c r="C5" s="82">
        <v>3968.06</v>
      </c>
      <c r="D5" s="80"/>
      <c r="E5" s="81" t="s">
        <v>62</v>
      </c>
      <c r="F5" s="82">
        <v>2619.95</v>
      </c>
      <c r="H5" s="81" t="s">
        <v>63</v>
      </c>
      <c r="I5" s="85">
        <v>2313.8</v>
      </c>
    </row>
    <row r="6" ht="28" customHeight="1" spans="2:9">
      <c r="B6" s="81" t="s">
        <v>64</v>
      </c>
      <c r="C6" s="83">
        <v>4912.44</v>
      </c>
      <c r="D6" s="80"/>
      <c r="E6" s="81" t="s">
        <v>65</v>
      </c>
      <c r="F6" s="82">
        <v>3098.45</v>
      </c>
      <c r="H6" s="81" t="s">
        <v>66</v>
      </c>
      <c r="I6" s="85">
        <v>3716.68</v>
      </c>
    </row>
    <row r="7" ht="28" customHeight="1" spans="2:9">
      <c r="B7" s="81" t="s">
        <v>67</v>
      </c>
      <c r="C7" s="82">
        <v>2211.79</v>
      </c>
      <c r="D7" s="80"/>
      <c r="E7" s="81" t="s">
        <v>68</v>
      </c>
      <c r="F7" s="82">
        <v>3089.97</v>
      </c>
      <c r="H7" s="81" t="s">
        <v>69</v>
      </c>
      <c r="I7" s="85">
        <v>10630.7</v>
      </c>
    </row>
    <row r="8" ht="28" customHeight="1" spans="2:9">
      <c r="B8" s="81" t="s">
        <v>70</v>
      </c>
      <c r="C8" s="82">
        <v>1881.48</v>
      </c>
      <c r="D8" s="80"/>
      <c r="E8" s="81" t="s">
        <v>71</v>
      </c>
      <c r="F8" s="84">
        <v>1805.8</v>
      </c>
      <c r="H8" s="81" t="s">
        <v>72</v>
      </c>
      <c r="I8" s="85">
        <v>4518.71</v>
      </c>
    </row>
    <row r="9" ht="28" customHeight="1" spans="2:9">
      <c r="B9" s="81" t="s">
        <v>73</v>
      </c>
      <c r="C9" s="82">
        <v>2813.16</v>
      </c>
      <c r="D9" s="80"/>
      <c r="E9" s="81" t="s">
        <v>74</v>
      </c>
      <c r="F9" s="82">
        <v>2519.44</v>
      </c>
      <c r="H9" s="81" t="s">
        <v>75</v>
      </c>
      <c r="I9" s="85">
        <v>6394.95</v>
      </c>
    </row>
    <row r="10" ht="28" customHeight="1" spans="2:9">
      <c r="B10" s="81" t="s">
        <v>76</v>
      </c>
      <c r="C10" s="82">
        <v>2931.82</v>
      </c>
      <c r="D10" s="80"/>
      <c r="E10" s="81" t="s">
        <v>77</v>
      </c>
      <c r="F10" s="82">
        <v>3706.92</v>
      </c>
      <c r="H10" s="81"/>
      <c r="I10" s="85"/>
    </row>
    <row r="11" ht="28" customHeight="1" spans="2:9">
      <c r="B11" s="81" t="s">
        <v>78</v>
      </c>
      <c r="C11" s="82">
        <v>3025.08</v>
      </c>
      <c r="D11" s="80"/>
      <c r="E11" s="81" t="s">
        <v>79</v>
      </c>
      <c r="F11" s="82">
        <v>2792.8</v>
      </c>
      <c r="H11" s="81"/>
      <c r="I11" s="85"/>
    </row>
    <row r="12" ht="28" customHeight="1" spans="2:9">
      <c r="B12" s="81" t="s">
        <v>80</v>
      </c>
      <c r="C12" s="82"/>
      <c r="D12" s="80"/>
      <c r="E12" s="81" t="s">
        <v>81</v>
      </c>
      <c r="F12" s="82">
        <v>3513.12</v>
      </c>
      <c r="H12" s="81"/>
      <c r="I12" s="85"/>
    </row>
    <row r="13" ht="28" customHeight="1" spans="2:9">
      <c r="B13" s="81" t="s">
        <v>82</v>
      </c>
      <c r="C13" s="82">
        <v>3928.92</v>
      </c>
      <c r="D13" s="80"/>
      <c r="E13" s="81" t="s">
        <v>83</v>
      </c>
      <c r="F13" s="82">
        <v>891.36</v>
      </c>
      <c r="H13" s="81"/>
      <c r="I13" s="85"/>
    </row>
    <row r="14" ht="28" customHeight="1" spans="2:9">
      <c r="B14" s="81" t="s">
        <v>84</v>
      </c>
      <c r="C14" s="82">
        <v>5636.76</v>
      </c>
      <c r="D14" s="80"/>
      <c r="E14" s="81" t="s">
        <v>85</v>
      </c>
      <c r="F14" s="82">
        <v>726.91</v>
      </c>
      <c r="H14" s="81"/>
      <c r="I14" s="85"/>
    </row>
    <row r="15" ht="28" customHeight="1" spans="2:9">
      <c r="B15" s="81" t="s">
        <v>86</v>
      </c>
      <c r="C15" s="82">
        <v>1946.04</v>
      </c>
      <c r="D15" s="80"/>
      <c r="E15" s="81" t="s">
        <v>87</v>
      </c>
      <c r="F15" s="82"/>
      <c r="H15" s="81"/>
      <c r="I15" s="85"/>
    </row>
    <row r="16" ht="28" customHeight="1" spans="2:9">
      <c r="B16" s="81" t="s">
        <v>88</v>
      </c>
      <c r="C16" s="82">
        <v>954.98</v>
      </c>
      <c r="D16" s="80"/>
      <c r="E16" s="81"/>
      <c r="F16" s="85"/>
      <c r="H16" s="81"/>
      <c r="I16" s="85"/>
    </row>
    <row r="17" ht="28" customHeight="1" spans="2:9">
      <c r="B17" s="86" t="s">
        <v>89</v>
      </c>
      <c r="C17" s="87">
        <f>SUM(C3:C16)</f>
        <v>40739.1</v>
      </c>
      <c r="D17" s="80"/>
      <c r="E17" s="86" t="s">
        <v>90</v>
      </c>
      <c r="F17" s="88">
        <f>SUM(F3:F16)</f>
        <v>25292.23</v>
      </c>
      <c r="H17" s="86" t="s">
        <v>91</v>
      </c>
      <c r="I17" s="88">
        <f>SUM(I3:I16)</f>
        <v>44737.65</v>
      </c>
    </row>
    <row r="18" ht="28" customHeight="1" spans="2:3">
      <c r="B18" s="89" t="s">
        <v>26</v>
      </c>
      <c r="C18" s="89">
        <f>C17+F17+I17</f>
        <v>110768.98</v>
      </c>
    </row>
  </sheetData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I9" sqref="I9"/>
    </sheetView>
  </sheetViews>
  <sheetFormatPr defaultColWidth="9" defaultRowHeight="12"/>
  <cols>
    <col min="1" max="1" width="5.88333333333333" style="41" customWidth="1"/>
    <col min="2" max="2" width="20.75" style="41" customWidth="1"/>
    <col min="3" max="3" width="13.475" style="41" customWidth="1"/>
    <col min="4" max="4" width="9.375" style="41"/>
    <col min="5" max="5" width="16.1083333333333" style="42" customWidth="1"/>
    <col min="6" max="6" width="17.5" style="42" customWidth="1"/>
    <col min="7" max="7" width="13.1333333333333" style="41" customWidth="1"/>
    <col min="8" max="8" width="4.46666666666667" style="41" customWidth="1"/>
    <col min="9" max="9" width="8.25" style="43" customWidth="1"/>
    <col min="10" max="10" width="48.125" style="44" customWidth="1"/>
    <col min="11" max="11" width="27.625" style="41" customWidth="1"/>
    <col min="12" max="12" width="12.7166666666667" style="41" customWidth="1"/>
    <col min="13" max="13" width="10.9666666666667" style="41" customWidth="1"/>
    <col min="14" max="14" width="13.3666666666667" style="45" customWidth="1"/>
    <col min="15" max="15" width="16" style="45"/>
    <col min="16" max="16" width="12.6333333333333" style="45"/>
    <col min="17" max="16384" width="9" style="41"/>
  </cols>
  <sheetData>
    <row r="1" s="41" customFormat="1" spans="5:16">
      <c r="E1" s="42"/>
      <c r="F1" s="42"/>
      <c r="I1" s="43"/>
      <c r="J1" s="44"/>
      <c r="N1" s="45"/>
      <c r="O1" s="69"/>
      <c r="P1" s="69"/>
    </row>
    <row r="2" s="41" customFormat="1" ht="9" customHeight="1" spans="1:16">
      <c r="A2" s="46"/>
      <c r="B2" s="47"/>
      <c r="C2" s="47"/>
      <c r="D2" s="47"/>
      <c r="E2" s="48"/>
      <c r="F2" s="48"/>
      <c r="G2" s="49"/>
      <c r="I2" s="43"/>
      <c r="J2" s="44"/>
      <c r="N2" s="70"/>
      <c r="O2" s="70"/>
      <c r="P2" s="70"/>
    </row>
    <row r="3" s="41" customFormat="1" ht="20" customHeight="1" spans="1:16">
      <c r="A3" s="50" t="s">
        <v>0</v>
      </c>
      <c r="B3" s="50"/>
      <c r="C3" s="50"/>
      <c r="D3" s="50"/>
      <c r="E3" s="51"/>
      <c r="F3" s="51"/>
      <c r="G3" s="50"/>
      <c r="I3" s="43"/>
      <c r="J3" s="71" t="s">
        <v>1</v>
      </c>
      <c r="K3" s="72" t="s">
        <v>2</v>
      </c>
      <c r="N3" s="70"/>
      <c r="O3" s="70"/>
      <c r="P3" s="70"/>
    </row>
    <row r="4" s="41" customFormat="1" ht="20" customHeight="1" spans="1:16">
      <c r="A4" s="52" t="s">
        <v>3</v>
      </c>
      <c r="B4" s="52" t="s">
        <v>4</v>
      </c>
      <c r="C4" s="52" t="s">
        <v>2</v>
      </c>
      <c r="D4" s="52" t="s">
        <v>5</v>
      </c>
      <c r="E4" s="53" t="s">
        <v>2</v>
      </c>
      <c r="F4" s="53" t="s">
        <v>6</v>
      </c>
      <c r="G4" s="52" t="s">
        <v>7</v>
      </c>
      <c r="I4" s="43"/>
      <c r="J4" s="73" t="s">
        <v>8</v>
      </c>
      <c r="K4" s="74">
        <v>33000</v>
      </c>
      <c r="N4" s="70"/>
      <c r="O4" s="70"/>
      <c r="P4" s="70"/>
    </row>
    <row r="5" s="41" customFormat="1" ht="20" customHeight="1" spans="1:16">
      <c r="A5" s="52">
        <v>1</v>
      </c>
      <c r="B5" s="54" t="s">
        <v>9</v>
      </c>
      <c r="C5" s="55">
        <f>K6</f>
        <v>93500</v>
      </c>
      <c r="D5" s="56">
        <v>0.03</v>
      </c>
      <c r="E5" s="57">
        <f>C5/1.05*D5</f>
        <v>2671.42857142857</v>
      </c>
      <c r="F5" s="57">
        <f t="shared" ref="F5:F17" si="0">E5</f>
        <v>2671.42857142857</v>
      </c>
      <c r="G5" s="54"/>
      <c r="I5" s="43"/>
      <c r="J5" s="73" t="s">
        <v>10</v>
      </c>
      <c r="K5" s="74">
        <v>60500</v>
      </c>
      <c r="N5" s="70"/>
      <c r="O5" s="70"/>
      <c r="P5" s="70"/>
    </row>
    <row r="6" s="41" customFormat="1" ht="20" customHeight="1" spans="1:16">
      <c r="A6" s="52">
        <v>2</v>
      </c>
      <c r="B6" s="54" t="s">
        <v>11</v>
      </c>
      <c r="C6" s="55">
        <f>F5</f>
        <v>2671.42857142857</v>
      </c>
      <c r="D6" s="56">
        <v>0.07</v>
      </c>
      <c r="E6" s="57">
        <f t="shared" ref="E6:E14" si="1">ROUND(C6*D6,2)</f>
        <v>187</v>
      </c>
      <c r="F6" s="57">
        <f t="shared" si="0"/>
        <v>187</v>
      </c>
      <c r="G6" s="54"/>
      <c r="I6" s="43"/>
      <c r="J6" s="75" t="s">
        <v>12</v>
      </c>
      <c r="K6" s="74">
        <f>SUM(K4:K5)</f>
        <v>93500</v>
      </c>
      <c r="N6" s="70"/>
      <c r="O6" s="70"/>
      <c r="P6" s="70"/>
    </row>
    <row r="7" s="41" customFormat="1" ht="20" customHeight="1" spans="1:16">
      <c r="A7" s="52">
        <v>3</v>
      </c>
      <c r="B7" s="54" t="s">
        <v>13</v>
      </c>
      <c r="C7" s="55">
        <f>E5</f>
        <v>2671.42857142857</v>
      </c>
      <c r="D7" s="56">
        <v>0.03</v>
      </c>
      <c r="E7" s="57">
        <f t="shared" si="1"/>
        <v>80.14</v>
      </c>
      <c r="F7" s="57">
        <f t="shared" si="0"/>
        <v>80.14</v>
      </c>
      <c r="G7" s="54"/>
      <c r="I7" s="43"/>
      <c r="J7" s="73"/>
      <c r="K7" s="76"/>
      <c r="N7" s="70"/>
      <c r="O7" s="70"/>
      <c r="P7" s="70"/>
    </row>
    <row r="8" s="41" customFormat="1" ht="20" customHeight="1" spans="1:16">
      <c r="A8" s="52">
        <v>4</v>
      </c>
      <c r="B8" s="54" t="s">
        <v>14</v>
      </c>
      <c r="C8" s="55">
        <f>E5</f>
        <v>2671.42857142857</v>
      </c>
      <c r="D8" s="56">
        <v>0.02</v>
      </c>
      <c r="E8" s="57">
        <f t="shared" si="1"/>
        <v>53.43</v>
      </c>
      <c r="F8" s="57">
        <f t="shared" si="0"/>
        <v>53.43</v>
      </c>
      <c r="G8" s="54"/>
      <c r="I8" s="43"/>
      <c r="J8" s="73"/>
      <c r="K8" s="76"/>
      <c r="N8" s="70"/>
      <c r="O8" s="70"/>
      <c r="P8" s="70"/>
    </row>
    <row r="9" s="41" customFormat="1" ht="20" customHeight="1" spans="1:16">
      <c r="A9" s="52">
        <v>5</v>
      </c>
      <c r="B9" s="54" t="s">
        <v>15</v>
      </c>
      <c r="C9" s="55">
        <v>0</v>
      </c>
      <c r="D9" s="56">
        <v>0.02</v>
      </c>
      <c r="E9" s="57">
        <f t="shared" si="1"/>
        <v>0</v>
      </c>
      <c r="F9" s="57">
        <f t="shared" si="0"/>
        <v>0</v>
      </c>
      <c r="G9" s="54"/>
      <c r="I9" s="43"/>
      <c r="N9" s="70"/>
      <c r="O9" s="70"/>
      <c r="P9" s="70"/>
    </row>
    <row r="10" s="41" customFormat="1" ht="20" customHeight="1" spans="1:16">
      <c r="A10" s="52">
        <v>6</v>
      </c>
      <c r="B10" s="54" t="s">
        <v>16</v>
      </c>
      <c r="C10" s="58">
        <f>E9</f>
        <v>0</v>
      </c>
      <c r="D10" s="56">
        <v>0.07</v>
      </c>
      <c r="E10" s="57">
        <f t="shared" si="1"/>
        <v>0</v>
      </c>
      <c r="F10" s="57">
        <f t="shared" si="0"/>
        <v>0</v>
      </c>
      <c r="G10" s="54"/>
      <c r="I10" s="43"/>
      <c r="J10" s="44"/>
      <c r="N10" s="70"/>
      <c r="O10" s="70"/>
      <c r="P10" s="70"/>
    </row>
    <row r="11" s="41" customFormat="1" ht="20" customHeight="1" spans="1:16">
      <c r="A11" s="52">
        <v>7</v>
      </c>
      <c r="B11" s="54" t="s">
        <v>17</v>
      </c>
      <c r="C11" s="58">
        <f>E9</f>
        <v>0</v>
      </c>
      <c r="D11" s="56">
        <v>0.03</v>
      </c>
      <c r="E11" s="57">
        <f t="shared" si="1"/>
        <v>0</v>
      </c>
      <c r="F11" s="57">
        <f t="shared" si="0"/>
        <v>0</v>
      </c>
      <c r="G11" s="54"/>
      <c r="I11" s="43"/>
      <c r="J11" s="44"/>
      <c r="N11" s="70"/>
      <c r="O11" s="70"/>
      <c r="P11" s="70"/>
    </row>
    <row r="12" s="41" customFormat="1" ht="20" customHeight="1" spans="1:16">
      <c r="A12" s="52">
        <v>8</v>
      </c>
      <c r="B12" s="54" t="s">
        <v>18</v>
      </c>
      <c r="C12" s="58">
        <f>E9</f>
        <v>0</v>
      </c>
      <c r="D12" s="56">
        <v>0.02</v>
      </c>
      <c r="E12" s="57">
        <f t="shared" si="1"/>
        <v>0</v>
      </c>
      <c r="F12" s="57">
        <f t="shared" si="0"/>
        <v>0</v>
      </c>
      <c r="G12" s="54"/>
      <c r="I12" s="43"/>
      <c r="J12" s="44"/>
      <c r="N12" s="70"/>
      <c r="O12" s="70"/>
      <c r="P12" s="70"/>
    </row>
    <row r="13" s="41" customFormat="1" ht="20" customHeight="1" spans="1:16">
      <c r="A13" s="52">
        <v>9</v>
      </c>
      <c r="B13" s="54" t="s">
        <v>19</v>
      </c>
      <c r="C13" s="58">
        <f>0/1.05</f>
        <v>0</v>
      </c>
      <c r="D13" s="56">
        <v>0.01</v>
      </c>
      <c r="E13" s="57">
        <f t="shared" si="1"/>
        <v>0</v>
      </c>
      <c r="F13" s="57">
        <f t="shared" si="0"/>
        <v>0</v>
      </c>
      <c r="G13" s="54"/>
      <c r="I13" s="43"/>
      <c r="J13" s="44"/>
      <c r="N13" s="70"/>
      <c r="O13" s="70"/>
      <c r="P13" s="70"/>
    </row>
    <row r="14" s="41" customFormat="1" ht="20" customHeight="1" spans="1:16">
      <c r="A14" s="52">
        <v>10</v>
      </c>
      <c r="B14" s="54" t="s">
        <v>20</v>
      </c>
      <c r="C14" s="58">
        <f>K6/1.05</f>
        <v>89047.619047619</v>
      </c>
      <c r="D14" s="56">
        <v>0.03</v>
      </c>
      <c r="E14" s="57">
        <f t="shared" si="1"/>
        <v>2671.43</v>
      </c>
      <c r="F14" s="57">
        <f t="shared" si="0"/>
        <v>2671.43</v>
      </c>
      <c r="G14" s="54"/>
      <c r="I14" s="43"/>
      <c r="J14" s="44"/>
      <c r="N14" s="70"/>
      <c r="O14" s="70"/>
      <c r="P14" s="70"/>
    </row>
    <row r="15" s="41" customFormat="1" ht="20" customHeight="1" spans="1:16">
      <c r="A15" s="52">
        <v>11</v>
      </c>
      <c r="B15" s="54" t="s">
        <v>21</v>
      </c>
      <c r="C15" s="58">
        <v>0</v>
      </c>
      <c r="D15" s="59">
        <v>0.0005</v>
      </c>
      <c r="E15" s="57">
        <f>C15*D15</f>
        <v>0</v>
      </c>
      <c r="F15" s="57">
        <f t="shared" si="0"/>
        <v>0</v>
      </c>
      <c r="G15" s="54"/>
      <c r="I15" s="43"/>
      <c r="J15" s="44"/>
      <c r="N15" s="70"/>
      <c r="O15" s="70"/>
      <c r="P15" s="70"/>
    </row>
    <row r="16" s="41" customFormat="1" ht="20" customHeight="1" spans="1:16">
      <c r="A16" s="52">
        <v>12</v>
      </c>
      <c r="B16" s="54" t="s">
        <v>22</v>
      </c>
      <c r="C16" s="58">
        <v>0</v>
      </c>
      <c r="D16" s="59">
        <v>0.0003</v>
      </c>
      <c r="E16" s="57">
        <f>ROUND(C16*D16,2)</f>
        <v>0</v>
      </c>
      <c r="F16" s="57">
        <f t="shared" si="0"/>
        <v>0</v>
      </c>
      <c r="G16" s="54"/>
      <c r="I16" s="43"/>
      <c r="J16" s="44"/>
      <c r="N16" s="70"/>
      <c r="O16" s="70"/>
      <c r="P16" s="70"/>
    </row>
    <row r="17" s="41" customFormat="1" ht="20" customHeight="1" spans="1:16">
      <c r="A17" s="52">
        <v>13</v>
      </c>
      <c r="B17" s="54" t="s">
        <v>23</v>
      </c>
      <c r="C17" s="58"/>
      <c r="D17" s="59"/>
      <c r="E17" s="57">
        <v>187497.54</v>
      </c>
      <c r="F17" s="57">
        <f t="shared" si="0"/>
        <v>187497.54</v>
      </c>
      <c r="G17" s="54"/>
      <c r="I17" s="43"/>
      <c r="J17" s="44"/>
      <c r="N17" s="70"/>
      <c r="O17" s="70"/>
      <c r="P17" s="70"/>
    </row>
    <row r="18" s="41" customFormat="1" ht="20" customHeight="1" spans="1:16">
      <c r="A18" s="60" t="s">
        <v>24</v>
      </c>
      <c r="B18" s="60"/>
      <c r="C18" s="60"/>
      <c r="D18" s="60"/>
      <c r="E18" s="61">
        <f>SUM(E5:E17)</f>
        <v>193160.968571429</v>
      </c>
      <c r="F18" s="61">
        <f>SUM(F5:F17)</f>
        <v>193160.968571429</v>
      </c>
      <c r="G18" s="62"/>
      <c r="I18" s="43"/>
      <c r="J18" s="44"/>
      <c r="N18" s="70"/>
      <c r="O18" s="70"/>
      <c r="P18" s="70"/>
    </row>
    <row r="19" s="41" customFormat="1" ht="20" customHeight="1" spans="1:16">
      <c r="A19" s="63"/>
      <c r="B19" s="64" t="s">
        <v>25</v>
      </c>
      <c r="C19" s="64"/>
      <c r="D19" s="65"/>
      <c r="E19" s="57">
        <f>土地使用税!K9</f>
        <v>67297.015</v>
      </c>
      <c r="F19" s="57">
        <f>E19</f>
        <v>67297.015</v>
      </c>
      <c r="G19" s="54"/>
      <c r="I19" s="43"/>
      <c r="J19" s="44"/>
      <c r="N19" s="70"/>
      <c r="O19" s="70"/>
      <c r="P19" s="70"/>
    </row>
    <row r="20" s="41" customFormat="1" ht="20" customHeight="1" spans="1:16">
      <c r="A20" s="66" t="s">
        <v>26</v>
      </c>
      <c r="B20" s="67"/>
      <c r="C20" s="67"/>
      <c r="D20" s="68"/>
      <c r="E20" s="61">
        <f>E18+E19</f>
        <v>260457.983571429</v>
      </c>
      <c r="F20" s="61">
        <f>F18+F19</f>
        <v>260457.983571429</v>
      </c>
      <c r="G20" s="62"/>
      <c r="I20" s="43"/>
      <c r="J20" s="44"/>
      <c r="N20" s="70"/>
      <c r="O20" s="70"/>
      <c r="P20" s="70"/>
    </row>
  </sheetData>
  <mergeCells count="5">
    <mergeCell ref="O1:P1"/>
    <mergeCell ref="A2:G2"/>
    <mergeCell ref="A3:G3"/>
    <mergeCell ref="A18:D18"/>
    <mergeCell ref="A20:D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tabSelected="1" workbookViewId="0">
      <selection activeCell="F11" sqref="F11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17.25" style="1" customWidth="1"/>
    <col min="6" max="7" width="13.75" style="1" customWidth="1"/>
    <col min="8" max="8" width="18.25" style="1" customWidth="1"/>
    <col min="9" max="9" width="15.625" style="1" customWidth="1"/>
    <col min="10" max="10" width="10.37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s="1" customFormat="1" ht="44" customHeight="1" spans="2:9">
      <c r="B2" s="2" t="s">
        <v>92</v>
      </c>
      <c r="C2" s="2"/>
      <c r="D2" s="2"/>
      <c r="E2" s="2"/>
      <c r="F2" s="2"/>
      <c r="G2" s="2"/>
      <c r="H2" s="2"/>
      <c r="I2" s="2"/>
    </row>
    <row r="3" s="1" customFormat="1" ht="23" customHeight="1" spans="2:10">
      <c r="B3" s="3" t="s">
        <v>93</v>
      </c>
      <c r="C3" s="1" t="s">
        <v>94</v>
      </c>
      <c r="D3" s="3" t="s">
        <v>95</v>
      </c>
      <c r="E3" s="4">
        <v>202312</v>
      </c>
      <c r="H3" s="3" t="s">
        <v>96</v>
      </c>
      <c r="I3" s="1" t="s">
        <v>97</v>
      </c>
      <c r="J3" s="1">
        <f>D9/0.05</f>
        <v>0</v>
      </c>
    </row>
    <row r="4" s="1" customFormat="1" ht="25" customHeight="1" spans="2:9">
      <c r="B4" s="5" t="s">
        <v>98</v>
      </c>
      <c r="C4" s="6"/>
      <c r="D4" s="7" t="s">
        <v>99</v>
      </c>
      <c r="E4" s="7" t="s">
        <v>99</v>
      </c>
      <c r="F4" s="7" t="s">
        <v>99</v>
      </c>
      <c r="G4" s="8" t="s">
        <v>100</v>
      </c>
      <c r="H4" s="8" t="s">
        <v>101</v>
      </c>
      <c r="I4" s="8" t="s">
        <v>51</v>
      </c>
    </row>
    <row r="5" s="1" customFormat="1" ht="25" customHeight="1" spans="2:9">
      <c r="B5" s="9"/>
      <c r="C5" s="10"/>
      <c r="D5" s="7" t="s">
        <v>102</v>
      </c>
      <c r="E5" s="7" t="s">
        <v>103</v>
      </c>
      <c r="F5" s="7" t="s">
        <v>104</v>
      </c>
      <c r="G5" s="7" t="s">
        <v>104</v>
      </c>
      <c r="H5" s="11"/>
      <c r="I5" s="11"/>
    </row>
    <row r="6" s="1" customFormat="1" ht="16" customHeight="1" spans="2:10">
      <c r="B6" s="12"/>
      <c r="C6" s="13"/>
      <c r="D6" s="14"/>
      <c r="E6" s="14">
        <v>1287545.23</v>
      </c>
      <c r="F6" s="14"/>
      <c r="G6" s="14">
        <v>25000</v>
      </c>
      <c r="H6" s="14">
        <v>22979</v>
      </c>
      <c r="I6" s="14">
        <f>D6+E6+F6+H6</f>
        <v>1310524.23</v>
      </c>
      <c r="J6" s="30">
        <f>H6/1.05</f>
        <v>21884.7619047619</v>
      </c>
    </row>
    <row r="7" s="1" customFormat="1" ht="16" customHeight="1" spans="2:9">
      <c r="B7" s="7" t="s">
        <v>105</v>
      </c>
      <c r="C7" s="7" t="s">
        <v>5</v>
      </c>
      <c r="D7" s="14"/>
      <c r="E7" s="14"/>
      <c r="F7" s="14"/>
      <c r="G7" s="14"/>
      <c r="H7" s="14"/>
      <c r="I7" s="14">
        <f>D7+E7+F7+H7</f>
        <v>0</v>
      </c>
    </row>
    <row r="8" s="1" customFormat="1" ht="16" customHeight="1" spans="2:9">
      <c r="B8" s="15" t="s">
        <v>106</v>
      </c>
      <c r="C8" s="16">
        <v>0.03</v>
      </c>
      <c r="D8" s="14">
        <v>0</v>
      </c>
      <c r="E8" s="14">
        <v>0</v>
      </c>
      <c r="F8" s="14"/>
      <c r="G8" s="14"/>
      <c r="H8" s="14"/>
      <c r="I8" s="14">
        <f>D8+E8+F8+H8</f>
        <v>0</v>
      </c>
    </row>
    <row r="9" s="1" customFormat="1" ht="16" customHeight="1" spans="2:9">
      <c r="B9" s="15" t="s">
        <v>107</v>
      </c>
      <c r="C9" s="16">
        <v>0.05</v>
      </c>
      <c r="D9" s="14">
        <v>0</v>
      </c>
      <c r="E9" s="14">
        <f>E6*$C$9</f>
        <v>64377.2615</v>
      </c>
      <c r="F9" s="14"/>
      <c r="G9" s="14"/>
      <c r="H9" s="14">
        <f>H6/1.05*C9</f>
        <v>1094.2380952381</v>
      </c>
      <c r="I9" s="14"/>
    </row>
    <row r="10" s="1" customFormat="1" ht="16" customHeight="1" spans="2:9">
      <c r="B10" s="15" t="s">
        <v>108</v>
      </c>
      <c r="C10" s="16"/>
      <c r="D10" s="14"/>
      <c r="E10" s="14">
        <v>696718.7</v>
      </c>
      <c r="F10" s="14"/>
      <c r="G10" s="14"/>
      <c r="H10" s="14"/>
      <c r="I10" s="14"/>
    </row>
    <row r="11" s="1" customFormat="1" ht="16" customHeight="1" spans="2:9">
      <c r="B11" s="15" t="s">
        <v>109</v>
      </c>
      <c r="C11" s="16"/>
      <c r="D11" s="14"/>
      <c r="E11" s="14">
        <f>E9-E10</f>
        <v>-632341.4385</v>
      </c>
      <c r="F11" s="14"/>
      <c r="G11" s="14"/>
      <c r="H11" s="14">
        <f>H9-H10</f>
        <v>1094.2380952381</v>
      </c>
      <c r="I11" s="14">
        <f>D11+H11</f>
        <v>1094.2380952381</v>
      </c>
    </row>
    <row r="12" s="1" customFormat="1" ht="16" customHeight="1" spans="2:9">
      <c r="B12" s="15" t="s">
        <v>16</v>
      </c>
      <c r="C12" s="16">
        <v>0.07</v>
      </c>
      <c r="D12" s="14">
        <f>D9*$C$12</f>
        <v>0</v>
      </c>
      <c r="E12" s="14">
        <v>0</v>
      </c>
      <c r="F12" s="14"/>
      <c r="G12" s="14"/>
      <c r="H12" s="14">
        <f>H9*$C$12</f>
        <v>76.5966666666667</v>
      </c>
      <c r="I12" s="14">
        <f t="shared" ref="I12:I18" si="0">D12+E12+F12+H12+G12</f>
        <v>76.5966666666667</v>
      </c>
    </row>
    <row r="13" s="1" customFormat="1" ht="16" customHeight="1" spans="2:9">
      <c r="B13" s="15" t="s">
        <v>110</v>
      </c>
      <c r="C13" s="16">
        <v>0.02</v>
      </c>
      <c r="D13" s="14">
        <f>D9*$C$13</f>
        <v>0</v>
      </c>
      <c r="E13" s="14">
        <v>0</v>
      </c>
      <c r="F13" s="14"/>
      <c r="G13" s="14"/>
      <c r="H13" s="14">
        <f>H9*$C$13</f>
        <v>21.8847619047619</v>
      </c>
      <c r="I13" s="14">
        <f t="shared" si="0"/>
        <v>21.8847619047619</v>
      </c>
    </row>
    <row r="14" s="1" customFormat="1" ht="16" customHeight="1" spans="2:9">
      <c r="B14" s="15" t="s">
        <v>111</v>
      </c>
      <c r="C14" s="16">
        <v>0.03</v>
      </c>
      <c r="D14" s="14">
        <f>D9*$C$14</f>
        <v>0</v>
      </c>
      <c r="E14" s="14">
        <v>0</v>
      </c>
      <c r="F14" s="14"/>
      <c r="G14" s="14"/>
      <c r="H14" s="14">
        <f>H9*$C$14</f>
        <v>32.8271428571429</v>
      </c>
      <c r="I14" s="14">
        <f t="shared" si="0"/>
        <v>32.8271428571429</v>
      </c>
    </row>
    <row r="15" s="1" customFormat="1" ht="16" customHeight="1" spans="2:9">
      <c r="B15" s="17" t="s">
        <v>112</v>
      </c>
      <c r="C15" s="18">
        <v>0.01</v>
      </c>
      <c r="D15" s="19">
        <v>0</v>
      </c>
      <c r="E15" s="19"/>
      <c r="F15" s="19">
        <f>F6/1.09*$C$15</f>
        <v>0</v>
      </c>
      <c r="G15" s="19"/>
      <c r="H15" s="19">
        <v>0</v>
      </c>
      <c r="I15" s="14">
        <f t="shared" si="0"/>
        <v>0</v>
      </c>
    </row>
    <row r="16" s="1" customFormat="1" ht="16" customHeight="1" spans="2:9">
      <c r="B16" s="17" t="s">
        <v>112</v>
      </c>
      <c r="C16" s="20">
        <v>0.03</v>
      </c>
      <c r="D16" s="19">
        <v>0</v>
      </c>
      <c r="E16" s="19"/>
      <c r="F16" s="19"/>
      <c r="G16" s="19">
        <f>G6/1.05*C16</f>
        <v>714.285714285714</v>
      </c>
      <c r="H16" s="19">
        <v>0</v>
      </c>
      <c r="I16" s="14">
        <f t="shared" si="0"/>
        <v>714.285714285714</v>
      </c>
    </row>
    <row r="17" s="1" customFormat="1" ht="16" customHeight="1" spans="2:9">
      <c r="B17" s="17" t="s">
        <v>112</v>
      </c>
      <c r="C17" s="20">
        <v>0.04</v>
      </c>
      <c r="D17" s="21"/>
      <c r="E17" s="14"/>
      <c r="F17" s="14"/>
      <c r="G17" s="14"/>
      <c r="H17" s="14">
        <v>0</v>
      </c>
      <c r="I17" s="14">
        <f t="shared" si="0"/>
        <v>0</v>
      </c>
    </row>
    <row r="18" s="1" customFormat="1" ht="16" customHeight="1" spans="2:9">
      <c r="B18" s="17" t="s">
        <v>113</v>
      </c>
      <c r="C18" s="22">
        <v>0.001</v>
      </c>
      <c r="D18" s="21"/>
      <c r="E18" s="14"/>
      <c r="F18" s="14"/>
      <c r="G18" s="14"/>
      <c r="H18" s="14">
        <f>H6*C18</f>
        <v>22.979</v>
      </c>
      <c r="I18" s="14">
        <f t="shared" si="0"/>
        <v>22.979</v>
      </c>
    </row>
    <row r="19" s="1" customFormat="1" ht="16" customHeight="1" spans="2:9">
      <c r="B19" s="17" t="s">
        <v>23</v>
      </c>
      <c r="C19" s="23">
        <v>0.25</v>
      </c>
      <c r="D19" s="21"/>
      <c r="E19" s="14"/>
      <c r="F19" s="14"/>
      <c r="G19" s="14"/>
      <c r="H19" s="14"/>
      <c r="I19" s="14">
        <f>D19+E19+F19+H19</f>
        <v>0</v>
      </c>
    </row>
    <row r="20" s="1" customFormat="1" ht="16" customHeight="1" spans="2:9">
      <c r="B20" s="17" t="s">
        <v>51</v>
      </c>
      <c r="C20" s="20"/>
      <c r="D20" s="21">
        <f>SUM(D8:D17)</f>
        <v>0</v>
      </c>
      <c r="E20" s="21">
        <v>0</v>
      </c>
      <c r="F20" s="21">
        <f>SUM(F8:F17)</f>
        <v>0</v>
      </c>
      <c r="G20" s="21">
        <f>SUM(G8:G17)</f>
        <v>714.285714285714</v>
      </c>
      <c r="H20" s="21">
        <f>SUM(H11:H19)</f>
        <v>1248.52566666667</v>
      </c>
      <c r="I20" s="14">
        <f>SUM(I11:I19)</f>
        <v>1962.81138095239</v>
      </c>
    </row>
    <row r="21" s="1" customFormat="1" spans="2:9">
      <c r="B21" s="24"/>
      <c r="C21" s="25"/>
      <c r="D21" s="25"/>
      <c r="E21" s="25"/>
      <c r="F21" s="25"/>
      <c r="G21" s="25"/>
      <c r="H21" s="25"/>
      <c r="I21" s="39"/>
    </row>
    <row r="22" s="1" customFormat="1" spans="2:9">
      <c r="B22" s="26"/>
      <c r="C22" s="27"/>
      <c r="D22" s="27"/>
      <c r="E22" s="27"/>
      <c r="F22" s="27"/>
      <c r="G22" s="27"/>
      <c r="H22" s="27"/>
      <c r="I22" s="40"/>
    </row>
    <row r="23" s="1" customFormat="1" ht="15" spans="2:5">
      <c r="B23" s="28"/>
      <c r="C23" s="28"/>
      <c r="D23" s="29"/>
      <c r="E23" s="30"/>
    </row>
    <row r="24" s="1" customFormat="1" spans="2:5">
      <c r="B24" s="31"/>
      <c r="C24" s="31"/>
      <c r="D24" s="29"/>
      <c r="E24" s="30"/>
    </row>
    <row r="25" s="1" customFormat="1" spans="2:5">
      <c r="B25" s="32" t="s">
        <v>114</v>
      </c>
      <c r="C25" s="32" t="s">
        <v>2</v>
      </c>
      <c r="D25" s="29"/>
      <c r="E25" s="30"/>
    </row>
    <row r="26" s="1" customFormat="1" spans="2:5">
      <c r="B26" s="33" t="s">
        <v>115</v>
      </c>
      <c r="C26" s="34">
        <v>2523543.31</v>
      </c>
      <c r="D26" s="29"/>
      <c r="E26" s="30"/>
    </row>
    <row r="27" s="1" customFormat="1" spans="2:5">
      <c r="B27" s="33" t="s">
        <v>116</v>
      </c>
      <c r="C27" s="34">
        <v>21884.76</v>
      </c>
      <c r="D27" s="29"/>
      <c r="E27" s="30"/>
    </row>
    <row r="28" s="1" customFormat="1" spans="2:5">
      <c r="B28" s="33" t="s">
        <v>117</v>
      </c>
      <c r="C28" s="34">
        <v>188500</v>
      </c>
      <c r="D28" s="29"/>
      <c r="E28" s="30"/>
    </row>
    <row r="29" s="1" customFormat="1" ht="15" spans="2:5">
      <c r="B29" s="33" t="s">
        <v>118</v>
      </c>
      <c r="C29" s="34">
        <v>298822.3</v>
      </c>
      <c r="D29" s="35"/>
      <c r="E29" s="30"/>
    </row>
    <row r="30" s="1" customFormat="1" ht="15" spans="2:5">
      <c r="B30" s="33" t="s">
        <v>119</v>
      </c>
      <c r="C30" s="34">
        <v>25478.69</v>
      </c>
      <c r="D30" s="35"/>
      <c r="E30" s="30"/>
    </row>
    <row r="31" spans="2:3">
      <c r="B31" s="36" t="s">
        <v>120</v>
      </c>
      <c r="C31" s="34">
        <v>-2097.18</v>
      </c>
    </row>
    <row r="32" spans="2:3">
      <c r="B32" s="15" t="s">
        <v>121</v>
      </c>
      <c r="C32" s="34">
        <f>C26+C27-C28-C29-C30-C31</f>
        <v>2034724.26</v>
      </c>
    </row>
    <row r="33" spans="2:3">
      <c r="B33" s="15" t="s">
        <v>122</v>
      </c>
      <c r="C33" s="37">
        <v>0.25</v>
      </c>
    </row>
    <row r="34" spans="2:3">
      <c r="B34" s="15" t="s">
        <v>123</v>
      </c>
      <c r="C34" s="15">
        <v>0</v>
      </c>
    </row>
    <row r="35" spans="2:3">
      <c r="B35" s="15" t="s">
        <v>124</v>
      </c>
      <c r="C35" s="38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税金计算表</vt:lpstr>
      <vt:lpstr>土地使用税</vt:lpstr>
      <vt:lpstr>系统合同备案面积表</vt:lpstr>
      <vt:lpstr>2023年11月税金</vt:lpstr>
      <vt:lpstr>2023年12月税金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2023-04-20T02:50:00Z</dcterms:created>
  <dcterms:modified xsi:type="dcterms:W3CDTF">2024-01-15T11:52:54Z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645912C3161240448D22C7B6AA90B9EC_13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