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09"/>
  </bookViews>
  <sheets>
    <sheet name="汇总表" sheetId="1" r:id="rId1"/>
    <sheet name="画堂春锦13#14#15#17#18# 商铺" sheetId="2" r:id="rId2"/>
    <sheet name="NITRQSEY" sheetId="5" state="hidden" r:id="rId3"/>
    <sheet name="LQHLPISM" sheetId="6" state="hidden" r:id="rId4"/>
    <sheet name="WVPVRPTM" sheetId="7" state="hidden" r:id="rId5"/>
    <sheet name="TAQYOVSR" sheetId="8" state="hidden" r:id="rId6"/>
    <sheet name="ORJJAOMY" sheetId="9" state="hidden" r:id="rId7"/>
    <sheet name="SRPONDTO" sheetId="10" state="hidden" r:id="rId8"/>
    <sheet name="XJLVMTTN" sheetId="11" state="hidden" r:id="rId9"/>
    <sheet name="RMNTYCVY" sheetId="12" state="hidden" r:id="rId10"/>
    <sheet name="YQZQOESO" sheetId="13" state="hidden" r:id="rId11"/>
    <sheet name="VVRJEMRJ" sheetId="14" state="hidden" r:id="rId12"/>
    <sheet name="IRTKRNOJ" sheetId="15" state="hidden" r:id="rId13"/>
    <sheet name="OOTNVTJV" sheetId="16" state="hidden" r:id="rId14"/>
    <sheet name="SVNOPQCH" sheetId="17" state="hidden" r:id="rId15"/>
    <sheet name="画堂春锦9#10#11#12#住宅" sheetId="19" r:id="rId16"/>
    <sheet name="画堂春锦苑1#2#3#5#7#楼住宅销售明细表" sheetId="53" r:id="rId17"/>
    <sheet name="画堂春锦苑8#楼明细表" sheetId="55" r:id="rId18"/>
    <sheet name="画堂春锦苑住宅4#6#" sheetId="59" r:id="rId19"/>
    <sheet name="画堂春锦苑商业16#19#" sheetId="60" r:id="rId20"/>
    <sheet name="画堂春锦一期10#17#楼楼面积差核减" sheetId="56" r:id="rId21"/>
    <sheet name="画堂春锦苑一期未开票收入明细" sheetId="57" r:id="rId22"/>
    <sheet name="Sheet3" sheetId="58" r:id="rId23"/>
    <sheet name="Sheet1" sheetId="54" r:id="rId24"/>
    <sheet name="销售费率计算表" sheetId="5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1" hidden="1">'画堂春锦13#14#15#17#18# 商铺'!$A$3:$CB$155</definedName>
    <definedName name="_xlnm._FilterDatabase" localSheetId="15" hidden="1">'画堂春锦9#10#11#12#住宅'!$A$3:$CC$345</definedName>
    <definedName name="_xlnm._FilterDatabase" localSheetId="16" hidden="1">'画堂春锦苑1#2#3#5#7#楼住宅销售明细表'!$A$2:$BU$446</definedName>
    <definedName name="_xlnm._FilterDatabase" localSheetId="17" hidden="1">'画堂春锦苑8#楼明细表'!$A$2:$AZ$71</definedName>
    <definedName name="_xlnm._FilterDatabase" localSheetId="18" hidden="1">'画堂春锦苑住宅4#6#'!$A$3:$AX$172</definedName>
    <definedName name="_xlnm._FilterDatabase" localSheetId="19" hidden="1">'画堂春锦苑商业16#19#'!$A$3:$AX$65</definedName>
    <definedName name="_xlnm._FilterDatabase" localSheetId="21" hidden="1">画堂春锦苑一期未开票收入明细!$A$2:$L$333</definedName>
    <definedName name="_xlnm._FilterDatabase" localSheetId="0" hidden="1">汇总表!#REF!</definedName>
    <definedName name="_xlnm.Print_Titles" localSheetId="1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减14号楼负1层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S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1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  <comment ref="J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申报未开票增值税</t>
        </r>
      </text>
    </comment>
    <comment ref="I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</t>
        </r>
      </text>
    </comment>
    <comment ref="J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租金增值税金</t>
        </r>
      </text>
    </comment>
    <comment ref="K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<sst xmlns="http://schemas.openxmlformats.org/spreadsheetml/2006/main" count="10748" uniqueCount="4846">
  <si>
    <r>
      <rPr>
        <b/>
        <u/>
        <sz val="18"/>
        <rFont val="宋体"/>
        <charset val="134"/>
      </rPr>
      <t xml:space="preserve"> 新疆通力画堂春锦苑一期 </t>
    </r>
    <r>
      <rPr>
        <b/>
        <sz val="18"/>
        <rFont val="宋体"/>
        <charset val="134"/>
      </rPr>
      <t>楼盘销售月报（2024.10）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</si>
  <si>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</si>
  <si>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</si>
  <si>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</si>
  <si>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</si>
  <si>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</si>
  <si>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</si>
  <si>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</si>
  <si>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</si>
  <si>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</si>
  <si>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</si>
  <si>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</si>
  <si>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</si>
  <si>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</si>
  <si>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</si>
  <si>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</si>
  <si>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</si>
  <si>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</si>
  <si>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</si>
  <si>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</si>
  <si>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</si>
  <si>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</si>
  <si>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</si>
  <si>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</si>
  <si>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</si>
  <si>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</si>
  <si>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</si>
  <si>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</si>
  <si>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</si>
  <si>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</si>
  <si>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画堂春锦苑二期商业16#19#（入会）</t>
  </si>
  <si>
    <t>合计</t>
  </si>
  <si>
    <t>收会费、储藏间定金</t>
  </si>
  <si>
    <t>系统</t>
  </si>
  <si>
    <t>会费转预收</t>
  </si>
  <si>
    <t>梁石磊
许振双
储藏间14000</t>
  </si>
  <si>
    <t>账面</t>
  </si>
  <si>
    <t>马桂香1000元会费未登台账，未收到会费单</t>
  </si>
  <si>
    <t>预收总计</t>
  </si>
  <si>
    <t>租铺意向金</t>
  </si>
  <si>
    <t>账套有，台账不录</t>
  </si>
  <si>
    <t>面积减少退款</t>
  </si>
  <si>
    <t>商业面积差24570
住宅面积差2916</t>
  </si>
  <si>
    <t>履约保证金</t>
  </si>
  <si>
    <t>已报税退房</t>
  </si>
  <si>
    <t>任成18-1-11#14#房款转周小艳8-1-301</t>
  </si>
  <si>
    <t>与系统差</t>
  </si>
  <si>
    <t>面积差退款，系统未减少24570</t>
  </si>
  <si>
    <t>与账面差</t>
  </si>
  <si>
    <t>任成商业报税减少，转周小艳8-1-301报税</t>
  </si>
  <si>
    <t>吴文仓、王小红退款</t>
  </si>
  <si>
    <t>新疆通力房地产开发库尔勒二分公司销售不动产税金计算表（2024.10月）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</si>
  <si>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</si>
  <si>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</si>
  <si>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</si>
  <si>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</si>
  <si>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</si>
  <si>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储藏间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</si>
  <si>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</si>
  <si>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</si>
  <si>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</si>
  <si>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</si>
  <si>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</si>
  <si>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</si>
  <si>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</si>
  <si>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</si>
  <si>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</si>
  <si>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</si>
  <si>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</si>
  <si>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</si>
  <si>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</si>
  <si>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</si>
  <si>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</si>
  <si>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</si>
  <si>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个人所得税</t>
  </si>
  <si>
    <t>房产税</t>
  </si>
  <si>
    <t>从租（不含税租金*12%）</t>
  </si>
  <si>
    <t>从价自用（价值*70%*1.2%）</t>
  </si>
  <si>
    <t>工会经费</t>
  </si>
  <si>
    <t>小计</t>
  </si>
  <si>
    <t>注：1、本月画堂春锦苑一期项目未开发票0收入元应缴纳的增值税0元。商业开具发票10864302元应缴纳的增值税897052.46元；一期开具发票53769428元；二期开具发票0元；三期开具发票0元、
2、租金未开票收入56960元应缴纳增值税4703.12元，
3、储藏间未开票收入304240元，应缴纳增值税25120.73元，合计缴纳增值税926876.31元
3、应缴纳的增值税926876.31元-本月进项1104959.56元-进项转出0-上期留抵0元-预交抵减0元=0元，不交；计算预收0元应预交增值税 元，附加税 ；土地增值税 元；印花税约 元。
4、其中画堂春锦苑一期住宅因面积差需退土地增值税-15.08元（房款为-548元），下期收房款后申报冲减。</t>
  </si>
  <si>
    <t>未开票累计</t>
  </si>
  <si>
    <t>已开发票累计</t>
  </si>
  <si>
    <t>余</t>
  </si>
  <si>
    <t>8月预收未开票</t>
  </si>
  <si>
    <t>8月税额</t>
  </si>
  <si>
    <t>9月预收未开票</t>
  </si>
  <si>
    <t>9月税额</t>
  </si>
  <si>
    <t>10月收入</t>
  </si>
  <si>
    <t>10月税额</t>
  </si>
  <si>
    <t>10月确认收入明细</t>
  </si>
  <si>
    <t>2024.10.5</t>
  </si>
  <si>
    <t>0000718</t>
  </si>
  <si>
    <t>620121198508167215</t>
  </si>
  <si>
    <t>苏生宝</t>
  </si>
  <si>
    <t>2层</t>
  </si>
  <si>
    <t>09</t>
  </si>
  <si>
    <t>24652000000060788691</t>
  </si>
  <si>
    <t>2024.10.1</t>
  </si>
  <si>
    <t>抵账高2964114</t>
  </si>
  <si>
    <t>320321197012203660</t>
  </si>
  <si>
    <t>巩凤华</t>
  </si>
  <si>
    <t>1层</t>
  </si>
  <si>
    <t>24652000000058991006</t>
  </si>
  <si>
    <t>0001087</t>
  </si>
  <si>
    <t>652801200110273712</t>
  </si>
  <si>
    <t>牛燕
徐爽崴 退
艾建 退</t>
  </si>
  <si>
    <t>24652000000063048097</t>
  </si>
  <si>
    <t>2024.10.2</t>
  </si>
  <si>
    <t>0000726</t>
  </si>
  <si>
    <t>62222519850915032X</t>
  </si>
  <si>
    <t>郭莉莉</t>
  </si>
  <si>
    <t>24652000000063077038</t>
  </si>
  <si>
    <t>2024.10.3</t>
  </si>
  <si>
    <t>0000732</t>
  </si>
  <si>
    <t>362323197903237815</t>
  </si>
  <si>
    <t>王德中</t>
  </si>
  <si>
    <t>24652000000063056854</t>
  </si>
  <si>
    <t>511026196907044936</t>
  </si>
  <si>
    <t>刘沛林</t>
  </si>
  <si>
    <t>24652000000060788551</t>
  </si>
  <si>
    <t>652827197310121624</t>
  </si>
  <si>
    <t>王小红</t>
  </si>
  <si>
    <t>24652000000063067402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</si>
  <si>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</si>
  <si>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</si>
  <si>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</si>
  <si>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</si>
  <si>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</si>
  <si>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</si>
  <si>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</si>
  <si>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</si>
  <si>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</si>
  <si>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</si>
  <si>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</si>
  <si>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</si>
  <si>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</si>
  <si>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</si>
  <si>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</si>
  <si>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</si>
  <si>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</si>
  <si>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</si>
  <si>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</si>
  <si>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</si>
  <si>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</si>
  <si>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</si>
  <si>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</si>
  <si>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</si>
  <si>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</si>
  <si>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</si>
  <si>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</si>
  <si>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</si>
  <si>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</si>
  <si>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</si>
  <si>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</si>
  <si>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</si>
  <si>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</si>
  <si>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</si>
  <si>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</si>
  <si>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</si>
  <si>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</si>
  <si>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</si>
  <si>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</si>
  <si>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</si>
  <si>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</si>
  <si>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</si>
  <si>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</si>
  <si>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</si>
  <si>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</si>
  <si>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</si>
  <si>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</si>
  <si>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</si>
  <si>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</si>
  <si>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</si>
  <si>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</si>
  <si>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</si>
  <si>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</si>
  <si>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</si>
  <si>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</si>
  <si>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</si>
  <si>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</si>
  <si>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</si>
  <si>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</si>
  <si>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</si>
  <si>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</si>
  <si>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</si>
  <si>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</si>
  <si>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</si>
  <si>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</si>
  <si>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</si>
  <si>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</si>
  <si>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</si>
  <si>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</si>
  <si>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</si>
  <si>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01</t>
  </si>
  <si>
    <t>破底不提佣</t>
  </si>
  <si>
    <t>李福晴</t>
  </si>
  <si>
    <t>0001089</t>
  </si>
  <si>
    <t>511181199106300024</t>
  </si>
  <si>
    <t>张愫</t>
  </si>
  <si>
    <t>02</t>
  </si>
  <si>
    <t>闫金秀</t>
  </si>
  <si>
    <t>2024.4.11</t>
  </si>
  <si>
    <t>2024.4.19</t>
  </si>
  <si>
    <t>2024.5.20</t>
  </si>
  <si>
    <t>已交</t>
  </si>
  <si>
    <t>已录</t>
  </si>
  <si>
    <t>0000918</t>
  </si>
  <si>
    <t>413023198401080786</t>
  </si>
  <si>
    <t>刘建云</t>
  </si>
  <si>
    <t>03</t>
  </si>
  <si>
    <t>连阵阵</t>
  </si>
  <si>
    <t>2023.12.23</t>
  </si>
  <si>
    <t>0000613</t>
  </si>
  <si>
    <t>652828200012301150</t>
  </si>
  <si>
    <t>刘忠亮</t>
  </si>
  <si>
    <t>04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</si>
  <si>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</si>
  <si>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</si>
  <si>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</si>
  <si>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</si>
  <si>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</si>
  <si>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</si>
  <si>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</si>
  <si>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</si>
  <si>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</si>
  <si>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</si>
  <si>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</si>
  <si>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</si>
  <si>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</si>
  <si>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</si>
  <si>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</si>
  <si>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</si>
  <si>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</si>
  <si>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</si>
  <si>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</si>
  <si>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</si>
  <si>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</si>
  <si>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</si>
  <si>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</si>
  <si>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</si>
  <si>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</si>
  <si>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</si>
  <si>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</si>
  <si>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</si>
  <si>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</si>
  <si>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</si>
  <si>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</si>
  <si>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</si>
  <si>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</si>
  <si>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</si>
  <si>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</si>
  <si>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</si>
  <si>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</si>
  <si>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</si>
  <si>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</si>
  <si>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</si>
  <si>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</si>
  <si>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</si>
  <si>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</si>
  <si>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</si>
  <si>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</si>
  <si>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</si>
  <si>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</si>
  <si>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</si>
  <si>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</si>
  <si>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</si>
  <si>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</si>
  <si>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</si>
  <si>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</si>
  <si>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</si>
  <si>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</si>
  <si>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</si>
  <si>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</si>
  <si>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 xml:space="preserve">
0000207（安学强）</t>
  </si>
  <si>
    <t xml:space="preserve">
李秀莲（安学强）</t>
  </si>
  <si>
    <t>320321198808273618</t>
  </si>
  <si>
    <t>巩红卫 成交</t>
  </si>
  <si>
    <t>0000010-13（巩红卫）</t>
  </si>
  <si>
    <t>潘亦玹（巩红卫）</t>
  </si>
  <si>
    <t>2023.12.1</t>
  </si>
  <si>
    <t>2024.7.1</t>
  </si>
  <si>
    <t>2024.8.26</t>
  </si>
  <si>
    <t>2024.3.3</t>
  </si>
  <si>
    <t>130637200011201811</t>
  </si>
  <si>
    <t>王恒州 成交</t>
  </si>
  <si>
    <t>2024.3.1</t>
  </si>
  <si>
    <t>0000741</t>
  </si>
  <si>
    <t>65282719771006362X</t>
  </si>
  <si>
    <t>梁凌芳</t>
  </si>
  <si>
    <t>2024.10.10</t>
  </si>
  <si>
    <t>王荣</t>
  </si>
  <si>
    <t>0000740</t>
  </si>
  <si>
    <t>2024.11.4</t>
  </si>
  <si>
    <t>0000747</t>
  </si>
  <si>
    <t>320321198002133624</t>
  </si>
  <si>
    <t>李红艳</t>
  </si>
  <si>
    <t>2024.10.28</t>
  </si>
  <si>
    <t>张玉琴</t>
  </si>
  <si>
    <t>2024.11.5</t>
  </si>
  <si>
    <t>0000748</t>
  </si>
  <si>
    <t>0000719</t>
  </si>
  <si>
    <t>2024.9.24</t>
  </si>
  <si>
    <t>2024.10.24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</si>
  <si>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</si>
  <si>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</si>
  <si>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</si>
  <si>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</si>
  <si>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</si>
  <si>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</si>
  <si>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</si>
  <si>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</si>
  <si>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</si>
  <si>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</si>
  <si>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</si>
  <si>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</si>
  <si>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</si>
  <si>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</si>
  <si>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</si>
  <si>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2024.6.25</t>
  </si>
  <si>
    <t>2024.8.20</t>
  </si>
  <si>
    <t>0000644</t>
  </si>
  <si>
    <t>410926197305292069</t>
  </si>
  <si>
    <t>董梅荣</t>
  </si>
  <si>
    <t>2023.11.13</t>
  </si>
  <si>
    <t>2024.3.11</t>
  </si>
  <si>
    <t>2024.4.15</t>
  </si>
  <si>
    <t>2024.5.22</t>
  </si>
  <si>
    <t>202300008542</t>
  </si>
  <si>
    <t>0000664</t>
  </si>
  <si>
    <t>500225198808217396</t>
  </si>
  <si>
    <t>易章波（易高才） 成交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</si>
  <si>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</si>
  <si>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</si>
  <si>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</si>
  <si>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</si>
  <si>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</si>
  <si>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</si>
  <si>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</si>
  <si>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</si>
  <si>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</si>
  <si>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</si>
  <si>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</si>
  <si>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</si>
  <si>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</si>
  <si>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</si>
  <si>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</si>
  <si>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</si>
  <si>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</si>
  <si>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</si>
  <si>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</si>
  <si>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</si>
  <si>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</si>
  <si>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</si>
  <si>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>贾志丽 成交</t>
  </si>
  <si>
    <t>霍红霞（贾志丽）</t>
  </si>
  <si>
    <t>2023.10.30</t>
  </si>
  <si>
    <t>2023.11.25</t>
  </si>
  <si>
    <t>0000608</t>
  </si>
  <si>
    <t>320321198702194233</t>
  </si>
  <si>
    <t>张磊磊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</si>
  <si>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</si>
  <si>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</si>
  <si>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</si>
  <si>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</si>
  <si>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</si>
  <si>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</si>
  <si>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</si>
  <si>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</si>
  <si>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</si>
  <si>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0000201（马威）
0000202（马威）</t>
  </si>
  <si>
    <t>连阵阵（马威）</t>
  </si>
  <si>
    <t>2023.5.24</t>
  </si>
  <si>
    <t>2023.6.25</t>
  </si>
  <si>
    <t>2023.12.4</t>
  </si>
  <si>
    <t>2024.10.4</t>
  </si>
  <si>
    <t>0000932</t>
  </si>
  <si>
    <t>62012119790907631X</t>
  </si>
  <si>
    <t xml:space="preserve">蒋永祥 成交
</t>
  </si>
  <si>
    <t>2024.6.14</t>
  </si>
  <si>
    <t>2024.8.25</t>
  </si>
  <si>
    <t>652824198703181121</t>
  </si>
  <si>
    <t>梁杨敏芝、张嘉恒（18-2-1/2换房来）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</si>
  <si>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</si>
  <si>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</si>
  <si>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</si>
  <si>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</si>
  <si>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</si>
  <si>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</si>
  <si>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</si>
  <si>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</si>
  <si>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</si>
  <si>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</si>
  <si>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</si>
  <si>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</si>
  <si>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</si>
  <si>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</si>
  <si>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</si>
  <si>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</si>
  <si>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</si>
  <si>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</si>
  <si>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</si>
  <si>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0000075（刘泽娇）</t>
  </si>
  <si>
    <t>王荣（刘泽娇）</t>
  </si>
  <si>
    <t>2023.12.22</t>
  </si>
  <si>
    <t>0000725</t>
  </si>
  <si>
    <t>65280119530405053X</t>
  </si>
  <si>
    <t>胡胜国</t>
  </si>
  <si>
    <t>刘思汉</t>
  </si>
  <si>
    <t>牛燕</t>
  </si>
  <si>
    <t>2024.10.31</t>
  </si>
  <si>
    <t>肖陶丽</t>
  </si>
  <si>
    <t>2024.8.30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</si>
  <si>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</si>
  <si>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</si>
  <si>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</si>
  <si>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</si>
  <si>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</si>
  <si>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</si>
  <si>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</si>
  <si>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</si>
  <si>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</si>
  <si>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</si>
  <si>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</si>
  <si>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</si>
  <si>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</si>
  <si>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</si>
  <si>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</si>
  <si>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</si>
  <si>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</si>
  <si>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</si>
  <si>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华为p70</t>
  </si>
  <si>
    <t>612401199210211389</t>
  </si>
  <si>
    <t>江域</t>
  </si>
  <si>
    <t>2024.10.25</t>
  </si>
  <si>
    <t>2024.1.2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</si>
  <si>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</si>
  <si>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</si>
  <si>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要退 </t>
    </r>
  </si>
  <si>
    <t>2024.10.12</t>
  </si>
  <si>
    <t>潘亦玹
闫金秀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</si>
  <si>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</si>
  <si>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</si>
  <si>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</si>
  <si>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</si>
  <si>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</si>
  <si>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</si>
  <si>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</si>
  <si>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</si>
  <si>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</si>
  <si>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</si>
  <si>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</si>
  <si>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</si>
  <si>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</si>
  <si>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</si>
  <si>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</si>
  <si>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</si>
  <si>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</si>
  <si>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</si>
  <si>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</si>
  <si>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</si>
  <si>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</si>
  <si>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</si>
  <si>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</si>
  <si>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</si>
  <si>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</si>
  <si>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</si>
  <si>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</si>
  <si>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</si>
  <si>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</si>
  <si>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</si>
  <si>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</si>
  <si>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</si>
  <si>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</si>
  <si>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</si>
  <si>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</si>
  <si>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</si>
  <si>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</si>
  <si>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赵中文（白林清）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</si>
  <si>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</si>
  <si>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</si>
  <si>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</si>
  <si>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</si>
  <si>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</si>
  <si>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</si>
  <si>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</si>
  <si>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</si>
  <si>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</si>
  <si>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</si>
  <si>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</si>
  <si>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510626199311195624</t>
  </si>
  <si>
    <t>唐晓霜</t>
  </si>
  <si>
    <t>2024.9.19</t>
  </si>
  <si>
    <t>2024.9.20</t>
  </si>
  <si>
    <t>0001095</t>
  </si>
  <si>
    <t>652821199301293313</t>
  </si>
  <si>
    <t>余仁杰 成交</t>
  </si>
  <si>
    <t>2024.4.18</t>
  </si>
  <si>
    <t>2024.4.28</t>
  </si>
  <si>
    <t>2024.7.26</t>
  </si>
  <si>
    <t>2023.10.12</t>
  </si>
  <si>
    <t>马江燕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</si>
  <si>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</si>
  <si>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</si>
  <si>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</si>
  <si>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</si>
  <si>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</si>
  <si>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</si>
  <si>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</si>
  <si>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</si>
  <si>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</si>
  <si>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</si>
  <si>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</si>
  <si>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</si>
  <si>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</si>
  <si>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</si>
  <si>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</si>
  <si>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</si>
  <si>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</si>
  <si>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</si>
  <si>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</si>
  <si>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</si>
  <si>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</si>
  <si>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</si>
  <si>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</si>
  <si>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</si>
  <si>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</si>
  <si>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</si>
  <si>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</si>
  <si>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</si>
  <si>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</si>
  <si>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</si>
  <si>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</si>
  <si>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</si>
  <si>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</si>
  <si>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</si>
  <si>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</si>
  <si>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</si>
  <si>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</si>
  <si>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</si>
  <si>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</si>
  <si>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</si>
  <si>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</si>
  <si>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</si>
  <si>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</si>
  <si>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</si>
  <si>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</si>
  <si>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</si>
  <si>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</si>
  <si>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</si>
  <si>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</si>
  <si>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</si>
  <si>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</si>
  <si>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</si>
  <si>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0000889</t>
  </si>
  <si>
    <t>652826198512190829</t>
  </si>
  <si>
    <t>马若雪</t>
  </si>
  <si>
    <t>0000196</t>
  </si>
  <si>
    <t>2024.6.11</t>
  </si>
  <si>
    <t>2024.7.12</t>
  </si>
  <si>
    <t>2024.10.18</t>
  </si>
  <si>
    <t>2024.10.8</t>
  </si>
  <si>
    <t>2023.7.26</t>
  </si>
  <si>
    <t>0000422</t>
  </si>
  <si>
    <t>652801197202031652</t>
  </si>
  <si>
    <t xml:space="preserve">袁明伟（成交）
</t>
  </si>
  <si>
    <t>17号楼</t>
  </si>
  <si>
    <t>张楚轩（袁明伟）</t>
  </si>
  <si>
    <t>2023.3.15</t>
  </si>
  <si>
    <t>2023.4.4</t>
  </si>
  <si>
    <t>0000423</t>
  </si>
  <si>
    <t>袁明伟（成交）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</si>
  <si>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</si>
  <si>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</si>
  <si>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</si>
  <si>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</si>
  <si>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</si>
  <si>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</si>
  <si>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</si>
  <si>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</si>
  <si>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</si>
  <si>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</si>
  <si>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</si>
  <si>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</si>
  <si>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</si>
  <si>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</si>
  <si>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</si>
  <si>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</si>
  <si>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</si>
  <si>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</si>
  <si>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</si>
  <si>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</si>
  <si>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</si>
  <si>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</si>
  <si>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</si>
  <si>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</si>
  <si>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</si>
  <si>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</si>
  <si>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杨新梅（成交）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</si>
  <si>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</si>
  <si>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</si>
  <si>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</si>
  <si>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</si>
  <si>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</si>
  <si>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</si>
  <si>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2023.7.4</t>
  </si>
  <si>
    <t>0000428</t>
  </si>
  <si>
    <t>510723197701070744</t>
  </si>
  <si>
    <t>刘俊平（成交）</t>
  </si>
  <si>
    <t>2024.10.23</t>
  </si>
  <si>
    <t>0000020（刘俊平）</t>
  </si>
  <si>
    <t>王荣（刘俊平）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</si>
  <si>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</si>
  <si>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</si>
  <si>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</si>
  <si>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</si>
  <si>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</si>
  <si>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</si>
  <si>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</si>
  <si>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2023.7.1</t>
  </si>
  <si>
    <t>0000401</t>
  </si>
  <si>
    <t>512929197104175645</t>
  </si>
  <si>
    <t>王琼兰（赵星）成交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</si>
  <si>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</si>
  <si>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</si>
  <si>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</si>
  <si>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</si>
  <si>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</si>
  <si>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</si>
  <si>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</si>
  <si>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</si>
  <si>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</si>
  <si>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</si>
  <si>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</si>
  <si>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</si>
  <si>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</si>
  <si>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</si>
  <si>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</si>
  <si>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</si>
  <si>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</si>
  <si>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</si>
  <si>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</si>
  <si>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</si>
  <si>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</si>
  <si>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0000437</t>
  </si>
  <si>
    <t>0000438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</si>
  <si>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</si>
  <si>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</si>
  <si>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</si>
  <si>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</si>
  <si>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</si>
  <si>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</si>
  <si>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</si>
  <si>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</si>
  <si>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</si>
  <si>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</si>
  <si>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</si>
  <si>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</si>
  <si>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</si>
  <si>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</si>
  <si>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</si>
  <si>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</si>
  <si>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</si>
  <si>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</si>
  <si>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</si>
  <si>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</si>
  <si>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</si>
  <si>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</si>
  <si>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</si>
  <si>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</si>
  <si>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</si>
  <si>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</si>
  <si>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</si>
  <si>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</si>
  <si>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</si>
  <si>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</si>
  <si>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</si>
  <si>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</si>
  <si>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</si>
  <si>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</si>
  <si>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</si>
  <si>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</si>
  <si>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</si>
  <si>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</si>
  <si>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</si>
  <si>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</si>
  <si>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</si>
  <si>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</si>
  <si>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</si>
  <si>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</si>
  <si>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</si>
  <si>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</si>
  <si>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</si>
  <si>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</si>
  <si>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</si>
  <si>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</si>
  <si>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</si>
  <si>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</si>
  <si>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</si>
  <si>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2023.8.10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</si>
  <si>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</si>
  <si>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</si>
  <si>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</si>
  <si>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</si>
  <si>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</si>
  <si>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</si>
  <si>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</si>
  <si>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</si>
  <si>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</si>
  <si>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</si>
  <si>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</si>
  <si>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</si>
  <si>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</si>
  <si>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向贤云（成交）
白奎 退</t>
  </si>
  <si>
    <t>0000053（白奎）</t>
  </si>
  <si>
    <t>闫金秀（向贤云 成交）
赵帆（白奎）</t>
  </si>
  <si>
    <t>2022-7-25
2023.6.22</t>
  </si>
  <si>
    <t>0000448</t>
  </si>
  <si>
    <t>652923201407060214</t>
  </si>
  <si>
    <t>刘王子睿（刘甲政 成交）</t>
  </si>
  <si>
    <t>闫金秀（刘甲政）</t>
  </si>
  <si>
    <t>2023.7.20</t>
  </si>
  <si>
    <t>0000449</t>
  </si>
  <si>
    <t>420381200511190029</t>
  </si>
  <si>
    <t>刘王妤丹（刘甲政成交）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</si>
  <si>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</si>
  <si>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</si>
  <si>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</si>
  <si>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</si>
  <si>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</si>
  <si>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</si>
  <si>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</si>
  <si>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</si>
  <si>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</si>
  <si>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</si>
  <si>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</si>
  <si>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</si>
  <si>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</si>
  <si>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</si>
  <si>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</si>
  <si>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</si>
  <si>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</si>
  <si>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</si>
  <si>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</si>
  <si>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</si>
  <si>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</si>
  <si>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</si>
  <si>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</si>
  <si>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</si>
  <si>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</si>
  <si>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</si>
  <si>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</si>
  <si>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</si>
  <si>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</si>
  <si>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</si>
  <si>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</si>
  <si>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</si>
  <si>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</si>
  <si>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</si>
  <si>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</si>
  <si>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0000042（魏玉文）</t>
  </si>
  <si>
    <t>潘亦玹（魏玉文）</t>
  </si>
  <si>
    <t>2023.3.13
2023.6.22</t>
  </si>
  <si>
    <t>0000389</t>
  </si>
  <si>
    <t>51292919760621451X</t>
  </si>
  <si>
    <t>肖培利（成交）</t>
  </si>
  <si>
    <t xml:space="preserve">
0000002（任成）
0000001（任成）</t>
  </si>
  <si>
    <t xml:space="preserve">
李秀莲（任成）</t>
  </si>
  <si>
    <t>2024.8.22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</si>
  <si>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</si>
  <si>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</si>
  <si>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</si>
  <si>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</si>
  <si>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</si>
  <si>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</si>
  <si>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</si>
  <si>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</si>
  <si>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</si>
  <si>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</si>
  <si>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</si>
  <si>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肖培利 成交</t>
  </si>
  <si>
    <t>李秀莲（任成）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</si>
  <si>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</si>
  <si>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</si>
  <si>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</si>
  <si>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</si>
  <si>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</si>
  <si>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</si>
  <si>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</si>
  <si>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</si>
  <si>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</si>
  <si>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</si>
  <si>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</si>
  <si>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</si>
  <si>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</si>
  <si>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</si>
  <si>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</si>
  <si>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</si>
  <si>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</si>
  <si>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0000117（罗建生）</t>
  </si>
  <si>
    <t>王荣（罗建生）</t>
  </si>
  <si>
    <t>0000471</t>
  </si>
  <si>
    <t>652801197206251628</t>
  </si>
  <si>
    <t>韩春子（闫莉成交）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</si>
  <si>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</si>
  <si>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</si>
  <si>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</si>
  <si>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</si>
  <si>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</si>
  <si>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</si>
  <si>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</si>
  <si>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闫金秀（ 刘甲政）</t>
  </si>
  <si>
    <t>0000476</t>
  </si>
  <si>
    <t>刘王子睿（刘甲政成交）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</si>
  <si>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</si>
  <si>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</si>
  <si>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</si>
  <si>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</si>
  <si>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</si>
  <si>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</si>
  <si>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 xml:space="preserve">王荣（段二苏 成交）
</t>
  </si>
  <si>
    <t>2024.10.17</t>
  </si>
  <si>
    <t>2024.8.3</t>
  </si>
  <si>
    <t>2024.8.28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</si>
  <si>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</si>
  <si>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</si>
  <si>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</si>
  <si>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</si>
  <si>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</si>
  <si>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</si>
  <si>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</si>
  <si>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</si>
  <si>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</si>
  <si>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</si>
  <si>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</si>
  <si>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</si>
  <si>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</si>
  <si>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</si>
  <si>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</si>
  <si>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</si>
  <si>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</si>
  <si>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</si>
  <si>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</si>
  <si>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</si>
  <si>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</si>
  <si>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</si>
  <si>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</si>
  <si>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</si>
  <si>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</si>
  <si>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</si>
  <si>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</si>
  <si>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</si>
  <si>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</si>
  <si>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</si>
  <si>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</si>
  <si>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</si>
  <si>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</si>
  <si>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</si>
  <si>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</si>
  <si>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</si>
  <si>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</si>
  <si>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</si>
  <si>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</si>
  <si>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</si>
  <si>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</si>
  <si>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</si>
  <si>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</si>
  <si>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</si>
  <si>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房屋性质</t>
  </si>
  <si>
    <t>号码</t>
  </si>
  <si>
    <t>开票日期</t>
  </si>
  <si>
    <t>9-负1-配电间</t>
  </si>
  <si>
    <t>李乐</t>
  </si>
  <si>
    <t>9-负1-101</t>
  </si>
  <si>
    <t>破底未签批</t>
  </si>
  <si>
    <t>蔡俊</t>
  </si>
  <si>
    <t>9-负1-102</t>
  </si>
  <si>
    <t>2024.9.25</t>
  </si>
  <si>
    <t>王霞</t>
  </si>
  <si>
    <t>9-负1-103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</si>
  <si>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</si>
  <si>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</si>
  <si>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</si>
  <si>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</si>
  <si>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</si>
  <si>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</si>
  <si>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</si>
  <si>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</si>
  <si>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</si>
  <si>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</si>
  <si>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</si>
  <si>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</si>
  <si>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</si>
  <si>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</si>
  <si>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</si>
  <si>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</si>
  <si>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</si>
  <si>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</si>
  <si>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</si>
  <si>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</si>
  <si>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</si>
  <si>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</si>
  <si>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</si>
  <si>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</si>
  <si>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</si>
  <si>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2024.9.3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</si>
  <si>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</si>
  <si>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</si>
  <si>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</si>
  <si>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</si>
  <si>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</si>
  <si>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</si>
  <si>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</si>
  <si>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</si>
  <si>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</si>
  <si>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</si>
  <si>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</si>
  <si>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</si>
  <si>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</si>
  <si>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</si>
  <si>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</si>
  <si>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</si>
  <si>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</si>
  <si>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2023.8.6</t>
  </si>
  <si>
    <t>652801198308076116</t>
  </si>
  <si>
    <t>李杨</t>
  </si>
  <si>
    <t>0000319</t>
  </si>
  <si>
    <t>9-1-202</t>
  </si>
  <si>
    <t>2024.4.3</t>
  </si>
  <si>
    <t>2023.2.20</t>
  </si>
  <si>
    <t>65282319860301002X</t>
  </si>
  <si>
    <t>吴莎莎</t>
  </si>
  <si>
    <t>9-1-301</t>
  </si>
  <si>
    <t>513027197708045621</t>
  </si>
  <si>
    <t>曾丽萍、胡卿</t>
  </si>
  <si>
    <t>0000006</t>
  </si>
  <si>
    <t>9-1-302</t>
  </si>
  <si>
    <t>0000015（曾丽萍胡卿）</t>
  </si>
  <si>
    <t>潘亦玹（曾丽平胡卿）</t>
  </si>
  <si>
    <t>652828199308011528</t>
  </si>
  <si>
    <t>0000282</t>
  </si>
  <si>
    <t>9-1-401</t>
  </si>
  <si>
    <t>2023.2.9</t>
  </si>
  <si>
    <t>2023.2.5</t>
  </si>
  <si>
    <t>652827199606182038</t>
  </si>
  <si>
    <t>方建成</t>
  </si>
  <si>
    <t>9-1-402</t>
  </si>
  <si>
    <t>（方建成）</t>
  </si>
  <si>
    <t>2023.2.23</t>
  </si>
  <si>
    <t>41140319960308061X</t>
  </si>
  <si>
    <t>刘桂芝、陈浩</t>
  </si>
  <si>
    <t>0000066</t>
  </si>
  <si>
    <t>9-1-501</t>
  </si>
  <si>
    <t>0000023（刘桂芝）</t>
  </si>
  <si>
    <t>潘亦玹（刘桂芝）</t>
  </si>
  <si>
    <t>652801199105080013</t>
  </si>
  <si>
    <t>余泽华</t>
  </si>
  <si>
    <t>0000303</t>
  </si>
  <si>
    <t>9-1-502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</si>
  <si>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</si>
  <si>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</si>
  <si>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</si>
  <si>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</si>
  <si>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</si>
  <si>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</si>
  <si>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</si>
  <si>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</si>
  <si>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</si>
  <si>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</si>
  <si>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</si>
  <si>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</si>
  <si>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</si>
  <si>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</si>
  <si>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</si>
  <si>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</si>
  <si>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</si>
  <si>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</si>
  <si>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</si>
  <si>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</si>
  <si>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</si>
  <si>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</si>
  <si>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</si>
  <si>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</si>
  <si>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</si>
  <si>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</si>
  <si>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</si>
  <si>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</si>
  <si>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</si>
  <si>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</si>
  <si>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</si>
  <si>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</si>
  <si>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</si>
  <si>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</si>
  <si>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</si>
  <si>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</si>
  <si>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</si>
  <si>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</si>
  <si>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</si>
  <si>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</si>
  <si>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</si>
  <si>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</si>
  <si>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</si>
  <si>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</si>
  <si>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</si>
  <si>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</si>
  <si>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</si>
  <si>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</si>
  <si>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</si>
  <si>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</si>
  <si>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</si>
  <si>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</si>
  <si>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</si>
  <si>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</si>
  <si>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</si>
  <si>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</si>
  <si>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</si>
  <si>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</si>
  <si>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</si>
  <si>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</si>
  <si>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</si>
  <si>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</si>
  <si>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</si>
  <si>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</si>
  <si>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</si>
  <si>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</si>
  <si>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</si>
  <si>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</si>
  <si>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</si>
  <si>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0000205（黄豪）</t>
  </si>
  <si>
    <t>张玉琴（黄豪）</t>
  </si>
  <si>
    <t>2023.1.7</t>
  </si>
  <si>
    <t>652322198710153532</t>
  </si>
  <si>
    <t>9-1-1002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</si>
  <si>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</si>
  <si>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</si>
  <si>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</si>
  <si>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</si>
  <si>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</si>
  <si>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</si>
  <si>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</si>
  <si>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</si>
  <si>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</si>
  <si>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</si>
  <si>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</si>
  <si>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</si>
  <si>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</si>
  <si>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</si>
  <si>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</si>
  <si>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</si>
  <si>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</si>
  <si>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</si>
  <si>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</si>
  <si>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</si>
  <si>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</si>
  <si>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</si>
  <si>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</si>
  <si>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</si>
  <si>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</si>
  <si>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</si>
  <si>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</si>
  <si>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</si>
  <si>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</si>
  <si>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</si>
  <si>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</si>
  <si>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</si>
  <si>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</si>
  <si>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</si>
  <si>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</si>
  <si>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</si>
  <si>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</si>
  <si>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</si>
  <si>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2023.9.13</t>
  </si>
  <si>
    <t>652801197607206131</t>
  </si>
  <si>
    <t>艾沙江·亚森（亚森·努尔）</t>
  </si>
  <si>
    <t>9-2-202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</si>
  <si>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</si>
  <si>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</si>
  <si>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</si>
  <si>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</si>
  <si>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</si>
  <si>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</si>
  <si>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</si>
  <si>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</si>
  <si>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</si>
  <si>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</si>
  <si>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</si>
  <si>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</si>
  <si>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</si>
  <si>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</si>
  <si>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</si>
  <si>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</si>
  <si>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</si>
  <si>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0000101（李国平）</t>
  </si>
  <si>
    <t>李国平（王士杰）</t>
  </si>
  <si>
    <t>2023.1.17</t>
  </si>
  <si>
    <t>652801199607011616</t>
  </si>
  <si>
    <t>9-2-401</t>
  </si>
  <si>
    <t>17767666093</t>
  </si>
  <si>
    <t>20230001507</t>
  </si>
  <si>
    <t>652801199208086127</t>
  </si>
  <si>
    <t>阿依努尔·艾比布拉
海提甫江·托乎提</t>
  </si>
  <si>
    <t>9-2-402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</si>
  <si>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</si>
  <si>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</si>
  <si>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</si>
  <si>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</si>
  <si>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</si>
  <si>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</si>
  <si>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</si>
  <si>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</si>
  <si>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</si>
  <si>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</si>
  <si>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</si>
  <si>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</si>
  <si>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</si>
  <si>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</si>
  <si>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</si>
  <si>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</si>
  <si>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</si>
  <si>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</si>
  <si>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</si>
  <si>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</si>
  <si>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</si>
  <si>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</si>
  <si>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</si>
  <si>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</si>
  <si>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</si>
  <si>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0000159（米拉迪力江）</t>
  </si>
  <si>
    <t>王尔东（米拉）</t>
  </si>
  <si>
    <t>622326198402150014</t>
  </si>
  <si>
    <t>0000244</t>
  </si>
  <si>
    <t>9-2-602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</si>
  <si>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</si>
  <si>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</si>
  <si>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</si>
  <si>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</si>
  <si>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</si>
  <si>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</si>
  <si>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</si>
  <si>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</si>
  <si>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</si>
  <si>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</si>
  <si>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</si>
  <si>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</si>
  <si>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</si>
  <si>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</si>
  <si>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</si>
  <si>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</si>
  <si>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</si>
  <si>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</si>
  <si>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</si>
  <si>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</si>
  <si>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</si>
  <si>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</si>
  <si>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</si>
  <si>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</si>
  <si>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</si>
  <si>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</si>
  <si>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</si>
  <si>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</si>
  <si>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</si>
  <si>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</si>
  <si>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</si>
  <si>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</si>
  <si>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</si>
  <si>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</si>
  <si>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</si>
  <si>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</si>
  <si>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</si>
  <si>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</si>
  <si>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</si>
  <si>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</si>
  <si>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</si>
  <si>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</si>
  <si>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</si>
  <si>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</si>
  <si>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</si>
  <si>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</si>
  <si>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</si>
  <si>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</si>
  <si>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</si>
  <si>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</si>
  <si>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</si>
  <si>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</si>
  <si>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</si>
  <si>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</si>
  <si>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</si>
  <si>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</si>
  <si>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</si>
  <si>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</si>
  <si>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</si>
  <si>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</si>
  <si>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张梦圆、张金玲</t>
  </si>
  <si>
    <t>9-2-1001</t>
  </si>
  <si>
    <t>13779653780</t>
  </si>
  <si>
    <t>20230001567</t>
  </si>
  <si>
    <t>14220219850929237X</t>
  </si>
  <si>
    <t>陈义</t>
  </si>
  <si>
    <t>9-2-1002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</si>
  <si>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</si>
  <si>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</si>
  <si>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</si>
  <si>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</si>
  <si>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</si>
  <si>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</si>
  <si>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</si>
  <si>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</si>
  <si>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</si>
  <si>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</si>
  <si>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</si>
  <si>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</si>
  <si>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</si>
  <si>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</si>
  <si>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</si>
  <si>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</si>
  <si>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</si>
  <si>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</si>
  <si>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</si>
  <si>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</si>
  <si>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</si>
  <si>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</si>
  <si>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</si>
  <si>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</si>
  <si>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</si>
  <si>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</si>
  <si>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</si>
  <si>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</si>
  <si>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</si>
  <si>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</si>
  <si>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</si>
  <si>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</si>
  <si>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</si>
  <si>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</si>
  <si>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</si>
  <si>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</si>
  <si>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</si>
  <si>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</si>
  <si>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</si>
  <si>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</si>
  <si>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</si>
  <si>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</si>
  <si>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</si>
  <si>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</si>
  <si>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</si>
  <si>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</si>
  <si>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</si>
  <si>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</si>
  <si>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</si>
  <si>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</si>
  <si>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</si>
  <si>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</si>
  <si>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</si>
  <si>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</si>
  <si>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</si>
  <si>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</si>
  <si>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</si>
  <si>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</si>
  <si>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</si>
  <si>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</si>
  <si>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</si>
  <si>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</si>
  <si>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</si>
  <si>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</si>
  <si>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</si>
  <si>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</si>
  <si>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</si>
  <si>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</si>
  <si>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20240004715</t>
  </si>
  <si>
    <t>抵账杜717812.82</t>
  </si>
  <si>
    <t>422822198809032540</t>
  </si>
  <si>
    <t>姚璐</t>
  </si>
  <si>
    <t>10-1-201</t>
  </si>
  <si>
    <t>2023.6.9</t>
  </si>
  <si>
    <t>20230004693</t>
  </si>
  <si>
    <t>652801197501211637</t>
  </si>
  <si>
    <t>赵大峰</t>
  </si>
  <si>
    <t>10-1-202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</si>
  <si>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</si>
  <si>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</si>
  <si>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</si>
  <si>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</si>
  <si>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</si>
  <si>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</si>
  <si>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</si>
  <si>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</si>
  <si>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</si>
  <si>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</si>
  <si>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</si>
  <si>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</si>
  <si>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</si>
  <si>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</si>
  <si>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</si>
  <si>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</si>
  <si>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</si>
  <si>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</si>
  <si>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</si>
  <si>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</si>
  <si>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</si>
  <si>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</si>
  <si>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</si>
  <si>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</si>
  <si>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</si>
  <si>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</si>
  <si>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</si>
  <si>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</si>
  <si>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</si>
  <si>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</si>
  <si>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</si>
  <si>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</si>
  <si>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</si>
  <si>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</si>
  <si>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</si>
  <si>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</si>
  <si>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</si>
  <si>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</si>
  <si>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</si>
  <si>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</si>
  <si>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</si>
  <si>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</si>
  <si>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</si>
  <si>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</si>
  <si>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18799820836</t>
  </si>
  <si>
    <t>20230001016</t>
  </si>
  <si>
    <t>620422199803062210</t>
  </si>
  <si>
    <t>吴健宏</t>
  </si>
  <si>
    <t>10-1-502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</si>
  <si>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</si>
  <si>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</si>
  <si>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</si>
  <si>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</si>
  <si>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</si>
  <si>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</si>
  <si>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</si>
  <si>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</si>
  <si>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</si>
  <si>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</si>
  <si>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</si>
  <si>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</si>
  <si>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</si>
  <si>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</si>
  <si>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</si>
  <si>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</si>
  <si>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</si>
  <si>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</si>
  <si>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</si>
  <si>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</si>
  <si>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</si>
  <si>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</si>
  <si>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</si>
  <si>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</si>
  <si>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</si>
  <si>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</si>
  <si>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</si>
  <si>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</si>
  <si>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</si>
  <si>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</si>
  <si>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</si>
  <si>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</si>
  <si>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</si>
  <si>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</si>
  <si>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</si>
  <si>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</si>
  <si>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</si>
  <si>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</si>
  <si>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</si>
  <si>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</si>
  <si>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</si>
  <si>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15739857616</t>
  </si>
  <si>
    <t>20230000787</t>
  </si>
  <si>
    <t>652826197610011439</t>
  </si>
  <si>
    <t>马学礼</t>
  </si>
  <si>
    <t>0000053</t>
  </si>
  <si>
    <t>10-1-802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</si>
  <si>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</si>
  <si>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</si>
  <si>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</si>
  <si>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</si>
  <si>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</si>
  <si>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</si>
  <si>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</si>
  <si>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</si>
  <si>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</si>
  <si>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</si>
  <si>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</si>
  <si>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</si>
  <si>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</si>
  <si>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</si>
  <si>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</si>
  <si>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18196246995</t>
  </si>
  <si>
    <t>20230001425</t>
  </si>
  <si>
    <t>62272619970316079X</t>
  </si>
  <si>
    <t>谢彪</t>
  </si>
  <si>
    <t>10-1-1001</t>
  </si>
  <si>
    <t>20230000845</t>
  </si>
  <si>
    <t>652801196009091659</t>
  </si>
  <si>
    <t>李晨辉、张国菊</t>
  </si>
  <si>
    <t>0000056</t>
  </si>
  <si>
    <t>10-1-1002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</si>
  <si>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</si>
  <si>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</si>
  <si>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</si>
  <si>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</si>
  <si>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</si>
  <si>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</si>
  <si>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</si>
  <si>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</si>
  <si>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</si>
  <si>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</si>
  <si>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</si>
  <si>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</si>
  <si>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</si>
  <si>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</si>
  <si>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</si>
  <si>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</si>
  <si>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</si>
  <si>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2023.3.22</t>
  </si>
  <si>
    <t>13579009541</t>
  </si>
  <si>
    <t>2023.3.14</t>
  </si>
  <si>
    <t>20230002408</t>
  </si>
  <si>
    <t>652801196610261663</t>
  </si>
  <si>
    <t>马江燕、马利忠</t>
  </si>
  <si>
    <t>0000294</t>
  </si>
  <si>
    <t>10-2-101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</si>
  <si>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</si>
  <si>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</si>
  <si>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</si>
  <si>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</si>
  <si>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</si>
  <si>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</si>
  <si>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</si>
  <si>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</si>
  <si>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</si>
  <si>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</si>
  <si>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</si>
  <si>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</si>
  <si>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</si>
  <si>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</si>
  <si>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</si>
  <si>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</si>
  <si>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</si>
  <si>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</si>
  <si>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</si>
  <si>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</si>
  <si>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</si>
  <si>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</si>
  <si>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2023.8.21</t>
  </si>
  <si>
    <t>18599170959</t>
  </si>
  <si>
    <t>2023.5.2</t>
  </si>
  <si>
    <t>20230003813</t>
  </si>
  <si>
    <t>622223199212064617</t>
  </si>
  <si>
    <t>10-2-301</t>
  </si>
  <si>
    <t>2023.8.17</t>
  </si>
  <si>
    <t>18139096223</t>
  </si>
  <si>
    <t>20230000839</t>
  </si>
  <si>
    <t>411425198806060970</t>
  </si>
  <si>
    <t>赵东雷、崔丽</t>
  </si>
  <si>
    <t>10-2-302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</si>
  <si>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</si>
  <si>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</si>
  <si>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</si>
  <si>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</si>
  <si>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</si>
  <si>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</si>
  <si>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</si>
  <si>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</si>
  <si>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</si>
  <si>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</si>
  <si>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</si>
  <si>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</si>
  <si>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</si>
  <si>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</si>
  <si>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</si>
  <si>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</si>
  <si>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</si>
  <si>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</si>
  <si>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</si>
  <si>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</si>
  <si>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</si>
  <si>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</si>
  <si>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</si>
  <si>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</si>
  <si>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</si>
  <si>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</si>
  <si>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</si>
  <si>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</si>
  <si>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</si>
  <si>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</si>
  <si>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</si>
  <si>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</si>
  <si>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</si>
  <si>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</si>
  <si>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</si>
  <si>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</si>
  <si>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</si>
  <si>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</si>
  <si>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</si>
  <si>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</si>
  <si>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</si>
  <si>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</si>
  <si>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</si>
  <si>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</si>
  <si>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</si>
  <si>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</si>
  <si>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</si>
  <si>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</si>
  <si>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</si>
  <si>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</si>
  <si>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</si>
  <si>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</si>
  <si>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</si>
  <si>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</si>
  <si>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</si>
  <si>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</si>
  <si>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</si>
  <si>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</si>
  <si>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</si>
  <si>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</si>
  <si>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</si>
  <si>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0000044（职啸晨）</t>
  </si>
  <si>
    <t>霍子涵（职啸晨）</t>
  </si>
  <si>
    <t>13779340931</t>
  </si>
  <si>
    <t>20230001701</t>
  </si>
  <si>
    <t>632821199110181013</t>
  </si>
  <si>
    <t>王振兴</t>
  </si>
  <si>
    <t>0000098</t>
  </si>
  <si>
    <t>10-2-801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</si>
  <si>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</si>
  <si>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</si>
  <si>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</si>
  <si>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</si>
  <si>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</si>
  <si>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</si>
  <si>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</si>
  <si>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</si>
  <si>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</si>
  <si>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</si>
  <si>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</si>
  <si>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</si>
  <si>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</si>
  <si>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</si>
  <si>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</si>
  <si>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</si>
  <si>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</si>
  <si>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</si>
  <si>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</si>
  <si>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</si>
  <si>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</si>
  <si>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</si>
  <si>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</si>
  <si>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</si>
  <si>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</si>
  <si>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</si>
  <si>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</si>
  <si>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</si>
  <si>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</si>
  <si>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</si>
  <si>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</si>
  <si>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</si>
  <si>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</si>
  <si>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</si>
  <si>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</si>
  <si>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</si>
  <si>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</si>
  <si>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</si>
  <si>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</si>
  <si>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</si>
  <si>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</si>
  <si>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</si>
  <si>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</si>
  <si>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</si>
  <si>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</si>
  <si>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</si>
  <si>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</si>
  <si>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</si>
  <si>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</si>
  <si>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</si>
  <si>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</si>
  <si>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</si>
  <si>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</si>
  <si>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</si>
  <si>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</si>
  <si>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</si>
  <si>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</si>
  <si>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</si>
  <si>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</si>
  <si>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</si>
  <si>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</si>
  <si>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（宋哲）</t>
  </si>
  <si>
    <t>李秀莲（宋哲）</t>
  </si>
  <si>
    <t>2023.4.11</t>
  </si>
  <si>
    <t>2023.7.28</t>
  </si>
  <si>
    <t>13779688505</t>
  </si>
  <si>
    <t>202300000774</t>
  </si>
  <si>
    <t>13043019941102151X</t>
  </si>
  <si>
    <t>刘钦</t>
  </si>
  <si>
    <t>0000188</t>
  </si>
  <si>
    <t>10-3-101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</si>
  <si>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</si>
  <si>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</si>
  <si>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</si>
  <si>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</si>
  <si>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</si>
  <si>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</si>
  <si>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</si>
  <si>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</si>
  <si>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</si>
  <si>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</si>
  <si>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</si>
  <si>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</si>
  <si>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</si>
  <si>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</si>
  <si>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</si>
  <si>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</si>
  <si>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</si>
  <si>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</si>
  <si>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</si>
  <si>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</si>
  <si>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王荣（刘柯）</t>
  </si>
  <si>
    <t>18099777654</t>
  </si>
  <si>
    <t>652325199808103617</t>
  </si>
  <si>
    <t>李义明</t>
  </si>
  <si>
    <t>0000190</t>
  </si>
  <si>
    <t>10-3-301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</si>
  <si>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</si>
  <si>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</si>
  <si>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</si>
  <si>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</si>
  <si>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</si>
  <si>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</si>
  <si>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</si>
  <si>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</si>
  <si>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</si>
  <si>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</si>
  <si>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</si>
  <si>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</si>
  <si>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</si>
  <si>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</si>
  <si>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</si>
  <si>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</si>
  <si>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</si>
  <si>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</si>
  <si>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</si>
  <si>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</si>
  <si>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</si>
  <si>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</si>
  <si>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</si>
  <si>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</si>
  <si>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</si>
  <si>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</si>
  <si>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</si>
  <si>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</si>
  <si>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</si>
  <si>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</si>
  <si>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</si>
  <si>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</si>
  <si>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</si>
  <si>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</si>
  <si>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</si>
  <si>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</si>
  <si>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</si>
  <si>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</si>
  <si>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</si>
  <si>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</si>
  <si>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</si>
  <si>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</si>
  <si>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</si>
  <si>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2023.2.18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</si>
  <si>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</si>
  <si>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</si>
  <si>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</si>
  <si>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</si>
  <si>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</si>
  <si>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</si>
  <si>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</si>
  <si>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</si>
  <si>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</si>
  <si>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</si>
  <si>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</si>
  <si>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</si>
  <si>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</si>
  <si>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</si>
  <si>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</si>
  <si>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</si>
  <si>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</si>
  <si>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</si>
  <si>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</si>
  <si>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</si>
  <si>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</si>
  <si>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</si>
  <si>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</si>
  <si>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</si>
  <si>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</si>
  <si>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</si>
  <si>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</si>
  <si>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</si>
  <si>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</si>
  <si>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</si>
  <si>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崔丽</t>
  </si>
  <si>
    <t>13999608599</t>
  </si>
  <si>
    <t>20230001409</t>
  </si>
  <si>
    <t>652801199607263418</t>
  </si>
  <si>
    <t>史锐</t>
  </si>
  <si>
    <t>10-3-801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</si>
  <si>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</si>
  <si>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</si>
  <si>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</si>
  <si>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</si>
  <si>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</si>
  <si>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</si>
  <si>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</si>
  <si>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</si>
  <si>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</si>
  <si>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</si>
  <si>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</si>
  <si>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</si>
  <si>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</si>
  <si>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</si>
  <si>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</si>
  <si>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</si>
  <si>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</si>
  <si>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</si>
  <si>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</si>
  <si>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</si>
  <si>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</si>
  <si>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13899083100</t>
  </si>
  <si>
    <t>0000198</t>
  </si>
  <si>
    <t>10-3-1001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</si>
  <si>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</si>
  <si>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</si>
  <si>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</si>
  <si>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</si>
  <si>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</si>
  <si>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</si>
  <si>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</si>
  <si>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</si>
  <si>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</si>
  <si>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</si>
  <si>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</si>
  <si>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</si>
  <si>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</si>
  <si>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</si>
  <si>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</si>
  <si>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</si>
  <si>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</si>
  <si>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</si>
  <si>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</si>
  <si>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</si>
  <si>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</si>
  <si>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</si>
  <si>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</si>
  <si>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</si>
  <si>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</si>
  <si>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</si>
  <si>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</si>
  <si>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</si>
  <si>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</si>
  <si>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</si>
  <si>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</si>
  <si>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</si>
  <si>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</si>
  <si>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</si>
  <si>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</si>
  <si>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</si>
  <si>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</si>
  <si>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</si>
  <si>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</si>
  <si>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</si>
  <si>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</si>
  <si>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</si>
  <si>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</si>
  <si>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</si>
  <si>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</si>
  <si>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</si>
  <si>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</si>
  <si>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</si>
  <si>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</si>
  <si>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11-负1-207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</si>
  <si>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</si>
  <si>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</si>
  <si>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</si>
  <si>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</si>
  <si>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</si>
  <si>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</si>
  <si>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</si>
  <si>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</si>
  <si>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</si>
  <si>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</si>
  <si>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</si>
  <si>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</si>
  <si>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</si>
  <si>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</si>
  <si>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</si>
  <si>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</si>
  <si>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</si>
  <si>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</si>
  <si>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</si>
  <si>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</si>
  <si>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</si>
  <si>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</si>
  <si>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</si>
  <si>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</si>
  <si>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</si>
  <si>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</si>
  <si>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</si>
  <si>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</si>
  <si>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</si>
  <si>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</si>
  <si>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</si>
  <si>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</si>
  <si>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</si>
  <si>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</si>
  <si>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</si>
  <si>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</si>
  <si>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</si>
  <si>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</si>
  <si>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</si>
  <si>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</si>
  <si>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</si>
  <si>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</si>
  <si>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</si>
  <si>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</si>
  <si>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</si>
  <si>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</si>
  <si>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</si>
  <si>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</si>
  <si>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</si>
  <si>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</si>
  <si>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</si>
  <si>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</si>
  <si>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</si>
  <si>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</si>
  <si>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</si>
  <si>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</si>
  <si>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</si>
  <si>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</si>
  <si>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</si>
  <si>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</si>
  <si>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</si>
  <si>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</si>
  <si>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</si>
  <si>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</si>
  <si>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</si>
  <si>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17590029300</t>
  </si>
  <si>
    <t>20230005335</t>
  </si>
  <si>
    <t>652827196808240060</t>
  </si>
  <si>
    <t>虎春梅</t>
  </si>
  <si>
    <t>0000340</t>
  </si>
  <si>
    <t>11-1-402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</si>
  <si>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</si>
  <si>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</si>
  <si>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</si>
  <si>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</si>
  <si>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</si>
  <si>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</si>
  <si>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</si>
  <si>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</si>
  <si>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</si>
  <si>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</si>
  <si>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</si>
  <si>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</si>
  <si>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</si>
  <si>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</si>
  <si>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</si>
  <si>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</si>
  <si>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18009965129</t>
  </si>
  <si>
    <t>20230006448</t>
  </si>
  <si>
    <t>652801200404235527</t>
  </si>
  <si>
    <t>0000329</t>
  </si>
  <si>
    <t>11-1-601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</si>
  <si>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</si>
  <si>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</si>
  <si>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</si>
  <si>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</si>
  <si>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</si>
  <si>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</si>
  <si>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</si>
  <si>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</si>
  <si>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</si>
  <si>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</si>
  <si>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</si>
  <si>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</si>
  <si>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</si>
  <si>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</si>
  <si>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</si>
  <si>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18622101517</t>
  </si>
  <si>
    <t>20230005209</t>
  </si>
  <si>
    <t>652201199109171649</t>
  </si>
  <si>
    <t>0000374</t>
  </si>
  <si>
    <t>11-1-702</t>
  </si>
  <si>
    <t>13335464320</t>
  </si>
  <si>
    <t>20230004524</t>
  </si>
  <si>
    <t>220182199907110016</t>
  </si>
  <si>
    <t>李炳润</t>
  </si>
  <si>
    <t>0000369</t>
  </si>
  <si>
    <t>11-1-801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</si>
  <si>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</si>
  <si>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</si>
  <si>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</si>
  <si>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</si>
  <si>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</si>
  <si>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</si>
  <si>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</si>
  <si>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</si>
  <si>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</si>
  <si>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13999607673</t>
  </si>
  <si>
    <t>20230005714</t>
  </si>
  <si>
    <t>652823199202023713</t>
  </si>
  <si>
    <t>朱星恺</t>
  </si>
  <si>
    <t>0000347</t>
  </si>
  <si>
    <t>11-1-901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</si>
  <si>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</si>
  <si>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</si>
  <si>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</si>
  <si>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</si>
  <si>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</si>
  <si>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</si>
  <si>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</si>
  <si>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</si>
  <si>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</si>
  <si>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</si>
  <si>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</si>
  <si>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</si>
  <si>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</si>
  <si>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</si>
  <si>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2023.11.30</t>
  </si>
  <si>
    <t>20230004259</t>
  </si>
  <si>
    <t>211022199704096573</t>
  </si>
  <si>
    <t>夏泽宝</t>
  </si>
  <si>
    <t>0000368</t>
  </si>
  <si>
    <t>11-1-1002</t>
  </si>
  <si>
    <t>17710947630</t>
  </si>
  <si>
    <t>20230004417</t>
  </si>
  <si>
    <t>65012119920111002X</t>
  </si>
  <si>
    <t>徐琳</t>
  </si>
  <si>
    <t>0000337</t>
  </si>
  <si>
    <t>11-1-1101</t>
  </si>
  <si>
    <t>13779631500</t>
  </si>
  <si>
    <t>20230008690</t>
  </si>
  <si>
    <t>220183199206265011</t>
  </si>
  <si>
    <t>杨东、梅红艳</t>
  </si>
  <si>
    <t>0000346</t>
  </si>
  <si>
    <t>11-1-1102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</si>
  <si>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</si>
  <si>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</si>
  <si>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</si>
  <si>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</si>
  <si>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</si>
  <si>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</si>
  <si>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</si>
  <si>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</si>
  <si>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</si>
  <si>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</si>
  <si>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</si>
  <si>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</si>
  <si>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11-2-102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</si>
  <si>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</si>
  <si>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</si>
  <si>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</si>
  <si>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</si>
  <si>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</si>
  <si>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</si>
  <si>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</si>
  <si>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</si>
  <si>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</si>
  <si>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</si>
  <si>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</si>
  <si>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</si>
  <si>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</si>
  <si>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</si>
  <si>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</si>
  <si>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</si>
  <si>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</si>
  <si>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</si>
  <si>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</si>
  <si>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</si>
  <si>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</si>
  <si>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</si>
  <si>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</si>
  <si>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</si>
  <si>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</si>
  <si>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</si>
  <si>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</si>
  <si>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</si>
  <si>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</si>
  <si>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</si>
  <si>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</si>
  <si>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</si>
  <si>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</si>
  <si>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</si>
  <si>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</si>
  <si>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</si>
  <si>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</si>
  <si>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</si>
  <si>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</si>
  <si>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</si>
  <si>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</si>
  <si>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</si>
  <si>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</si>
  <si>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</si>
  <si>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</si>
  <si>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</si>
  <si>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</si>
  <si>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</si>
  <si>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</si>
  <si>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</si>
  <si>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</si>
  <si>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</si>
  <si>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</si>
  <si>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</si>
  <si>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</si>
  <si>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</si>
  <si>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</si>
  <si>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</si>
  <si>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</si>
  <si>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</si>
  <si>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</si>
  <si>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</si>
  <si>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</si>
  <si>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</si>
  <si>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</si>
  <si>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</si>
  <si>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</si>
  <si>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</si>
  <si>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</si>
  <si>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</si>
  <si>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</si>
  <si>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</si>
  <si>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</si>
  <si>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</si>
  <si>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</si>
  <si>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</si>
  <si>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</si>
  <si>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</si>
  <si>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</si>
  <si>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</si>
  <si>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</si>
  <si>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</si>
  <si>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</si>
  <si>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</si>
  <si>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</si>
  <si>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</si>
  <si>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</si>
  <si>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</si>
  <si>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</si>
  <si>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</si>
  <si>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</si>
  <si>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</si>
  <si>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</si>
  <si>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</si>
  <si>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</si>
  <si>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</si>
  <si>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</si>
  <si>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</si>
  <si>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</si>
  <si>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</si>
  <si>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</si>
  <si>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</si>
  <si>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</si>
  <si>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</si>
  <si>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</si>
  <si>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</si>
  <si>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</si>
  <si>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</si>
  <si>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</si>
  <si>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</si>
  <si>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</si>
  <si>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</si>
  <si>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</si>
  <si>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</si>
  <si>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</si>
  <si>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</si>
  <si>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</si>
  <si>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</si>
  <si>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</si>
  <si>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</si>
  <si>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</si>
  <si>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</si>
  <si>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</si>
  <si>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</si>
  <si>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</si>
  <si>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</si>
  <si>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</si>
  <si>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</si>
  <si>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</si>
  <si>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</si>
  <si>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</si>
  <si>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</si>
  <si>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</si>
  <si>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</si>
  <si>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</si>
  <si>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</si>
  <si>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</si>
  <si>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</si>
  <si>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</si>
  <si>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</si>
  <si>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</si>
  <si>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</si>
  <si>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</si>
  <si>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</si>
  <si>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</si>
  <si>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</si>
  <si>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</si>
  <si>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</si>
  <si>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</si>
  <si>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</si>
  <si>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</si>
  <si>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</si>
  <si>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</si>
  <si>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</si>
  <si>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</si>
  <si>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</si>
  <si>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</si>
  <si>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</si>
  <si>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</si>
  <si>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</si>
  <si>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</si>
  <si>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</si>
  <si>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</si>
  <si>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</si>
  <si>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</si>
  <si>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</si>
  <si>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</si>
  <si>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</si>
  <si>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</si>
  <si>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</si>
  <si>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</si>
  <si>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</si>
  <si>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</si>
  <si>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</si>
  <si>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</si>
  <si>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</si>
  <si>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</si>
  <si>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</si>
  <si>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</si>
  <si>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</si>
  <si>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</si>
  <si>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</si>
  <si>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</si>
  <si>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</si>
  <si>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</si>
  <si>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</si>
  <si>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</si>
  <si>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</si>
  <si>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</si>
  <si>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</si>
  <si>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</si>
  <si>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</si>
  <si>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</si>
  <si>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</si>
  <si>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</si>
  <si>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</si>
  <si>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</si>
  <si>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</si>
  <si>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</si>
  <si>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</si>
  <si>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</si>
  <si>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</si>
  <si>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</si>
  <si>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</si>
  <si>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</si>
  <si>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</si>
  <si>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</si>
  <si>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</si>
  <si>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</si>
  <si>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</si>
  <si>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</si>
  <si>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</si>
  <si>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</si>
  <si>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</si>
  <si>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</si>
  <si>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</si>
  <si>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</si>
  <si>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</si>
  <si>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</si>
  <si>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</si>
  <si>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</si>
  <si>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</si>
  <si>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</si>
  <si>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</si>
  <si>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</si>
  <si>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</si>
  <si>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</si>
  <si>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</si>
  <si>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</si>
  <si>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</si>
  <si>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</si>
  <si>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</si>
  <si>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</si>
  <si>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</si>
  <si>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</si>
  <si>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</si>
  <si>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</si>
  <si>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</si>
  <si>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</si>
  <si>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</si>
  <si>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</si>
  <si>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</si>
  <si>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</si>
  <si>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</si>
  <si>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</si>
  <si>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</si>
  <si>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</si>
  <si>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</si>
  <si>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</si>
  <si>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</si>
  <si>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</si>
  <si>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</si>
  <si>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</si>
  <si>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</si>
  <si>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</si>
  <si>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</si>
  <si>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</si>
  <si>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</si>
  <si>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</si>
  <si>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</si>
  <si>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</si>
  <si>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</si>
  <si>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</si>
  <si>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</si>
  <si>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</si>
  <si>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</si>
  <si>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</si>
  <si>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</si>
  <si>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</si>
  <si>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</si>
  <si>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</si>
  <si>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</si>
  <si>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</si>
  <si>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</si>
  <si>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</si>
  <si>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</si>
  <si>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</si>
  <si>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</si>
  <si>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</si>
  <si>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</si>
  <si>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</si>
  <si>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</si>
  <si>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</si>
  <si>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</si>
  <si>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</si>
  <si>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</si>
  <si>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</si>
  <si>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</si>
  <si>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</si>
  <si>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</si>
  <si>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</si>
  <si>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</si>
  <si>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</si>
  <si>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</si>
  <si>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</si>
  <si>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李晨辉
吴文仓退</t>
  </si>
  <si>
    <t>12-负1-201</t>
  </si>
  <si>
    <t>2024.9.27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</si>
  <si>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</si>
  <si>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</si>
  <si>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</si>
  <si>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</si>
  <si>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</si>
  <si>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</si>
  <si>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</si>
  <si>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</si>
  <si>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</si>
  <si>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</si>
  <si>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</si>
  <si>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</si>
  <si>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</si>
  <si>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</si>
  <si>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</si>
  <si>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</si>
  <si>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</si>
  <si>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</si>
  <si>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</si>
  <si>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</si>
  <si>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</si>
  <si>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</si>
  <si>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</si>
  <si>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</si>
  <si>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</si>
  <si>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</si>
  <si>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</si>
  <si>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</si>
  <si>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抵账 华汇638645</t>
  </si>
  <si>
    <t>12-1-202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</si>
  <si>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</si>
  <si>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</si>
  <si>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</si>
  <si>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</si>
  <si>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</si>
  <si>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</si>
  <si>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</si>
  <si>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</si>
  <si>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</si>
  <si>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</si>
  <si>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</si>
  <si>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</si>
  <si>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</si>
  <si>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</si>
  <si>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</si>
  <si>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</si>
  <si>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</si>
  <si>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</si>
  <si>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</si>
  <si>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</si>
  <si>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</si>
  <si>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</si>
  <si>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</si>
  <si>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</si>
  <si>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</si>
  <si>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</si>
  <si>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</si>
  <si>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</si>
  <si>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</si>
  <si>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</si>
  <si>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</si>
  <si>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</si>
  <si>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</si>
  <si>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</si>
  <si>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</si>
  <si>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</si>
  <si>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</si>
  <si>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</si>
  <si>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</si>
  <si>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</si>
  <si>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</si>
  <si>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</si>
  <si>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</si>
  <si>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</si>
  <si>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</si>
  <si>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</si>
  <si>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</si>
  <si>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</si>
  <si>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</si>
  <si>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</si>
  <si>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</si>
  <si>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</si>
  <si>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</si>
  <si>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</si>
  <si>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</si>
  <si>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</si>
  <si>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</si>
  <si>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</si>
  <si>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</si>
  <si>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</si>
  <si>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</si>
  <si>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</si>
  <si>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</si>
  <si>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</si>
  <si>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</si>
  <si>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</si>
  <si>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</si>
  <si>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</si>
  <si>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</si>
  <si>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</si>
  <si>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</si>
  <si>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</si>
  <si>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</si>
  <si>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</si>
  <si>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</si>
  <si>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</si>
  <si>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</si>
  <si>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</si>
  <si>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</si>
  <si>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</si>
  <si>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</si>
  <si>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</si>
  <si>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</si>
  <si>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</si>
  <si>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</si>
  <si>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</si>
  <si>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</si>
  <si>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</si>
  <si>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</si>
  <si>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</si>
  <si>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</si>
  <si>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</si>
  <si>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</si>
  <si>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</si>
  <si>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</si>
  <si>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</si>
  <si>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</si>
  <si>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</si>
  <si>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</si>
  <si>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</si>
  <si>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</si>
  <si>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</si>
  <si>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</si>
  <si>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</si>
  <si>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</si>
  <si>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</si>
  <si>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</si>
  <si>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</si>
  <si>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</si>
  <si>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</si>
  <si>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</si>
  <si>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</si>
  <si>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</si>
  <si>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</si>
  <si>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需重录合同信息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</si>
  <si>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</si>
  <si>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</si>
  <si>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</si>
  <si>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</si>
  <si>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</si>
  <si>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</si>
  <si>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</si>
  <si>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</si>
  <si>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</si>
  <si>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</si>
  <si>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</si>
  <si>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</si>
  <si>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12-2-102</t>
  </si>
  <si>
    <t>抵账639354 唐山通宝</t>
  </si>
  <si>
    <t>12-2-201</t>
  </si>
  <si>
    <t>肖陶丽（周萍）已退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</si>
  <si>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</si>
  <si>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</si>
  <si>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</si>
  <si>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</si>
  <si>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</si>
  <si>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</si>
  <si>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</si>
  <si>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</si>
  <si>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</si>
  <si>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</si>
  <si>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</si>
  <si>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</si>
  <si>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</si>
  <si>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</si>
  <si>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</si>
  <si>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</si>
  <si>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</si>
  <si>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</si>
  <si>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</si>
  <si>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</si>
  <si>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</si>
  <si>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</si>
  <si>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</si>
  <si>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</si>
  <si>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</si>
  <si>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</si>
  <si>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</si>
  <si>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</si>
  <si>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</si>
  <si>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</si>
  <si>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</si>
  <si>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</si>
  <si>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</si>
  <si>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</si>
  <si>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</si>
  <si>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</si>
  <si>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</si>
  <si>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</si>
  <si>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</si>
  <si>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</si>
  <si>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</si>
  <si>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</si>
  <si>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</si>
  <si>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</si>
  <si>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</si>
  <si>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</si>
  <si>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</si>
  <si>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</si>
  <si>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</si>
  <si>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</si>
  <si>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</si>
  <si>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</si>
  <si>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</si>
  <si>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</si>
  <si>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</si>
  <si>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</si>
  <si>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</si>
  <si>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</si>
  <si>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</si>
  <si>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</si>
  <si>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</si>
  <si>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</si>
  <si>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</si>
  <si>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</si>
  <si>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</si>
  <si>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</si>
  <si>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</si>
  <si>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</si>
  <si>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</si>
  <si>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</si>
  <si>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</si>
  <si>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</si>
  <si>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</si>
  <si>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</si>
  <si>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</si>
  <si>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</si>
  <si>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</si>
  <si>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</si>
  <si>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</si>
  <si>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</si>
  <si>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</si>
  <si>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</si>
  <si>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</si>
  <si>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</si>
  <si>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</si>
  <si>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</si>
  <si>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</si>
  <si>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</si>
  <si>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</si>
  <si>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</si>
  <si>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</si>
  <si>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</si>
  <si>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</si>
  <si>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</si>
  <si>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</si>
  <si>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</si>
  <si>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</si>
  <si>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</si>
  <si>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</si>
  <si>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</si>
  <si>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</si>
  <si>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</si>
  <si>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</si>
  <si>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</si>
  <si>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</si>
  <si>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</si>
  <si>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</si>
  <si>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</si>
  <si>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</si>
  <si>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</si>
  <si>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</si>
  <si>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</si>
  <si>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</si>
  <si>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</si>
  <si>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</si>
  <si>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</si>
  <si>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</si>
  <si>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</si>
  <si>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</si>
  <si>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</si>
  <si>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</si>
  <si>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</si>
  <si>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</si>
  <si>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</si>
  <si>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</si>
  <si>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</si>
  <si>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</si>
  <si>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</si>
  <si>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</si>
  <si>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</si>
  <si>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</si>
  <si>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</si>
  <si>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</si>
  <si>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</si>
  <si>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</si>
  <si>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</si>
  <si>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</si>
  <si>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</si>
  <si>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</si>
  <si>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</si>
  <si>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抵账高798627</t>
  </si>
  <si>
    <t>高邵博</t>
  </si>
  <si>
    <t>12-2-1102</t>
  </si>
  <si>
    <t>2024.7.18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</si>
  <si>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</si>
  <si>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</si>
  <si>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</si>
  <si>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</si>
  <si>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</si>
  <si>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</si>
  <si>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</si>
  <si>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</si>
  <si>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</si>
  <si>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</si>
  <si>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</si>
  <si>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</si>
  <si>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</si>
  <si>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</si>
  <si>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</si>
  <si>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</si>
  <si>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</si>
  <si>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</si>
  <si>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</si>
  <si>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</si>
  <si>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</si>
  <si>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</si>
  <si>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</si>
  <si>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</si>
  <si>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</si>
  <si>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</si>
  <si>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</si>
  <si>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</si>
  <si>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</si>
  <si>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</si>
  <si>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</si>
  <si>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</si>
  <si>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</si>
  <si>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</si>
  <si>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</si>
  <si>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</si>
  <si>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</si>
  <si>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</si>
  <si>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</si>
  <si>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</si>
  <si>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</si>
  <si>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</si>
  <si>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</si>
  <si>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</si>
  <si>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</si>
  <si>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</si>
  <si>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</si>
  <si>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</si>
  <si>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</si>
  <si>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</si>
  <si>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</si>
  <si>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</si>
  <si>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</si>
  <si>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</si>
  <si>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</si>
  <si>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</si>
  <si>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</si>
  <si>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</si>
  <si>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</si>
  <si>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</si>
  <si>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</si>
  <si>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</si>
  <si>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</si>
  <si>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</si>
  <si>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</si>
  <si>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</si>
  <si>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</si>
  <si>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</si>
  <si>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</si>
  <si>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</si>
  <si>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</si>
  <si>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</si>
  <si>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</si>
  <si>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</si>
  <si>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</si>
  <si>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</si>
  <si>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</si>
  <si>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</si>
  <si>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</si>
  <si>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</si>
  <si>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</si>
  <si>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</si>
  <si>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</si>
  <si>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</si>
  <si>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</si>
  <si>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</si>
  <si>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</si>
  <si>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</si>
  <si>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</si>
  <si>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</si>
  <si>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</si>
  <si>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</si>
  <si>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</si>
  <si>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</si>
  <si>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</si>
  <si>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</si>
  <si>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</si>
  <si>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</si>
  <si>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</si>
  <si>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</si>
  <si>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</si>
  <si>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</si>
  <si>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</si>
  <si>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</si>
  <si>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</si>
  <si>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</si>
  <si>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</si>
  <si>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</si>
  <si>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</si>
  <si>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</si>
  <si>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</si>
  <si>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</si>
  <si>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</si>
  <si>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</si>
  <si>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</si>
  <si>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</si>
  <si>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</si>
  <si>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</si>
  <si>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</si>
  <si>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</si>
  <si>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</si>
  <si>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</si>
  <si>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</si>
  <si>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</si>
  <si>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</si>
  <si>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</si>
  <si>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</si>
  <si>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</si>
  <si>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</si>
  <si>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</si>
  <si>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</si>
  <si>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</si>
  <si>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</si>
  <si>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</si>
  <si>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</si>
  <si>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</si>
  <si>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</si>
  <si>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</si>
  <si>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</si>
  <si>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</si>
  <si>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</si>
  <si>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</si>
  <si>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</si>
  <si>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</si>
  <si>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</si>
  <si>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</si>
  <si>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</si>
  <si>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</si>
  <si>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</si>
  <si>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</si>
  <si>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</si>
  <si>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</si>
  <si>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</si>
  <si>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</si>
  <si>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</si>
  <si>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</si>
  <si>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</si>
  <si>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</si>
  <si>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</si>
  <si>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</si>
  <si>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</si>
  <si>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</si>
  <si>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</si>
  <si>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</si>
  <si>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</si>
  <si>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</si>
  <si>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</si>
  <si>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</si>
  <si>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</si>
  <si>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</si>
  <si>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</si>
  <si>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</si>
  <si>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</si>
  <si>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吴文仓 退储藏间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</si>
  <si>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</si>
  <si>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</si>
  <si>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</si>
  <si>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</si>
  <si>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</si>
  <si>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</si>
  <si>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</si>
  <si>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</si>
  <si>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</si>
  <si>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</si>
  <si>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</si>
  <si>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</si>
  <si>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</si>
  <si>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</si>
  <si>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</si>
  <si>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</si>
  <si>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</si>
  <si>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</si>
  <si>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</si>
  <si>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</si>
  <si>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</si>
  <si>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</si>
  <si>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</si>
  <si>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</si>
  <si>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</si>
  <si>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</si>
  <si>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</si>
  <si>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</si>
  <si>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</si>
  <si>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</si>
  <si>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</si>
  <si>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</si>
  <si>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</si>
  <si>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</si>
  <si>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</si>
  <si>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</si>
  <si>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</si>
  <si>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</si>
  <si>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</si>
  <si>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</si>
  <si>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</si>
  <si>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</si>
  <si>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</si>
  <si>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</si>
  <si>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</si>
  <si>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</si>
  <si>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</si>
  <si>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</si>
  <si>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</si>
  <si>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</si>
  <si>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</si>
  <si>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</si>
  <si>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</si>
  <si>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</si>
  <si>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</si>
  <si>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</si>
  <si>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</si>
  <si>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</si>
  <si>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</si>
  <si>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</si>
  <si>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1-1-302</t>
  </si>
  <si>
    <t>1-1-401</t>
  </si>
  <si>
    <t>1-1-402</t>
  </si>
  <si>
    <t>622301200012132817</t>
  </si>
  <si>
    <t>张龙年</t>
  </si>
  <si>
    <t>0000957</t>
  </si>
  <si>
    <t>1-1-501</t>
  </si>
  <si>
    <t>2024.8.18</t>
  </si>
  <si>
    <t>无车位送3年物业费</t>
  </si>
  <si>
    <t>1-1-502</t>
  </si>
  <si>
    <t>1-1-601</t>
  </si>
  <si>
    <t>652801199301216416</t>
  </si>
  <si>
    <t>石建基（暂未算业绩）</t>
  </si>
  <si>
    <t>0000899</t>
  </si>
  <si>
    <t>1-1-602</t>
  </si>
  <si>
    <t>0000546</t>
  </si>
  <si>
    <t>2024.1.5</t>
  </si>
  <si>
    <t>2024.6.9</t>
  </si>
  <si>
    <t>1-1-701</t>
  </si>
  <si>
    <t>1-1-702</t>
  </si>
  <si>
    <t>1-1-801</t>
  </si>
  <si>
    <t>1-1-802</t>
  </si>
  <si>
    <t>652827199903260311</t>
  </si>
  <si>
    <t>朱俞合</t>
  </si>
  <si>
    <t>0000905</t>
  </si>
  <si>
    <t>1-1-901</t>
  </si>
  <si>
    <t>2024.8.10</t>
  </si>
  <si>
    <t>1-1-902</t>
  </si>
  <si>
    <t>1-1-1001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</si>
  <si>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</si>
  <si>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</si>
  <si>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</si>
  <si>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</si>
  <si>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</si>
  <si>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</si>
  <si>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</si>
  <si>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</si>
  <si>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</si>
  <si>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</si>
  <si>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</si>
  <si>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</si>
  <si>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</si>
  <si>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1-2-301</t>
  </si>
  <si>
    <t>1-2-302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</si>
  <si>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</si>
  <si>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</si>
  <si>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</si>
  <si>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</si>
  <si>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</si>
  <si>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</si>
  <si>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</si>
  <si>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</si>
  <si>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</si>
  <si>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</si>
  <si>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</si>
  <si>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</si>
  <si>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</si>
  <si>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覃华见</t>
  </si>
  <si>
    <t>1-2-601</t>
  </si>
  <si>
    <t>0000545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</si>
  <si>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</si>
  <si>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</si>
  <si>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</si>
  <si>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</si>
  <si>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</si>
  <si>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</si>
  <si>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</si>
  <si>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</si>
  <si>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</si>
  <si>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1-2-801</t>
  </si>
  <si>
    <t>1-2-802</t>
  </si>
  <si>
    <t>622301199806022817</t>
  </si>
  <si>
    <t>张生财</t>
  </si>
  <si>
    <t>0000731</t>
  </si>
  <si>
    <t>1-2-901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</si>
  <si>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</si>
  <si>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</si>
  <si>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</si>
  <si>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</si>
  <si>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</si>
  <si>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</si>
  <si>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</si>
  <si>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</si>
  <si>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</si>
  <si>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</si>
  <si>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</si>
  <si>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</si>
  <si>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</si>
  <si>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</si>
  <si>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</si>
  <si>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</si>
  <si>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</si>
  <si>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</si>
  <si>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</si>
  <si>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</si>
  <si>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</si>
  <si>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</si>
  <si>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</si>
  <si>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</si>
  <si>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</si>
  <si>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</si>
  <si>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</si>
  <si>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</si>
  <si>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</si>
  <si>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</si>
  <si>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</si>
  <si>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</si>
  <si>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</si>
  <si>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</si>
  <si>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</si>
  <si>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</si>
  <si>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</si>
  <si>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</si>
  <si>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</si>
  <si>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</si>
  <si>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</si>
  <si>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</si>
  <si>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</si>
  <si>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</si>
  <si>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</si>
  <si>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</si>
  <si>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</si>
  <si>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</si>
  <si>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</si>
  <si>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</si>
  <si>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</si>
  <si>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</si>
  <si>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</si>
  <si>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</si>
  <si>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</si>
  <si>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</si>
  <si>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</si>
  <si>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</si>
  <si>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</si>
  <si>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</si>
  <si>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</si>
  <si>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</si>
  <si>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</si>
  <si>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</si>
  <si>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</si>
  <si>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</si>
  <si>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</si>
  <si>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</si>
  <si>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</si>
  <si>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</si>
  <si>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</si>
  <si>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</si>
  <si>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</si>
  <si>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</si>
  <si>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</si>
  <si>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</si>
  <si>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</si>
  <si>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</si>
  <si>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</si>
  <si>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</si>
  <si>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</si>
  <si>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</si>
  <si>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</si>
  <si>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</si>
  <si>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</si>
  <si>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</si>
  <si>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</si>
  <si>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</si>
  <si>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</si>
  <si>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</si>
  <si>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</si>
  <si>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</si>
  <si>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</si>
  <si>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</si>
  <si>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</si>
  <si>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</si>
  <si>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</si>
  <si>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</si>
  <si>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</si>
  <si>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</si>
  <si>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</si>
  <si>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</si>
  <si>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</si>
  <si>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</si>
  <si>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</si>
  <si>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</si>
  <si>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</si>
  <si>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</si>
  <si>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</si>
  <si>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</si>
  <si>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</si>
  <si>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</si>
  <si>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</si>
  <si>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</si>
  <si>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</si>
  <si>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</si>
  <si>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</si>
  <si>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</si>
  <si>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</si>
  <si>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</si>
  <si>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</si>
  <si>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</si>
  <si>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</si>
  <si>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</si>
  <si>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</si>
  <si>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</si>
  <si>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</si>
  <si>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</si>
  <si>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</si>
  <si>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</si>
  <si>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</si>
  <si>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</si>
  <si>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</si>
  <si>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</si>
  <si>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</si>
  <si>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</si>
  <si>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</si>
  <si>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</si>
  <si>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</si>
  <si>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</si>
  <si>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</si>
  <si>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</si>
  <si>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</si>
  <si>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</si>
  <si>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</si>
  <si>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</si>
  <si>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</si>
  <si>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</si>
  <si>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</si>
  <si>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</si>
  <si>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</si>
  <si>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</si>
  <si>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</si>
  <si>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</si>
  <si>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</si>
  <si>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</si>
  <si>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</si>
  <si>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</si>
  <si>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</si>
  <si>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</si>
  <si>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</si>
  <si>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</si>
  <si>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</si>
  <si>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</si>
  <si>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</si>
  <si>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</si>
  <si>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</si>
  <si>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</si>
  <si>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</si>
  <si>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</si>
  <si>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</si>
  <si>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</si>
  <si>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</si>
  <si>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</si>
  <si>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</si>
  <si>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</si>
  <si>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</si>
  <si>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</si>
  <si>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</si>
  <si>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</si>
  <si>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</si>
  <si>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</si>
  <si>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</si>
  <si>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</si>
  <si>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</si>
  <si>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</si>
  <si>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</si>
  <si>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</si>
  <si>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</si>
  <si>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</si>
  <si>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</si>
  <si>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</si>
  <si>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</si>
  <si>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</si>
  <si>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</si>
  <si>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</si>
  <si>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</si>
  <si>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</si>
  <si>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</si>
  <si>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</si>
  <si>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</si>
  <si>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</si>
  <si>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</si>
  <si>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</si>
  <si>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</si>
  <si>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</si>
  <si>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</si>
  <si>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</si>
  <si>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</si>
  <si>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</si>
  <si>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</si>
  <si>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</si>
  <si>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</si>
  <si>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</si>
  <si>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</si>
  <si>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</si>
  <si>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</si>
  <si>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</si>
  <si>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</si>
  <si>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</si>
  <si>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</si>
  <si>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</si>
  <si>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</si>
  <si>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</si>
  <si>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</si>
  <si>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</si>
  <si>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</si>
  <si>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</si>
  <si>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</si>
  <si>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</si>
  <si>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</si>
  <si>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</si>
  <si>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</si>
  <si>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</si>
  <si>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</si>
  <si>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</si>
  <si>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</si>
  <si>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</si>
  <si>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</si>
  <si>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</si>
  <si>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</si>
  <si>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</si>
  <si>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</si>
  <si>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</si>
  <si>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</si>
  <si>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</si>
  <si>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</si>
  <si>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</si>
  <si>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</si>
  <si>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</si>
  <si>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</si>
  <si>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</si>
  <si>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</si>
  <si>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</si>
  <si>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</si>
  <si>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</si>
  <si>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</si>
  <si>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</si>
  <si>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</si>
  <si>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</si>
  <si>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</si>
  <si>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</si>
  <si>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</si>
  <si>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</si>
  <si>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</si>
  <si>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</si>
  <si>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</si>
  <si>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</si>
  <si>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</si>
  <si>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</si>
  <si>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</si>
  <si>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</si>
  <si>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</si>
  <si>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</si>
  <si>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</si>
  <si>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</si>
  <si>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</si>
  <si>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</si>
  <si>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</si>
  <si>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</si>
  <si>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</si>
  <si>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</si>
  <si>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</si>
  <si>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</si>
  <si>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</si>
  <si>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</si>
  <si>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</si>
  <si>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</si>
  <si>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</si>
  <si>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</si>
  <si>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</si>
  <si>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</si>
  <si>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</si>
  <si>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</si>
  <si>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</si>
  <si>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</si>
  <si>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</si>
  <si>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</si>
  <si>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</si>
  <si>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</si>
  <si>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</si>
  <si>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</si>
  <si>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</si>
  <si>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</si>
  <si>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</si>
  <si>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</si>
  <si>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</si>
  <si>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</si>
  <si>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</si>
  <si>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</si>
  <si>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</si>
  <si>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</si>
  <si>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</si>
  <si>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</si>
  <si>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</si>
  <si>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</si>
  <si>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</si>
  <si>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</si>
  <si>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</si>
  <si>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</si>
  <si>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</si>
  <si>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</si>
  <si>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</si>
  <si>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</si>
  <si>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</si>
  <si>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</si>
  <si>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</si>
  <si>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</si>
  <si>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</si>
  <si>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</si>
  <si>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</si>
  <si>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</si>
  <si>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</si>
  <si>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</si>
  <si>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</si>
  <si>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</si>
  <si>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</si>
  <si>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</si>
  <si>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</si>
  <si>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</si>
  <si>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</si>
  <si>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</si>
  <si>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</si>
  <si>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</si>
  <si>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</si>
  <si>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</si>
  <si>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</si>
  <si>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</si>
  <si>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</si>
  <si>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</si>
  <si>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</si>
  <si>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</si>
  <si>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</si>
  <si>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</si>
  <si>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</si>
  <si>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</si>
  <si>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</si>
  <si>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</si>
  <si>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</si>
  <si>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</si>
  <si>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</si>
  <si>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</si>
  <si>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</si>
  <si>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</si>
  <si>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</si>
  <si>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</si>
  <si>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</si>
  <si>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</si>
  <si>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</si>
  <si>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</si>
  <si>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</si>
  <si>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</si>
  <si>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</si>
  <si>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</si>
  <si>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</si>
  <si>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</si>
  <si>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</si>
  <si>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</si>
  <si>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622727199809256518</t>
  </si>
  <si>
    <t>何党全 退</t>
  </si>
  <si>
    <t>0000866</t>
  </si>
  <si>
    <t>2-2-902</t>
  </si>
  <si>
    <t>610424199806050814</t>
  </si>
  <si>
    <t>高旭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</si>
  <si>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</si>
  <si>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</si>
  <si>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</si>
  <si>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</si>
  <si>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</si>
  <si>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</si>
  <si>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</si>
  <si>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</si>
  <si>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</si>
  <si>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</si>
  <si>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</si>
  <si>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</si>
  <si>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</si>
  <si>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</si>
  <si>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</si>
  <si>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</si>
  <si>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</si>
  <si>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</si>
  <si>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</si>
  <si>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</si>
  <si>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</si>
  <si>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2-2-1102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</si>
  <si>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</si>
  <si>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</si>
  <si>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</si>
  <si>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</si>
  <si>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</si>
  <si>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</si>
  <si>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</si>
  <si>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</si>
  <si>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</si>
  <si>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</si>
  <si>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2-2-1202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</si>
  <si>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</si>
  <si>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</si>
  <si>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</si>
  <si>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</si>
  <si>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</si>
  <si>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</si>
  <si>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</si>
  <si>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</si>
  <si>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</si>
  <si>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</si>
  <si>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</si>
  <si>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</si>
  <si>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</si>
  <si>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</si>
  <si>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</si>
  <si>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</si>
  <si>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</si>
  <si>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</si>
  <si>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</si>
  <si>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</si>
  <si>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</si>
  <si>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</si>
  <si>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</si>
  <si>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</si>
  <si>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</si>
  <si>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</si>
  <si>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</si>
  <si>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</si>
  <si>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</si>
  <si>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</si>
  <si>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</si>
  <si>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</si>
  <si>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</si>
  <si>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</si>
  <si>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</si>
  <si>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</si>
  <si>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</si>
  <si>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</si>
  <si>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</si>
  <si>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</si>
  <si>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</si>
  <si>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</si>
  <si>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</si>
  <si>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</si>
  <si>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</si>
  <si>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</si>
  <si>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</si>
  <si>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</si>
  <si>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</si>
  <si>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</si>
  <si>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</si>
  <si>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</si>
  <si>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</si>
  <si>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</si>
  <si>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</si>
  <si>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</si>
  <si>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</si>
  <si>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</si>
  <si>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</si>
  <si>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</si>
  <si>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</si>
  <si>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</si>
  <si>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</si>
  <si>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</si>
  <si>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</si>
  <si>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</si>
  <si>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</si>
  <si>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</si>
  <si>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</si>
  <si>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</si>
  <si>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</si>
  <si>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</si>
  <si>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</si>
  <si>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</si>
  <si>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</si>
  <si>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</si>
  <si>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</si>
  <si>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</si>
  <si>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</si>
  <si>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</si>
  <si>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</si>
  <si>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</si>
  <si>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</si>
  <si>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</si>
  <si>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</si>
  <si>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</si>
  <si>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</si>
  <si>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</si>
  <si>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</si>
  <si>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</si>
  <si>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</si>
  <si>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</si>
  <si>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</si>
  <si>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</si>
  <si>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</si>
  <si>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</si>
  <si>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</si>
  <si>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</si>
  <si>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</si>
  <si>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</si>
  <si>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</si>
  <si>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</si>
  <si>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</si>
  <si>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</si>
  <si>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</si>
  <si>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</si>
  <si>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</si>
  <si>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</si>
  <si>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</si>
  <si>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</si>
  <si>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</si>
  <si>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</si>
  <si>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</si>
  <si>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</si>
  <si>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</si>
  <si>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</si>
  <si>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</si>
  <si>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</si>
  <si>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</si>
  <si>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</si>
  <si>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</si>
  <si>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</si>
  <si>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</si>
  <si>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</si>
  <si>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</si>
  <si>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</si>
  <si>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</si>
  <si>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</si>
  <si>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</si>
  <si>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</si>
  <si>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</si>
  <si>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</si>
  <si>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</si>
  <si>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</si>
  <si>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</si>
  <si>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</si>
  <si>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</si>
  <si>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</si>
  <si>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</si>
  <si>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</si>
  <si>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</si>
  <si>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</si>
  <si>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</si>
  <si>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</si>
  <si>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</si>
  <si>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</si>
  <si>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</si>
  <si>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</si>
  <si>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</si>
  <si>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</si>
  <si>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</si>
  <si>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</si>
  <si>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</si>
  <si>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</si>
  <si>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</si>
  <si>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</si>
  <si>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</si>
  <si>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</si>
  <si>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</si>
  <si>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</si>
  <si>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</si>
  <si>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</si>
  <si>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</si>
  <si>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</si>
  <si>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</si>
  <si>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</si>
  <si>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</si>
  <si>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</si>
  <si>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</si>
  <si>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</si>
  <si>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</si>
  <si>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</si>
  <si>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</si>
  <si>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</si>
  <si>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</si>
  <si>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</si>
  <si>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</si>
  <si>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</si>
  <si>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</si>
  <si>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</si>
  <si>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</si>
  <si>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</si>
  <si>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</si>
  <si>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</si>
  <si>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</si>
  <si>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</si>
  <si>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</si>
  <si>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</si>
  <si>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</si>
  <si>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</si>
  <si>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</si>
  <si>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</si>
  <si>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</si>
  <si>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</si>
  <si>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</si>
  <si>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</si>
  <si>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</si>
  <si>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</si>
  <si>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</si>
  <si>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</si>
  <si>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</si>
  <si>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</si>
  <si>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</si>
  <si>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</si>
  <si>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</si>
  <si>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</si>
  <si>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</si>
  <si>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</si>
  <si>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</si>
  <si>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</si>
  <si>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</si>
  <si>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</si>
  <si>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</si>
  <si>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</si>
  <si>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</si>
  <si>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</si>
  <si>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</si>
  <si>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</si>
  <si>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</si>
  <si>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</si>
  <si>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</si>
  <si>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</si>
  <si>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抵倪大伟771394</t>
  </si>
  <si>
    <t>3-1-201</t>
  </si>
  <si>
    <t>抵倪大伟771404</t>
  </si>
  <si>
    <t>3-1-202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</si>
  <si>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</si>
  <si>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</si>
  <si>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</si>
  <si>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</si>
  <si>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</si>
  <si>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</si>
  <si>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</si>
  <si>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</si>
  <si>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</si>
  <si>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</si>
  <si>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</si>
  <si>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</si>
  <si>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</si>
  <si>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</si>
  <si>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</si>
  <si>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</si>
  <si>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</si>
  <si>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</si>
  <si>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</si>
  <si>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</si>
  <si>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</si>
  <si>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</si>
  <si>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</si>
  <si>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</si>
  <si>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</si>
  <si>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</si>
  <si>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</si>
  <si>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</si>
  <si>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</si>
  <si>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</si>
  <si>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</si>
  <si>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</si>
  <si>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</si>
  <si>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</si>
  <si>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</si>
  <si>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</si>
  <si>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</si>
  <si>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</si>
  <si>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</si>
  <si>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</si>
  <si>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</si>
  <si>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</si>
  <si>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</si>
  <si>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</si>
  <si>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</si>
  <si>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</si>
  <si>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</si>
  <si>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</si>
  <si>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</si>
  <si>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</si>
  <si>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</si>
  <si>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</si>
  <si>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</si>
  <si>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</si>
  <si>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</si>
  <si>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</si>
  <si>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</si>
  <si>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</si>
  <si>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</si>
  <si>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</si>
  <si>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</si>
  <si>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</si>
  <si>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</si>
  <si>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</si>
  <si>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</si>
  <si>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</si>
  <si>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</si>
  <si>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</si>
  <si>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</si>
  <si>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</si>
  <si>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</si>
  <si>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</si>
  <si>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</si>
  <si>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</si>
  <si>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</si>
  <si>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</si>
  <si>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</si>
  <si>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</si>
  <si>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</si>
  <si>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</si>
  <si>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</si>
  <si>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</si>
  <si>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</si>
  <si>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</si>
  <si>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</si>
  <si>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</si>
  <si>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</si>
  <si>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</si>
  <si>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</si>
  <si>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</si>
  <si>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</si>
  <si>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3-1-1002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</si>
  <si>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</si>
  <si>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</si>
  <si>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</si>
  <si>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</si>
  <si>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</si>
  <si>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</si>
  <si>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</si>
  <si>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</si>
  <si>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</si>
  <si>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</si>
  <si>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652824197107041136</t>
  </si>
  <si>
    <t>陈建军</t>
  </si>
  <si>
    <t>0000735</t>
  </si>
  <si>
    <t>3-2-102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</si>
  <si>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</si>
  <si>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</si>
  <si>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</si>
  <si>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</si>
  <si>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</si>
  <si>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</si>
  <si>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</si>
  <si>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</si>
  <si>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</si>
  <si>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</si>
  <si>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</si>
  <si>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</si>
  <si>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</si>
  <si>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</si>
  <si>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</si>
  <si>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</si>
  <si>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</si>
  <si>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</si>
  <si>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</si>
  <si>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</si>
  <si>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</si>
  <si>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</si>
  <si>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</si>
  <si>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</si>
  <si>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</si>
  <si>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</si>
  <si>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</si>
  <si>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</si>
  <si>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</si>
  <si>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</si>
  <si>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</si>
  <si>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</si>
  <si>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</si>
  <si>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</si>
  <si>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</si>
  <si>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</si>
  <si>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</si>
  <si>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</si>
  <si>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</si>
  <si>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</si>
  <si>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</si>
  <si>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</si>
  <si>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</si>
  <si>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</si>
  <si>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</si>
  <si>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</si>
  <si>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</si>
  <si>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</si>
  <si>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</si>
  <si>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</si>
  <si>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</si>
  <si>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</si>
  <si>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</si>
  <si>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</si>
  <si>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</si>
  <si>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</si>
  <si>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</si>
  <si>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</si>
  <si>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</si>
  <si>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</si>
  <si>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</si>
  <si>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</si>
  <si>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</si>
  <si>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</si>
  <si>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</si>
  <si>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</si>
  <si>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</si>
  <si>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</si>
  <si>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</si>
  <si>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</si>
  <si>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</si>
  <si>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</si>
  <si>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</si>
  <si>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</si>
  <si>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</si>
  <si>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</si>
  <si>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</si>
  <si>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</si>
  <si>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</si>
  <si>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</si>
  <si>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</si>
  <si>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</si>
  <si>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</si>
  <si>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</si>
  <si>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</si>
  <si>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</si>
  <si>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</si>
  <si>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</si>
  <si>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</si>
  <si>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</si>
  <si>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</si>
  <si>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</si>
  <si>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</si>
  <si>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</si>
  <si>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</si>
  <si>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</si>
  <si>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</si>
  <si>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</si>
  <si>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</si>
  <si>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</si>
  <si>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</si>
  <si>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</si>
  <si>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</si>
  <si>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</si>
  <si>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</si>
  <si>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</si>
  <si>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</si>
  <si>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</si>
  <si>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</si>
  <si>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</si>
  <si>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</si>
  <si>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</si>
  <si>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</si>
  <si>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</si>
  <si>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</si>
  <si>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</si>
  <si>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</si>
  <si>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</si>
  <si>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</si>
  <si>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</si>
  <si>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</si>
  <si>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</si>
  <si>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</si>
  <si>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</si>
  <si>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</si>
  <si>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</si>
  <si>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</si>
  <si>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</si>
  <si>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</si>
  <si>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</si>
  <si>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</si>
  <si>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</si>
  <si>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</si>
  <si>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</si>
  <si>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</si>
  <si>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</si>
  <si>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</si>
  <si>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</si>
  <si>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</si>
  <si>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</si>
  <si>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</si>
  <si>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</si>
  <si>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</si>
  <si>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</si>
  <si>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</si>
  <si>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</si>
  <si>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</si>
  <si>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</si>
  <si>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</si>
  <si>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</si>
  <si>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</si>
  <si>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</si>
  <si>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</si>
  <si>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</si>
  <si>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</si>
  <si>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</si>
  <si>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</si>
  <si>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</si>
  <si>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</si>
  <si>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</si>
  <si>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</si>
  <si>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</si>
  <si>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</si>
  <si>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</si>
  <si>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</si>
  <si>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</si>
  <si>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</si>
  <si>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</si>
  <si>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</si>
  <si>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</si>
  <si>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</si>
  <si>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</si>
  <si>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</si>
  <si>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</si>
  <si>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</si>
  <si>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</si>
  <si>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</si>
  <si>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</si>
  <si>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</si>
  <si>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</si>
  <si>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</si>
  <si>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</si>
  <si>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</si>
  <si>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</si>
  <si>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</si>
  <si>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</si>
  <si>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</si>
  <si>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</si>
  <si>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</si>
  <si>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</si>
  <si>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</si>
  <si>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</si>
  <si>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</si>
  <si>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</si>
  <si>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</si>
  <si>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</si>
  <si>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</si>
  <si>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</si>
  <si>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</si>
  <si>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</si>
  <si>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</si>
  <si>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</si>
  <si>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</si>
  <si>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</si>
  <si>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</si>
  <si>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</si>
  <si>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</si>
  <si>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</si>
  <si>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</si>
  <si>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</si>
  <si>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</si>
  <si>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</si>
  <si>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</si>
  <si>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</si>
  <si>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</si>
  <si>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</si>
  <si>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</si>
  <si>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</si>
  <si>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</si>
  <si>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</si>
  <si>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</si>
  <si>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3-3-1102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</si>
  <si>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</si>
  <si>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</si>
  <si>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</si>
  <si>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</si>
  <si>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</si>
  <si>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</si>
  <si>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</si>
  <si>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</si>
  <si>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</si>
  <si>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</si>
  <si>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</si>
  <si>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</si>
  <si>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</si>
  <si>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</si>
  <si>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</si>
  <si>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</si>
  <si>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</si>
  <si>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</si>
  <si>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</si>
  <si>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</si>
  <si>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</si>
  <si>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</si>
  <si>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</si>
  <si>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</si>
  <si>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</si>
  <si>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</si>
  <si>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</si>
  <si>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</si>
  <si>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</si>
  <si>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</si>
  <si>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</si>
  <si>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</si>
  <si>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</si>
  <si>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</si>
  <si>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</si>
  <si>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</si>
  <si>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</si>
  <si>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钱欢丽</t>
  </si>
  <si>
    <t>5-1-202</t>
  </si>
  <si>
    <t>510812199101254182</t>
  </si>
  <si>
    <t>马小岚</t>
  </si>
  <si>
    <t>0000920</t>
  </si>
  <si>
    <t>5-1-301</t>
  </si>
  <si>
    <t>15609963666</t>
  </si>
  <si>
    <t>142724198701154132</t>
  </si>
  <si>
    <t>张恒 成交
雷骐羽 退</t>
  </si>
  <si>
    <t>0000670</t>
  </si>
  <si>
    <t>5-1-302</t>
  </si>
  <si>
    <t xml:space="preserve">
'0000337</t>
  </si>
  <si>
    <t>霍红霞
张玉琴</t>
  </si>
  <si>
    <t>15509963727</t>
  </si>
  <si>
    <t>652822198811100568</t>
  </si>
  <si>
    <t>王前丽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</si>
  <si>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</si>
  <si>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</si>
  <si>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</si>
  <si>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</si>
  <si>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</si>
  <si>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</si>
  <si>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</si>
  <si>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</si>
  <si>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</si>
  <si>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</si>
  <si>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</si>
  <si>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</si>
  <si>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</si>
  <si>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</si>
  <si>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</si>
  <si>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</si>
  <si>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</si>
  <si>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</si>
  <si>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</si>
  <si>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</si>
  <si>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</si>
  <si>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</si>
  <si>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</si>
  <si>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</si>
  <si>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</si>
  <si>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</si>
  <si>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</si>
  <si>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</si>
  <si>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</si>
  <si>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</si>
  <si>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</si>
  <si>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</si>
  <si>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</si>
  <si>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</si>
  <si>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</si>
  <si>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</si>
  <si>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</si>
  <si>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</si>
  <si>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</si>
  <si>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</si>
  <si>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</si>
  <si>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</si>
  <si>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</si>
  <si>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</si>
  <si>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</si>
  <si>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</si>
  <si>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</si>
  <si>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</si>
  <si>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</si>
  <si>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</si>
  <si>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</si>
  <si>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</si>
  <si>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</si>
  <si>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</si>
  <si>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</si>
  <si>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</si>
  <si>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</si>
  <si>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</si>
  <si>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</si>
  <si>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</si>
  <si>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</si>
  <si>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</si>
  <si>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</si>
  <si>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</si>
  <si>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</si>
  <si>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</si>
  <si>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</si>
  <si>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</si>
  <si>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</si>
  <si>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</si>
  <si>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</si>
  <si>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</si>
  <si>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</si>
  <si>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</si>
  <si>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</si>
  <si>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</si>
  <si>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</si>
  <si>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</si>
  <si>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</si>
  <si>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</si>
  <si>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</si>
  <si>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</si>
  <si>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</si>
  <si>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</si>
  <si>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杨丽丽 退</t>
  </si>
  <si>
    <t>5-1-1102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</si>
  <si>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</si>
  <si>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</si>
  <si>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</si>
  <si>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</si>
  <si>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</si>
  <si>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</si>
  <si>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</si>
  <si>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</si>
  <si>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</si>
  <si>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</si>
  <si>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</si>
  <si>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</si>
  <si>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</si>
  <si>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</si>
  <si>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5-2-202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</si>
  <si>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</si>
  <si>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</si>
  <si>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</si>
  <si>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</si>
  <si>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</si>
  <si>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</si>
  <si>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</si>
  <si>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</si>
  <si>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</si>
  <si>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</si>
  <si>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</si>
  <si>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</si>
  <si>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</si>
  <si>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</si>
  <si>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</si>
  <si>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</si>
  <si>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</si>
  <si>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</si>
  <si>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</si>
  <si>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</si>
  <si>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</si>
  <si>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</si>
  <si>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</si>
  <si>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</si>
  <si>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</si>
  <si>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</si>
  <si>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</si>
  <si>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</si>
  <si>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</si>
  <si>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</si>
  <si>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</si>
  <si>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</si>
  <si>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</si>
  <si>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</si>
  <si>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</si>
  <si>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</si>
  <si>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</si>
  <si>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</si>
  <si>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</si>
  <si>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</si>
  <si>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</si>
  <si>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</si>
  <si>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</si>
  <si>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</si>
  <si>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</si>
  <si>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</si>
  <si>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</si>
  <si>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</si>
  <si>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</si>
  <si>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</si>
  <si>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</si>
  <si>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</si>
  <si>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</si>
  <si>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</si>
  <si>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</si>
  <si>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</si>
  <si>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</si>
  <si>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</si>
  <si>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</si>
  <si>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</si>
  <si>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</si>
  <si>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</si>
  <si>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</si>
  <si>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</si>
  <si>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</si>
  <si>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</si>
  <si>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</si>
  <si>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</si>
  <si>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</si>
  <si>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</si>
  <si>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</si>
  <si>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</si>
  <si>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</si>
  <si>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</si>
  <si>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</si>
  <si>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</si>
  <si>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</si>
  <si>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</si>
  <si>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</si>
  <si>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</si>
  <si>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</si>
  <si>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</si>
  <si>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</si>
  <si>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</si>
  <si>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</si>
  <si>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</si>
  <si>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</si>
  <si>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652822199612310022</t>
  </si>
  <si>
    <t>蒋艺媛</t>
  </si>
  <si>
    <t>0000915</t>
  </si>
  <si>
    <t>5-2-1002</t>
  </si>
  <si>
    <t>2024.9.7</t>
  </si>
  <si>
    <t>18709966520</t>
  </si>
  <si>
    <t>5-2-1101</t>
  </si>
  <si>
    <t>5-2-1102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</si>
  <si>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</si>
  <si>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</si>
  <si>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</si>
  <si>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</si>
  <si>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</si>
  <si>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</si>
  <si>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</si>
  <si>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</si>
  <si>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</si>
  <si>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</si>
  <si>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</si>
  <si>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</si>
  <si>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</si>
  <si>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</si>
  <si>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</si>
  <si>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</si>
  <si>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</si>
  <si>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</si>
  <si>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</si>
  <si>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</si>
  <si>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</si>
  <si>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</si>
  <si>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7-1-201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</si>
  <si>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</si>
  <si>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</si>
  <si>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</si>
  <si>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</si>
  <si>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</si>
  <si>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</si>
  <si>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</si>
  <si>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</si>
  <si>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</si>
  <si>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</si>
  <si>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</si>
  <si>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</si>
  <si>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</si>
  <si>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</si>
  <si>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</si>
  <si>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</si>
  <si>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</si>
  <si>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</si>
  <si>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</si>
  <si>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</si>
  <si>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</si>
  <si>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</si>
  <si>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</si>
  <si>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</si>
  <si>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</si>
  <si>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</si>
  <si>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</si>
  <si>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</si>
  <si>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</si>
  <si>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</si>
  <si>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</si>
  <si>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</si>
  <si>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</si>
  <si>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</si>
  <si>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</si>
  <si>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</si>
  <si>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</si>
  <si>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</si>
  <si>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</si>
  <si>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</si>
  <si>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</si>
  <si>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</si>
  <si>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</si>
  <si>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</si>
  <si>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</si>
  <si>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</si>
  <si>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</si>
  <si>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</si>
  <si>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</si>
  <si>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</si>
  <si>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</si>
  <si>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</si>
  <si>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</si>
  <si>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</si>
  <si>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</si>
  <si>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</si>
  <si>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</si>
  <si>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</si>
  <si>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</si>
  <si>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</si>
  <si>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</si>
  <si>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</si>
  <si>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</si>
  <si>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</si>
  <si>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</si>
  <si>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</si>
  <si>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</si>
  <si>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</si>
  <si>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</si>
  <si>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</si>
  <si>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</si>
  <si>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</si>
  <si>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</si>
  <si>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</si>
  <si>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</si>
  <si>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</si>
  <si>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</si>
  <si>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</si>
  <si>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</si>
  <si>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</si>
  <si>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</si>
  <si>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</si>
  <si>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</si>
  <si>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</si>
  <si>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</si>
  <si>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</si>
  <si>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</si>
  <si>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</si>
  <si>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</si>
  <si>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</si>
  <si>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</si>
  <si>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</si>
  <si>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</si>
  <si>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</si>
  <si>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</si>
  <si>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</si>
  <si>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</si>
  <si>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</si>
  <si>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</si>
  <si>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</si>
  <si>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</si>
  <si>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</si>
  <si>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</si>
  <si>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</si>
  <si>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</si>
  <si>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</si>
  <si>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</si>
  <si>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</si>
  <si>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</si>
  <si>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</si>
  <si>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</si>
  <si>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</si>
  <si>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</si>
  <si>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</si>
  <si>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</si>
  <si>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7-1-1102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</si>
  <si>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</si>
  <si>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</si>
  <si>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</si>
  <si>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</si>
  <si>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</si>
  <si>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</si>
  <si>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</si>
  <si>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</si>
  <si>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</si>
  <si>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</si>
  <si>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</si>
  <si>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</si>
  <si>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</si>
  <si>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程雪娇</t>
  </si>
  <si>
    <t>7-2-201</t>
  </si>
  <si>
    <t>210703200004202017</t>
  </si>
  <si>
    <t>代荣淼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</si>
  <si>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</si>
  <si>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</si>
  <si>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</si>
  <si>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</si>
  <si>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</si>
  <si>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</si>
  <si>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</si>
  <si>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</si>
  <si>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</si>
  <si>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</si>
  <si>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</si>
  <si>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</si>
  <si>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</si>
  <si>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</si>
  <si>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</t>
  </si>
  <si>
    <t>徐胜宇已换房</t>
  </si>
  <si>
    <t>652826199808082610</t>
  </si>
  <si>
    <t xml:space="preserve">介文峰 </t>
  </si>
  <si>
    <t>000523</t>
  </si>
  <si>
    <t>7-2-401</t>
  </si>
  <si>
    <t>17509006865</t>
  </si>
  <si>
    <t>2024.11.3</t>
  </si>
  <si>
    <t>620421199303225814</t>
  </si>
  <si>
    <t>武耀帮、李慧萍</t>
  </si>
  <si>
    <t>0000923</t>
  </si>
  <si>
    <t>7-2-402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</si>
  <si>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</si>
  <si>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</si>
  <si>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</si>
  <si>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</si>
  <si>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</si>
  <si>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</si>
  <si>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</si>
  <si>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</si>
  <si>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</si>
  <si>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</si>
  <si>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</si>
  <si>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</si>
  <si>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</si>
  <si>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</si>
  <si>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</si>
  <si>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</si>
  <si>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</si>
  <si>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</si>
  <si>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</si>
  <si>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</si>
  <si>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</si>
  <si>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</si>
  <si>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</si>
  <si>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</si>
  <si>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</si>
  <si>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</si>
  <si>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</si>
  <si>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</si>
  <si>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</si>
  <si>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</si>
  <si>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</si>
  <si>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</si>
  <si>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</si>
  <si>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</si>
  <si>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</si>
  <si>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</si>
  <si>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</si>
  <si>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</si>
  <si>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</si>
  <si>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</si>
  <si>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</si>
  <si>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</si>
  <si>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</si>
  <si>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</si>
  <si>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</si>
  <si>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</si>
  <si>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</si>
  <si>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</si>
  <si>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</si>
  <si>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</si>
  <si>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</si>
  <si>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</si>
  <si>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</si>
  <si>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</si>
  <si>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</si>
  <si>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</si>
  <si>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</si>
  <si>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</si>
  <si>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</si>
  <si>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</si>
  <si>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</si>
  <si>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</si>
  <si>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</si>
  <si>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</si>
  <si>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</si>
  <si>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</si>
  <si>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</si>
  <si>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</si>
  <si>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</si>
  <si>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</si>
  <si>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</si>
  <si>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7-2-1101</t>
  </si>
  <si>
    <t>62272719860616351X</t>
  </si>
  <si>
    <t>贾龙</t>
  </si>
  <si>
    <t>0000554</t>
  </si>
  <si>
    <t>7-2-1102</t>
  </si>
  <si>
    <t>18209088353</t>
  </si>
  <si>
    <t>收7-1-602 梁石磊 购房款(诚意金排号费转房款)</t>
  </si>
  <si>
    <t>收会费</t>
  </si>
  <si>
    <t xml:space="preserve">             8#楼住宅销售明细表 </t>
  </si>
  <si>
    <t>2024.9月佣金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</si>
  <si>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</si>
  <si>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</si>
  <si>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</si>
  <si>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</si>
  <si>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</si>
  <si>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</si>
  <si>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</si>
  <si>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</si>
  <si>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</si>
  <si>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</si>
  <si>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8-1-201</t>
  </si>
  <si>
    <t>8-1-202</t>
  </si>
  <si>
    <t>652822198312080021</t>
  </si>
  <si>
    <t>周小艳
衡澳 要退</t>
  </si>
  <si>
    <t>任成48.8万转</t>
  </si>
  <si>
    <t>8-1-301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</si>
  <si>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</si>
  <si>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</si>
  <si>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</si>
  <si>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</si>
  <si>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</si>
  <si>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</si>
  <si>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</si>
  <si>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</si>
  <si>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</si>
  <si>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</si>
  <si>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</si>
  <si>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</si>
  <si>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</si>
  <si>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</si>
  <si>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</si>
  <si>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</si>
  <si>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</si>
  <si>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</si>
  <si>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</si>
  <si>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</si>
  <si>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</si>
  <si>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</si>
  <si>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</si>
  <si>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</si>
  <si>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</si>
  <si>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</si>
  <si>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</si>
  <si>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</si>
  <si>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</si>
  <si>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</si>
  <si>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</si>
  <si>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</si>
  <si>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</si>
  <si>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</si>
  <si>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</si>
  <si>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</si>
  <si>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</si>
  <si>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</si>
  <si>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</si>
  <si>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</si>
  <si>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</si>
  <si>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</si>
  <si>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</si>
  <si>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</si>
  <si>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</si>
  <si>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</si>
  <si>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</si>
  <si>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</si>
  <si>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</si>
  <si>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</si>
  <si>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</si>
  <si>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</si>
  <si>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</si>
  <si>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</si>
  <si>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</si>
  <si>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</si>
  <si>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</si>
  <si>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512922197201065726</t>
  </si>
  <si>
    <t>何林华</t>
  </si>
  <si>
    <t>0001110</t>
  </si>
  <si>
    <t>8-1-1002</t>
  </si>
  <si>
    <t>0000559</t>
  </si>
  <si>
    <t>8-1-1101</t>
  </si>
  <si>
    <t>8-1-1102</t>
  </si>
  <si>
    <t>8-2-101</t>
  </si>
  <si>
    <t>2024.11.6</t>
  </si>
  <si>
    <t xml:space="preserve">
65280119530405053X</t>
  </si>
  <si>
    <t>何自将
胡胜国 退</t>
  </si>
  <si>
    <t>0000724</t>
  </si>
  <si>
    <t>8-2-102</t>
  </si>
  <si>
    <t>8-2-201</t>
  </si>
  <si>
    <t>8-2-202</t>
  </si>
  <si>
    <t>652801197309194523</t>
  </si>
  <si>
    <t>屈淑红</t>
  </si>
  <si>
    <t>0000927</t>
  </si>
  <si>
    <t>8-2-301</t>
  </si>
  <si>
    <t>652801198907010514</t>
  </si>
  <si>
    <t>吕超</t>
  </si>
  <si>
    <t>8-2-302</t>
  </si>
  <si>
    <t>送冰箱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</si>
  <si>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</si>
  <si>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</si>
  <si>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</si>
  <si>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</si>
  <si>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</si>
  <si>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</si>
  <si>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</si>
  <si>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</si>
  <si>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</si>
  <si>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</si>
  <si>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</si>
  <si>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</si>
  <si>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</si>
  <si>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</si>
  <si>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</si>
  <si>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</si>
  <si>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</si>
  <si>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</si>
  <si>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</si>
  <si>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</si>
  <si>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</si>
  <si>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</si>
  <si>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</si>
  <si>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</si>
  <si>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</si>
  <si>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</si>
  <si>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</si>
  <si>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</si>
  <si>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</si>
  <si>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</si>
  <si>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</si>
  <si>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</si>
  <si>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</si>
  <si>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</si>
  <si>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</si>
  <si>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</si>
  <si>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涂建伟</t>
  </si>
  <si>
    <t>8-2-901</t>
  </si>
  <si>
    <t>412724198606296429</t>
  </si>
  <si>
    <t>任风丽</t>
  </si>
  <si>
    <t>0000926</t>
  </si>
  <si>
    <t>8-2-902</t>
  </si>
  <si>
    <t>8-2-1001</t>
  </si>
  <si>
    <t>8-2-1002</t>
  </si>
  <si>
    <t>8-2-1101</t>
  </si>
  <si>
    <t>8-2-1102</t>
  </si>
  <si>
    <t>8-3-101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</si>
  <si>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</si>
  <si>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</si>
  <si>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</si>
  <si>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</si>
  <si>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</si>
  <si>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</si>
  <si>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</si>
  <si>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</si>
  <si>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</si>
  <si>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8-3-401</t>
  </si>
  <si>
    <t>8-3-402</t>
  </si>
  <si>
    <t>65282919771223152X</t>
  </si>
  <si>
    <t>宏格尔</t>
  </si>
  <si>
    <t>0000904</t>
  </si>
  <si>
    <t>8-3-501</t>
  </si>
  <si>
    <t>无家装送冰箱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</si>
  <si>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</si>
  <si>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</si>
  <si>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</si>
  <si>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</si>
  <si>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</si>
  <si>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</si>
  <si>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</si>
  <si>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</si>
  <si>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</si>
  <si>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</si>
  <si>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</si>
  <si>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</si>
  <si>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8-3-702</t>
  </si>
  <si>
    <t>622226197310300513</t>
  </si>
  <si>
    <t>杨俊涛</t>
  </si>
  <si>
    <t>8-3-801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</si>
  <si>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</si>
  <si>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</si>
  <si>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</si>
  <si>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</si>
  <si>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</si>
  <si>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</si>
  <si>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</si>
  <si>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8-3-1001</t>
  </si>
  <si>
    <t>8-3-1002</t>
  </si>
  <si>
    <t>8-3-1101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</si>
  <si>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</si>
  <si>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</si>
  <si>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</si>
  <si>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</si>
  <si>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</si>
  <si>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</si>
  <si>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</si>
  <si>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</si>
  <si>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</si>
  <si>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</si>
  <si>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</si>
  <si>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</si>
  <si>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</si>
  <si>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</si>
  <si>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</si>
  <si>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</si>
  <si>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</si>
  <si>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</si>
  <si>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</si>
  <si>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</si>
  <si>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</si>
  <si>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</si>
  <si>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</si>
  <si>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</si>
  <si>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</si>
  <si>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</si>
  <si>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</si>
  <si>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</si>
  <si>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</si>
  <si>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654124199804033310</t>
  </si>
  <si>
    <t>张福英</t>
  </si>
  <si>
    <t>0000733</t>
  </si>
  <si>
    <t>4-1-601</t>
  </si>
  <si>
    <t>4-1-602</t>
  </si>
  <si>
    <t>411024198107010749</t>
  </si>
  <si>
    <t>石绘芳</t>
  </si>
  <si>
    <t>4-1-701</t>
  </si>
  <si>
    <t>2024.10.6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</si>
  <si>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</si>
  <si>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</si>
  <si>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</si>
  <si>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</si>
  <si>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</si>
  <si>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</si>
  <si>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</si>
  <si>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</si>
  <si>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</si>
  <si>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</si>
  <si>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</si>
  <si>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</si>
  <si>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</si>
  <si>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</si>
  <si>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</si>
  <si>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</si>
  <si>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</si>
  <si>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</si>
  <si>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4-2-502</t>
  </si>
  <si>
    <t>4-2-601</t>
  </si>
  <si>
    <t>4-2-602</t>
  </si>
  <si>
    <t>4-2-701</t>
  </si>
  <si>
    <t>4-2-702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</si>
  <si>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</si>
  <si>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</si>
  <si>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</si>
  <si>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</si>
  <si>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</si>
  <si>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</si>
  <si>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</si>
  <si>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</si>
  <si>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</si>
  <si>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</si>
  <si>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</si>
  <si>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</si>
  <si>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</si>
  <si>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</si>
  <si>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</si>
  <si>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</si>
  <si>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</si>
  <si>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</si>
  <si>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</si>
  <si>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</si>
  <si>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</si>
  <si>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</si>
  <si>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</si>
  <si>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</si>
  <si>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</si>
  <si>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</si>
  <si>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</si>
  <si>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</si>
  <si>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</si>
  <si>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</si>
  <si>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</si>
  <si>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</si>
  <si>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</si>
  <si>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</si>
  <si>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</si>
  <si>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</si>
  <si>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</si>
  <si>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</si>
  <si>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</si>
  <si>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</si>
  <si>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</si>
  <si>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</si>
  <si>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</si>
  <si>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</si>
  <si>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</si>
  <si>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</si>
  <si>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</si>
  <si>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</si>
  <si>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</si>
  <si>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</si>
  <si>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</si>
  <si>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</si>
  <si>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</si>
  <si>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</si>
  <si>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</si>
  <si>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</si>
  <si>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</si>
  <si>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</si>
  <si>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</si>
  <si>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</si>
  <si>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</si>
  <si>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</si>
  <si>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</si>
  <si>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</si>
  <si>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</si>
  <si>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</si>
  <si>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</si>
  <si>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</si>
  <si>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</si>
  <si>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</si>
  <si>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</si>
  <si>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</si>
  <si>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</si>
  <si>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</si>
  <si>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</si>
  <si>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6-2-302</t>
  </si>
  <si>
    <t>6-2-401</t>
  </si>
  <si>
    <t>6-2-402</t>
  </si>
  <si>
    <t>6-2-501</t>
  </si>
  <si>
    <t>6-2-502</t>
  </si>
  <si>
    <t>6-2-601</t>
  </si>
  <si>
    <t>6-2-602</t>
  </si>
  <si>
    <t>6-2-701</t>
  </si>
  <si>
    <t>6-2-702</t>
  </si>
  <si>
    <t>6-2-801</t>
  </si>
  <si>
    <t>6-2-802</t>
  </si>
  <si>
    <t>6-2-901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</si>
  <si>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</si>
  <si>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</si>
  <si>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</si>
  <si>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</si>
  <si>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</si>
  <si>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</si>
  <si>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</si>
  <si>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</si>
  <si>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 成交
李宜璇
王小红 退</t>
  </si>
  <si>
    <t>6-3-101</t>
  </si>
  <si>
    <t>2024.9.1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</si>
  <si>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</si>
  <si>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</si>
  <si>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</si>
  <si>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</si>
  <si>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</si>
  <si>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</si>
  <si>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</si>
  <si>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</si>
  <si>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</si>
  <si>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6-3-601</t>
  </si>
  <si>
    <t>6-3-602</t>
  </si>
  <si>
    <t>6-3-701</t>
  </si>
  <si>
    <t>6-3-702</t>
  </si>
  <si>
    <t>6-3-801</t>
  </si>
  <si>
    <t>6-3-802</t>
  </si>
  <si>
    <t>6-3-901</t>
  </si>
  <si>
    <t>6-3-902</t>
  </si>
  <si>
    <t>6-3-1001</t>
  </si>
  <si>
    <t>6-3-1002</t>
  </si>
  <si>
    <t>6-3-1101</t>
  </si>
  <si>
    <t>6-3-1102</t>
  </si>
  <si>
    <t>收4-1-101 许振双 购房款(诚意金排号费转房款8-1-101)</t>
  </si>
  <si>
    <t>144平以下</t>
  </si>
  <si>
    <t>144平以上</t>
  </si>
  <si>
    <t>16-1层01</t>
  </si>
  <si>
    <t>0000240</t>
  </si>
  <si>
    <t>李玲</t>
  </si>
  <si>
    <t>16-1层02</t>
  </si>
  <si>
    <t>16-1层03</t>
  </si>
  <si>
    <t>16-1层04</t>
  </si>
  <si>
    <t>16-1层05</t>
  </si>
  <si>
    <t>薛勇</t>
  </si>
  <si>
    <t>16-1层06</t>
  </si>
  <si>
    <t>2024.10.7</t>
  </si>
  <si>
    <t>0000242</t>
  </si>
  <si>
    <t>16-1层07</t>
  </si>
  <si>
    <t>16-1层08</t>
  </si>
  <si>
    <t>16-1层09</t>
  </si>
  <si>
    <t>16-1层10</t>
  </si>
  <si>
    <t>16-1层11</t>
  </si>
  <si>
    <t>16-1层12</t>
  </si>
  <si>
    <t>16-1层13</t>
  </si>
  <si>
    <t>16-1层14</t>
  </si>
  <si>
    <t>16-1层15</t>
  </si>
  <si>
    <t>16-1层16</t>
  </si>
  <si>
    <t>16-1层17</t>
  </si>
  <si>
    <t>郭亚坤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</si>
  <si>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</si>
  <si>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</si>
  <si>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</si>
  <si>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</si>
  <si>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</si>
  <si>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</si>
  <si>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</si>
  <si>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</si>
  <si>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</si>
  <si>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</si>
  <si>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</si>
  <si>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</si>
  <si>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</si>
  <si>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</si>
  <si>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</si>
  <si>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</si>
  <si>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</si>
  <si>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</si>
  <si>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16-2层18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</si>
  <si>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</si>
  <si>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</si>
  <si>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</si>
  <si>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</si>
  <si>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</si>
  <si>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</si>
  <si>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</si>
  <si>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</si>
  <si>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</si>
  <si>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</si>
  <si>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</si>
  <si>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</si>
  <si>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</si>
  <si>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</si>
  <si>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</si>
  <si>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</si>
  <si>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</si>
  <si>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</si>
  <si>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</si>
  <si>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</si>
  <si>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</si>
  <si>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</si>
  <si>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19-1层20</t>
  </si>
  <si>
    <t>19-2层01</t>
  </si>
  <si>
    <t>19-2层02</t>
  </si>
  <si>
    <t>19-2层03</t>
  </si>
  <si>
    <t>19-2层04</t>
  </si>
  <si>
    <t>房屋资料</t>
  </si>
  <si>
    <t>客户资料</t>
  </si>
  <si>
    <t>面积</t>
  </si>
  <si>
    <t>实测面积</t>
  </si>
  <si>
    <t>面积差</t>
  </si>
  <si>
    <t>房款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</si>
  <si>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</si>
  <si>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</si>
  <si>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</si>
  <si>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</si>
  <si>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</si>
  <si>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</si>
  <si>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</si>
  <si>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</si>
  <si>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</si>
  <si>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</si>
  <si>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</si>
  <si>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</si>
  <si>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</si>
  <si>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</si>
  <si>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</si>
  <si>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税金</t>
  </si>
  <si>
    <t>未签合同按收款金额报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</si>
  <si>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</si>
  <si>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</si>
  <si>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</si>
  <si>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</si>
  <si>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</si>
  <si>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</si>
  <si>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</si>
  <si>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</si>
  <si>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</si>
  <si>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</si>
  <si>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</si>
  <si>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</si>
  <si>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</si>
  <si>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</si>
  <si>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</si>
  <si>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</si>
  <si>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</si>
  <si>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牛燕
徐爽崴成交
艾建 退</t>
  </si>
  <si>
    <t>412722199006201192</t>
  </si>
  <si>
    <t>凌亚彬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</si>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</sst>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0_);[Red]\(0.00\)"/>
    <numFmt numFmtId="201" formatCode="yyyy&quot;年&quot;m&quot;月&quot;d&quot;日&quot;;@"/>
    <numFmt numFmtId="202" formatCode="yyyy/m/d;@"/>
    <numFmt numFmtId="203" formatCode="0.0%"/>
    <numFmt numFmtId="204" formatCode="0.0_ "/>
    <numFmt numFmtId="205" formatCode="0.0000%"/>
    <numFmt numFmtId="206" formatCode="_ * #,##0.000_ ;_ * \-#,##0.000_ ;_ * &quot;-&quot;??.0_ ;_ @_ "/>
    <numFmt numFmtId="207" formatCode="#,##0.000_ "/>
    <numFmt numFmtId="208" formatCode="m/d;@"/>
    <numFmt numFmtId="209" formatCode="#,##0_ "/>
    <numFmt numFmtId="210" formatCode="_ * #,##0.0000_ ;_ * \-#,##0.0000_ ;_ * &quot;-&quot;??.00_ ;_ @_ "/>
    <numFmt numFmtId="211" formatCode="0.000_ "/>
    <numFmt numFmtId="212" formatCode="0;[Red]0"/>
    <numFmt numFmtId="213" formatCode="0.0000_ "/>
    <numFmt numFmtId="214" formatCode="0_);[Red]\(0\)"/>
    <numFmt numFmtId="215" formatCode="#,##0_);[Red]\(#,##0\)"/>
    <numFmt numFmtId="216" formatCode="#,##0;[Red]#,##0"/>
  </numFmts>
  <fonts count="147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12"/>
      <color rgb="FF92D050"/>
      <name val="仿宋"/>
      <charset val="134"/>
    </font>
    <font>
      <sz val="12"/>
      <color rgb="FF7030A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b/>
      <sz val="9"/>
      <name val="宋体"/>
      <charset val="134"/>
    </font>
    <font>
      <sz val="9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9" fillId="14" borderId="22" applyNumberFormat="0" applyFon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5" fillId="0" borderId="23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15" borderId="25" applyNumberFormat="0" applyAlignment="0" applyProtection="0">
      <alignment vertical="center"/>
    </xf>
    <xf numFmtId="0" fontId="78" fillId="16" borderId="26" applyNumberFormat="0" applyAlignment="0" applyProtection="0">
      <alignment vertical="center"/>
    </xf>
    <xf numFmtId="0" fontId="79" fillId="16" borderId="25" applyNumberFormat="0" applyAlignment="0" applyProtection="0">
      <alignment vertical="center"/>
    </xf>
    <xf numFmtId="0" fontId="80" fillId="17" borderId="27" applyNumberFormat="0" applyAlignment="0" applyProtection="0">
      <alignment vertical="center"/>
    </xf>
    <xf numFmtId="0" fontId="81" fillId="0" borderId="28" applyNumberFormat="0" applyFill="0" applyAlignment="0" applyProtection="0">
      <alignment vertical="center"/>
    </xf>
    <xf numFmtId="0" fontId="82" fillId="0" borderId="29" applyNumberFormat="0" applyFill="0" applyAlignment="0" applyProtection="0">
      <alignment vertical="center"/>
    </xf>
    <xf numFmtId="0" fontId="83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86" fillId="21" borderId="0" applyNumberFormat="0" applyBorder="0" applyAlignment="0" applyProtection="0">
      <alignment vertical="center"/>
    </xf>
    <xf numFmtId="0" fontId="87" fillId="22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86" fillId="24" borderId="0" applyNumberFormat="0" applyBorder="0" applyAlignment="0" applyProtection="0">
      <alignment vertical="center"/>
    </xf>
    <xf numFmtId="0" fontId="86" fillId="25" borderId="0" applyNumberFormat="0" applyBorder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87" fillId="27" borderId="0" applyNumberFormat="0" applyBorder="0" applyAlignment="0" applyProtection="0">
      <alignment vertical="center"/>
    </xf>
    <xf numFmtId="0" fontId="86" fillId="28" borderId="0" applyNumberFormat="0" applyBorder="0" applyAlignment="0" applyProtection="0">
      <alignment vertical="center"/>
    </xf>
    <xf numFmtId="0" fontId="86" fillId="29" borderId="0" applyNumberFormat="0" applyBorder="0" applyAlignment="0" applyProtection="0">
      <alignment vertical="center"/>
    </xf>
    <xf numFmtId="0" fontId="87" fillId="30" borderId="0" applyNumberFormat="0" applyBorder="0" applyAlignment="0" applyProtection="0">
      <alignment vertical="center"/>
    </xf>
    <xf numFmtId="0" fontId="87" fillId="31" borderId="0" applyNumberFormat="0" applyBorder="0" applyAlignment="0" applyProtection="0">
      <alignment vertical="center"/>
    </xf>
    <xf numFmtId="0" fontId="86" fillId="32" borderId="0" applyNumberFormat="0" applyBorder="0" applyAlignment="0" applyProtection="0">
      <alignment vertical="center"/>
    </xf>
    <xf numFmtId="0" fontId="86" fillId="33" borderId="0" applyNumberFormat="0" applyBorder="0" applyAlignment="0" applyProtection="0">
      <alignment vertical="center"/>
    </xf>
    <xf numFmtId="0" fontId="87" fillId="34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36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7" fillId="38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86" fillId="40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42" borderId="0" applyNumberFormat="0" applyBorder="0" applyAlignment="0" applyProtection="0">
      <alignment vertical="center"/>
    </xf>
    <xf numFmtId="0" fontId="87" fillId="43" borderId="0" applyNumberFormat="0" applyBorder="0" applyAlignment="0" applyProtection="0">
      <alignment vertical="center"/>
    </xf>
    <xf numFmtId="0" fontId="86" fillId="44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3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96" fillId="0" borderId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5" fontId="102" fillId="0" borderId="0" applyFont="0" applyFill="0" applyBorder="0" applyAlignment="0" applyProtection="0"/>
    <xf numFmtId="0" fontId="93" fillId="48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58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78" fontId="110" fillId="62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6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68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38" fontId="9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56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112" fillId="0" borderId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52" borderId="0" applyNumberFormat="0" applyBorder="0" applyAlignment="0" applyProtection="0"/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19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107" fillId="0" borderId="0"/>
    <xf numFmtId="0" fontId="19" fillId="6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7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0" fontId="56" fillId="0" borderId="37" applyNumberFormat="0" applyFill="0" applyAlignment="0" applyProtection="0">
      <alignment vertical="center"/>
    </xf>
    <xf numFmtId="0" fontId="68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44" fillId="5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7" fillId="0" borderId="0"/>
    <xf numFmtId="0" fontId="115" fillId="9" borderId="0" applyNumberFormat="0" applyBorder="0" applyAlignment="0" applyProtection="0"/>
    <xf numFmtId="0" fontId="114" fillId="0" borderId="11">
      <alignment horizontal="left" vertical="center"/>
    </xf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99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7" fillId="0" borderId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7" fillId="0" borderId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7" fillId="0" borderId="0"/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10" fontId="32" fillId="0" borderId="0" applyFont="0" applyFill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10" fontId="32" fillId="0" borderId="0" applyFont="0" applyFill="0" applyBorder="0" applyAlignment="0" applyProtection="0"/>
    <xf numFmtId="0" fontId="44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0" borderId="0" applyNumberFormat="0" applyBorder="0" applyAlignment="0" applyProtection="0"/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2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0" fontId="112" fillId="0" borderId="0"/>
    <xf numFmtId="0" fontId="93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6" fillId="0" borderId="0">
      <alignment vertical="center"/>
    </xf>
    <xf numFmtId="0" fontId="107" fillId="0" borderId="0"/>
    <xf numFmtId="0" fontId="115" fillId="9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6" fillId="0" borderId="0"/>
    <xf numFmtId="0" fontId="44" fillId="57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9" fontId="32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9" fontId="32" fillId="0" borderId="0" applyFont="0" applyFill="0" applyBorder="0" applyAlignment="0" applyProtection="0"/>
    <xf numFmtId="0" fontId="99" fillId="0" borderId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119" fillId="64" borderId="1" applyAlignment="0" applyProtection="0">
      <alignment vertical="center"/>
    </xf>
    <xf numFmtId="0" fontId="32" fillId="0" borderId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32" fillId="0" borderId="0"/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12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7" fillId="0" borderId="0"/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6" fillId="0" borderId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6" fillId="0" borderId="0"/>
    <xf numFmtId="0" fontId="0" fillId="0" borderId="0">
      <alignment vertical="center"/>
    </xf>
    <xf numFmtId="0" fontId="96" fillId="0" borderId="0"/>
    <xf numFmtId="0" fontId="0" fillId="0" borderId="0">
      <alignment vertical="center"/>
    </xf>
    <xf numFmtId="0" fontId="96" fillId="0" borderId="0"/>
    <xf numFmtId="0" fontId="96" fillId="0" borderId="0"/>
    <xf numFmtId="0" fontId="96" fillId="0" borderId="0"/>
    <xf numFmtId="0" fontId="56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6" fillId="0" borderId="0"/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6" fillId="0" borderId="0"/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96" fillId="0" borderId="0"/>
    <xf numFmtId="0" fontId="97" fillId="48" borderId="0" applyNumberFormat="0" applyBorder="0" applyAlignment="0" applyProtection="0">
      <alignment vertical="center"/>
    </xf>
    <xf numFmtId="0" fontId="96" fillId="0" borderId="0"/>
    <xf numFmtId="0" fontId="97" fillId="48" borderId="0" applyNumberFormat="0" applyBorder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7" fillId="0" borderId="0"/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44" fillId="57" borderId="0" applyNumberFormat="0" applyBorder="0" applyAlignment="0" applyProtection="0">
      <alignment vertical="center"/>
    </xf>
    <xf numFmtId="0" fontId="107" fillId="0" borderId="0"/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107" fillId="0" borderId="0"/>
    <xf numFmtId="0" fontId="107" fillId="0" borderId="0"/>
    <xf numFmtId="0" fontId="107" fillId="0" borderId="0"/>
    <xf numFmtId="0" fontId="45" fillId="13" borderId="0" applyNumberFormat="0" applyBorder="0" applyAlignment="0" applyProtection="0">
      <alignment vertical="center"/>
    </xf>
    <xf numFmtId="0" fontId="107" fillId="0" borderId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7" fillId="0" borderId="0"/>
    <xf numFmtId="0" fontId="100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7" fillId="0" borderId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2" fillId="0" borderId="0"/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/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2" fillId="0" borderId="0"/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12" fillId="0" borderId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112" fillId="0" borderId="0">
      <alignment vertical="center"/>
      <protection locked="0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54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8" fillId="59" borderId="0" applyNumberFormat="0" applyBorder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8" fillId="5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9" fillId="0" borderId="37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9" fillId="0" borderId="37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7" fillId="0" borderId="0"/>
    <xf numFmtId="0" fontId="93" fillId="51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178" fontId="110" fillId="62" borderId="0"/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2" fillId="0" borderId="0">
      <protection locked="0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78" fontId="110" fillId="62" borderId="0"/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7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97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8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79" fontId="121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9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178" fontId="110" fillId="62" borderId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9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3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68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22" fillId="0" borderId="0">
      <alignment horizontal="center" wrapText="1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80" fontId="32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19" fillId="0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180" fontId="32" fillId="0" borderId="0" applyFont="0" applyFill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0" borderId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9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93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102" fillId="0" borderId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2" fillId="0" borderId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7" fillId="48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22" fillId="0" borderId="0">
      <alignment horizontal="center" vertical="center" wrapText="1"/>
      <protection locked="0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178" fontId="110" fillId="62" borderId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5" fillId="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92" fillId="0" borderId="32">
      <alignment horizontal="center"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92" fillId="0" borderId="32">
      <alignment horizontal="center"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97" fillId="5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20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78" fontId="110" fillId="62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178" fontId="110" fillId="62" borderId="0"/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19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/>
    <xf numFmtId="0" fontId="44" fillId="48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3" fillId="61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93" fillId="48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37" fontId="128" fillId="0" borderId="0">
      <alignment vertical="center"/>
    </xf>
    <xf numFmtId="0" fontId="19" fillId="48" borderId="0" applyNumberFormat="0" applyBorder="0" applyAlignment="0" applyProtection="0">
      <alignment vertical="center"/>
    </xf>
    <xf numFmtId="37" fontId="128" fillId="0" borderId="0"/>
    <xf numFmtId="0" fontId="93" fillId="46" borderId="0" applyNumberFormat="0" applyBorder="0" applyAlignment="0" applyProtection="0">
      <alignment vertical="center"/>
    </xf>
    <xf numFmtId="37" fontId="128" fillId="0" borderId="0">
      <alignment vertical="center"/>
    </xf>
    <xf numFmtId="0" fontId="19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94" fillId="0" borderId="33" applyNumberFormat="0" applyFill="0" applyProtection="0">
      <alignment horizontal="center"/>
    </xf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94" fillId="0" borderId="33" applyNumberFormat="0" applyFill="0" applyProtection="0">
      <alignment horizont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44" fillId="6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4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12" fillId="0" borderId="0">
      <protection locked="0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103" fillId="46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0" fontId="44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103" fillId="46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82" fontId="121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179" fontId="121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179" fontId="121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>
      <protection locked="0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0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44" fillId="58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protection locked="0"/>
    </xf>
    <xf numFmtId="0" fontId="44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9" fillId="60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5" fillId="51" borderId="0" applyNumberFormat="0" applyBorder="0" applyAlignment="0" applyProtection="0"/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00" fillId="52" borderId="0" applyNumberFormat="0" applyBorder="0" applyAlignment="0" applyProtection="0"/>
    <xf numFmtId="0" fontId="19" fillId="0" borderId="0" applyNumberFormat="0" applyBorder="0" applyAlignment="0" applyProtection="0"/>
    <xf numFmtId="0" fontId="45" fillId="51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6" borderId="0" applyNumberFormat="0" applyBorder="0" applyAlignment="0" applyProtection="0"/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4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5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12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13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93" fillId="60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9" fillId="7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9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100" fillId="50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13" borderId="0" applyNumberFormat="0" applyBorder="0" applyAlignment="0" applyProtection="0"/>
    <xf numFmtId="0" fontId="100" fillId="5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14" fontId="122" fillId="0" borderId="0">
      <alignment horizontal="center" wrapText="1"/>
      <protection locked="0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4" fillId="0" borderId="33" applyNumberFormat="0" applyFill="0" applyProtection="0">
      <alignment horizont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9" fillId="0" borderId="0" applyNumberFormat="0" applyBorder="0" applyAlignment="0" applyProtection="0"/>
    <xf numFmtId="0" fontId="68" fillId="7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68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19" fillId="54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54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/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79" fontId="121" fillId="0" borderId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179" fontId="121" fillId="0" borderId="0"/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97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7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37" fontId="19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37" fontId="19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5" borderId="0" applyNumberFormat="0" applyBorder="0" applyAlignment="0" applyProtection="0"/>
    <xf numFmtId="0" fontId="112" fillId="0" borderId="0">
      <alignment vertical="center"/>
      <protection locked="0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102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4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12" fillId="0" borderId="0">
      <protection locked="0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12" fillId="0" borderId="0">
      <protection locked="0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55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68" fillId="0" borderId="0" applyNumberFormat="0" applyBorder="0" applyAlignment="0" applyProtection="0"/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0" fillId="53" borderId="0" applyNumberFormat="0" applyBorder="0" applyAlignment="0" applyProtection="0"/>
    <xf numFmtId="0" fontId="68" fillId="0" borderId="0" applyNumberFormat="0" applyBorder="0" applyAlignment="0" applyProtection="0"/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8" fillId="50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68" fillId="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68" fillId="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/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68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68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112" fillId="0" borderId="0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111" fillId="47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19" fillId="60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178" fontId="124" fillId="68" borderId="0">
      <alignment vertical="center"/>
    </xf>
    <xf numFmtId="0" fontId="115" fillId="9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78" fontId="124" fillId="68" borderId="0">
      <alignment vertical="center"/>
    </xf>
    <xf numFmtId="0" fontId="115" fillId="9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37" fontId="128" fillId="0" borderId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45" fillId="51" borderId="0" applyNumberFormat="0" applyBorder="0" applyAlignment="0" applyProtection="0"/>
    <xf numFmtId="0" fontId="19" fillId="0" borderId="0" applyNumberFormat="0" applyBorder="0" applyAlignment="0" applyProtection="0"/>
    <xf numFmtId="10" fontId="95" fillId="45" borderId="1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9" fillId="6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9" fillId="6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19" fillId="60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68" fillId="55" borderId="0" applyNumberFormat="0" applyBorder="0" applyAlignment="0" applyProtection="0"/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68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45" borderId="0" applyNumberFormat="0" applyBorder="0" applyAlignment="0" applyProtection="0"/>
    <xf numFmtId="0" fontId="102" fillId="65" borderId="0" applyNumberFormat="0" applyFon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68" fillId="49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68" fillId="4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00" fillId="55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5" fillId="9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9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1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00" fillId="52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15" fontId="102" fillId="0" borderId="0" applyFon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8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97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31" fillId="47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14" fontId="122" fillId="0" borderId="0">
      <alignment horizontal="center" wrapText="1"/>
      <protection locked="0"/>
    </xf>
    <xf numFmtId="0" fontId="19" fillId="55" borderId="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56" fillId="0" borderId="0">
      <alignment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89" fillId="0" borderId="15" applyNumberFormat="0" applyFill="0" applyProtection="0">
      <alignment horizontal="center"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 applyNumberFormat="0" applyFont="0" applyFill="0" applyBorder="0" applyAlignment="0" applyProtection="0">
      <alignment horizontal="left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0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68" fillId="55" borderId="0" applyNumberFormat="0" applyBorder="0" applyAlignment="0" applyProtection="0"/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68" fillId="55" borderId="0" applyNumberFormat="0" applyBorder="0" applyAlignment="0" applyProtection="0"/>
    <xf numFmtId="0" fontId="114" fillId="0" borderId="11">
      <alignment horizontal="left" vertical="center"/>
    </xf>
    <xf numFmtId="0" fontId="45" fillId="45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5" fillId="45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115" fillId="9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40" fontId="118" fillId="0" borderId="1" applyFill="0" applyAlignment="0" applyProtection="0">
      <alignment vertical="center"/>
    </xf>
    <xf numFmtId="178" fontId="110" fillId="62" borderId="0">
      <alignment vertical="center"/>
    </xf>
    <xf numFmtId="0" fontId="45" fillId="9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182" fontId="121" fillId="0" borderId="0"/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2" fillId="0" borderId="0" applyNumberFormat="0" applyFont="0" applyFill="0" applyBorder="0" applyAlignment="0" applyProtection="0">
      <alignment horizontal="left"/>
    </xf>
    <xf numFmtId="0" fontId="45" fillId="9" borderId="0" applyNumberFormat="0" applyBorder="0" applyAlignment="0" applyProtection="0"/>
    <xf numFmtId="0" fontId="102" fillId="0" borderId="0" applyNumberFormat="0" applyFont="0" applyFill="0" applyBorder="0" applyAlignment="0" applyProtection="0">
      <alignment horizontal="left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176" fontId="56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0">
      <alignment vertical="center"/>
    </xf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17" fillId="0" borderId="0" applyNumberFormat="0" applyFill="0" applyBorder="0" applyAlignment="0" applyProtection="0"/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37" fontId="128" fillId="0" borderId="0"/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68" fillId="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Border="0" applyAlignment="0" applyProtection="0"/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17" fillId="0" borderId="0" applyNumberFormat="0" applyFill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45" fillId="13" borderId="0" applyNumberFormat="0" applyBorder="0" applyAlignment="0" applyProtection="0"/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0" fillId="0" borderId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45" fillId="13" borderId="0" applyNumberFormat="0" applyBorder="0" applyAlignment="0" applyProtection="0"/>
    <xf numFmtId="0" fontId="45" fillId="6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40" fontId="118" fillId="0" borderId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178" fontId="124" fillId="68" borderId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9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69" borderId="0" applyNumberFormat="0" applyBorder="0" applyAlignment="0" applyProtection="0"/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6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6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6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9" fillId="6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1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5" fontId="102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9" fillId="7" borderId="0" applyNumberFormat="0" applyBorder="0" applyAlignment="0" applyProtection="0"/>
    <xf numFmtId="0" fontId="45" fillId="51" borderId="0" applyNumberFormat="0" applyBorder="0" applyAlignment="0" applyProtection="0"/>
    <xf numFmtId="179" fontId="121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7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4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68" fillId="4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68" fillId="49" borderId="0" applyNumberFormat="0" applyBorder="0" applyAlignment="0" applyProtection="0"/>
    <xf numFmtId="0" fontId="100" fillId="50" borderId="0" applyNumberFormat="0" applyBorder="0" applyAlignment="0" applyProtection="0"/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31" fillId="47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31" fillId="47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40" fontId="11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37" fontId="128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37" fontId="128" fillId="0" borderId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37" fontId="128" fillId="0" borderId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19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0" fontId="100" fillId="46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9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179" fontId="121" fillId="0" borderId="0"/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79" fontId="121" fillId="0" borderId="0"/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40" fontId="118" fillId="0" borderId="0" applyFill="0" applyAlignment="0" applyProtection="0">
      <alignment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77" fontId="32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9" fillId="6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83" fontId="121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182" fontId="121" fillId="0" borderId="0"/>
    <xf numFmtId="0" fontId="100" fillId="50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122" fillId="0" borderId="0">
      <alignment horizontal="center" wrapText="1"/>
      <protection locked="0"/>
    </xf>
    <xf numFmtId="0" fontId="100" fillId="50" borderId="0" applyNumberFormat="0" applyBorder="0" applyAlignment="0" applyProtection="0"/>
    <xf numFmtId="0" fontId="122" fillId="0" borderId="0">
      <alignment horizontal="center" wrapText="1"/>
      <protection locked="0"/>
    </xf>
    <xf numFmtId="0" fontId="100" fillId="50" borderId="0" applyNumberFormat="0" applyBorder="0" applyAlignment="0" applyProtection="0"/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184" fontId="32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56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68" fillId="0" borderId="0" applyNumberFormat="0" applyBorder="0" applyAlignment="0" applyProtection="0"/>
    <xf numFmtId="0" fontId="0" fillId="0" borderId="0"/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182" fontId="121" fillId="0" borderId="0"/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19" fillId="0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19" fillId="7" borderId="0" applyNumberFormat="0" applyBorder="0" applyAlignment="0" applyProtection="0"/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182" fontId="121" fillId="0" borderId="0">
      <alignment vertical="center"/>
    </xf>
    <xf numFmtId="0" fontId="19" fillId="7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32" fillId="1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46" borderId="0" applyNumberFormat="0" applyBorder="0" applyAlignment="0" applyProtection="0"/>
    <xf numFmtId="0" fontId="100" fillId="54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0" fontId="100" fillId="54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92" fillId="0" borderId="32">
      <alignment horizontal="center" vertical="center"/>
    </xf>
    <xf numFmtId="0" fontId="100" fillId="46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4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40" fontId="118" fillId="0" borderId="1" applyFill="0" applyAlignment="0" applyProtection="0">
      <alignment vertical="center"/>
    </xf>
    <xf numFmtId="177" fontId="32" fillId="0" borderId="0"/>
    <xf numFmtId="40" fontId="118" fillId="0" borderId="1" applyFill="0" applyAlignment="0" applyProtection="0">
      <alignment vertical="center"/>
    </xf>
    <xf numFmtId="177" fontId="32" fillId="0" borderId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22" fillId="0" borderId="0">
      <alignment horizontal="center" wrapText="1"/>
      <protection locked="0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0" fillId="0" borderId="0">
      <alignment vertical="center"/>
    </xf>
    <xf numFmtId="0" fontId="98" fillId="0" borderId="1" applyNumberFormat="0" applyFill="0" applyAlignment="0" applyProtection="0">
      <alignment vertical="center"/>
    </xf>
    <xf numFmtId="0" fontId="119" fillId="64" borderId="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5" fontId="32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179" fontId="121" fillId="0" borderId="0">
      <alignment vertical="center"/>
    </xf>
    <xf numFmtId="179" fontId="121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79" fontId="121" fillId="0" borderId="0"/>
    <xf numFmtId="0" fontId="44" fillId="0" borderId="0">
      <alignment vertical="center"/>
    </xf>
    <xf numFmtId="0" fontId="0" fillId="0" borderId="0">
      <alignment vertical="center"/>
    </xf>
    <xf numFmtId="179" fontId="121" fillId="0" borderId="0"/>
    <xf numFmtId="179" fontId="121" fillId="0" borderId="0"/>
    <xf numFmtId="179" fontId="121" fillId="0" borderId="0"/>
    <xf numFmtId="179" fontId="121" fillId="0" borderId="0"/>
    <xf numFmtId="179" fontId="121" fillId="0" borderId="0"/>
    <xf numFmtId="0" fontId="44" fillId="0" borderId="0">
      <alignment vertical="center"/>
    </xf>
    <xf numFmtId="0" fontId="44" fillId="0" borderId="0">
      <alignment vertical="center"/>
    </xf>
    <xf numFmtId="179" fontId="121" fillId="0" borderId="0"/>
    <xf numFmtId="179" fontId="121" fillId="0" borderId="0"/>
    <xf numFmtId="186" fontId="32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82" fontId="121" fillId="0" borderId="0">
      <alignment vertical="center"/>
    </xf>
    <xf numFmtId="0" fontId="19" fillId="0" borderId="0" applyNumberFormat="0" applyBorder="0" applyAlignment="0" applyProtection="0"/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0" fontId="44" fillId="0" borderId="0">
      <alignment vertical="center"/>
    </xf>
    <xf numFmtId="182" fontId="121" fillId="0" borderId="0"/>
    <xf numFmtId="0" fontId="44" fillId="0" borderId="0">
      <alignment vertical="center"/>
    </xf>
    <xf numFmtId="182" fontId="121" fillId="0" borderId="0"/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2" fontId="121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82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2" fontId="121" fillId="0" borderId="0">
      <alignment vertical="center"/>
    </xf>
    <xf numFmtId="15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/>
    <xf numFmtId="0" fontId="44" fillId="0" borderId="0">
      <alignment vertical="center"/>
    </xf>
    <xf numFmtId="15" fontId="102" fillId="0" borderId="0"/>
    <xf numFmtId="0" fontId="113" fillId="46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15" fontId="102" fillId="0" borderId="0"/>
    <xf numFmtId="15" fontId="102" fillId="0" borderId="0"/>
    <xf numFmtId="15" fontId="102" fillId="0" borderId="0"/>
    <xf numFmtId="0" fontId="19" fillId="0" borderId="0" applyNumberFormat="0" applyBorder="0" applyAlignment="0" applyProtection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77" fontId="32" fillId="0" borderId="0"/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0" fontId="9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83" fontId="121" fillId="0" borderId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>
      <alignment vertical="center"/>
    </xf>
    <xf numFmtId="183" fontId="121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183" fontId="121" fillId="0" borderId="0"/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0" fontId="99" fillId="0" borderId="0">
      <alignment vertical="center"/>
    </xf>
    <xf numFmtId="183" fontId="121" fillId="0" borderId="0"/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83" fontId="121" fillId="0" borderId="0"/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left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/>
    <xf numFmtId="10" fontId="95" fillId="45" borderId="1" applyNumberFormat="0" applyBorder="0" applyAlignment="0" applyProtection="0">
      <alignment vertical="center"/>
    </xf>
    <xf numFmtId="0" fontId="0" fillId="0" borderId="0"/>
    <xf numFmtId="0" fontId="99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56" fillId="0" borderId="37" applyNumberFormat="0" applyFill="0" applyAlignment="0" applyProtection="0">
      <alignment vertical="center"/>
    </xf>
    <xf numFmtId="0" fontId="0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102" fillId="0" borderId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>
      <alignment vertical="center"/>
    </xf>
    <xf numFmtId="0" fontId="99" fillId="0" borderId="0">
      <alignment vertical="center"/>
    </xf>
    <xf numFmtId="0" fontId="0" fillId="0" borderId="0"/>
    <xf numFmtId="0" fontId="0" fillId="0" borderId="0"/>
    <xf numFmtId="0" fontId="44" fillId="0" borderId="0">
      <alignment vertical="center"/>
    </xf>
    <xf numFmtId="0" fontId="9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4" fillId="68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99" fillId="0" borderId="0" applyNumberFormat="0" applyFont="0" applyAlignment="0" applyProtection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38" fontId="95" fillId="13" borderId="0" applyNumberFormat="0" applyBorder="0" applyAlignment="0" applyProtection="0"/>
    <xf numFmtId="38" fontId="95" fillId="13" borderId="0" applyNumberFormat="0" applyBorder="0" applyAlignment="0" applyProtection="0"/>
    <xf numFmtId="0" fontId="99" fillId="0" borderId="0">
      <alignment vertical="center"/>
    </xf>
    <xf numFmtId="38" fontId="9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38" fontId="9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14" fillId="0" borderId="41" applyNumberFormat="0" applyAlignment="0" applyProtection="0">
      <alignment horizontal="left" vertical="center"/>
    </xf>
    <xf numFmtId="0" fontId="56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0" fontId="102" fillId="0" borderId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8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8" fillId="0" borderId="1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9" fillId="13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177" fontId="32" fillId="0" borderId="0"/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/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5" fontId="102" fillId="0" borderId="0" applyFont="0" applyFill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4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3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3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37" fontId="128" fillId="0" borderId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/>
    <xf numFmtId="0" fontId="99" fillId="0" borderId="0">
      <alignment vertical="center"/>
    </xf>
    <xf numFmtId="0" fontId="56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4" fillId="0" borderId="33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9" fillId="0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02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6" fillId="63" borderId="38">
      <protection locked="0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7" fontId="102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5" fillId="0" borderId="42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9" fillId="0" borderId="0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/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0" fontId="32" fillId="0" borderId="15" applyNumberFormat="0" applyFill="0" applyProtection="0">
      <alignment horizontal="right"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178" fontId="124" fillId="68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0" fontId="44" fillId="0" borderId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0" fontId="106" fillId="13" borderId="31" applyNumberFormat="0" applyAlignment="0" applyProtection="0">
      <alignment vertical="center"/>
    </xf>
    <xf numFmtId="38" fontId="102" fillId="0" borderId="0" applyFont="0" applyFill="0" applyBorder="0" applyAlignment="0" applyProtection="0">
      <alignment vertical="center"/>
    </xf>
    <xf numFmtId="0" fontId="32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88" fontId="102" fillId="0" borderId="0" applyFont="0" applyFill="0" applyBorder="0" applyAlignment="0" applyProtection="0">
      <alignment vertical="center"/>
    </xf>
    <xf numFmtId="189" fontId="32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99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0" fontId="19" fillId="54" borderId="0" applyNumberFormat="0" applyBorder="0" applyAlignment="0" applyProtection="0"/>
    <xf numFmtId="0" fontId="99" fillId="0" borderId="0">
      <alignment vertical="center"/>
    </xf>
    <xf numFmtId="37" fontId="128" fillId="0" borderId="0"/>
    <xf numFmtId="37" fontId="128" fillId="0" borderId="0"/>
    <xf numFmtId="0" fontId="99" fillId="0" borderId="0">
      <alignment vertical="center"/>
    </xf>
    <xf numFmtId="37" fontId="128" fillId="0" borderId="0"/>
    <xf numFmtId="0" fontId="99" fillId="0" borderId="0">
      <alignment vertical="center"/>
    </xf>
    <xf numFmtId="37" fontId="128" fillId="0" borderId="0"/>
    <xf numFmtId="37" fontId="128" fillId="0" borderId="0"/>
    <xf numFmtId="37" fontId="128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177" fontId="32" fillId="0" borderId="0">
      <alignment vertical="center"/>
    </xf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0" fontId="56" fillId="0" borderId="0">
      <alignment vertical="center"/>
    </xf>
    <xf numFmtId="177" fontId="32" fillId="0" borderId="0"/>
    <xf numFmtId="177" fontId="32" fillId="0" borderId="0"/>
    <xf numFmtId="177" fontId="32" fillId="0" borderId="0"/>
    <xf numFmtId="177" fontId="32" fillId="0" borderId="0"/>
    <xf numFmtId="0" fontId="19" fillId="55" borderId="0" applyNumberFormat="0" applyAlignment="0" applyProtection="0">
      <alignment vertical="center"/>
    </xf>
    <xf numFmtId="177" fontId="32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6" fillId="63" borderId="38">
      <protection locked="0"/>
    </xf>
    <xf numFmtId="40" fontId="98" fillId="0" borderId="1" applyFill="0" applyAlignment="0" applyProtection="0">
      <alignment vertical="center"/>
    </xf>
    <xf numFmtId="0" fontId="116" fillId="63" borderId="38"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8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119" fillId="64" borderId="1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32" fillId="0" borderId="0" applyFont="0" applyFill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8" fillId="6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0" fontId="56" fillId="0" borderId="0"/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10" fontId="32" fillId="0" borderId="0" applyFont="0" applyFill="0" applyBorder="0" applyAlignment="0" applyProtection="0"/>
    <xf numFmtId="0" fontId="68" fillId="0" borderId="0" applyNumberFormat="0" applyBorder="0" applyAlignment="0" applyProtection="0"/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9" fontId="112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119" fillId="64" borderId="1" applyAlignment="0" applyProtection="0">
      <alignment vertical="center"/>
    </xf>
    <xf numFmtId="40" fontId="119" fillId="64" borderId="1" applyAlignment="0" applyProtection="0">
      <alignment vertical="center"/>
    </xf>
    <xf numFmtId="40" fontId="98" fillId="0" borderId="1" applyFill="0" applyAlignment="0" applyProtection="0">
      <alignment vertical="center"/>
    </xf>
    <xf numFmtId="40" fontId="119" fillId="64" borderId="1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9" fillId="64" borderId="1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90" fontId="32" fillId="0" borderId="0" applyFont="0" applyFill="0" applyProtection="0">
      <alignment vertical="center"/>
    </xf>
    <xf numFmtId="0" fontId="102" fillId="0" borderId="0" applyNumberFormat="0" applyFont="0" applyFill="0" applyBorder="0" applyAlignment="0" applyProtection="0">
      <alignment horizontal="left" vertical="center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99" fillId="0" borderId="0">
      <alignment vertical="center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19" fillId="0" borderId="0" applyNumberFormat="0" applyBorder="0" applyAlignment="0" applyProtection="0"/>
    <xf numFmtId="15" fontId="102" fillId="0" borderId="0" applyFont="0" applyFill="0" applyBorder="0" applyAlignment="0" applyProtection="0"/>
    <xf numFmtId="0" fontId="19" fillId="0" borderId="0" applyNumberFormat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99" fillId="0" borderId="0" applyNumberFormat="0" applyBorder="0" applyAlignment="0" applyProtection="0">
      <alignment vertical="center"/>
    </xf>
    <xf numFmtId="15" fontId="102" fillId="0" borderId="0" applyFont="0" applyFill="0" applyBorder="0" applyAlignment="0" applyProtection="0"/>
    <xf numFmtId="0" fontId="99" fillId="0" borderId="0" applyNumberFormat="0" applyBorder="0" applyAlignment="0" applyProtection="0">
      <alignment vertical="center"/>
    </xf>
    <xf numFmtId="15" fontId="102" fillId="0" borderId="0" applyFont="0" applyFill="0" applyBorder="0" applyAlignment="0" applyProtection="0"/>
    <xf numFmtId="0" fontId="56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99" fillId="0" borderId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0" fillId="0" borderId="0">
      <alignment vertical="center"/>
    </xf>
    <xf numFmtId="4" fontId="102" fillId="0" borderId="0" applyFont="0" applyFill="0" applyBorder="0" applyAlignment="0" applyProtection="0"/>
    <xf numFmtId="0" fontId="0" fillId="0" borderId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97" fillId="69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97" fillId="69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92" fillId="0" borderId="32">
      <alignment horizontal="center" vertical="center"/>
    </xf>
    <xf numFmtId="0" fontId="92" fillId="0" borderId="32">
      <alignment horizontal="center"/>
    </xf>
    <xf numFmtId="0" fontId="92" fillId="0" borderId="32">
      <alignment horizontal="center"/>
    </xf>
    <xf numFmtId="0" fontId="99" fillId="0" borderId="0">
      <alignment vertic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9" fillId="0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9" fillId="0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2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91" fillId="13" borderId="31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03" fillId="46" borderId="30" applyNumberFormat="0" applyAlignment="0" applyProtection="0">
      <alignment vertical="center"/>
    </xf>
    <xf numFmtId="0" fontId="116" fillId="63" borderId="38">
      <protection locked="0"/>
    </xf>
    <xf numFmtId="0" fontId="103" fillId="46" borderId="30" applyNumberFormat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56" fillId="0" borderId="37" applyNumberFormat="0" applyFill="0" applyAlignment="0" applyProtection="0">
      <alignment vertical="center"/>
    </xf>
    <xf numFmtId="0" fontId="116" fillId="63" borderId="38">
      <protection locked="0"/>
    </xf>
    <xf numFmtId="0" fontId="56" fillId="0" borderId="37" applyNumberFormat="0" applyFill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99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56" fillId="0" borderId="37" applyNumberFormat="0" applyFill="0" applyAlignment="0" applyProtection="0">
      <alignment vertical="center"/>
    </xf>
    <xf numFmtId="0" fontId="137" fillId="0" borderId="0">
      <alignment vertical="center"/>
    </xf>
    <xf numFmtId="0" fontId="56" fillId="0" borderId="0">
      <alignment vertical="center"/>
    </xf>
    <xf numFmtId="0" fontId="98" fillId="0" borderId="1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99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16" fillId="63" borderId="38">
      <protection locked="0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16" fillId="63" borderId="38">
      <protection locked="0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99" fillId="0" borderId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2" fillId="0" borderId="0" applyFont="0" applyFill="0" applyBorder="0" applyAlignment="0" applyProtection="0">
      <alignment vertical="center"/>
    </xf>
    <xf numFmtId="192" fontId="32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04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56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2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1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56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88" fillId="13" borderId="30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0" fillId="0" borderId="0">
      <alignment vertical="center"/>
    </xf>
    <xf numFmtId="0" fontId="117" fillId="0" borderId="0" applyNumberFormat="0" applyFill="0" applyBorder="0" applyAlignment="0" applyProtection="0"/>
    <xf numFmtId="0" fontId="0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9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/>
    <xf numFmtId="0" fontId="0" fillId="0" borderId="0">
      <alignment vertical="center"/>
    </xf>
    <xf numFmtId="0" fontId="131" fillId="47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/>
    <xf numFmtId="0" fontId="99" fillId="0" borderId="0">
      <alignment vertical="center"/>
    </xf>
    <xf numFmtId="0" fontId="56" fillId="0" borderId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7" borderId="0" applyNumberFormat="0" applyBorder="0" applyAlignment="0" applyProtection="0"/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/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60" borderId="0" applyNumberFormat="0" applyBorder="0" applyAlignment="0" applyProtection="0"/>
    <xf numFmtId="0" fontId="99" fillId="0" borderId="0">
      <alignment vertical="center"/>
    </xf>
    <xf numFmtId="0" fontId="19" fillId="6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2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3" fillId="46" borderId="3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02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/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0" fillId="0" borderId="0"/>
    <xf numFmtId="0" fontId="0" fillId="0" borderId="0"/>
    <xf numFmtId="0" fontId="102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54" borderId="0" applyNumberFormat="0" applyBorder="0" applyAlignment="0" applyProtection="0"/>
    <xf numFmtId="0" fontId="9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/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/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3" fontId="140" fillId="0" borderId="0" applyNumberForma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/>
    <xf numFmtId="0" fontId="99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46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7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/>
    <xf numFmtId="0" fontId="99" fillId="0" borderId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99" fillId="0" borderId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42" fillId="55" borderId="4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68" fillId="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9" fillId="0" borderId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9" fillId="0" borderId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4" fillId="0" borderId="33" applyNumberFormat="0" applyFill="0" applyProtection="0">
      <alignment horizontal="left" vertical="center"/>
    </xf>
    <xf numFmtId="0" fontId="94" fillId="0" borderId="33" applyNumberFormat="0" applyFill="0" applyProtection="0">
      <alignment horizontal="left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/>
    <xf numFmtId="0" fontId="99" fillId="0" borderId="0">
      <alignment vertical="center"/>
    </xf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8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193" fontId="32" fillId="0" borderId="33" applyFill="0" applyProtection="0">
      <alignment horizontal="right" vertical="center"/>
    </xf>
    <xf numFmtId="193" fontId="32" fillId="0" borderId="33" applyFill="0" applyProtection="0">
      <alignment horizontal="right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19" fillId="7" borderId="0" applyNumberFormat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99" fillId="0" borderId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9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" fontId="32" fillId="0" borderId="33" applyFill="0" applyProtection="0">
      <alignment horizontal="center" vertical="center"/>
    </xf>
    <xf numFmtId="1" fontId="32" fillId="0" borderId="33" applyFill="0" applyProtection="0">
      <alignment horizont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0" fontId="102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2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/>
  </cellStyleXfs>
  <cellXfs count="7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200" fontId="19" fillId="0" borderId="0" xfId="0" applyNumberFormat="1" applyFont="1" applyFill="1" applyBorder="1" applyAlignment="1">
      <alignment horizontal="center" vertical="center"/>
    </xf>
    <xf numFmtId="201" fontId="18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194" fontId="15" fillId="0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/>
    </xf>
    <xf numFmtId="202" fontId="18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3" fontId="18" fillId="3" borderId="0" xfId="3" applyNumberFormat="1" applyFont="1" applyFill="1" applyBorder="1" applyAlignment="1">
      <alignment horizontal="center" vertical="center" wrapText="1"/>
    </xf>
    <xf numFmtId="195" fontId="18" fillId="3" borderId="0" xfId="3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4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 wrapText="1"/>
    </xf>
    <xf numFmtId="194" fontId="17" fillId="0" borderId="0" xfId="0" applyNumberFormat="1" applyFont="1" applyFill="1" applyBorder="1" applyAlignment="1">
      <alignment horizontal="center" vertical="center"/>
    </xf>
    <xf numFmtId="194" fontId="17" fillId="0" borderId="0" xfId="0" applyNumberFormat="1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7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7" fontId="20" fillId="4" borderId="0" xfId="0" applyNumberFormat="1" applyFont="1" applyFill="1" applyBorder="1" applyAlignment="1" applyProtection="1">
      <alignment horizontal="center" vertical="center" shrinkToFit="1"/>
    </xf>
    <xf numFmtId="0" fontId="20" fillId="4" borderId="0" xfId="0" applyFont="1" applyFill="1" applyBorder="1" applyAlignment="1" applyProtection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0" fontId="4" fillId="4" borderId="0" xfId="0" applyFont="1" applyFill="1" applyBorder="1" applyAlignment="1">
      <alignment horizontal="center" vertical="center"/>
    </xf>
    <xf numFmtId="49" fontId="20" fillId="4" borderId="0" xfId="0" applyNumberFormat="1" applyFont="1" applyFill="1" applyBorder="1" applyAlignment="1" applyProtection="1">
      <alignment horizontal="center" vertical="center" shrinkToFit="1"/>
    </xf>
    <xf numFmtId="201" fontId="17" fillId="0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/>
    </xf>
    <xf numFmtId="202" fontId="17" fillId="0" borderId="0" xfId="0" applyNumberFormat="1" applyFont="1" applyFill="1" applyBorder="1" applyAlignment="1">
      <alignment horizontal="center" vertical="center"/>
    </xf>
    <xf numFmtId="195" fontId="16" fillId="0" borderId="0" xfId="3" applyNumberFormat="1" applyFont="1" applyFill="1" applyBorder="1" applyAlignment="1">
      <alignment horizontal="center" vertical="center"/>
    </xf>
    <xf numFmtId="203" fontId="17" fillId="3" borderId="0" xfId="3" applyNumberFormat="1" applyFont="1" applyFill="1" applyBorder="1" applyAlignment="1">
      <alignment horizontal="center" vertical="center" wrapText="1"/>
    </xf>
    <xf numFmtId="195" fontId="17" fillId="3" borderId="0" xfId="3" applyNumberFormat="1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195" fontId="16" fillId="4" borderId="0" xfId="3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49" fontId="21" fillId="4" borderId="0" xfId="0" applyNumberFormat="1" applyFont="1" applyFill="1" applyBorder="1" applyAlignment="1" applyProtection="1">
      <alignment horizontal="center" vertical="center" shrinkToFit="1"/>
    </xf>
    <xf numFmtId="0" fontId="21" fillId="4" borderId="0" xfId="0" applyFont="1" applyFill="1" applyBorder="1" applyAlignment="1" applyProtection="1">
      <alignment horizontal="center" vertical="center"/>
    </xf>
    <xf numFmtId="200" fontId="15" fillId="4" borderId="0" xfId="0" applyNumberFormat="1" applyFont="1" applyFill="1" applyBorder="1" applyAlignment="1">
      <alignment horizontal="center" vertical="center"/>
    </xf>
    <xf numFmtId="197" fontId="21" fillId="0" borderId="0" xfId="0" applyNumberFormat="1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/>
    </xf>
    <xf numFmtId="49" fontId="21" fillId="5" borderId="0" xfId="0" applyNumberFormat="1" applyFont="1" applyFill="1" applyBorder="1" applyAlignment="1" applyProtection="1">
      <alignment horizontal="center" vertical="center" shrinkToFit="1"/>
    </xf>
    <xf numFmtId="0" fontId="21" fillId="5" borderId="0" xfId="0" applyFont="1" applyFill="1" applyBorder="1" applyAlignment="1" applyProtection="1">
      <alignment horizontal="center" vertical="center"/>
    </xf>
    <xf numFmtId="197" fontId="21" fillId="4" borderId="0" xfId="0" applyNumberFormat="1" applyFont="1" applyFill="1" applyBorder="1" applyAlignment="1" applyProtection="1">
      <alignment horizontal="center" vertical="center" shrinkToFit="1"/>
    </xf>
    <xf numFmtId="49" fontId="22" fillId="4" borderId="0" xfId="0" applyNumberFormat="1" applyFont="1" applyFill="1" applyBorder="1" applyAlignment="1" applyProtection="1">
      <alignment horizontal="center" vertical="center" shrinkToFit="1"/>
    </xf>
    <xf numFmtId="197" fontId="21" fillId="5" borderId="0" xfId="0" applyNumberFormat="1" applyFont="1" applyFill="1" applyBorder="1" applyAlignment="1" applyProtection="1">
      <alignment horizontal="center" vertical="center" shrinkToFit="1"/>
    </xf>
    <xf numFmtId="0" fontId="21" fillId="4" borderId="0" xfId="0" applyFont="1" applyFill="1" applyBorder="1" applyAlignment="1" applyProtection="1">
      <alignment horizontal="center" vertical="center" wrapText="1"/>
    </xf>
    <xf numFmtId="204" fontId="15" fillId="4" borderId="0" xfId="0" applyNumberFormat="1" applyFont="1" applyFill="1" applyBorder="1" applyAlignment="1">
      <alignment horizontal="center" vertical="center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194" fontId="15" fillId="4" borderId="0" xfId="0" applyNumberFormat="1" applyFont="1" applyFill="1" applyBorder="1" applyAlignment="1">
      <alignment horizontal="center" vertical="center"/>
    </xf>
    <xf numFmtId="201" fontId="15" fillId="4" borderId="0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195" fontId="15" fillId="4" borderId="0" xfId="3" applyNumberFormat="1" applyFont="1" applyFill="1" applyBorder="1" applyAlignment="1">
      <alignment horizontal="center" vertical="center" wrapText="1"/>
    </xf>
    <xf numFmtId="205" fontId="15" fillId="4" borderId="0" xfId="3" applyNumberFormat="1" applyFont="1" applyFill="1" applyBorder="1" applyAlignment="1">
      <alignment horizontal="center" vertical="center"/>
    </xf>
    <xf numFmtId="195" fontId="15" fillId="4" borderId="0" xfId="3" applyNumberFormat="1" applyFont="1" applyFill="1" applyBorder="1" applyAlignment="1">
      <alignment horizontal="center" vertical="center"/>
    </xf>
    <xf numFmtId="205" fontId="15" fillId="4" borderId="0" xfId="3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6" fontId="15" fillId="0" borderId="0" xfId="0" applyNumberFormat="1" applyFont="1" applyFill="1" applyBorder="1" applyAlignment="1">
      <alignment horizontal="center" vertical="center"/>
    </xf>
    <xf numFmtId="198" fontId="15" fillId="0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wrapText="1"/>
    </xf>
    <xf numFmtId="198" fontId="23" fillId="0" borderId="0" xfId="0" applyNumberFormat="1" applyFont="1" applyFill="1" applyBorder="1" applyAlignment="1">
      <alignment horizontal="center" vertical="center"/>
    </xf>
    <xf numFmtId="194" fontId="23" fillId="0" borderId="0" xfId="0" applyNumberFormat="1" applyFont="1" applyFill="1" applyBorder="1" applyAlignment="1">
      <alignment horizontal="center" vertical="center"/>
    </xf>
    <xf numFmtId="206" fontId="23" fillId="0" borderId="0" xfId="0" applyNumberFormat="1" applyFont="1" applyFill="1" applyBorder="1" applyAlignment="1">
      <alignment horizontal="center" vertical="center"/>
    </xf>
    <xf numFmtId="198" fontId="23" fillId="0" borderId="0" xfId="0" applyNumberFormat="1" applyFont="1" applyFill="1" applyBorder="1" applyAlignment="1">
      <alignment horizontal="center" vertical="center" wrapText="1"/>
    </xf>
    <xf numFmtId="206" fontId="23" fillId="0" borderId="0" xfId="0" applyNumberFormat="1" applyFont="1" applyFill="1" applyBorder="1" applyAlignment="1">
      <alignment horizontal="center" vertical="center" wrapText="1"/>
    </xf>
    <xf numFmtId="196" fontId="23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4" borderId="0" xfId="0" applyNumberFormat="1" applyFont="1" applyFill="1" applyBorder="1" applyAlignment="1" applyProtection="1">
      <alignment horizontal="center" vertical="center" shrinkToFit="1"/>
    </xf>
    <xf numFmtId="198" fontId="15" fillId="4" borderId="0" xfId="0" applyNumberFormat="1" applyFont="1" applyFill="1" applyBorder="1" applyAlignment="1">
      <alignment horizontal="center" vertical="center"/>
    </xf>
    <xf numFmtId="196" fontId="15" fillId="4" borderId="0" xfId="0" applyNumberFormat="1" applyFont="1" applyFill="1" applyBorder="1" applyAlignment="1">
      <alignment horizontal="center" vertical="center"/>
    </xf>
    <xf numFmtId="206" fontId="15" fillId="4" borderId="0" xfId="0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194" fontId="15" fillId="4" borderId="0" xfId="0" applyNumberFormat="1" applyFont="1" applyFill="1" applyBorder="1" applyAlignment="1">
      <alignment horizontal="center" vertical="center" wrapText="1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201" fontId="23" fillId="0" borderId="0" xfId="0" applyNumberFormat="1" applyFont="1" applyFill="1" applyBorder="1" applyAlignment="1">
      <alignment horizontal="center" vertical="center"/>
    </xf>
    <xf numFmtId="194" fontId="23" fillId="0" borderId="0" xfId="0" applyNumberFormat="1" applyFont="1" applyFill="1" applyBorder="1" applyAlignment="1">
      <alignment horizontal="center" vertical="center" wrapText="1"/>
    </xf>
    <xf numFmtId="202" fontId="23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202" fontId="15" fillId="4" borderId="0" xfId="0" applyNumberFormat="1" applyFont="1" applyFill="1" applyBorder="1" applyAlignment="1">
      <alignment horizontal="center" vertical="center"/>
    </xf>
    <xf numFmtId="195" fontId="23" fillId="0" borderId="0" xfId="3" applyNumberFormat="1" applyFont="1" applyFill="1" applyBorder="1" applyAlignment="1">
      <alignment horizontal="center" vertical="center"/>
    </xf>
    <xf numFmtId="203" fontId="23" fillId="3" borderId="0" xfId="3" applyNumberFormat="1" applyFont="1" applyFill="1" applyBorder="1" applyAlignment="1">
      <alignment horizontal="center" vertical="center" wrapText="1"/>
    </xf>
    <xf numFmtId="195" fontId="23" fillId="3" borderId="0" xfId="3" applyNumberFormat="1" applyFont="1" applyFill="1" applyBorder="1" applyAlignment="1">
      <alignment horizontal="center" vertical="center" wrapText="1"/>
    </xf>
    <xf numFmtId="194" fontId="23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23" fillId="3" borderId="0" xfId="0" applyNumberFormat="1" applyFont="1" applyFill="1" applyBorder="1" applyAlignment="1">
      <alignment horizontal="center" vertical="center"/>
    </xf>
    <xf numFmtId="194" fontId="24" fillId="3" borderId="0" xfId="0" applyNumberFormat="1" applyFont="1" applyFill="1" applyBorder="1" applyAlignment="1">
      <alignment horizontal="center" vertical="center"/>
    </xf>
    <xf numFmtId="194" fontId="24" fillId="3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07" fontId="15" fillId="4" borderId="0" xfId="0" applyNumberFormat="1" applyFont="1" applyFill="1" applyBorder="1" applyAlignment="1">
      <alignment horizontal="center" vertical="center"/>
    </xf>
    <xf numFmtId="201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 wrapText="1"/>
    </xf>
    <xf numFmtId="49" fontId="15" fillId="4" borderId="0" xfId="30237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4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0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0" borderId="0" xfId="30240" applyNumberFormat="1" applyFont="1" applyFill="1" applyBorder="1" applyAlignment="1">
      <alignment horizontal="center" vertical="center"/>
    </xf>
    <xf numFmtId="49" fontId="15" fillId="4" borderId="0" xfId="30239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194" fontId="15" fillId="4" borderId="0" xfId="1" applyNumberFormat="1" applyFont="1" applyFill="1" applyBorder="1" applyAlignment="1">
      <alignment horizontal="center" vertical="center"/>
    </xf>
    <xf numFmtId="209" fontId="15" fillId="4" borderId="0" xfId="0" applyNumberFormat="1" applyFont="1" applyFill="1" applyBorder="1" applyAlignment="1">
      <alignment horizontal="center" vertical="center"/>
    </xf>
    <xf numFmtId="198" fontId="15" fillId="4" borderId="0" xfId="1" applyNumberFormat="1" applyFont="1" applyFill="1" applyBorder="1" applyAlignment="1">
      <alignment horizontal="center" vertical="center"/>
    </xf>
    <xf numFmtId="209" fontId="15" fillId="4" borderId="0" xfId="1" applyNumberFormat="1" applyFont="1" applyFill="1" applyBorder="1" applyAlignment="1">
      <alignment horizontal="center" vertical="center"/>
    </xf>
    <xf numFmtId="209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4" borderId="0" xfId="0" applyNumberFormat="1" applyFont="1" applyFill="1" applyBorder="1" applyAlignment="1" applyProtection="1">
      <alignment horizontal="center" vertical="center"/>
    </xf>
    <xf numFmtId="208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shrinkToFit="1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0" fontId="15" fillId="4" borderId="0" xfId="1" applyNumberFormat="1" applyFont="1" applyFill="1" applyBorder="1" applyAlignment="1">
      <alignment horizontal="center" vertical="center"/>
    </xf>
    <xf numFmtId="200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6" fontId="15" fillId="4" borderId="0" xfId="1" applyNumberFormat="1" applyFont="1" applyFill="1" applyBorder="1" applyAlignment="1">
      <alignment horizontal="center" vertical="center"/>
    </xf>
    <xf numFmtId="210" fontId="15" fillId="4" borderId="0" xfId="1" applyNumberFormat="1" applyFont="1" applyFill="1" applyBorder="1" applyAlignment="1">
      <alignment horizontal="center" vertical="center"/>
    </xf>
    <xf numFmtId="207" fontId="15" fillId="4" borderId="0" xfId="1" applyNumberFormat="1" applyFont="1" applyFill="1" applyBorder="1" applyAlignment="1">
      <alignment horizontal="center" vertical="center"/>
    </xf>
    <xf numFmtId="199" fontId="15" fillId="4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98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4" borderId="0" xfId="30237" applyNumberFormat="1" applyFont="1" applyFill="1" applyBorder="1" applyAlignment="1">
      <alignment horizontal="center" vertical="center" shrinkToFit="1"/>
    </xf>
    <xf numFmtId="201" fontId="15" fillId="4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1" fontId="18" fillId="2" borderId="0" xfId="0" applyNumberFormat="1" applyFont="1" applyFill="1" applyBorder="1" applyAlignment="1">
      <alignment horizontal="center" vertical="center"/>
    </xf>
    <xf numFmtId="194" fontId="5" fillId="0" borderId="0" xfId="1" applyNumberFormat="1" applyFont="1" applyFill="1" applyBorder="1" applyAlignment="1">
      <alignment horizontal="center" vertical="center"/>
    </xf>
    <xf numFmtId="201" fontId="26" fillId="0" borderId="0" xfId="0" applyNumberFormat="1" applyFont="1" applyFill="1" applyBorder="1" applyAlignment="1">
      <alignment horizontal="center" vertical="center" wrapText="1"/>
    </xf>
    <xf numFmtId="194" fontId="5" fillId="0" borderId="0" xfId="0" applyNumberFormat="1" applyFont="1" applyFill="1" applyBorder="1" applyAlignment="1">
      <alignment horizontal="center" vertical="center"/>
    </xf>
    <xf numFmtId="201" fontId="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201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194" fontId="15" fillId="4" borderId="0" xfId="0" applyNumberFormat="1" applyFont="1" applyFill="1" applyBorder="1" applyAlignment="1">
      <alignment horizontal="left" vertical="center"/>
    </xf>
    <xf numFmtId="198" fontId="15" fillId="4" borderId="0" xfId="0" applyNumberFormat="1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/>
    </xf>
    <xf numFmtId="211" fontId="15" fillId="4" borderId="0" xfId="0" applyNumberFormat="1" applyFont="1" applyFill="1" applyBorder="1" applyAlignment="1">
      <alignment horizontal="left" vertical="center"/>
    </xf>
    <xf numFmtId="205" fontId="15" fillId="4" borderId="0" xfId="3" applyNumberFormat="1" applyFont="1" applyFill="1" applyBorder="1" applyAlignment="1">
      <alignment horizontal="left" vertical="center"/>
    </xf>
    <xf numFmtId="0" fontId="15" fillId="0" borderId="0" xfId="0" applyFont="1" applyBorder="1">
      <alignment vertical="center"/>
    </xf>
    <xf numFmtId="0" fontId="24" fillId="0" borderId="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center" wrapText="1"/>
    </xf>
    <xf numFmtId="49" fontId="15" fillId="4" borderId="0" xfId="0" applyNumberFormat="1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left" vertical="center" wrapText="1"/>
    </xf>
    <xf numFmtId="49" fontId="15" fillId="4" borderId="0" xfId="30239" applyNumberFormat="1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horizontal="left" vertical="center"/>
    </xf>
    <xf numFmtId="49" fontId="15" fillId="4" borderId="0" xfId="30237" applyNumberFormat="1" applyFont="1" applyFill="1" applyBorder="1" applyAlignment="1">
      <alignment horizontal="left" vertical="center" wrapText="1"/>
    </xf>
    <xf numFmtId="49" fontId="15" fillId="4" borderId="0" xfId="30240" applyNumberFormat="1" applyFont="1" applyFill="1" applyBorder="1" applyAlignment="1">
      <alignment horizontal="left" vertical="center"/>
    </xf>
    <xf numFmtId="198" fontId="24" fillId="4" borderId="0" xfId="0" applyNumberFormat="1" applyFont="1" applyFill="1" applyBorder="1" applyAlignment="1">
      <alignment horizontal="left" vertical="center"/>
    </xf>
    <xf numFmtId="194" fontId="24" fillId="4" borderId="0" xfId="0" applyNumberFormat="1" applyFont="1" applyFill="1" applyBorder="1" applyAlignment="1">
      <alignment horizontal="left" vertical="center"/>
    </xf>
    <xf numFmtId="198" fontId="23" fillId="4" borderId="0" xfId="0" applyNumberFormat="1" applyFont="1" applyFill="1" applyBorder="1" applyAlignment="1">
      <alignment horizontal="left" vertical="center" wrapText="1"/>
    </xf>
    <xf numFmtId="194" fontId="23" fillId="4" borderId="0" xfId="0" applyNumberFormat="1" applyFont="1" applyFill="1" applyBorder="1" applyAlignment="1">
      <alignment horizontal="left" vertical="center"/>
    </xf>
    <xf numFmtId="194" fontId="23" fillId="4" borderId="0" xfId="0" applyNumberFormat="1" applyFont="1" applyFill="1" applyBorder="1" applyAlignment="1">
      <alignment horizontal="center" vertical="center" wrapText="1"/>
    </xf>
    <xf numFmtId="198" fontId="23" fillId="4" borderId="0" xfId="0" applyNumberFormat="1" applyFont="1" applyFill="1" applyBorder="1" applyAlignment="1">
      <alignment horizontal="center" vertical="center"/>
    </xf>
    <xf numFmtId="196" fontId="25" fillId="4" borderId="0" xfId="0" applyNumberFormat="1" applyFont="1" applyFill="1" applyBorder="1" applyAlignment="1">
      <alignment horizontal="center" vertical="center"/>
    </xf>
    <xf numFmtId="198" fontId="23" fillId="4" borderId="0" xfId="0" applyNumberFormat="1" applyFont="1" applyFill="1" applyBorder="1" applyAlignment="1">
      <alignment horizontal="left" vertical="center"/>
    </xf>
    <xf numFmtId="196" fontId="25" fillId="4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196" fontId="27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 shrinkToFit="1"/>
    </xf>
    <xf numFmtId="196" fontId="15" fillId="4" borderId="0" xfId="0" applyNumberFormat="1" applyFont="1" applyFill="1" applyBorder="1" applyAlignment="1">
      <alignment horizontal="left" vertical="center"/>
    </xf>
    <xf numFmtId="196" fontId="27" fillId="4" borderId="0" xfId="0" applyNumberFormat="1" applyFont="1" applyFill="1" applyBorder="1" applyAlignment="1">
      <alignment horizontal="left" vertical="center"/>
    </xf>
    <xf numFmtId="197" fontId="15" fillId="4" borderId="0" xfId="0" applyNumberFormat="1" applyFont="1" applyFill="1" applyBorder="1" applyAlignment="1" applyProtection="1">
      <alignment horizontal="left" vertical="center" shrinkToFit="1"/>
    </xf>
    <xf numFmtId="194" fontId="15" fillId="4" borderId="0" xfId="1" applyNumberFormat="1" applyFont="1" applyFill="1" applyBorder="1" applyAlignment="1">
      <alignment horizontal="left" vertical="center"/>
    </xf>
    <xf numFmtId="209" fontId="15" fillId="4" borderId="0" xfId="0" applyNumberFormat="1" applyFont="1" applyFill="1" applyBorder="1" applyAlignment="1">
      <alignment horizontal="left" vertical="center"/>
    </xf>
    <xf numFmtId="49" fontId="27" fillId="4" borderId="0" xfId="0" applyNumberFormat="1" applyFont="1" applyFill="1" applyBorder="1" applyAlignment="1">
      <alignment horizontal="left" vertical="center"/>
    </xf>
    <xf numFmtId="198" fontId="15" fillId="4" borderId="0" xfId="1" applyNumberFormat="1" applyFont="1" applyFill="1" applyBorder="1" applyAlignment="1">
      <alignment horizontal="left" vertical="center"/>
    </xf>
    <xf numFmtId="49" fontId="27" fillId="4" borderId="0" xfId="30237" applyNumberFormat="1" applyFont="1" applyFill="1" applyBorder="1" applyAlignment="1">
      <alignment horizontal="left" vertical="center" wrapText="1"/>
    </xf>
    <xf numFmtId="201" fontId="24" fillId="4" borderId="0" xfId="0" applyNumberFormat="1" applyFont="1" applyFill="1" applyBorder="1" applyAlignment="1">
      <alignment horizontal="left" vertical="center"/>
    </xf>
    <xf numFmtId="201" fontId="24" fillId="4" borderId="0" xfId="0" applyNumberFormat="1" applyFont="1" applyFill="1" applyBorder="1" applyAlignment="1">
      <alignment vertical="center"/>
    </xf>
    <xf numFmtId="194" fontId="23" fillId="4" borderId="0" xfId="0" applyNumberFormat="1" applyFont="1" applyFill="1" applyBorder="1" applyAlignment="1">
      <alignment horizontal="left" vertical="center" wrapText="1"/>
    </xf>
    <xf numFmtId="201" fontId="23" fillId="4" borderId="0" xfId="0" applyNumberFormat="1" applyFont="1" applyFill="1" applyBorder="1" applyAlignment="1">
      <alignment horizontal="left" vertical="center"/>
    </xf>
    <xf numFmtId="201" fontId="23" fillId="4" borderId="0" xfId="0" applyNumberFormat="1" applyFont="1" applyFill="1" applyBorder="1" applyAlignment="1">
      <alignment vertical="center"/>
    </xf>
    <xf numFmtId="194" fontId="23" fillId="4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 wrapText="1"/>
    </xf>
    <xf numFmtId="202" fontId="15" fillId="4" borderId="0" xfId="0" applyNumberFormat="1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vertical="center"/>
    </xf>
    <xf numFmtId="202" fontId="15" fillId="4" borderId="0" xfId="0" applyNumberFormat="1" applyFont="1" applyFill="1" applyBorder="1" applyAlignment="1">
      <alignment horizontal="left" vertical="center"/>
    </xf>
    <xf numFmtId="202" fontId="24" fillId="4" borderId="0" xfId="0" applyNumberFormat="1" applyFont="1" applyFill="1" applyBorder="1" applyAlignment="1">
      <alignment horizontal="left" vertical="center"/>
    </xf>
    <xf numFmtId="202" fontId="23" fillId="4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8" fontId="15" fillId="4" borderId="0" xfId="0" applyNumberFormat="1" applyFont="1" applyFill="1" applyBorder="1" applyAlignment="1">
      <alignment horizontal="left" vertical="center"/>
    </xf>
    <xf numFmtId="211" fontId="24" fillId="4" borderId="0" xfId="0" applyNumberFormat="1" applyFont="1" applyFill="1" applyBorder="1" applyAlignment="1">
      <alignment horizontal="left" vertical="center"/>
    </xf>
    <xf numFmtId="211" fontId="23" fillId="4" borderId="0" xfId="0" applyNumberFormat="1" applyFont="1" applyFill="1" applyBorder="1" applyAlignment="1">
      <alignment horizontal="left" vertical="center"/>
    </xf>
    <xf numFmtId="211" fontId="15" fillId="0" borderId="0" xfId="0" applyNumberFormat="1" applyFont="1" applyFill="1" applyBorder="1" applyAlignment="1">
      <alignment horizontal="left" vertical="center"/>
    </xf>
    <xf numFmtId="200" fontId="15" fillId="4" borderId="0" xfId="1" applyNumberFormat="1" applyFont="1" applyFill="1" applyBorder="1" applyAlignment="1">
      <alignment horizontal="left" vertical="center"/>
    </xf>
    <xf numFmtId="209" fontId="15" fillId="4" borderId="0" xfId="1" applyNumberFormat="1" applyFont="1" applyFill="1" applyBorder="1" applyAlignment="1">
      <alignment horizontal="left" vertical="center"/>
    </xf>
    <xf numFmtId="205" fontId="24" fillId="4" borderId="0" xfId="3" applyNumberFormat="1" applyFont="1" applyFill="1" applyBorder="1" applyAlignment="1">
      <alignment horizontal="left" vertical="center"/>
    </xf>
    <xf numFmtId="205" fontId="23" fillId="4" borderId="0" xfId="3" applyNumberFormat="1" applyFont="1" applyFill="1" applyBorder="1" applyAlignment="1">
      <alignment horizontal="center" vertical="center" wrapText="1"/>
    </xf>
    <xf numFmtId="205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4" borderId="0" xfId="0" applyNumberFormat="1" applyFont="1" applyFill="1" applyBorder="1" applyAlignment="1">
      <alignment horizontal="left" vertical="center" wrapText="1"/>
    </xf>
    <xf numFmtId="194" fontId="24" fillId="4" borderId="0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194" fontId="21" fillId="4" borderId="0" xfId="0" applyNumberFormat="1" applyFont="1" applyFill="1" applyBorder="1" applyAlignment="1">
      <alignment horizontal="center" vertical="center"/>
    </xf>
    <xf numFmtId="4" fontId="21" fillId="4" borderId="0" xfId="0" applyNumberFormat="1" applyFont="1" applyFill="1" applyBorder="1" applyAlignment="1"/>
    <xf numFmtId="4" fontId="15" fillId="4" borderId="0" xfId="0" applyNumberFormat="1" applyFont="1" applyFill="1" applyBorder="1" applyAlignment="1"/>
    <xf numFmtId="0" fontId="21" fillId="4" borderId="0" xfId="0" applyFont="1" applyFill="1" applyBorder="1" applyAlignment="1">
      <alignment vertical="center"/>
    </xf>
    <xf numFmtId="4" fontId="21" fillId="4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15" fillId="0" borderId="0" xfId="0" applyFont="1" applyFill="1" applyBorder="1">
      <alignment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198" fontId="15" fillId="0" borderId="0" xfId="1" applyNumberFormat="1" applyFont="1" applyFill="1" applyBorder="1" applyAlignment="1">
      <alignment horizontal="left" vertical="center"/>
    </xf>
    <xf numFmtId="49" fontId="27" fillId="0" borderId="0" xfId="30237" applyNumberFormat="1" applyFont="1" applyFill="1" applyBorder="1" applyAlignment="1">
      <alignment horizontal="left" vertical="center" wrapText="1"/>
    </xf>
    <xf numFmtId="49" fontId="27" fillId="4" borderId="0" xfId="30239" applyNumberFormat="1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 wrapText="1"/>
    </xf>
    <xf numFmtId="14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vertical="center" wrapText="1" shrinkToFit="1"/>
    </xf>
    <xf numFmtId="201" fontId="15" fillId="4" borderId="0" xfId="0" applyNumberFormat="1" applyFont="1" applyFill="1" applyBorder="1" applyAlignment="1">
      <alignment horizontal="left" vertical="center" wrapText="1" shrinkToFit="1"/>
    </xf>
    <xf numFmtId="0" fontId="15" fillId="4" borderId="0" xfId="0" applyNumberFormat="1" applyFont="1" applyFill="1" applyBorder="1" applyAlignment="1">
      <alignment vertical="center"/>
    </xf>
    <xf numFmtId="209" fontId="15" fillId="0" borderId="0" xfId="1" applyNumberFormat="1" applyFont="1" applyFill="1" applyBorder="1" applyAlignment="1">
      <alignment horizontal="left" vertical="center"/>
    </xf>
    <xf numFmtId="205" fontId="15" fillId="0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194" fontId="15" fillId="0" borderId="0" xfId="1" applyNumberFormat="1" applyFont="1" applyFill="1" applyBorder="1" applyAlignment="1">
      <alignment horizontal="left" vertical="center"/>
    </xf>
    <xf numFmtId="49" fontId="27" fillId="4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27" fillId="0" borderId="0" xfId="0" applyNumberFormat="1" applyFont="1" applyFill="1" applyBorder="1" applyAlignment="1">
      <alignment horizontal="left" vertical="center"/>
    </xf>
    <xf numFmtId="194" fontId="15" fillId="8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4" borderId="0" xfId="0" applyNumberFormat="1" applyFont="1" applyFill="1" applyBorder="1" applyAlignment="1">
      <alignment horizontal="left" vertical="center" wrapText="1" shrinkToFit="1"/>
    </xf>
    <xf numFmtId="200" fontId="15" fillId="4" borderId="0" xfId="0" applyNumberFormat="1" applyFont="1" applyFill="1" applyBorder="1" applyAlignment="1">
      <alignment horizontal="left" vertical="center"/>
    </xf>
    <xf numFmtId="49" fontId="27" fillId="4" borderId="0" xfId="30237" applyNumberFormat="1" applyFont="1" applyFill="1" applyBorder="1" applyAlignment="1">
      <alignment horizontal="left" vertical="center" shrinkToFit="1"/>
    </xf>
    <xf numFmtId="0" fontId="27" fillId="0" borderId="0" xfId="0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vertical="center" wrapText="1"/>
    </xf>
    <xf numFmtId="0" fontId="15" fillId="4" borderId="0" xfId="0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5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 wrapText="1"/>
    </xf>
    <xf numFmtId="194" fontId="21" fillId="0" borderId="0" xfId="0" applyNumberFormat="1" applyFont="1" applyFill="1" applyBorder="1" applyAlignment="1">
      <alignment horizontal="center" vertical="center"/>
    </xf>
    <xf numFmtId="4" fontId="21" fillId="0" borderId="0" xfId="0" applyNumberFormat="1" applyFont="1" applyFill="1" applyBorder="1" applyAlignment="1"/>
    <xf numFmtId="0" fontId="28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8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200" fontId="15" fillId="0" borderId="0" xfId="1" applyNumberFormat="1" applyFont="1" applyFill="1" applyBorder="1" applyAlignment="1">
      <alignment horizontal="left" vertical="center"/>
    </xf>
    <xf numFmtId="0" fontId="15" fillId="4" borderId="0" xfId="30239" applyFont="1" applyFill="1" applyBorder="1" applyAlignment="1">
      <alignment horizontal="left" vertical="center"/>
    </xf>
    <xf numFmtId="194" fontId="15" fillId="4" borderId="0" xfId="30239" applyNumberFormat="1" applyFont="1" applyFill="1" applyBorder="1" applyAlignment="1">
      <alignment horizontal="left" vertical="center"/>
    </xf>
    <xf numFmtId="198" fontId="15" fillId="4" borderId="0" xfId="30239" applyNumberFormat="1" applyFont="1" applyFill="1" applyBorder="1" applyAlignment="1">
      <alignment horizontal="left" vertical="center"/>
    </xf>
    <xf numFmtId="199" fontId="15" fillId="4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4" borderId="0" xfId="0" applyNumberFormat="1" applyFont="1" applyFill="1" applyBorder="1" applyAlignment="1">
      <alignment horizontal="left" vertical="center" shrinkToFit="1"/>
    </xf>
    <xf numFmtId="208" fontId="15" fillId="0" borderId="0" xfId="0" applyNumberFormat="1" applyFont="1" applyFill="1" applyBorder="1" applyAlignment="1">
      <alignment horizontal="left" vertical="center"/>
    </xf>
    <xf numFmtId="208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9" fontId="15" fillId="4" borderId="0" xfId="30239" applyNumberFormat="1" applyFont="1" applyFill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/>
    </xf>
    <xf numFmtId="10" fontId="15" fillId="4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49" fontId="16" fillId="4" borderId="0" xfId="30237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/>
    </xf>
    <xf numFmtId="0" fontId="28" fillId="0" borderId="0" xfId="0" applyNumberFormat="1" applyFont="1" applyFill="1" applyBorder="1" applyAlignment="1">
      <alignment horizontal="left" vertical="center" wrapText="1"/>
    </xf>
    <xf numFmtId="49" fontId="27" fillId="0" borderId="0" xfId="30239" applyNumberFormat="1" applyFont="1" applyFill="1" applyBorder="1" applyAlignment="1">
      <alignment horizontal="left" vertical="center"/>
    </xf>
    <xf numFmtId="14" fontId="27" fillId="4" borderId="0" xfId="0" applyNumberFormat="1" applyFont="1" applyFill="1" applyBorder="1" applyAlignment="1">
      <alignment horizontal="left" vertical="center"/>
    </xf>
    <xf numFmtId="202" fontId="15" fillId="4" borderId="0" xfId="0" applyNumberFormat="1" applyFont="1" applyFill="1" applyBorder="1" applyAlignment="1">
      <alignment horizontal="left" vertical="center" shrinkToFit="1"/>
    </xf>
    <xf numFmtId="194" fontId="15" fillId="4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198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198" fontId="25" fillId="2" borderId="0" xfId="0" applyNumberFormat="1" applyFont="1" applyFill="1" applyBorder="1" applyAlignment="1">
      <alignment horizontal="left" vertical="center"/>
    </xf>
    <xf numFmtId="201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27" fillId="0" borderId="0" xfId="0" applyFont="1" applyBorder="1">
      <alignment vertical="center"/>
    </xf>
    <xf numFmtId="201" fontId="15" fillId="4" borderId="0" xfId="30237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vertical="center"/>
    </xf>
    <xf numFmtId="211" fontId="18" fillId="2" borderId="0" xfId="0" applyNumberFormat="1" applyFont="1" applyFill="1" applyBorder="1" applyAlignment="1">
      <alignment horizontal="left" vertical="center"/>
    </xf>
    <xf numFmtId="205" fontId="15" fillId="4" borderId="0" xfId="0" applyNumberFormat="1" applyFont="1" applyFill="1" applyBorder="1" applyAlignment="1">
      <alignment horizontal="left" vertical="center"/>
    </xf>
    <xf numFmtId="205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9" borderId="0" xfId="15593" applyFont="1" applyFill="1" applyAlignment="1"/>
    <xf numFmtId="0" fontId="32" fillId="9" borderId="0" xfId="15593" applyFill="1" applyAlignment="1"/>
    <xf numFmtId="0" fontId="32" fillId="10" borderId="2" xfId="15593" applyFill="1" applyBorder="1" applyAlignment="1"/>
    <xf numFmtId="0" fontId="33" fillId="11" borderId="3" xfId="15593" applyFont="1" applyFill="1" applyBorder="1" applyAlignment="1">
      <alignment horizontal="center"/>
    </xf>
    <xf numFmtId="0" fontId="34" fillId="12" borderId="4" xfId="15593" applyFont="1" applyFill="1" applyBorder="1" applyAlignment="1">
      <alignment horizontal="center"/>
    </xf>
    <xf numFmtId="0" fontId="33" fillId="11" borderId="4" xfId="15593" applyFont="1" applyFill="1" applyBorder="1" applyAlignment="1">
      <alignment horizontal="center"/>
    </xf>
    <xf numFmtId="0" fontId="33" fillId="11" borderId="5" xfId="15593" applyFont="1" applyFill="1" applyBorder="1" applyAlignment="1">
      <alignment horizontal="center"/>
    </xf>
    <xf numFmtId="0" fontId="32" fillId="10" borderId="6" xfId="15593" applyFill="1" applyBorder="1" applyAlignment="1"/>
    <xf numFmtId="0" fontId="32" fillId="10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left" vertical="center" wrapText="1"/>
    </xf>
    <xf numFmtId="209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207" fontId="15" fillId="4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4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96" fontId="15" fillId="0" borderId="0" xfId="0" applyNumberFormat="1" applyFont="1" applyFill="1" applyBorder="1" applyAlignment="1">
      <alignment horizontal="left" vertical="center"/>
    </xf>
    <xf numFmtId="10" fontId="18" fillId="0" borderId="0" xfId="3" applyNumberFormat="1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left" vertical="center" wrapText="1"/>
    </xf>
    <xf numFmtId="10" fontId="18" fillId="3" borderId="0" xfId="3" applyNumberFormat="1" applyFont="1" applyFill="1" applyBorder="1" applyAlignment="1">
      <alignment horizontal="left" vertical="center" wrapText="1"/>
    </xf>
    <xf numFmtId="194" fontId="18" fillId="3" borderId="0" xfId="0" applyNumberFormat="1" applyFont="1" applyFill="1" applyBorder="1" applyAlignment="1">
      <alignment horizontal="left" vertical="center" wrapText="1" shrinkToFit="1"/>
    </xf>
    <xf numFmtId="0" fontId="38" fillId="4" borderId="0" xfId="0" applyFont="1" applyFill="1" applyBorder="1" applyAlignment="1">
      <alignment horizontal="left" vertical="center" wrapText="1"/>
    </xf>
    <xf numFmtId="0" fontId="39" fillId="4" borderId="0" xfId="0" applyFont="1" applyFill="1" applyBorder="1" applyAlignment="1">
      <alignment horizontal="left" vertical="center" wrapText="1"/>
    </xf>
    <xf numFmtId="196" fontId="28" fillId="4" borderId="0" xfId="0" applyNumberFormat="1" applyFont="1" applyFill="1" applyBorder="1" applyAlignment="1">
      <alignment horizontal="left" vertical="center"/>
    </xf>
    <xf numFmtId="203" fontId="15" fillId="4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40" fillId="0" borderId="0" xfId="0" applyFont="1">
      <alignment vertical="center"/>
    </xf>
    <xf numFmtId="0" fontId="0" fillId="0" borderId="0" xfId="0" applyFont="1">
      <alignment vertical="center"/>
    </xf>
    <xf numFmtId="0" fontId="41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2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212" fontId="44" fillId="0" borderId="8" xfId="0" applyNumberFormat="1" applyFont="1" applyFill="1" applyBorder="1" applyAlignment="1">
      <alignment horizontal="center" vertical="center"/>
    </xf>
    <xf numFmtId="212" fontId="44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0" fillId="0" borderId="10" xfId="0" applyFont="1" applyBorder="1" applyAlignment="1">
      <alignment vertical="center"/>
    </xf>
    <xf numFmtId="0" fontId="40" fillId="0" borderId="11" xfId="0" applyFont="1" applyBorder="1" applyAlignment="1">
      <alignment vertical="center"/>
    </xf>
    <xf numFmtId="0" fontId="40" fillId="0" borderId="12" xfId="0" applyFont="1" applyBorder="1" applyAlignment="1">
      <alignment vertical="center"/>
    </xf>
    <xf numFmtId="0" fontId="40" fillId="0" borderId="13" xfId="0" applyFont="1" applyBorder="1" applyAlignment="1">
      <alignment horizontal="center" vertical="center"/>
    </xf>
    <xf numFmtId="212" fontId="44" fillId="0" borderId="14" xfId="0" applyNumberFormat="1" applyFont="1" applyFill="1" applyBorder="1" applyAlignment="1">
      <alignment horizontal="center" vertical="center"/>
    </xf>
    <xf numFmtId="212" fontId="44" fillId="0" borderId="15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13" borderId="1" xfId="0" applyFont="1" applyFill="1" applyBorder="1" applyAlignment="1">
      <alignment vertical="center" wrapText="1"/>
    </xf>
    <xf numFmtId="200" fontId="40" fillId="13" borderId="1" xfId="0" applyNumberFormat="1" applyFont="1" applyFill="1" applyBorder="1" applyAlignment="1">
      <alignment horizontal="left" vertical="center" wrapText="1"/>
    </xf>
    <xf numFmtId="200" fontId="40" fillId="0" borderId="1" xfId="0" applyNumberFormat="1" applyFont="1" applyBorder="1" applyAlignment="1">
      <alignment horizontal="left" vertical="center" wrapText="1"/>
    </xf>
    <xf numFmtId="200" fontId="40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2" fontId="45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0" fontId="0" fillId="13" borderId="1" xfId="0" applyNumberFormat="1" applyFont="1" applyFill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2" fontId="45" fillId="0" borderId="1" xfId="0" applyNumberFormat="1" applyFont="1" applyFill="1" applyBorder="1" applyAlignment="1">
      <alignment vertical="center" wrapText="1"/>
    </xf>
    <xf numFmtId="212" fontId="45" fillId="0" borderId="1" xfId="0" applyNumberFormat="1" applyFont="1" applyFill="1" applyBorder="1" applyAlignment="1">
      <alignment horizontal="left" vertical="center" wrapText="1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3" borderId="7" xfId="0" applyFont="1" applyFill="1" applyBorder="1">
      <alignment vertical="center"/>
    </xf>
    <xf numFmtId="198" fontId="1" fillId="13" borderId="7" xfId="0" applyNumberFormat="1" applyFont="1" applyFill="1" applyBorder="1">
      <alignment vertical="center"/>
    </xf>
    <xf numFmtId="0" fontId="1" fillId="13" borderId="7" xfId="0" applyFont="1" applyFill="1" applyBorder="1" applyAlignment="1">
      <alignment horizontal="left" vertical="center"/>
    </xf>
    <xf numFmtId="0" fontId="46" fillId="0" borderId="0" xfId="0" applyFont="1" applyBorder="1">
      <alignment vertical="center"/>
    </xf>
    <xf numFmtId="0" fontId="47" fillId="0" borderId="0" xfId="0" applyFont="1" applyBorder="1">
      <alignment vertical="center"/>
    </xf>
    <xf numFmtId="194" fontId="46" fillId="0" borderId="0" xfId="0" applyNumberFormat="1" applyFont="1" applyBorder="1">
      <alignment vertical="center"/>
    </xf>
    <xf numFmtId="0" fontId="46" fillId="0" borderId="0" xfId="0" applyFont="1" applyFill="1" applyBorder="1">
      <alignment vertical="center"/>
    </xf>
    <xf numFmtId="0" fontId="47" fillId="0" borderId="0" xfId="0" applyFont="1" applyFill="1" applyBorder="1" applyAlignment="1">
      <alignment horizontal="left" vertical="center"/>
    </xf>
    <xf numFmtId="194" fontId="48" fillId="0" borderId="0" xfId="0" applyNumberFormat="1" applyFont="1">
      <alignment vertical="center"/>
    </xf>
    <xf numFmtId="0" fontId="46" fillId="0" borderId="0" xfId="0" applyFont="1" applyFill="1" applyBorder="1" applyAlignment="1">
      <alignment horizontal="left" vertical="center"/>
    </xf>
    <xf numFmtId="194" fontId="47" fillId="0" borderId="0" xfId="0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 wrapText="1"/>
    </xf>
    <xf numFmtId="0" fontId="50" fillId="0" borderId="0" xfId="0" applyFont="1" applyFill="1" applyBorder="1">
      <alignment vertical="center"/>
    </xf>
    <xf numFmtId="198" fontId="47" fillId="0" borderId="0" xfId="0" applyNumberFormat="1" applyFont="1" applyFill="1" applyBorder="1">
      <alignment vertical="center"/>
    </xf>
    <xf numFmtId="0" fontId="41" fillId="0" borderId="0" xfId="0" applyFont="1" applyAlignment="1">
      <alignment vertical="center" wrapText="1"/>
    </xf>
    <xf numFmtId="194" fontId="46" fillId="0" borderId="0" xfId="0" applyNumberFormat="1" applyFont="1" applyFill="1" applyBorder="1">
      <alignment vertical="center"/>
    </xf>
    <xf numFmtId="198" fontId="47" fillId="0" borderId="0" xfId="0" applyNumberFormat="1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left" vertical="center" wrapText="1"/>
    </xf>
    <xf numFmtId="0" fontId="49" fillId="0" borderId="0" xfId="0" applyFont="1" applyBorder="1" applyAlignment="1">
      <alignment vertical="center" wrapText="1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194" fontId="46" fillId="0" borderId="0" xfId="0" applyNumberFormat="1" applyFont="1" applyFill="1">
      <alignment vertical="center"/>
    </xf>
    <xf numFmtId="0" fontId="46" fillId="0" borderId="0" xfId="0" applyFont="1" applyFill="1">
      <alignment vertical="center"/>
    </xf>
    <xf numFmtId="0" fontId="41" fillId="0" borderId="0" xfId="0" applyFont="1" applyBorder="1">
      <alignment vertical="center"/>
    </xf>
    <xf numFmtId="0" fontId="41" fillId="0" borderId="0" xfId="0" applyFont="1" applyBorder="1" applyAlignment="1">
      <alignment vertical="center" wrapText="1"/>
    </xf>
    <xf numFmtId="198" fontId="47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0" fontId="7" fillId="0" borderId="0" xfId="2" applyNumberFormat="1" applyFont="1" applyAlignment="1">
      <alignment vertical="center" wrapText="1"/>
    </xf>
    <xf numFmtId="43" fontId="41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19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98" fontId="19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Fill="1" applyBorder="1" applyAlignment="1">
      <alignment horizontal="center" vertical="center"/>
    </xf>
    <xf numFmtId="213" fontId="51" fillId="0" borderId="1" xfId="0" applyNumberFormat="1" applyFont="1" applyFill="1" applyBorder="1" applyAlignment="1">
      <alignment horizontal="center" vertical="center"/>
    </xf>
    <xf numFmtId="213" fontId="52" fillId="0" borderId="1" xfId="0" applyNumberFormat="1" applyFont="1" applyFill="1" applyBorder="1" applyAlignment="1">
      <alignment vertical="center"/>
    </xf>
    <xf numFmtId="213" fontId="52" fillId="0" borderId="10" xfId="0" applyNumberFormat="1" applyFont="1" applyFill="1" applyBorder="1" applyAlignment="1">
      <alignment horizontal="center" vertical="center"/>
    </xf>
    <xf numFmtId="213" fontId="52" fillId="0" borderId="12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213" fontId="53" fillId="0" borderId="1" xfId="0" applyNumberFormat="1" applyFont="1" applyFill="1" applyBorder="1" applyAlignment="1">
      <alignment horizontal="left" vertical="center"/>
    </xf>
    <xf numFmtId="213" fontId="52" fillId="0" borderId="1" xfId="0" applyNumberFormat="1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52" fillId="0" borderId="10" xfId="0" applyFont="1" applyFill="1" applyBorder="1" applyAlignment="1">
      <alignment horizontal="left" vertical="center" wrapText="1"/>
    </xf>
    <xf numFmtId="0" fontId="52" fillId="0" borderId="1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" xfId="0" applyFill="1" applyBorder="1">
      <alignment vertical="center"/>
    </xf>
    <xf numFmtId="0" fontId="0" fillId="0" borderId="10" xfId="0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209" fontId="3" fillId="0" borderId="1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94" fontId="3" fillId="0" borderId="1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3" fillId="0" borderId="0" xfId="0" applyNumberFormat="1" applyFont="1" applyBorder="1" applyAlignment="1">
      <alignment horizontal="left" vertical="center"/>
    </xf>
    <xf numFmtId="200" fontId="40" fillId="0" borderId="6" xfId="0" applyNumberFormat="1" applyFont="1" applyBorder="1" applyAlignment="1">
      <alignment horizontal="left" vertical="center" wrapText="1"/>
    </xf>
    <xf numFmtId="0" fontId="55" fillId="0" borderId="10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194" fontId="55" fillId="0" borderId="1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 wrapText="1"/>
    </xf>
    <xf numFmtId="200" fontId="55" fillId="0" borderId="1" xfId="0" applyNumberFormat="1" applyFont="1" applyBorder="1" applyAlignment="1">
      <alignment horizontal="left" vertical="center" wrapText="1"/>
    </xf>
    <xf numFmtId="194" fontId="55" fillId="0" borderId="1" xfId="0" applyNumberFormat="1" applyFont="1" applyBorder="1" applyAlignment="1">
      <alignment horizontal="left" vertical="center" wrapText="1"/>
    </xf>
    <xf numFmtId="214" fontId="55" fillId="0" borderId="6" xfId="0" applyNumberFormat="1" applyFont="1" applyBorder="1" applyAlignment="1">
      <alignment horizontal="left" vertical="center" wrapText="1"/>
    </xf>
    <xf numFmtId="212" fontId="45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200" fontId="1" fillId="0" borderId="7" xfId="0" applyNumberFormat="1" applyFont="1" applyBorder="1" applyAlignment="1">
      <alignment horizontal="left" vertical="center"/>
    </xf>
    <xf numFmtId="212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0" fontId="46" fillId="0" borderId="0" xfId="0" applyNumberFormat="1" applyFont="1" applyFill="1" applyBorder="1" applyAlignment="1">
      <alignment horizontal="left" vertical="center"/>
    </xf>
    <xf numFmtId="200" fontId="46" fillId="0" borderId="0" xfId="0" applyNumberFormat="1" applyFont="1" applyBorder="1" applyAlignment="1">
      <alignment horizontal="left" vertical="center"/>
    </xf>
    <xf numFmtId="212" fontId="46" fillId="0" borderId="0" xfId="0" applyNumberFormat="1" applyFont="1" applyBorder="1" applyAlignment="1">
      <alignment horizontal="left" vertical="center"/>
    </xf>
    <xf numFmtId="194" fontId="46" fillId="0" borderId="0" xfId="0" applyNumberFormat="1" applyFont="1" applyBorder="1" applyAlignment="1">
      <alignment horizontal="left" vertical="center"/>
    </xf>
    <xf numFmtId="200" fontId="46" fillId="0" borderId="0" xfId="0" applyNumberFormat="1" applyFont="1" applyAlignment="1">
      <alignment horizontal="left" vertical="center"/>
    </xf>
    <xf numFmtId="194" fontId="46" fillId="0" borderId="0" xfId="0" applyNumberFormat="1" applyFont="1" applyAlignment="1">
      <alignment horizontal="center" vertical="center" wrapText="1"/>
    </xf>
    <xf numFmtId="200" fontId="46" fillId="0" borderId="0" xfId="0" applyNumberFormat="1" applyFont="1" applyFill="1" applyAlignment="1">
      <alignment horizontal="left" vertical="center"/>
    </xf>
    <xf numFmtId="194" fontId="46" fillId="0" borderId="0" xfId="0" applyNumberFormat="1" applyFont="1" applyAlignment="1">
      <alignment horizontal="left" vertical="center"/>
    </xf>
    <xf numFmtId="0" fontId="46" fillId="0" borderId="0" xfId="0" applyFont="1" applyFill="1" applyAlignment="1">
      <alignment horizontal="left" vertical="center"/>
    </xf>
    <xf numFmtId="176" fontId="46" fillId="0" borderId="0" xfId="2" applyFont="1" applyAlignment="1">
      <alignment vertical="center" wrapText="1"/>
    </xf>
    <xf numFmtId="198" fontId="46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49" fillId="0" borderId="0" xfId="0" applyNumberFormat="1" applyFont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horizontal="left" vertical="center"/>
    </xf>
    <xf numFmtId="194" fontId="49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200" fontId="3" fillId="0" borderId="1" xfId="0" applyNumberFormat="1" applyFont="1" applyFill="1" applyBorder="1" applyAlignment="1">
      <alignment horizontal="left" vertical="center"/>
    </xf>
    <xf numFmtId="198" fontId="19" fillId="0" borderId="10" xfId="0" applyNumberFormat="1" applyFont="1" applyFill="1" applyBorder="1" applyAlignment="1">
      <alignment horizontal="center" vertical="center"/>
    </xf>
    <xf numFmtId="198" fontId="19" fillId="0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0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Border="1">
      <alignment vertical="center"/>
    </xf>
    <xf numFmtId="194" fontId="4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94" fontId="0" fillId="0" borderId="1" xfId="0" applyNumberFormat="1" applyFill="1" applyBorder="1">
      <alignment vertical="center"/>
    </xf>
    <xf numFmtId="0" fontId="3" fillId="0" borderId="1" xfId="0" applyFont="1" applyFill="1" applyBorder="1" applyAlignment="1">
      <alignment vertical="center"/>
    </xf>
    <xf numFmtId="194" fontId="3" fillId="0" borderId="1" xfId="0" applyNumberFormat="1" applyFont="1" applyFill="1" applyBorder="1">
      <alignment vertical="center"/>
    </xf>
    <xf numFmtId="194" fontId="3" fillId="0" borderId="0" xfId="0" applyNumberFormat="1" applyFont="1" applyFill="1">
      <alignment vertical="center"/>
    </xf>
    <xf numFmtId="194" fontId="3" fillId="0" borderId="0" xfId="0" applyNumberFormat="1" applyFont="1">
      <alignment vertical="center"/>
    </xf>
    <xf numFmtId="0" fontId="5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200" fontId="55" fillId="0" borderId="6" xfId="0" applyNumberFormat="1" applyFont="1" applyBorder="1" applyAlignment="1">
      <alignment horizontal="left" vertical="center" wrapText="1"/>
    </xf>
    <xf numFmtId="200" fontId="55" fillId="7" borderId="6" xfId="0" applyNumberFormat="1" applyFont="1" applyFill="1" applyBorder="1" applyAlignment="1">
      <alignment horizontal="left" vertical="center" wrapText="1"/>
    </xf>
    <xf numFmtId="200" fontId="56" fillId="0" borderId="1" xfId="0" applyNumberFormat="1" applyFont="1" applyFill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/>
    </xf>
    <xf numFmtId="0" fontId="40" fillId="0" borderId="1" xfId="0" applyFont="1" applyBorder="1">
      <alignment vertical="center"/>
    </xf>
    <xf numFmtId="0" fontId="40" fillId="0" borderId="19" xfId="0" applyFont="1" applyFill="1" applyBorder="1" applyAlignment="1">
      <alignment horizontal="center" vertical="center"/>
    </xf>
    <xf numFmtId="200" fontId="0" fillId="7" borderId="1" xfId="0" applyNumberFormat="1" applyFont="1" applyFill="1" applyBorder="1" applyAlignment="1">
      <alignment horizontal="left" vertical="center"/>
    </xf>
    <xf numFmtId="212" fontId="0" fillId="0" borderId="1" xfId="0" applyNumberFormat="1" applyFont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 wrapText="1"/>
    </xf>
    <xf numFmtId="215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0" fontId="1" fillId="7" borderId="7" xfId="0" applyNumberFormat="1" applyFont="1" applyFill="1" applyBorder="1" applyAlignment="1">
      <alignment horizontal="left" vertical="center"/>
    </xf>
    <xf numFmtId="200" fontId="0" fillId="0" borderId="7" xfId="0" applyNumberFormat="1" applyFont="1" applyBorder="1" applyAlignment="1">
      <alignment horizontal="left" vertical="center"/>
    </xf>
    <xf numFmtId="216" fontId="1" fillId="0" borderId="7" xfId="0" applyNumberFormat="1" applyFont="1" applyBorder="1">
      <alignment vertical="center"/>
    </xf>
    <xf numFmtId="0" fontId="1" fillId="0" borderId="21" xfId="0" applyFont="1" applyFill="1" applyBorder="1">
      <alignment vertical="center"/>
    </xf>
    <xf numFmtId="0" fontId="57" fillId="0" borderId="0" xfId="0" applyFont="1">
      <alignment vertical="center"/>
    </xf>
    <xf numFmtId="200" fontId="46" fillId="0" borderId="0" xfId="0" applyNumberFormat="1" applyFont="1" applyFill="1" applyBorder="1" applyAlignment="1">
      <alignment horizontal="right" vertical="center"/>
    </xf>
    <xf numFmtId="200" fontId="41" fillId="0" borderId="0" xfId="0" applyNumberFormat="1" applyFont="1" applyBorder="1" applyAlignment="1">
      <alignment horizontal="left" vertical="center"/>
    </xf>
    <xf numFmtId="216" fontId="46" fillId="0" borderId="0" xfId="0" applyNumberFormat="1" applyFont="1" applyBorder="1">
      <alignment vertical="center"/>
    </xf>
    <xf numFmtId="176" fontId="46" fillId="0" borderId="0" xfId="2" applyFont="1" applyBorder="1" applyAlignment="1">
      <alignment vertical="center" wrapText="1"/>
    </xf>
    <xf numFmtId="200" fontId="46" fillId="0" borderId="0" xfId="0" applyNumberFormat="1" applyFont="1" applyFill="1" applyBorder="1" applyAlignment="1">
      <alignment horizontal="left" vertical="center" wrapText="1"/>
    </xf>
    <xf numFmtId="216" fontId="46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58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59" fillId="0" borderId="0" xfId="2" applyFont="1" applyAlignment="1">
      <alignment vertical="center" wrapText="1"/>
    </xf>
    <xf numFmtId="198" fontId="49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214" fontId="0" fillId="0" borderId="0" xfId="0" applyNumberFormat="1" applyBorder="1" applyAlignment="1">
      <alignment horizontal="left" vertical="center"/>
    </xf>
    <xf numFmtId="0" fontId="49" fillId="0" borderId="0" xfId="0" applyNumberFormat="1" applyFont="1" applyAlignment="1">
      <alignment horizontal="left" vertical="center"/>
    </xf>
    <xf numFmtId="49" fontId="49" fillId="0" borderId="0" xfId="0" applyNumberFormat="1" applyFont="1">
      <alignment vertical="center"/>
    </xf>
    <xf numFmtId="0" fontId="60" fillId="0" borderId="0" xfId="0" applyNumberFormat="1" applyFont="1">
      <alignment vertical="center"/>
    </xf>
    <xf numFmtId="194" fontId="49" fillId="0" borderId="1" xfId="0" applyNumberFormat="1" applyFont="1" applyFill="1" applyBorder="1" applyAlignment="1">
      <alignment horizontal="left" vertical="center"/>
    </xf>
    <xf numFmtId="0" fontId="49" fillId="0" borderId="0" xfId="0" applyNumberFormat="1" applyFont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0" fontId="3" fillId="0" borderId="0" xfId="0" applyNumberFormat="1" applyFont="1" applyBorder="1" applyAlignment="1">
      <alignment vertical="center"/>
    </xf>
    <xf numFmtId="198" fontId="61" fillId="0" borderId="0" xfId="30239" applyNumberFormat="1" applyFont="1" applyFill="1" applyBorder="1" applyAlignment="1">
      <alignment vertical="center"/>
    </xf>
    <xf numFmtId="200" fontId="62" fillId="0" borderId="0" xfId="0" applyNumberFormat="1" applyFont="1" applyBorder="1" applyAlignment="1">
      <alignment vertical="center"/>
    </xf>
    <xf numFmtId="200" fontId="0" fillId="0" borderId="0" xfId="0" applyNumberFormat="1" applyBorder="1" applyAlignment="1">
      <alignment horizontal="left" vertical="center"/>
    </xf>
    <xf numFmtId="200" fontId="63" fillId="0" borderId="0" xfId="0" applyNumberFormat="1" applyFont="1" applyAlignment="1">
      <alignment vertical="center"/>
    </xf>
    <xf numFmtId="200" fontId="0" fillId="0" borderId="0" xfId="0" applyNumberFormat="1" applyFont="1" applyAlignment="1">
      <alignment vertical="center"/>
    </xf>
    <xf numFmtId="200" fontId="6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65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94" fontId="0" fillId="0" borderId="1" xfId="0" applyNumberFormat="1" applyFont="1" applyFill="1" applyBorder="1" applyAlignment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Border="1" applyAlignment="1">
      <alignment horizontal="left" vertical="center"/>
    </xf>
    <xf numFmtId="49" fontId="67" fillId="0" borderId="0" xfId="0" applyNumberFormat="1" applyFont="1" applyFill="1" applyBorder="1" applyAlignment="1" applyProtection="1">
      <alignment vertical="center" shrinkToFit="1"/>
    </xf>
    <xf numFmtId="0" fontId="52" fillId="0" borderId="12" xfId="0" applyFont="1" applyFill="1" applyBorder="1" applyAlignment="1">
      <alignment horizontal="left" vertical="center" wrapText="1"/>
    </xf>
    <xf numFmtId="0" fontId="68" fillId="0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198" fontId="5" fillId="4" borderId="1" xfId="0" applyNumberFormat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194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209" fontId="5" fillId="4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1" fontId="5" fillId="4" borderId="1" xfId="0" applyNumberFormat="1" applyFont="1" applyFill="1" applyBorder="1" applyAlignment="1">
      <alignment horizontal="left" vertical="center"/>
    </xf>
    <xf numFmtId="194" fontId="5" fillId="0" borderId="1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 applyProtection="1">
      <alignment horizontal="center" vertical="center" shrinkToFit="1"/>
    </xf>
    <xf numFmtId="0" fontId="5" fillId="4" borderId="1" xfId="0" applyFont="1" applyFill="1" applyBorder="1" applyAlignment="1" quotePrefix="1">
      <alignment horizontal="left" vertical="center"/>
    </xf>
    <xf numFmtId="0" fontId="15" fillId="4" borderId="0" xfId="0" applyFont="1" applyFill="1" applyBorder="1" applyAlignment="1" quotePrefix="1">
      <alignment horizontal="left" vertical="center"/>
    </xf>
    <xf numFmtId="49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NumberFormat="1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vertical="center"/>
    </xf>
    <xf numFmtId="0" fontId="15" fillId="4" borderId="0" xfId="0" applyNumberFormat="1" applyFont="1" applyFill="1" applyBorder="1" applyAlignment="1" quotePrefix="1">
      <alignment vertical="center" wrapText="1"/>
    </xf>
    <xf numFmtId="0" fontId="27" fillId="4" borderId="0" xfId="0" applyFont="1" applyFill="1" applyBorder="1" applyAlignment="1" quotePrefix="1">
      <alignment horizontal="left" vertical="center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4" borderId="0" xfId="0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 wrapText="1"/>
    </xf>
    <xf numFmtId="0" fontId="15" fillId="4" borderId="0" xfId="0" applyFont="1" applyFill="1" applyBorder="1" applyAlignment="1" quotePrefix="1">
      <alignment horizontal="center" vertical="center" wrapText="1"/>
    </xf>
    <xf numFmtId="0" fontId="16" fillId="4" borderId="0" xfId="0" applyFont="1" applyFill="1" applyBorder="1" applyAlignment="1" quotePrefix="1">
      <alignment horizontal="center" vertical="center"/>
    </xf>
    <xf numFmtId="0" fontId="0" fillId="0" borderId="0" xfId="0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03"/>
  <sheetViews>
    <sheetView tabSelected="1" workbookViewId="0">
      <pane ySplit="3" topLeftCell="A7" activePane="bottomLeft" state="frozen"/>
      <selection/>
      <selection pane="bottomLeft" activeCell="C15" sqref="C15"/>
    </sheetView>
  </sheetViews>
  <sheetFormatPr defaultColWidth="9" defaultRowHeight="31.5" customHeight="1"/>
  <cols>
    <col min="1" max="1" width="6.55833333333333" customWidth="1"/>
    <col min="2" max="2" width="25.25" customWidth="1"/>
    <col min="3" max="3" width="21" customWidth="1"/>
    <col min="4" max="4" width="11.375" customWidth="1"/>
    <col min="5" max="5" width="10.2166666666667" customWidth="1"/>
    <col min="6" max="6" width="13.875" customWidth="1"/>
    <col min="7" max="7" width="12.625" customWidth="1"/>
    <col min="8" max="8" width="15.125" customWidth="1"/>
    <col min="9" max="9" width="12.625" customWidth="1"/>
    <col min="10" max="10" width="14" customWidth="1"/>
    <col min="11" max="11" width="11.75" customWidth="1"/>
    <col min="12" max="12" width="14.875" customWidth="1"/>
    <col min="13" max="13" width="16.6583333333333" customWidth="1"/>
    <col min="14" max="14" width="13.875" customWidth="1"/>
    <col min="15" max="15" width="18.125" style="497" customWidth="1"/>
    <col min="16" max="16" width="15.2166666666667" customWidth="1"/>
    <col min="17" max="17" width="6.75" customWidth="1"/>
    <col min="18" max="18" width="16.625" customWidth="1"/>
    <col min="19" max="19" width="18.3583333333333" customWidth="1"/>
    <col min="20" max="20" width="16.775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9" max="29" width="12.125" customWidth="1"/>
    <col min="31" max="31" width="13" customWidth="1"/>
    <col min="32" max="32" width="13.75" customWidth="1"/>
    <col min="33" max="33" width="12.625"/>
    <col min="34" max="34" width="24.75" customWidth="1"/>
    <col min="35" max="35" width="16.25" customWidth="1"/>
  </cols>
  <sheetData>
    <row r="1" customHeight="1" spans="1:24">
      <c r="A1" s="498" t="s">
        <v>0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583"/>
      <c r="P1" s="499"/>
      <c r="Q1" s="499"/>
      <c r="R1" s="499"/>
      <c r="S1" s="499"/>
      <c r="T1" s="499"/>
      <c r="U1" s="499"/>
      <c r="V1" s="499"/>
      <c r="W1" s="499"/>
      <c r="X1" s="499"/>
    </row>
    <row r="2" ht="41" customHeight="1" spans="1:23">
      <c r="A2" s="500" t="s">
        <v>1</v>
      </c>
      <c r="B2" s="501" t="s">
        <v>2</v>
      </c>
      <c r="C2" s="502" t="s">
        <v>3</v>
      </c>
      <c r="D2" s="503" t="s">
        <v>4</v>
      </c>
      <c r="E2" s="504" t="s">
        <v>5</v>
      </c>
      <c r="F2" s="505"/>
      <c r="G2" s="506"/>
      <c r="H2" s="507"/>
      <c r="I2" s="507"/>
      <c r="J2" s="584" t="s">
        <v>6</v>
      </c>
      <c r="K2" s="584" t="s">
        <v>7</v>
      </c>
      <c r="L2" s="585" t="s">
        <v>8</v>
      </c>
      <c r="M2" s="586"/>
      <c r="N2" s="586"/>
      <c r="O2" s="587"/>
      <c r="P2" s="586"/>
      <c r="Q2" s="586"/>
      <c r="R2" s="586"/>
      <c r="S2" s="637"/>
      <c r="T2" s="638" t="s">
        <v>9</v>
      </c>
      <c r="U2" s="638"/>
      <c r="V2" s="638"/>
      <c r="W2" s="639" t="s">
        <v>10</v>
      </c>
    </row>
    <row r="3" s="492" customFormat="1" ht="33" customHeight="1" spans="1:23">
      <c r="A3" s="508"/>
      <c r="B3" s="509"/>
      <c r="C3" s="510" t="s">
        <v>11</v>
      </c>
      <c r="D3" s="510" t="s">
        <v>11</v>
      </c>
      <c r="E3" s="511" t="s">
        <v>12</v>
      </c>
      <c r="F3" s="512" t="s">
        <v>13</v>
      </c>
      <c r="G3" s="513" t="s">
        <v>14</v>
      </c>
      <c r="H3" s="514" t="s">
        <v>15</v>
      </c>
      <c r="I3" s="514"/>
      <c r="J3" s="514"/>
      <c r="K3" s="514"/>
      <c r="L3" s="588" t="s">
        <v>12</v>
      </c>
      <c r="M3" s="589" t="s">
        <v>16</v>
      </c>
      <c r="N3" s="589" t="s">
        <v>17</v>
      </c>
      <c r="O3" s="590" t="s">
        <v>18</v>
      </c>
      <c r="P3" s="591" t="s">
        <v>19</v>
      </c>
      <c r="Q3" s="640" t="s">
        <v>20</v>
      </c>
      <c r="R3" s="641" t="s">
        <v>21</v>
      </c>
      <c r="S3" s="642" t="s">
        <v>22</v>
      </c>
      <c r="T3" s="643" t="s">
        <v>11</v>
      </c>
      <c r="U3" s="513" t="s">
        <v>23</v>
      </c>
      <c r="V3" s="644" t="s">
        <v>24</v>
      </c>
      <c r="W3" s="645"/>
    </row>
    <row r="4" s="493" customFormat="1" ht="36" customHeight="1" spans="1:23">
      <c r="A4" s="515">
        <v>1</v>
      </c>
      <c r="B4" s="516" t="s">
        <v>25</v>
      </c>
      <c r="C4" s="517">
        <f>'画堂春锦13#14#15#17#18# 商铺'!A148</f>
        <v>140</v>
      </c>
      <c r="D4" s="517">
        <f>C4</f>
        <v>140</v>
      </c>
      <c r="E4" s="518"/>
      <c r="F4" s="519"/>
      <c r="G4" s="520">
        <f>'画堂春锦13#14#15#17#18# 商铺'!T151</f>
        <v>10456397</v>
      </c>
      <c r="H4" s="520"/>
      <c r="I4" s="520"/>
      <c r="J4" s="520">
        <f>'画堂春锦13#14#15#17#18# 商铺'!K151</f>
        <v>15320.31</v>
      </c>
      <c r="K4" s="520">
        <f>J4-976.47-524.4-152.79-15.25-16.01</f>
        <v>13635.39</v>
      </c>
      <c r="L4" s="592">
        <f>'画堂春锦13#14#15#17#18# 商铺'!B151</f>
        <v>6</v>
      </c>
      <c r="M4" s="520">
        <f>'画堂春锦13#14#15#17#18# 商铺'!N151</f>
        <v>159271131.229</v>
      </c>
      <c r="N4" s="520">
        <f>'画堂春锦13#14#15#17#18# 商铺'!L151</f>
        <v>10078.84</v>
      </c>
      <c r="O4" s="593">
        <f>'画堂春锦13#14#15#17#18# 商铺'!AL151</f>
        <v>140667677</v>
      </c>
      <c r="P4" s="594">
        <f>'画堂春锦13#14#15#17#18# 商铺'!AM151</f>
        <v>0</v>
      </c>
      <c r="Q4" s="520">
        <f>'画堂春锦13#14#15#17#18# 商铺'!AN151</f>
        <v>0</v>
      </c>
      <c r="R4" s="646">
        <f>O4+Q4</f>
        <v>140667677</v>
      </c>
      <c r="S4" s="520">
        <f>M4-R4</f>
        <v>18603454.229</v>
      </c>
      <c r="T4" s="647">
        <f>D4-L4</f>
        <v>134</v>
      </c>
      <c r="U4" s="648">
        <f>K4-N4</f>
        <v>3556.55000000001</v>
      </c>
      <c r="V4" s="649"/>
      <c r="W4" s="650"/>
    </row>
    <row r="5" s="493" customFormat="1" ht="36" customHeight="1" spans="1:23">
      <c r="A5" s="521">
        <v>2</v>
      </c>
      <c r="B5" s="522" t="s">
        <v>26</v>
      </c>
      <c r="C5" s="517">
        <f>'画堂春锦9#10#11#12#住宅'!A332</f>
        <v>242</v>
      </c>
      <c r="D5" s="517">
        <f>C5</f>
        <v>242</v>
      </c>
      <c r="E5" s="518"/>
      <c r="F5" s="519"/>
      <c r="G5" s="520">
        <f>'画堂春锦9#10#11#12#住宅'!R333</f>
        <v>1235107</v>
      </c>
      <c r="H5" s="520"/>
      <c r="I5" s="520"/>
      <c r="J5" s="520">
        <f>'画堂春锦9#10#11#12#住宅'!J333</f>
        <v>31331.37</v>
      </c>
      <c r="K5" s="520">
        <f>J5-4.49-22.24-19.83-4.39-548.24-753.94-625.87-615.6</f>
        <v>28736.77</v>
      </c>
      <c r="L5" s="595">
        <v>222</v>
      </c>
      <c r="M5" s="520">
        <f>'画堂春锦9#10#11#12#住宅'!M333</f>
        <v>158148449.8879</v>
      </c>
      <c r="N5" s="520">
        <f>'画堂春锦9#10#11#12#住宅'!K333</f>
        <v>26966.54</v>
      </c>
      <c r="O5" s="593">
        <f>'画堂春锦9#10#11#12#住宅'!AH333</f>
        <v>153843666</v>
      </c>
      <c r="P5" s="594">
        <f>'画堂春锦9#10#11#12#住宅'!AI333</f>
        <v>0</v>
      </c>
      <c r="Q5" s="520">
        <f>'画堂春锦9#10#11#12#住宅'!AJ333</f>
        <v>0</v>
      </c>
      <c r="R5" s="646">
        <f>O5+Q5</f>
        <v>153843666</v>
      </c>
      <c r="S5" s="520">
        <f>M5-R5</f>
        <v>4304783.88789999</v>
      </c>
      <c r="T5" s="647">
        <f>D5-L5</f>
        <v>20</v>
      </c>
      <c r="U5" s="648">
        <f>K5-N5</f>
        <v>1770.23000000003</v>
      </c>
      <c r="V5" s="649"/>
      <c r="W5" s="651"/>
    </row>
    <row r="6" s="493" customFormat="1" ht="35" customHeight="1" spans="1:23">
      <c r="A6" s="521">
        <v>3</v>
      </c>
      <c r="B6" s="522" t="s">
        <v>27</v>
      </c>
      <c r="C6" s="517">
        <f>'画堂春锦苑1#2#3#5#7#楼住宅销售明细表'!A439</f>
        <v>364</v>
      </c>
      <c r="D6" s="517">
        <f>C6</f>
        <v>364</v>
      </c>
      <c r="E6" s="518"/>
      <c r="F6" s="519"/>
      <c r="G6" s="520">
        <f>'画堂春锦苑1#2#3#5#7#楼住宅销售明细表'!R440</f>
        <v>6265316</v>
      </c>
      <c r="H6" s="520"/>
      <c r="I6" s="520"/>
      <c r="J6" s="520">
        <f>'画堂春锦苑1#2#3#5#7#楼住宅销售明细表'!J440</f>
        <v>48353.1899999999</v>
      </c>
      <c r="K6" s="520">
        <f>J6-693.5-949.92-60.09-743.78-560.48-557.5</f>
        <v>44787.9199999999</v>
      </c>
      <c r="L6" s="595">
        <v>235</v>
      </c>
      <c r="M6" s="520">
        <f>'画堂春锦苑1#2#3#5#7#楼住宅销售明细表'!M440</f>
        <v>189050667.87095</v>
      </c>
      <c r="N6" s="520">
        <f>'画堂春锦苑1#2#3#5#7#楼住宅销售明细表'!K440</f>
        <v>32739.34</v>
      </c>
      <c r="O6" s="593">
        <f>'画堂春锦苑1#2#3#5#7#楼住宅销售明细表'!AH440</f>
        <v>163550032</v>
      </c>
      <c r="P6" s="594">
        <f>'画堂春锦9#10#11#12#住宅'!AI337</f>
        <v>0</v>
      </c>
      <c r="Q6" s="520">
        <f>'画堂春锦苑1#2#3#5#7#楼住宅销售明细表'!AJ440</f>
        <v>0</v>
      </c>
      <c r="R6" s="646">
        <f>O6+Q6</f>
        <v>163550032</v>
      </c>
      <c r="S6" s="520">
        <f>M6-R6</f>
        <v>25500635.87095</v>
      </c>
      <c r="T6" s="647">
        <f>D6-L6</f>
        <v>129</v>
      </c>
      <c r="U6" s="648">
        <f>K6-N6</f>
        <v>12048.5799999999</v>
      </c>
      <c r="V6" s="649"/>
      <c r="W6" s="651"/>
    </row>
    <row r="7" s="493" customFormat="1" ht="35" customHeight="1" spans="1:23">
      <c r="A7" s="521">
        <v>4</v>
      </c>
      <c r="B7" s="523" t="s">
        <v>28</v>
      </c>
      <c r="C7" s="517">
        <f>'画堂春锦苑8#楼明细表'!A69</f>
        <v>66</v>
      </c>
      <c r="D7" s="517">
        <f>C7</f>
        <v>66</v>
      </c>
      <c r="E7" s="518"/>
      <c r="F7" s="519"/>
      <c r="G7" s="520">
        <f>'画堂春锦苑8#楼明细表'!R71</f>
        <v>7010026</v>
      </c>
      <c r="H7" s="520"/>
      <c r="I7" s="520"/>
      <c r="J7" s="520">
        <f>'画堂春锦苑8#楼明细表'!J71</f>
        <v>8308.96</v>
      </c>
      <c r="K7" s="520">
        <f>J7</f>
        <v>8308.96</v>
      </c>
      <c r="L7" s="595">
        <v>23</v>
      </c>
      <c r="M7" s="520">
        <f>'画堂春锦苑8#楼明细表'!M71</f>
        <v>30523070</v>
      </c>
      <c r="N7" s="520">
        <f>'画堂春锦苑8#楼明细表'!K71</f>
        <v>5171.2</v>
      </c>
      <c r="O7" s="593">
        <f>'画堂春锦苑8#楼明细表'!AH71</f>
        <v>21412587</v>
      </c>
      <c r="P7" s="594">
        <f>'画堂春锦9#10#11#12#住宅'!AI338</f>
        <v>0</v>
      </c>
      <c r="Q7" s="520">
        <f>'画堂春锦苑8#楼明细表'!AJ71</f>
        <v>0</v>
      </c>
      <c r="R7" s="646">
        <f>O7+Q7</f>
        <v>21412587</v>
      </c>
      <c r="S7" s="520">
        <f>'画堂春锦苑8#楼明细表'!AK71</f>
        <v>9110483</v>
      </c>
      <c r="T7" s="647">
        <f>D7-L7</f>
        <v>43</v>
      </c>
      <c r="U7" s="648">
        <f>K7-N7</f>
        <v>3137.76</v>
      </c>
      <c r="V7" s="649"/>
      <c r="W7" s="651"/>
    </row>
    <row r="8" s="493" customFormat="1" ht="35" customHeight="1" spans="1:23">
      <c r="A8" s="521">
        <v>5</v>
      </c>
      <c r="B8" s="523" t="s">
        <v>29</v>
      </c>
      <c r="C8" s="517">
        <f>'画堂春锦苑住宅4#6#'!A168</f>
        <v>132</v>
      </c>
      <c r="D8" s="517"/>
      <c r="E8" s="518"/>
      <c r="F8" s="519"/>
      <c r="G8" s="520">
        <f>'画堂春锦苑住宅4#6#'!R168</f>
        <v>604708</v>
      </c>
      <c r="H8" s="520"/>
      <c r="I8" s="520"/>
      <c r="J8" s="520">
        <f>'画堂春锦苑住宅4#6#'!J168</f>
        <v>19425.76</v>
      </c>
      <c r="K8" s="520"/>
      <c r="L8" s="595"/>
      <c r="M8" s="520">
        <f>'画堂春锦苑住宅4#6#'!M168</f>
        <v>3887984</v>
      </c>
      <c r="N8" s="520">
        <f>'画堂春锦苑住宅4#6#'!K168</f>
        <v>662.77</v>
      </c>
      <c r="O8" s="593">
        <f>'画堂春锦苑住宅4#6#'!AH168</f>
        <v>618708</v>
      </c>
      <c r="P8" s="594"/>
      <c r="Q8" s="520"/>
      <c r="R8" s="646">
        <f>O8+Q8</f>
        <v>618708</v>
      </c>
      <c r="S8" s="520"/>
      <c r="T8" s="647"/>
      <c r="U8" s="648">
        <f>K8-N8</f>
        <v>-662.77</v>
      </c>
      <c r="V8" s="649"/>
      <c r="W8" s="651"/>
    </row>
    <row r="9" s="493" customFormat="1" ht="34" customHeight="1" spans="1:23">
      <c r="A9" s="521">
        <v>6</v>
      </c>
      <c r="B9" s="516" t="s">
        <v>30</v>
      </c>
      <c r="C9" s="517">
        <f>'画堂春锦苑商业16#19#'!A64</f>
        <v>61</v>
      </c>
      <c r="D9" s="517"/>
      <c r="E9" s="518"/>
      <c r="F9" s="519"/>
      <c r="G9" s="520">
        <f>'画堂春锦苑商业16#19#'!R65</f>
        <v>14000</v>
      </c>
      <c r="H9" s="520"/>
      <c r="I9" s="520"/>
      <c r="J9" s="520">
        <f>'画堂春锦苑商业16#19#'!J65</f>
        <v>5805.62</v>
      </c>
      <c r="K9" s="520"/>
      <c r="L9" s="595"/>
      <c r="M9" s="520">
        <f>'画堂春锦苑商业16#19#'!M65</f>
        <v>0</v>
      </c>
      <c r="N9" s="520"/>
      <c r="O9" s="593">
        <f>'画堂春锦苑商业16#19#'!AH65</f>
        <v>4114000</v>
      </c>
      <c r="P9" s="594"/>
      <c r="Q9" s="520"/>
      <c r="R9" s="646"/>
      <c r="S9" s="520"/>
      <c r="T9" s="647"/>
      <c r="U9" s="648"/>
      <c r="V9" s="649"/>
      <c r="W9" s="651"/>
    </row>
    <row r="10" s="493" customFormat="1" ht="41" customHeight="1" spans="1:23">
      <c r="A10" s="524" t="s">
        <v>31</v>
      </c>
      <c r="B10" s="525"/>
      <c r="C10" s="525">
        <f>SUM(C4:C9)</f>
        <v>1005</v>
      </c>
      <c r="D10" s="525">
        <f>SUM(D4:D9)</f>
        <v>812</v>
      </c>
      <c r="E10" s="526">
        <f>SUM(E4:E9)</f>
        <v>0</v>
      </c>
      <c r="F10" s="527">
        <f>SUM(F4:F9)</f>
        <v>0</v>
      </c>
      <c r="G10" s="528">
        <f>SUM(G4:G9)</f>
        <v>25585554</v>
      </c>
      <c r="H10" s="528"/>
      <c r="I10" s="528"/>
      <c r="J10" s="596">
        <f>SUM(J4:J9)</f>
        <v>128545.21</v>
      </c>
      <c r="K10" s="596">
        <f>SUM(K4:K9)</f>
        <v>95469.0399999999</v>
      </c>
      <c r="L10" s="597">
        <f t="shared" ref="L10:S10" si="0">SUM(L4:L9)</f>
        <v>486</v>
      </c>
      <c r="M10" s="596">
        <f t="shared" si="0"/>
        <v>540881302.98785</v>
      </c>
      <c r="N10" s="596">
        <f t="shared" si="0"/>
        <v>75618.69</v>
      </c>
      <c r="O10" s="598">
        <f t="shared" si="0"/>
        <v>484206670</v>
      </c>
      <c r="P10" s="596">
        <f t="shared" si="0"/>
        <v>0</v>
      </c>
      <c r="Q10" s="596">
        <f t="shared" si="0"/>
        <v>0</v>
      </c>
      <c r="R10" s="652">
        <f t="shared" si="0"/>
        <v>480092670</v>
      </c>
      <c r="S10" s="596">
        <f t="shared" si="0"/>
        <v>57519356.98785</v>
      </c>
      <c r="T10" s="597">
        <f>SUM(T5:T9)</f>
        <v>192</v>
      </c>
      <c r="U10" s="653">
        <f>SUM(U4:U9)</f>
        <v>19850.3499999999</v>
      </c>
      <c r="V10" s="654">
        <f>SUM(V4:V9)</f>
        <v>0</v>
      </c>
      <c r="W10" s="655"/>
    </row>
    <row r="11" s="494" customFormat="1" ht="27.75" customHeight="1" spans="1:23">
      <c r="A11" s="529"/>
      <c r="B11" s="530"/>
      <c r="C11" s="531"/>
      <c r="D11" s="532"/>
      <c r="E11" s="532"/>
      <c r="F11" s="533" t="s">
        <v>32</v>
      </c>
      <c r="G11" s="534">
        <f>14000</f>
        <v>14000</v>
      </c>
      <c r="H11" s="535"/>
      <c r="I11" s="535"/>
      <c r="J11" s="599"/>
      <c r="K11" s="600"/>
      <c r="L11" s="601"/>
      <c r="M11" s="600"/>
      <c r="N11" s="600" t="s">
        <v>33</v>
      </c>
      <c r="O11" s="602">
        <v>484208586</v>
      </c>
      <c r="Q11" s="656"/>
      <c r="R11" s="657"/>
      <c r="S11" s="605"/>
      <c r="T11" s="601"/>
      <c r="U11" s="658"/>
      <c r="V11" s="659"/>
      <c r="W11" s="532"/>
    </row>
    <row r="12" s="494" customFormat="1" ht="34" customHeight="1" spans="1:23">
      <c r="A12" s="529"/>
      <c r="B12" s="530"/>
      <c r="C12" s="531"/>
      <c r="D12" s="532"/>
      <c r="E12" s="532"/>
      <c r="F12" s="533" t="s">
        <v>34</v>
      </c>
      <c r="G12" s="536">
        <f>10000+2000+14000</f>
        <v>26000</v>
      </c>
      <c r="H12" s="537" t="s">
        <v>35</v>
      </c>
      <c r="I12" s="537"/>
      <c r="J12" s="599"/>
      <c r="K12" s="600"/>
      <c r="L12" s="601"/>
      <c r="M12" s="600"/>
      <c r="N12" s="600" t="s">
        <v>36</v>
      </c>
      <c r="O12" s="602">
        <f>172605898+1482240+4296271+12000</f>
        <v>178396409</v>
      </c>
      <c r="P12" s="603">
        <f>278868823+16205837+10864302</f>
        <v>305938962</v>
      </c>
      <c r="Q12" s="603"/>
      <c r="R12" s="660" t="s">
        <v>37</v>
      </c>
      <c r="S12" s="605"/>
      <c r="T12" s="601"/>
      <c r="U12" s="658"/>
      <c r="V12" s="659"/>
      <c r="W12" s="532"/>
    </row>
    <row r="13" s="494" customFormat="1" ht="34" customHeight="1" spans="1:23">
      <c r="A13" s="529"/>
      <c r="B13" s="530"/>
      <c r="C13" s="531"/>
      <c r="D13" s="538"/>
      <c r="E13" s="532"/>
      <c r="F13" s="539" t="s">
        <v>38</v>
      </c>
      <c r="G13" s="536">
        <f>G10-G11+G12</f>
        <v>25597554</v>
      </c>
      <c r="I13" s="535"/>
      <c r="J13" s="599"/>
      <c r="K13" s="600"/>
      <c r="L13" s="600"/>
      <c r="M13" s="600"/>
      <c r="N13" s="600" t="s">
        <v>39</v>
      </c>
      <c r="O13" s="602"/>
      <c r="P13" s="494" t="s">
        <v>40</v>
      </c>
      <c r="Q13" s="599"/>
      <c r="R13" s="657"/>
      <c r="S13" s="599"/>
      <c r="T13" s="600"/>
      <c r="U13" s="600"/>
      <c r="V13" s="659"/>
      <c r="W13" s="532"/>
    </row>
    <row r="14" s="494" customFormat="1" ht="34" customHeight="1" spans="1:23">
      <c r="A14" s="529"/>
      <c r="B14" s="530"/>
      <c r="C14" s="531"/>
      <c r="D14" s="538"/>
      <c r="E14" s="532"/>
      <c r="F14" s="539" t="s">
        <v>41</v>
      </c>
      <c r="G14" s="536">
        <f>-2916-24570</f>
        <v>-27486</v>
      </c>
      <c r="H14" s="540" t="s">
        <v>42</v>
      </c>
      <c r="I14" s="535"/>
      <c r="J14" s="599"/>
      <c r="K14" s="600"/>
      <c r="L14" s="600"/>
      <c r="M14" s="600"/>
      <c r="N14" s="600" t="s">
        <v>43</v>
      </c>
      <c r="O14" s="602">
        <v>152271</v>
      </c>
      <c r="P14" s="494" t="s">
        <v>40</v>
      </c>
      <c r="Q14" s="599"/>
      <c r="R14" s="657"/>
      <c r="S14" s="605"/>
      <c r="T14" s="600"/>
      <c r="U14" s="600"/>
      <c r="V14" s="659"/>
      <c r="W14" s="532"/>
    </row>
    <row r="15" s="494" customFormat="1" ht="56" customHeight="1" spans="1:23">
      <c r="A15" s="529"/>
      <c r="B15" s="530"/>
      <c r="C15" s="541"/>
      <c r="D15" s="532"/>
      <c r="E15" s="532"/>
      <c r="F15" s="542" t="s">
        <v>44</v>
      </c>
      <c r="G15" s="536">
        <v>488000</v>
      </c>
      <c r="H15" s="543" t="s">
        <v>45</v>
      </c>
      <c r="I15" s="543"/>
      <c r="J15" s="599"/>
      <c r="K15" s="600"/>
      <c r="L15" s="600"/>
      <c r="M15" s="600"/>
      <c r="N15" s="600" t="s">
        <v>46</v>
      </c>
      <c r="O15" s="602">
        <f>O10-O11-G14</f>
        <v>25570</v>
      </c>
      <c r="P15" s="604" t="s">
        <v>47</v>
      </c>
      <c r="Q15" s="661"/>
      <c r="R15" s="599"/>
      <c r="S15" s="605"/>
      <c r="T15" s="600"/>
      <c r="U15" s="600"/>
      <c r="V15" s="659"/>
      <c r="W15" s="532"/>
    </row>
    <row r="16" s="494" customFormat="1" ht="34" customHeight="1" spans="1:23">
      <c r="A16" s="529"/>
      <c r="B16" s="530"/>
      <c r="C16" s="541"/>
      <c r="D16" s="532"/>
      <c r="E16" s="532"/>
      <c r="F16" s="542"/>
      <c r="G16" s="536"/>
      <c r="H16" s="544"/>
      <c r="I16" s="535"/>
      <c r="J16" s="599"/>
      <c r="K16" s="600"/>
      <c r="L16" s="600"/>
      <c r="M16" s="600"/>
      <c r="N16" s="600" t="s">
        <v>48</v>
      </c>
      <c r="O16" s="602">
        <f>O10-O12-P12+O13+O14</f>
        <v>23570</v>
      </c>
      <c r="P16" s="604"/>
      <c r="Q16" s="599"/>
      <c r="R16" s="657"/>
      <c r="S16" s="605"/>
      <c r="T16" s="600"/>
      <c r="U16" s="600"/>
      <c r="V16" s="659"/>
      <c r="W16" s="532"/>
    </row>
    <row r="17" s="494" customFormat="1" ht="19" customHeight="1" spans="1:23">
      <c r="A17" s="545"/>
      <c r="B17" s="546"/>
      <c r="C17" s="547"/>
      <c r="D17" s="548"/>
      <c r="E17" s="548"/>
      <c r="F17" s="542"/>
      <c r="G17" s="536"/>
      <c r="H17" s="543"/>
      <c r="I17" s="543"/>
      <c r="J17" s="605"/>
      <c r="K17" s="603"/>
      <c r="L17" s="600"/>
      <c r="M17" s="600"/>
      <c r="N17" s="600"/>
      <c r="O17" s="606"/>
      <c r="Q17" s="599"/>
      <c r="R17" s="657"/>
      <c r="S17" s="605"/>
      <c r="T17" s="600"/>
      <c r="U17" s="600"/>
      <c r="V17" s="662"/>
      <c r="W17" s="548"/>
    </row>
    <row r="18" s="494" customFormat="1" ht="16" customHeight="1" spans="1:23">
      <c r="A18" s="545"/>
      <c r="B18" s="546"/>
      <c r="C18" s="547"/>
      <c r="D18" s="548"/>
      <c r="E18" s="548"/>
      <c r="F18" s="549"/>
      <c r="G18" s="549">
        <v>488000</v>
      </c>
      <c r="H18" s="549" t="s">
        <v>49</v>
      </c>
      <c r="I18" s="535"/>
      <c r="J18" s="605"/>
      <c r="K18" s="603"/>
      <c r="L18" s="600"/>
      <c r="M18" s="600"/>
      <c r="N18" s="600"/>
      <c r="O18" s="606"/>
      <c r="Q18" s="599"/>
      <c r="R18" s="657"/>
      <c r="S18" s="605"/>
      <c r="T18" s="600"/>
      <c r="U18" s="600"/>
      <c r="V18" s="662"/>
      <c r="W18" s="548"/>
    </row>
    <row r="19" s="494" customFormat="1" ht="23" customHeight="1" spans="1:23">
      <c r="A19" s="545"/>
      <c r="B19" s="546"/>
      <c r="C19" s="547"/>
      <c r="D19" s="548"/>
      <c r="E19" s="548"/>
      <c r="F19" s="539"/>
      <c r="G19" s="536">
        <f>G13-G15+G18</f>
        <v>25597554</v>
      </c>
      <c r="H19" s="550"/>
      <c r="I19" s="535"/>
      <c r="J19" s="605"/>
      <c r="K19" s="603"/>
      <c r="L19" s="600"/>
      <c r="M19" s="600"/>
      <c r="N19" s="600"/>
      <c r="O19" s="606"/>
      <c r="Q19" s="599"/>
      <c r="R19" s="657"/>
      <c r="S19" s="605"/>
      <c r="T19" s="600"/>
      <c r="U19" s="600"/>
      <c r="V19" s="662"/>
      <c r="W19" s="548"/>
    </row>
    <row r="20" s="494" customFormat="1" ht="20" customHeight="1" spans="1:23">
      <c r="A20" s="545"/>
      <c r="B20" s="546"/>
      <c r="C20" s="547"/>
      <c r="D20" s="548"/>
      <c r="E20" s="548"/>
      <c r="F20" s="551"/>
      <c r="G20" s="536">
        <f>2000+10000</f>
        <v>12000</v>
      </c>
      <c r="H20" s="494" t="s">
        <v>50</v>
      </c>
      <c r="I20" s="607"/>
      <c r="J20" s="605"/>
      <c r="K20" s="603"/>
      <c r="L20" s="600"/>
      <c r="M20" s="600"/>
      <c r="N20" s="600"/>
      <c r="O20" s="606"/>
      <c r="Q20" s="599"/>
      <c r="R20" s="657"/>
      <c r="S20" s="605"/>
      <c r="T20" s="600"/>
      <c r="U20" s="600"/>
      <c r="V20" s="662"/>
      <c r="W20" s="548"/>
    </row>
    <row r="21" ht="20" customHeight="1" spans="1:24">
      <c r="A21" s="552"/>
      <c r="B21" s="553"/>
      <c r="C21" s="554"/>
      <c r="D21" s="552"/>
      <c r="E21" s="552"/>
      <c r="F21" s="552"/>
      <c r="G21" s="555">
        <f>G13-G20</f>
        <v>25585554</v>
      </c>
      <c r="H21" s="556"/>
      <c r="I21" s="556"/>
      <c r="J21" s="608"/>
      <c r="K21" s="552"/>
      <c r="L21" s="609"/>
      <c r="M21" s="610"/>
      <c r="N21" s="611"/>
      <c r="O21" s="612"/>
      <c r="Q21" s="663"/>
      <c r="R21" s="609"/>
      <c r="S21" s="664"/>
      <c r="T21" s="665"/>
      <c r="U21" s="611"/>
      <c r="V21" s="552"/>
      <c r="W21" s="666"/>
      <c r="X21" s="667"/>
    </row>
    <row r="22" ht="29" customHeight="1" spans="2:24">
      <c r="B22" s="557" t="s">
        <v>51</v>
      </c>
      <c r="C22" s="557"/>
      <c r="D22" s="557"/>
      <c r="E22" s="557"/>
      <c r="F22" s="557"/>
      <c r="G22" s="557"/>
      <c r="H22" s="557"/>
      <c r="I22" s="557"/>
      <c r="J22" s="557"/>
      <c r="K22" s="557"/>
      <c r="L22" s="613"/>
      <c r="M22" s="613"/>
      <c r="N22" s="614"/>
      <c r="O22" s="615"/>
      <c r="P22" s="616"/>
      <c r="Q22" s="668"/>
      <c r="S22" s="664"/>
      <c r="T22" s="665"/>
      <c r="U22" s="669"/>
      <c r="V22" s="670"/>
      <c r="W22" s="671"/>
      <c r="X22" s="672"/>
    </row>
    <row r="23" ht="29" customHeight="1" spans="2:24">
      <c r="B23" s="558" t="s">
        <v>52</v>
      </c>
      <c r="C23" s="558"/>
      <c r="D23" s="559" t="s">
        <v>53</v>
      </c>
      <c r="E23" s="559"/>
      <c r="F23" s="558" t="s">
        <v>54</v>
      </c>
      <c r="G23" s="558"/>
      <c r="H23" s="559" t="s">
        <v>55</v>
      </c>
      <c r="I23" s="559"/>
      <c r="J23" s="617" t="s">
        <v>56</v>
      </c>
      <c r="K23" s="618"/>
      <c r="L23" s="558" t="s">
        <v>57</v>
      </c>
      <c r="M23" s="619" t="s">
        <v>29</v>
      </c>
      <c r="N23" s="620"/>
      <c r="O23" s="619" t="s">
        <v>58</v>
      </c>
      <c r="P23" s="620"/>
      <c r="Q23" s="570"/>
      <c r="R23" s="570"/>
      <c r="S23" s="673"/>
      <c r="T23" s="665"/>
      <c r="U23" s="669"/>
      <c r="V23" s="670"/>
      <c r="W23" s="671"/>
      <c r="X23" s="674"/>
    </row>
    <row r="24" ht="29" customHeight="1" spans="2:24">
      <c r="B24" s="558" t="s">
        <v>59</v>
      </c>
      <c r="C24" s="558"/>
      <c r="D24" s="558">
        <f>D26+E26</f>
        <v>944867</v>
      </c>
      <c r="E24" s="558"/>
      <c r="F24" s="558">
        <f>F26+G26</f>
        <v>6275316</v>
      </c>
      <c r="G24" s="558"/>
      <c r="H24" s="558">
        <f>H26+I26</f>
        <v>9968397</v>
      </c>
      <c r="I24" s="558"/>
      <c r="J24" s="617">
        <f>J26+K26</f>
        <v>7498026</v>
      </c>
      <c r="K24" s="618"/>
      <c r="L24" s="621">
        <f>L26</f>
        <v>304240</v>
      </c>
      <c r="M24" s="617">
        <f>M26+N26</f>
        <v>606708</v>
      </c>
      <c r="N24" s="618"/>
      <c r="O24" s="617">
        <f>O26+P26</f>
        <v>0</v>
      </c>
      <c r="P24" s="618"/>
      <c r="Q24" s="570"/>
      <c r="R24" s="570"/>
      <c r="S24" s="675">
        <f>D24+F24+H24+J24+L24+M24+O24</f>
        <v>25597554</v>
      </c>
      <c r="T24" s="676"/>
      <c r="U24" s="669"/>
      <c r="V24" s="670"/>
      <c r="W24" s="671"/>
      <c r="X24" s="672"/>
    </row>
    <row r="25" ht="29" customHeight="1" spans="2:24">
      <c r="B25" s="558"/>
      <c r="C25" s="558"/>
      <c r="D25" s="558" t="s">
        <v>60</v>
      </c>
      <c r="E25" s="558" t="s">
        <v>61</v>
      </c>
      <c r="F25" s="558" t="s">
        <v>60</v>
      </c>
      <c r="G25" s="558" t="s">
        <v>61</v>
      </c>
      <c r="H25" s="558" t="s">
        <v>62</v>
      </c>
      <c r="I25" s="558"/>
      <c r="J25" s="570" t="s">
        <v>63</v>
      </c>
      <c r="K25" s="570" t="s">
        <v>64</v>
      </c>
      <c r="L25" s="558" t="s">
        <v>57</v>
      </c>
      <c r="M25" s="570" t="s">
        <v>63</v>
      </c>
      <c r="N25" s="570" t="s">
        <v>64</v>
      </c>
      <c r="O25" s="570" t="s">
        <v>63</v>
      </c>
      <c r="P25" s="570" t="s">
        <v>64</v>
      </c>
      <c r="Q25" s="570"/>
      <c r="R25" s="627"/>
      <c r="S25" s="675" t="s">
        <v>65</v>
      </c>
      <c r="T25" s="677"/>
      <c r="U25" s="669"/>
      <c r="V25" s="670"/>
      <c r="W25" s="671"/>
      <c r="X25" s="672"/>
    </row>
    <row r="26" ht="29" customHeight="1" spans="2:24">
      <c r="B26" s="558" t="s">
        <v>66</v>
      </c>
      <c r="C26" s="560" t="s">
        <v>67</v>
      </c>
      <c r="D26" s="561">
        <f>'画堂春锦9#10#11#12#住宅'!R334-G16</f>
        <v>944867</v>
      </c>
      <c r="E26" s="561">
        <f>'画堂春锦9#10#11#12#住宅'!R335</f>
        <v>0</v>
      </c>
      <c r="F26" s="561">
        <f>'画堂春锦苑1#2#3#5#7#楼住宅销售明细表'!R441+'画堂春锦苑1#2#3#5#7#楼住宅销售明细表'!R443-G17</f>
        <v>5175417</v>
      </c>
      <c r="G26" s="561">
        <f>'画堂春锦苑1#2#3#5#7#楼住宅销售明细表'!R442</f>
        <v>1099899</v>
      </c>
      <c r="H26" s="561">
        <f>'画堂春锦13#14#15#17#18# 商铺'!T155-G15</f>
        <v>9968397</v>
      </c>
      <c r="I26" s="561"/>
      <c r="J26" s="560">
        <f>'画堂春锦苑8#楼明细表'!R74</f>
        <v>4575140</v>
      </c>
      <c r="K26" s="560">
        <f>'画堂春锦苑8#楼明细表'!R75</f>
        <v>2922886</v>
      </c>
      <c r="L26" s="560">
        <f>'画堂春锦9#10#11#12#住宅'!R337+'画堂春锦9#10#11#12#住宅'!T337</f>
        <v>304240</v>
      </c>
      <c r="M26" s="560">
        <f>'画堂春锦苑住宅4#6#'!R170</f>
        <v>375323</v>
      </c>
      <c r="N26" s="560">
        <f>'画堂春锦苑住宅4#6#'!R171</f>
        <v>231385</v>
      </c>
      <c r="O26" s="560"/>
      <c r="P26" s="622"/>
      <c r="Q26" s="560"/>
      <c r="R26" s="622"/>
      <c r="S26" s="628"/>
      <c r="T26" s="678"/>
      <c r="U26" s="679"/>
      <c r="V26" s="670"/>
      <c r="W26" s="671"/>
      <c r="X26" s="674"/>
    </row>
    <row r="27" ht="29" customHeight="1" spans="2:24">
      <c r="B27" s="558" t="s">
        <v>68</v>
      </c>
      <c r="C27" s="560">
        <v>0.03</v>
      </c>
      <c r="D27" s="560"/>
      <c r="E27" s="560"/>
      <c r="F27" s="560">
        <f>F24/1.09*C27</f>
        <v>172715.119266055</v>
      </c>
      <c r="G27" s="560"/>
      <c r="H27" s="560"/>
      <c r="I27" s="560"/>
      <c r="J27" s="560">
        <f>J24/1.09*C27</f>
        <v>206367.688073394</v>
      </c>
      <c r="K27" s="560"/>
      <c r="L27" s="560"/>
      <c r="M27" s="623">
        <f>M24/1.09*0.03</f>
        <v>16698.3853211009</v>
      </c>
      <c r="N27" s="624"/>
      <c r="O27" s="623"/>
      <c r="P27" s="624"/>
      <c r="Q27" s="560"/>
      <c r="R27" s="627"/>
      <c r="S27" s="628">
        <f>D27+F27+H27+J27+M27+O27</f>
        <v>395781.19266055</v>
      </c>
      <c r="T27" s="678"/>
      <c r="U27" s="679"/>
      <c r="V27" s="670"/>
      <c r="W27" s="671"/>
      <c r="X27" s="672"/>
    </row>
    <row r="28" ht="29" customHeight="1" spans="2:24">
      <c r="B28" s="558" t="s">
        <v>69</v>
      </c>
      <c r="C28" s="560">
        <v>0.07</v>
      </c>
      <c r="D28" s="560"/>
      <c r="E28" s="560"/>
      <c r="F28" s="560">
        <f>F27*C28</f>
        <v>12090.0583486239</v>
      </c>
      <c r="G28" s="560"/>
      <c r="H28" s="560">
        <f>H27*C28</f>
        <v>0</v>
      </c>
      <c r="I28" s="560"/>
      <c r="J28" s="623">
        <f>J27*C28</f>
        <v>14445.7381651376</v>
      </c>
      <c r="K28" s="624"/>
      <c r="L28" s="625"/>
      <c r="M28" s="623">
        <f>M27*C28</f>
        <v>1168.88697247706</v>
      </c>
      <c r="N28" s="624"/>
      <c r="O28" s="623"/>
      <c r="P28" s="624"/>
      <c r="Q28" s="560"/>
      <c r="R28" s="627"/>
      <c r="S28" s="628">
        <f>D28+F28+H28+J28+M28+O28</f>
        <v>27704.6834862385</v>
      </c>
      <c r="T28" s="680"/>
      <c r="U28" s="681"/>
      <c r="V28" s="670"/>
      <c r="W28" s="680"/>
      <c r="X28" s="672"/>
    </row>
    <row r="29" ht="29" customHeight="1" spans="2:24">
      <c r="B29" s="558" t="s">
        <v>70</v>
      </c>
      <c r="C29" s="560">
        <v>0.03</v>
      </c>
      <c r="D29" s="560">
        <f>D27*C29</f>
        <v>0</v>
      </c>
      <c r="E29" s="560"/>
      <c r="F29" s="560">
        <f>F27*C29</f>
        <v>5181.45357798165</v>
      </c>
      <c r="G29" s="560"/>
      <c r="H29" s="560">
        <f>H27*C29</f>
        <v>0</v>
      </c>
      <c r="I29" s="560"/>
      <c r="J29" s="623">
        <f>J27*C29</f>
        <v>6191.03064220183</v>
      </c>
      <c r="K29" s="624"/>
      <c r="L29" s="625"/>
      <c r="M29" s="623">
        <f>M27*C29</f>
        <v>500.951559633027</v>
      </c>
      <c r="N29" s="624"/>
      <c r="O29" s="623"/>
      <c r="P29" s="624"/>
      <c r="Q29" s="560"/>
      <c r="R29" s="627"/>
      <c r="S29" s="628">
        <f>D29+F29+H29+J29+M29+O29</f>
        <v>11873.4357798165</v>
      </c>
      <c r="T29" s="682"/>
      <c r="U29" s="682"/>
      <c r="V29" s="682"/>
      <c r="W29" s="682"/>
      <c r="X29" s="1"/>
    </row>
    <row r="30" ht="29" customHeight="1" spans="2:24">
      <c r="B30" s="558" t="s">
        <v>71</v>
      </c>
      <c r="C30" s="560">
        <v>0.02</v>
      </c>
      <c r="D30" s="560">
        <f>D27*C30</f>
        <v>0</v>
      </c>
      <c r="E30" s="560"/>
      <c r="F30" s="560">
        <f>F27*C30</f>
        <v>3454.3023853211</v>
      </c>
      <c r="G30" s="560"/>
      <c r="H30" s="560">
        <f>H27*C30</f>
        <v>0</v>
      </c>
      <c r="I30" s="560"/>
      <c r="J30" s="623">
        <f>J27*C30</f>
        <v>4127.35376146789</v>
      </c>
      <c r="K30" s="624"/>
      <c r="L30" s="625"/>
      <c r="M30" s="623">
        <f>M27*C30</f>
        <v>333.967706422018</v>
      </c>
      <c r="N30" s="624"/>
      <c r="O30" s="623"/>
      <c r="P30" s="624"/>
      <c r="Q30" s="560"/>
      <c r="R30" s="627"/>
      <c r="S30" s="628">
        <f t="shared" ref="S30:S37" si="1">D30+F30+H30+J30+M30+O30</f>
        <v>7915.62385321101</v>
      </c>
      <c r="T30" s="683"/>
      <c r="U30" s="684"/>
      <c r="V30" s="685"/>
      <c r="W30" s="1"/>
      <c r="X30" s="686"/>
    </row>
    <row r="31" ht="29" customHeight="1" spans="2:24">
      <c r="B31" s="558" t="s">
        <v>72</v>
      </c>
      <c r="C31" s="560">
        <v>0.03</v>
      </c>
      <c r="D31" s="560"/>
      <c r="E31" s="560"/>
      <c r="F31" s="560">
        <f>G26/1.09*C31</f>
        <v>30272.4495412844</v>
      </c>
      <c r="G31" s="560"/>
      <c r="H31" s="560">
        <f>H24/1.09*C31</f>
        <v>274359.550458716</v>
      </c>
      <c r="I31" s="560"/>
      <c r="J31" s="623">
        <f>K26/1.09*C31</f>
        <v>80446.4036697248</v>
      </c>
      <c r="K31" s="624"/>
      <c r="L31" s="560"/>
      <c r="M31" s="623">
        <f>N26/1.09*C31</f>
        <v>6368.39449541284</v>
      </c>
      <c r="N31" s="624"/>
      <c r="O31" s="623"/>
      <c r="P31" s="624"/>
      <c r="Q31" s="560"/>
      <c r="R31" s="627"/>
      <c r="S31" s="628">
        <f t="shared" si="1"/>
        <v>391446.798165138</v>
      </c>
      <c r="T31" s="683"/>
      <c r="U31" s="684"/>
      <c r="V31" s="685"/>
      <c r="W31" s="1"/>
      <c r="X31" s="687"/>
    </row>
    <row r="32" ht="29" customHeight="1" spans="2:24">
      <c r="B32" s="558" t="s">
        <v>72</v>
      </c>
      <c r="C32" s="560">
        <v>0.01</v>
      </c>
      <c r="D32" s="560">
        <f>D26/1.09*C32</f>
        <v>8668.50458715596</v>
      </c>
      <c r="E32" s="560"/>
      <c r="F32" s="560">
        <f>F26/1.09*C32</f>
        <v>47480.8899082569</v>
      </c>
      <c r="G32" s="560"/>
      <c r="H32" s="560"/>
      <c r="I32" s="560"/>
      <c r="J32" s="623">
        <f>J26/1.09*C32</f>
        <v>41973.7614678899</v>
      </c>
      <c r="K32" s="624"/>
      <c r="L32" s="626"/>
      <c r="M32" s="623">
        <f>M26/1.09*0.01</f>
        <v>3443.33027522936</v>
      </c>
      <c r="N32" s="624"/>
      <c r="O32" s="623"/>
      <c r="P32" s="624"/>
      <c r="Q32" s="560"/>
      <c r="R32" s="627"/>
      <c r="S32" s="628">
        <f>D32+F32+H32+J32+M32+O32</f>
        <v>101566.486238532</v>
      </c>
      <c r="T32" s="683"/>
      <c r="U32" s="688"/>
      <c r="V32" s="685"/>
      <c r="W32" s="1"/>
      <c r="X32" s="683"/>
    </row>
    <row r="33" ht="29" customHeight="1" spans="2:24">
      <c r="B33" s="558" t="s">
        <v>73</v>
      </c>
      <c r="C33" s="562">
        <v>0.0005</v>
      </c>
      <c r="D33" s="560"/>
      <c r="E33" s="560"/>
      <c r="F33" s="560"/>
      <c r="G33" s="560"/>
      <c r="H33" s="560"/>
      <c r="I33" s="560"/>
      <c r="J33" s="623"/>
      <c r="K33" s="624"/>
      <c r="L33" s="626"/>
      <c r="M33" s="560"/>
      <c r="N33" s="560"/>
      <c r="O33" s="560"/>
      <c r="P33" s="627"/>
      <c r="Q33" s="560"/>
      <c r="R33" s="627"/>
      <c r="S33" s="628">
        <f t="shared" si="1"/>
        <v>0</v>
      </c>
      <c r="T33" s="683"/>
      <c r="U33" s="687"/>
      <c r="V33" s="687"/>
      <c r="W33" s="1"/>
      <c r="X33" s="683"/>
    </row>
    <row r="34" ht="29" customHeight="1" spans="2:24">
      <c r="B34" s="558" t="s">
        <v>74</v>
      </c>
      <c r="C34" s="563"/>
      <c r="D34" s="564"/>
      <c r="E34" s="565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>
        <f>D34</f>
        <v>0</v>
      </c>
      <c r="T34" s="683"/>
      <c r="U34" s="687"/>
      <c r="V34" s="687"/>
      <c r="W34" s="1"/>
      <c r="X34" s="683"/>
    </row>
    <row r="35" s="493" customFormat="1" ht="29" customHeight="1" spans="2:24">
      <c r="B35" s="566" t="s">
        <v>75</v>
      </c>
      <c r="C35" s="567" t="s">
        <v>76</v>
      </c>
      <c r="D35" s="568"/>
      <c r="E35" s="568"/>
      <c r="F35" s="568"/>
      <c r="G35" s="568"/>
      <c r="H35" s="568"/>
      <c r="I35" s="568"/>
      <c r="J35" s="568"/>
      <c r="K35" s="568"/>
      <c r="L35" s="568"/>
      <c r="M35" s="568"/>
      <c r="N35" s="568"/>
      <c r="O35" s="628"/>
      <c r="P35" s="627"/>
      <c r="Q35" s="689"/>
      <c r="R35" s="690"/>
      <c r="S35" s="628">
        <f t="shared" si="1"/>
        <v>0</v>
      </c>
      <c r="T35" s="691"/>
      <c r="U35" s="692"/>
      <c r="V35" s="692"/>
      <c r="W35" s="692"/>
      <c r="X35" s="691"/>
    </row>
    <row r="36" s="493" customFormat="1" ht="29" customHeight="1" spans="2:24">
      <c r="B36" s="566"/>
      <c r="C36" s="567" t="s">
        <v>77</v>
      </c>
      <c r="D36" s="568"/>
      <c r="E36" s="568"/>
      <c r="F36" s="568"/>
      <c r="G36" s="568"/>
      <c r="H36" s="568"/>
      <c r="I36" s="568"/>
      <c r="J36" s="568"/>
      <c r="K36" s="568"/>
      <c r="L36" s="568"/>
      <c r="M36" s="568"/>
      <c r="N36" s="568"/>
      <c r="O36" s="628"/>
      <c r="P36" s="627"/>
      <c r="Q36" s="689"/>
      <c r="R36" s="690"/>
      <c r="S36" s="628">
        <f t="shared" si="1"/>
        <v>0</v>
      </c>
      <c r="T36" s="691"/>
      <c r="U36" s="692"/>
      <c r="V36" s="692"/>
      <c r="W36" s="692"/>
      <c r="X36" s="691"/>
    </row>
    <row r="37" ht="29" customHeight="1" spans="2:24">
      <c r="B37" s="558" t="s">
        <v>78</v>
      </c>
      <c r="C37" s="562"/>
      <c r="D37" s="560"/>
      <c r="E37" s="560"/>
      <c r="F37" s="560"/>
      <c r="G37" s="560"/>
      <c r="H37" s="560"/>
      <c r="I37" s="560"/>
      <c r="J37" s="560"/>
      <c r="K37" s="560"/>
      <c r="L37" s="626"/>
      <c r="M37" s="560"/>
      <c r="N37" s="627"/>
      <c r="O37" s="628"/>
      <c r="P37" s="622"/>
      <c r="Q37" s="575"/>
      <c r="R37" s="690"/>
      <c r="S37" s="628">
        <f t="shared" si="1"/>
        <v>0</v>
      </c>
      <c r="T37" s="683"/>
      <c r="U37" s="687"/>
      <c r="V37" s="687"/>
      <c r="W37" s="1"/>
      <c r="X37" s="683"/>
    </row>
    <row r="38" ht="36" customHeight="1" spans="2:24">
      <c r="B38" s="569" t="s">
        <v>79</v>
      </c>
      <c r="C38" s="569"/>
      <c r="D38" s="558">
        <f>D27+D28+D29+D30+D31+D32+D33</f>
        <v>8668.50458715596</v>
      </c>
      <c r="E38" s="558"/>
      <c r="F38" s="558">
        <f>F27+F28+F29+F30+F31+F32+F33</f>
        <v>271194.273027523</v>
      </c>
      <c r="G38" s="558"/>
      <c r="H38" s="558">
        <f>H27+H28+H29+H30+H31+H32+H33</f>
        <v>274359.550458716</v>
      </c>
      <c r="I38" s="558"/>
      <c r="J38" s="558">
        <f>J27+J28+J29+J30+J31+J32+J33</f>
        <v>353551.975779817</v>
      </c>
      <c r="K38" s="558"/>
      <c r="L38" s="570">
        <f>SUM(L27:L33)</f>
        <v>0</v>
      </c>
      <c r="M38" s="617">
        <f>SUM(M27:M33)</f>
        <v>28513.9163302752</v>
      </c>
      <c r="N38" s="618"/>
      <c r="O38" s="629"/>
      <c r="P38" s="622"/>
      <c r="Q38" s="575"/>
      <c r="R38" s="690"/>
      <c r="S38" s="693">
        <f>S27+S28+S29+S30+S31+S32+S33+C34+S35+S36+S37</f>
        <v>936288.220183486</v>
      </c>
      <c r="T38" s="683"/>
      <c r="U38" s="694"/>
      <c r="V38" s="685"/>
      <c r="W38" s="1"/>
      <c r="X38" s="683"/>
    </row>
    <row r="39" ht="29" hidden="1" customHeight="1" spans="2:24">
      <c r="B39" s="558"/>
      <c r="C39" s="558"/>
      <c r="D39" s="558"/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629"/>
      <c r="P39" s="622"/>
      <c r="Q39" s="575"/>
      <c r="R39" s="575"/>
      <c r="S39" s="695"/>
      <c r="T39" s="683"/>
      <c r="U39" s="696"/>
      <c r="V39" s="685"/>
      <c r="W39" s="1"/>
      <c r="X39" s="683"/>
    </row>
    <row r="40" ht="29" hidden="1" customHeight="1" spans="2:24">
      <c r="B40" s="570"/>
      <c r="C40" s="558"/>
      <c r="D40" s="558"/>
      <c r="E40" s="558"/>
      <c r="F40" s="558"/>
      <c r="G40" s="558"/>
      <c r="H40" s="558"/>
      <c r="I40" s="558"/>
      <c r="J40" s="558"/>
      <c r="K40" s="558"/>
      <c r="L40" s="558"/>
      <c r="M40" s="558"/>
      <c r="N40" s="558"/>
      <c r="O40" s="630"/>
      <c r="P40" s="622"/>
      <c r="Q40" s="575"/>
      <c r="R40" s="573"/>
      <c r="S40" s="697"/>
      <c r="T40" s="683"/>
      <c r="U40" s="698"/>
      <c r="V40" s="685"/>
      <c r="W40" s="1"/>
      <c r="X40" s="683"/>
    </row>
    <row r="41" ht="139" customHeight="1" spans="2:24">
      <c r="B41" s="571" t="s">
        <v>80</v>
      </c>
      <c r="C41" s="572"/>
      <c r="D41" s="572"/>
      <c r="E41" s="572"/>
      <c r="F41" s="572"/>
      <c r="G41" s="572"/>
      <c r="H41" s="572"/>
      <c r="I41" s="572"/>
      <c r="J41" s="572"/>
      <c r="K41" s="572"/>
      <c r="L41" s="572"/>
      <c r="M41" s="572"/>
      <c r="N41" s="572"/>
      <c r="O41" s="572"/>
      <c r="P41" s="572"/>
      <c r="Q41" s="572"/>
      <c r="R41" s="572"/>
      <c r="S41" s="699"/>
      <c r="T41" s="683"/>
      <c r="U41" s="696"/>
      <c r="V41" s="685"/>
      <c r="W41" s="1"/>
      <c r="X41" s="683"/>
    </row>
    <row r="42" customHeight="1" spans="6:16">
      <c r="F42" s="573" t="s">
        <v>81</v>
      </c>
      <c r="G42" s="573" t="s">
        <v>82</v>
      </c>
      <c r="H42" s="574" t="s">
        <v>83</v>
      </c>
      <c r="I42" s="573" t="s">
        <v>84</v>
      </c>
      <c r="J42" s="573" t="s">
        <v>85</v>
      </c>
      <c r="K42" s="573" t="s">
        <v>86</v>
      </c>
      <c r="L42" s="573" t="s">
        <v>87</v>
      </c>
      <c r="M42" s="573" t="s">
        <v>88</v>
      </c>
      <c r="N42" s="573" t="s">
        <v>89</v>
      </c>
      <c r="O42" s="629"/>
      <c r="P42" s="573"/>
    </row>
    <row r="43" s="495" customFormat="1" ht="23" customHeight="1" spans="6:16">
      <c r="F43" s="575">
        <f>I43+K43</f>
        <v>295074660</v>
      </c>
      <c r="G43" s="575">
        <f>37431244+16338184</f>
        <v>53769428</v>
      </c>
      <c r="H43" s="576">
        <f>F43-G43</f>
        <v>241305232</v>
      </c>
      <c r="I43" s="631">
        <v>278868823</v>
      </c>
      <c r="J43" s="575">
        <v>23025866.12</v>
      </c>
      <c r="K43" s="575">
        <v>16205837</v>
      </c>
      <c r="L43" s="575">
        <f t="shared" ref="L43:L45" si="2">K43/1.09*0.09</f>
        <v>1338096.63302752</v>
      </c>
      <c r="M43" s="575">
        <v>10864302</v>
      </c>
      <c r="N43" s="577">
        <f>M43/1.09*0.09</f>
        <v>897052.458715596</v>
      </c>
      <c r="O43" s="632"/>
      <c r="P43" s="575"/>
    </row>
    <row r="44" s="496" customFormat="1" ht="22" customHeight="1" spans="3:16">
      <c r="C44" s="36"/>
      <c r="D44" s="26"/>
      <c r="E44" s="26"/>
      <c r="F44" s="577">
        <f>I44+K44</f>
        <v>1755229</v>
      </c>
      <c r="G44" s="578"/>
      <c r="H44" s="579"/>
      <c r="I44" s="633">
        <v>577229</v>
      </c>
      <c r="J44" s="577">
        <v>47661.11</v>
      </c>
      <c r="K44" s="577">
        <v>1178000</v>
      </c>
      <c r="L44" s="577">
        <f t="shared" si="2"/>
        <v>97266.0550458716</v>
      </c>
      <c r="M44" s="577">
        <v>304240</v>
      </c>
      <c r="N44" s="577">
        <f>M44/1.09*0.09</f>
        <v>25120.7339449541</v>
      </c>
      <c r="O44" s="634"/>
      <c r="P44" s="577"/>
    </row>
    <row r="45" s="496" customFormat="1" ht="22" customHeight="1" spans="3:35">
      <c r="C45" s="26"/>
      <c r="D45" s="26"/>
      <c r="E45" s="26"/>
      <c r="F45" s="577">
        <f>I45+K45</f>
        <v>900394</v>
      </c>
      <c r="G45" s="580"/>
      <c r="H45" s="581"/>
      <c r="I45" s="633"/>
      <c r="J45" s="577"/>
      <c r="K45" s="577">
        <v>900394</v>
      </c>
      <c r="L45" s="577">
        <f t="shared" si="2"/>
        <v>74344.4587155963</v>
      </c>
      <c r="M45" s="577">
        <v>56960</v>
      </c>
      <c r="N45" s="577">
        <f>M45/1.09*0.09</f>
        <v>4703.11926605505</v>
      </c>
      <c r="O45" s="634"/>
      <c r="P45" s="577"/>
      <c r="T45" s="700" t="s">
        <v>90</v>
      </c>
      <c r="U45" s="700"/>
      <c r="V45" s="700"/>
      <c r="W45" s="700"/>
      <c r="X45" s="700"/>
      <c r="Y45" s="700"/>
      <c r="Z45" s="700"/>
      <c r="AA45" s="700"/>
      <c r="AB45" s="700"/>
      <c r="AC45" s="700"/>
      <c r="AD45" s="700"/>
      <c r="AE45" s="700"/>
      <c r="AF45" s="700"/>
      <c r="AG45" s="700"/>
      <c r="AH45" s="700"/>
      <c r="AI45" s="700"/>
    </row>
    <row r="46" s="496" customFormat="1" ht="22" customHeight="1" spans="3:35">
      <c r="C46" s="36"/>
      <c r="D46" s="33"/>
      <c r="E46" s="26"/>
      <c r="F46" s="29"/>
      <c r="G46" s="34"/>
      <c r="H46" s="582"/>
      <c r="I46" s="577"/>
      <c r="J46" s="577"/>
      <c r="K46" s="577"/>
      <c r="L46" s="577"/>
      <c r="M46" s="577"/>
      <c r="N46" s="577"/>
      <c r="O46" s="634"/>
      <c r="P46" s="577"/>
      <c r="T46" s="701" t="s">
        <v>91</v>
      </c>
      <c r="U46" s="701">
        <v>20240005853</v>
      </c>
      <c r="V46" s="716" t="s">
        <v>92</v>
      </c>
      <c r="W46" s="702" t="s">
        <v>93</v>
      </c>
      <c r="X46" s="701" t="s">
        <v>94</v>
      </c>
      <c r="Y46" s="701"/>
      <c r="Z46" s="702" t="s">
        <v>95</v>
      </c>
      <c r="AA46" s="702" t="s">
        <v>96</v>
      </c>
      <c r="AB46" s="701">
        <v>85.66</v>
      </c>
      <c r="AC46" s="701">
        <v>85.66</v>
      </c>
      <c r="AD46" s="701">
        <v>9922.95</v>
      </c>
      <c r="AE46" s="707">
        <v>850000</v>
      </c>
      <c r="AF46" s="707">
        <v>10086</v>
      </c>
      <c r="AG46" s="701">
        <v>779816.51</v>
      </c>
      <c r="AH46" s="716" t="s">
        <v>97</v>
      </c>
      <c r="AI46" s="713">
        <v>45582</v>
      </c>
    </row>
    <row r="47" s="496" customFormat="1" ht="22" customHeight="1" spans="3:35">
      <c r="C47" s="36"/>
      <c r="D47" s="33"/>
      <c r="E47" s="26"/>
      <c r="F47" s="29"/>
      <c r="G47" s="34"/>
      <c r="H47" s="582"/>
      <c r="I47" s="577">
        <f>(I43+I44)/1.09</f>
        <v>256372524.770642</v>
      </c>
      <c r="J47" s="577">
        <f t="shared" ref="J47:N47" si="3">SUM(J43:J46)</f>
        <v>23073527.23</v>
      </c>
      <c r="K47" s="577">
        <f>(K43+K44+K45)/1.09</f>
        <v>16774523.853211</v>
      </c>
      <c r="L47" s="577">
        <f t="shared" si="3"/>
        <v>1509707.14678899</v>
      </c>
      <c r="M47" s="577">
        <f>(M43+M44+M45)/1.09</f>
        <v>10298625.6880734</v>
      </c>
      <c r="N47" s="577">
        <f t="shared" si="3"/>
        <v>926876.311926605</v>
      </c>
      <c r="O47" s="634"/>
      <c r="P47" s="577"/>
      <c r="T47" s="701" t="s">
        <v>98</v>
      </c>
      <c r="U47" s="701">
        <v>20240005488</v>
      </c>
      <c r="V47" s="701" t="s">
        <v>99</v>
      </c>
      <c r="W47" s="702" t="s">
        <v>100</v>
      </c>
      <c r="X47" s="701" t="s">
        <v>101</v>
      </c>
      <c r="Y47" s="708"/>
      <c r="Z47" s="701" t="s">
        <v>102</v>
      </c>
      <c r="AA47" s="701">
        <v>9</v>
      </c>
      <c r="AB47" s="701">
        <v>121.98</v>
      </c>
      <c r="AC47" s="701">
        <v>121.98</v>
      </c>
      <c r="AD47" s="701">
        <v>24300</v>
      </c>
      <c r="AE47" s="709">
        <v>2964114</v>
      </c>
      <c r="AF47" s="707">
        <v>22881</v>
      </c>
      <c r="AG47" s="701">
        <v>2719370.64</v>
      </c>
      <c r="AH47" s="716" t="s">
        <v>103</v>
      </c>
      <c r="AI47" s="713">
        <v>45576</v>
      </c>
    </row>
    <row r="48" s="496" customFormat="1" ht="22" customHeight="1" spans="15:35">
      <c r="O48" s="635"/>
      <c r="T48" s="701" t="s">
        <v>98</v>
      </c>
      <c r="U48" s="701">
        <v>20240005606</v>
      </c>
      <c r="V48" s="716" t="s">
        <v>104</v>
      </c>
      <c r="W48" s="702" t="s">
        <v>105</v>
      </c>
      <c r="X48" s="703" t="s">
        <v>106</v>
      </c>
      <c r="Y48" s="708"/>
      <c r="Z48" s="701" t="s">
        <v>102</v>
      </c>
      <c r="AA48" s="701">
        <v>15</v>
      </c>
      <c r="AB48" s="701">
        <v>67.42</v>
      </c>
      <c r="AC48" s="701">
        <v>67.42</v>
      </c>
      <c r="AD48" s="701">
        <v>17479.73</v>
      </c>
      <c r="AE48" s="709">
        <v>1178483</v>
      </c>
      <c r="AF48" s="707">
        <v>17470.41</v>
      </c>
      <c r="AG48" s="701">
        <v>1081177.06</v>
      </c>
      <c r="AH48" s="716" t="s">
        <v>107</v>
      </c>
      <c r="AI48" s="713">
        <v>45590</v>
      </c>
    </row>
    <row r="49" s="496" customFormat="1" ht="22" customHeight="1" spans="15:35">
      <c r="O49" s="635"/>
      <c r="T49" s="701" t="s">
        <v>108</v>
      </c>
      <c r="U49" s="701">
        <v>20240005641</v>
      </c>
      <c r="V49" s="716" t="s">
        <v>109</v>
      </c>
      <c r="W49" s="702" t="s">
        <v>110</v>
      </c>
      <c r="X49" s="703" t="s">
        <v>111</v>
      </c>
      <c r="Y49" s="701"/>
      <c r="Z49" s="701" t="s">
        <v>102</v>
      </c>
      <c r="AA49" s="701">
        <v>10</v>
      </c>
      <c r="AB49" s="701">
        <v>77.44</v>
      </c>
      <c r="AC49" s="701">
        <v>77.44</v>
      </c>
      <c r="AD49" s="701">
        <v>20000</v>
      </c>
      <c r="AE49" s="709">
        <v>1548800</v>
      </c>
      <c r="AF49" s="707">
        <v>22000</v>
      </c>
      <c r="AG49" s="701">
        <v>1420917.43</v>
      </c>
      <c r="AH49" s="716" t="s">
        <v>112</v>
      </c>
      <c r="AI49" s="713">
        <v>45590</v>
      </c>
    </row>
    <row r="50" s="15" customFormat="1" ht="22" customHeight="1" spans="15:35">
      <c r="O50" s="636"/>
      <c r="T50" s="701" t="s">
        <v>113</v>
      </c>
      <c r="U50" s="701">
        <v>20240005749</v>
      </c>
      <c r="V50" s="716" t="s">
        <v>114</v>
      </c>
      <c r="W50" s="702" t="s">
        <v>115</v>
      </c>
      <c r="X50" s="701" t="s">
        <v>116</v>
      </c>
      <c r="Y50" s="701"/>
      <c r="Z50" s="701" t="s">
        <v>95</v>
      </c>
      <c r="AA50" s="701">
        <v>2</v>
      </c>
      <c r="AB50" s="701">
        <v>57.71</v>
      </c>
      <c r="AC50" s="701">
        <v>57.71</v>
      </c>
      <c r="AD50" s="701">
        <v>7000</v>
      </c>
      <c r="AE50" s="707">
        <v>403970</v>
      </c>
      <c r="AF50" s="707">
        <v>7668</v>
      </c>
      <c r="AG50" s="701">
        <v>370614.68</v>
      </c>
      <c r="AH50" s="716" t="s">
        <v>117</v>
      </c>
      <c r="AI50" s="713">
        <v>45590</v>
      </c>
    </row>
    <row r="51" s="15" customFormat="1" ht="22" customHeight="1" spans="15:35">
      <c r="O51" s="636"/>
      <c r="T51" s="701" t="s">
        <v>91</v>
      </c>
      <c r="U51" s="701">
        <v>20240005929</v>
      </c>
      <c r="V51" s="701"/>
      <c r="W51" s="702" t="s">
        <v>118</v>
      </c>
      <c r="X51" s="701" t="s">
        <v>119</v>
      </c>
      <c r="Y51" s="701"/>
      <c r="Z51" s="701" t="s">
        <v>95</v>
      </c>
      <c r="AA51" s="701">
        <v>3</v>
      </c>
      <c r="AB51" s="701">
        <v>57.71</v>
      </c>
      <c r="AC51" s="701">
        <v>57.71</v>
      </c>
      <c r="AD51" s="701">
        <v>7451.05</v>
      </c>
      <c r="AE51" s="707">
        <v>430000</v>
      </c>
      <c r="AF51" s="707">
        <v>7753</v>
      </c>
      <c r="AG51" s="701">
        <v>394495.41</v>
      </c>
      <c r="AH51" s="716" t="s">
        <v>120</v>
      </c>
      <c r="AI51" s="713">
        <v>45582</v>
      </c>
    </row>
    <row r="52" s="15" customFormat="1" ht="22" customHeight="1" spans="15:35">
      <c r="O52" s="636"/>
      <c r="T52" s="704">
        <v>2024.1</v>
      </c>
      <c r="U52" s="701">
        <v>20240005476</v>
      </c>
      <c r="V52" s="701"/>
      <c r="W52" s="702" t="s">
        <v>121</v>
      </c>
      <c r="X52" s="701" t="s">
        <v>122</v>
      </c>
      <c r="Y52" s="708"/>
      <c r="Z52" s="701" t="s">
        <v>95</v>
      </c>
      <c r="AA52" s="701">
        <v>1</v>
      </c>
      <c r="AB52" s="701">
        <v>351.53</v>
      </c>
      <c r="AC52" s="701">
        <v>351.53</v>
      </c>
      <c r="AD52" s="701">
        <v>9925</v>
      </c>
      <c r="AE52" s="709">
        <v>3488935</v>
      </c>
      <c r="AF52" s="707">
        <v>9439.37</v>
      </c>
      <c r="AG52" s="704">
        <v>3200857.8</v>
      </c>
      <c r="AH52" s="716" t="s">
        <v>123</v>
      </c>
      <c r="AI52" s="713">
        <v>45590</v>
      </c>
    </row>
    <row r="53" s="15" customFormat="1" ht="22" customHeight="1" spans="15:35">
      <c r="O53" s="636"/>
      <c r="T53" s="705"/>
      <c r="U53" s="705"/>
      <c r="V53" s="705"/>
      <c r="W53" s="577"/>
      <c r="X53" s="706"/>
      <c r="Y53" s="710"/>
      <c r="Z53" s="710"/>
      <c r="AA53" s="711"/>
      <c r="AB53" s="710"/>
      <c r="AC53" s="712"/>
      <c r="AD53" s="710"/>
      <c r="AE53" s="710">
        <f>SUM(AE46:AE52)</f>
        <v>10864302</v>
      </c>
      <c r="AF53" s="710"/>
      <c r="AG53" s="710">
        <f>SUM(AG46:AG52)</f>
        <v>9967249.53</v>
      </c>
      <c r="AH53" s="714"/>
      <c r="AI53" s="577"/>
    </row>
    <row r="54" s="15" customFormat="1" ht="22" customHeight="1" spans="15:35">
      <c r="O54" s="636"/>
      <c r="T54" s="705"/>
      <c r="U54" s="705"/>
      <c r="V54" s="705"/>
      <c r="W54" s="577"/>
      <c r="X54" s="706"/>
      <c r="Y54" s="710"/>
      <c r="Z54" s="710"/>
      <c r="AA54" s="711"/>
      <c r="AB54" s="710"/>
      <c r="AC54" s="712"/>
      <c r="AD54" s="710"/>
      <c r="AE54" s="710"/>
      <c r="AF54" s="710"/>
      <c r="AG54" s="710"/>
      <c r="AH54" s="714"/>
      <c r="AI54" s="577"/>
    </row>
    <row r="55" s="15" customFormat="1" ht="22" customHeight="1" spans="15:35">
      <c r="O55" s="636"/>
      <c r="W55" s="496"/>
      <c r="X55" s="104"/>
      <c r="Y55" s="278"/>
      <c r="Z55" s="278"/>
      <c r="AA55" s="367"/>
      <c r="AB55" s="278"/>
      <c r="AC55" s="89"/>
      <c r="AD55" s="278"/>
      <c r="AE55" s="278"/>
      <c r="AF55" s="278"/>
      <c r="AG55" s="278"/>
      <c r="AH55" s="103"/>
      <c r="AI55" s="496"/>
    </row>
    <row r="56" s="15" customFormat="1" ht="22" customHeight="1" spans="15:35">
      <c r="O56" s="636"/>
      <c r="W56" s="496"/>
      <c r="X56" s="104"/>
      <c r="Y56" s="278"/>
      <c r="Z56" s="278"/>
      <c r="AA56" s="367"/>
      <c r="AB56" s="293"/>
      <c r="AC56" s="89"/>
      <c r="AD56" s="278"/>
      <c r="AE56" s="278"/>
      <c r="AF56" s="278"/>
      <c r="AG56" s="278"/>
      <c r="AH56" s="103"/>
      <c r="AI56" s="496"/>
    </row>
    <row r="57" s="15" customFormat="1" ht="22" customHeight="1" spans="15:35">
      <c r="O57" s="636"/>
      <c r="W57" s="496"/>
      <c r="X57" s="104"/>
      <c r="Y57" s="278"/>
      <c r="Z57" s="278"/>
      <c r="AA57" s="367"/>
      <c r="AB57" s="278"/>
      <c r="AC57" s="278"/>
      <c r="AD57" s="278"/>
      <c r="AE57" s="278"/>
      <c r="AF57" s="278"/>
      <c r="AG57" s="278"/>
      <c r="AH57" s="103"/>
      <c r="AI57" s="496"/>
    </row>
    <row r="58" s="15" customFormat="1" ht="22" customHeight="1" spans="15:35">
      <c r="O58" s="636"/>
      <c r="W58" s="496"/>
      <c r="X58" s="104"/>
      <c r="Y58" s="278"/>
      <c r="Z58" s="278"/>
      <c r="AA58" s="367"/>
      <c r="AB58" s="278"/>
      <c r="AC58" s="278"/>
      <c r="AD58" s="278"/>
      <c r="AE58" s="278"/>
      <c r="AF58" s="278"/>
      <c r="AG58" s="278"/>
      <c r="AH58" s="103"/>
      <c r="AI58" s="496"/>
    </row>
    <row r="59" s="15" customFormat="1" ht="22" customHeight="1" spans="15:35">
      <c r="O59" s="636"/>
      <c r="W59" s="496"/>
      <c r="X59" s="104"/>
      <c r="Y59" s="278"/>
      <c r="Z59" s="278"/>
      <c r="AA59" s="367"/>
      <c r="AB59" s="278"/>
      <c r="AC59" s="278"/>
      <c r="AD59" s="278"/>
      <c r="AE59" s="278"/>
      <c r="AF59" s="278"/>
      <c r="AG59" s="278"/>
      <c r="AH59" s="103"/>
      <c r="AI59" s="496"/>
    </row>
    <row r="60" s="15" customFormat="1" ht="22" customHeight="1" spans="15:35">
      <c r="O60" s="636"/>
      <c r="W60" s="496"/>
      <c r="X60" s="104"/>
      <c r="Y60" s="278"/>
      <c r="Z60" s="278"/>
      <c r="AA60" s="367"/>
      <c r="AB60" s="293"/>
      <c r="AC60" s="278"/>
      <c r="AD60" s="278"/>
      <c r="AE60" s="278"/>
      <c r="AF60" s="278"/>
      <c r="AG60" s="278"/>
      <c r="AH60" s="103"/>
      <c r="AI60" s="496"/>
    </row>
    <row r="61" s="15" customFormat="1" ht="22" customHeight="1" spans="15:35">
      <c r="O61" s="636"/>
      <c r="W61" s="496"/>
      <c r="X61" s="104"/>
      <c r="Y61" s="278"/>
      <c r="Z61" s="278"/>
      <c r="AA61" s="367"/>
      <c r="AB61" s="293"/>
      <c r="AC61" s="278"/>
      <c r="AD61" s="278"/>
      <c r="AE61" s="278"/>
      <c r="AF61" s="278"/>
      <c r="AG61" s="278"/>
      <c r="AH61" s="103"/>
      <c r="AI61" s="496"/>
    </row>
    <row r="62" s="15" customFormat="1" ht="22" customHeight="1" spans="15:35">
      <c r="O62" s="636"/>
      <c r="W62" s="496"/>
      <c r="X62" s="104"/>
      <c r="Y62" s="278"/>
      <c r="Z62" s="278"/>
      <c r="AA62" s="367"/>
      <c r="AB62" s="293"/>
      <c r="AC62" s="278"/>
      <c r="AD62" s="278"/>
      <c r="AE62" s="278"/>
      <c r="AF62" s="278"/>
      <c r="AG62" s="278"/>
      <c r="AH62" s="103"/>
      <c r="AI62" s="496"/>
    </row>
    <row r="63" s="15" customFormat="1" ht="22" customHeight="1" spans="15:35">
      <c r="O63" s="636"/>
      <c r="W63" s="496"/>
      <c r="X63" s="104"/>
      <c r="Y63" s="278"/>
      <c r="Z63" s="278"/>
      <c r="AA63" s="367"/>
      <c r="AB63" s="278"/>
      <c r="AC63" s="278"/>
      <c r="AD63" s="278"/>
      <c r="AE63" s="278"/>
      <c r="AF63" s="278"/>
      <c r="AG63" s="278"/>
      <c r="AH63" s="103"/>
      <c r="AI63" s="496"/>
    </row>
    <row r="64" s="15" customFormat="1" ht="22" customHeight="1" spans="15:35">
      <c r="O64" s="636"/>
      <c r="W64" s="496"/>
      <c r="X64" s="104"/>
      <c r="Y64" s="278"/>
      <c r="Z64" s="278"/>
      <c r="AA64" s="367"/>
      <c r="AB64" s="278"/>
      <c r="AC64" s="278"/>
      <c r="AD64" s="278"/>
      <c r="AE64" s="278"/>
      <c r="AF64" s="278"/>
      <c r="AG64" s="278"/>
      <c r="AH64" s="103"/>
      <c r="AI64" s="496"/>
    </row>
    <row r="65" s="15" customFormat="1" ht="22" customHeight="1" spans="15:35">
      <c r="O65" s="636"/>
      <c r="W65" s="496"/>
      <c r="X65" s="104"/>
      <c r="Y65" s="278"/>
      <c r="Z65" s="278"/>
      <c r="AA65" s="367"/>
      <c r="AB65" s="278"/>
      <c r="AC65" s="278"/>
      <c r="AD65" s="278"/>
      <c r="AE65" s="278"/>
      <c r="AF65" s="278"/>
      <c r="AG65" s="278"/>
      <c r="AH65" s="103"/>
      <c r="AI65" s="496"/>
    </row>
    <row r="66" s="15" customFormat="1" ht="22" customHeight="1" spans="15:35">
      <c r="O66" s="636"/>
      <c r="W66" s="496"/>
      <c r="X66" s="104"/>
      <c r="Y66" s="367"/>
      <c r="Z66" s="278"/>
      <c r="AA66" s="367"/>
      <c r="AB66" s="368"/>
      <c r="AC66" s="368"/>
      <c r="AD66" s="496"/>
      <c r="AE66" s="370"/>
      <c r="AF66" s="278"/>
      <c r="AG66" s="278"/>
      <c r="AH66" s="390"/>
      <c r="AI66" s="496"/>
    </row>
    <row r="67" s="15" customFormat="1" ht="22" customHeight="1" spans="15:35">
      <c r="O67" s="636"/>
      <c r="W67" s="496"/>
      <c r="X67" s="104"/>
      <c r="Y67" s="366"/>
      <c r="Z67" s="278"/>
      <c r="AA67" s="367"/>
      <c r="AB67" s="278"/>
      <c r="AC67" s="278"/>
      <c r="AD67" s="496"/>
      <c r="AE67" s="392"/>
      <c r="AF67" s="278"/>
      <c r="AG67" s="278"/>
      <c r="AH67" s="380"/>
      <c r="AI67" s="496"/>
    </row>
    <row r="68" s="15" customFormat="1" ht="22" customHeight="1" spans="15:35">
      <c r="O68" s="636"/>
      <c r="W68" s="496"/>
      <c r="X68" s="174"/>
      <c r="Y68" s="89"/>
      <c r="Z68" s="89"/>
      <c r="AA68" s="89"/>
      <c r="AB68" s="89"/>
      <c r="AC68" s="89"/>
      <c r="AD68" s="496"/>
      <c r="AE68" s="186"/>
      <c r="AF68" s="89"/>
      <c r="AG68" s="89"/>
      <c r="AH68" s="168"/>
      <c r="AI68" s="496"/>
    </row>
    <row r="69" s="15" customFormat="1" ht="22" customHeight="1" spans="15:35">
      <c r="O69" s="636"/>
      <c r="W69" s="496"/>
      <c r="X69" s="224"/>
      <c r="Y69" s="89"/>
      <c r="Z69" s="89"/>
      <c r="AA69" s="89"/>
      <c r="AB69" s="89"/>
      <c r="AC69" s="89"/>
      <c r="AD69" s="496"/>
      <c r="AE69" s="186"/>
      <c r="AF69" s="89"/>
      <c r="AG69" s="89"/>
      <c r="AH69" s="168"/>
      <c r="AI69" s="496"/>
    </row>
    <row r="70" s="15" customFormat="1" ht="22" customHeight="1" spans="15:35">
      <c r="O70" s="636"/>
      <c r="W70" s="496"/>
      <c r="X70" s="224"/>
      <c r="Y70" s="89"/>
      <c r="Z70" s="89"/>
      <c r="AA70" s="89"/>
      <c r="AB70" s="174"/>
      <c r="AC70" s="89"/>
      <c r="AD70" s="496"/>
      <c r="AE70" s="89"/>
      <c r="AF70" s="89"/>
      <c r="AG70" s="89"/>
      <c r="AH70" s="168"/>
      <c r="AI70" s="496"/>
    </row>
    <row r="71" s="15" customFormat="1" ht="22" customHeight="1" spans="15:35">
      <c r="O71" s="636"/>
      <c r="W71" s="496"/>
      <c r="X71" s="224"/>
      <c r="Y71" s="89"/>
      <c r="Z71" s="89"/>
      <c r="AA71" s="89"/>
      <c r="AB71" s="89"/>
      <c r="AC71" s="89"/>
      <c r="AD71" s="496"/>
      <c r="AE71" s="89"/>
      <c r="AF71" s="89"/>
      <c r="AG71" s="89"/>
      <c r="AH71" s="168"/>
      <c r="AI71" s="496"/>
    </row>
    <row r="72" s="15" customFormat="1" ht="22" customHeight="1" spans="15:35">
      <c r="O72" s="636"/>
      <c r="W72" s="496"/>
      <c r="X72" s="224"/>
      <c r="Y72" s="89"/>
      <c r="Z72" s="89"/>
      <c r="AA72" s="89"/>
      <c r="AB72" s="89"/>
      <c r="AC72" s="89"/>
      <c r="AD72" s="496"/>
      <c r="AE72" s="89"/>
      <c r="AF72" s="89"/>
      <c r="AG72" s="89"/>
      <c r="AH72" s="168"/>
      <c r="AI72" s="496"/>
    </row>
    <row r="73" s="15" customFormat="1" ht="22" customHeight="1" spans="15:35">
      <c r="O73" s="636"/>
      <c r="W73" s="496"/>
      <c r="X73" s="224"/>
      <c r="Y73" s="89"/>
      <c r="Z73" s="89"/>
      <c r="AA73" s="89"/>
      <c r="AB73" s="174"/>
      <c r="AC73" s="89"/>
      <c r="AD73" s="496"/>
      <c r="AE73" s="89"/>
      <c r="AF73" s="89"/>
      <c r="AG73" s="170"/>
      <c r="AH73" s="168"/>
      <c r="AI73" s="496"/>
    </row>
    <row r="74" s="15" customFormat="1" ht="22" customHeight="1" spans="15:35">
      <c r="O74" s="636"/>
      <c r="W74" s="496"/>
      <c r="X74" s="224"/>
      <c r="Y74" s="89"/>
      <c r="Z74" s="89"/>
      <c r="AA74" s="89"/>
      <c r="AB74" s="89"/>
      <c r="AC74" s="89"/>
      <c r="AD74" s="496"/>
      <c r="AE74" s="89"/>
      <c r="AF74" s="89"/>
      <c r="AG74" s="89"/>
      <c r="AH74" s="168"/>
      <c r="AI74" s="496"/>
    </row>
    <row r="75" s="15" customFormat="1" ht="22" customHeight="1" spans="15:35">
      <c r="O75" s="636"/>
      <c r="W75" s="496"/>
      <c r="X75" s="224"/>
      <c r="Y75" s="89"/>
      <c r="Z75" s="89"/>
      <c r="AA75" s="89"/>
      <c r="AB75" s="174"/>
      <c r="AC75" s="174"/>
      <c r="AD75" s="496"/>
      <c r="AE75" s="89"/>
      <c r="AF75" s="89"/>
      <c r="AG75" s="89"/>
      <c r="AH75" s="168"/>
      <c r="AI75" s="496"/>
    </row>
    <row r="76" s="15" customFormat="1" ht="22" customHeight="1" spans="15:35">
      <c r="O76" s="636"/>
      <c r="W76" s="496"/>
      <c r="X76" s="224"/>
      <c r="Y76" s="89"/>
      <c r="Z76" s="89"/>
      <c r="AA76" s="89"/>
      <c r="AB76" s="174"/>
      <c r="AC76" s="174"/>
      <c r="AD76" s="496"/>
      <c r="AE76" s="89"/>
      <c r="AF76" s="89"/>
      <c r="AG76" s="89"/>
      <c r="AH76" s="168"/>
      <c r="AI76" s="496"/>
    </row>
    <row r="77" s="15" customFormat="1" ht="22" customHeight="1" spans="15:35">
      <c r="O77" s="636"/>
      <c r="W77" s="496"/>
      <c r="X77" s="225"/>
      <c r="Y77" s="230"/>
      <c r="Z77" s="89"/>
      <c r="AA77" s="227"/>
      <c r="AB77" s="167"/>
      <c r="AC77" s="167"/>
      <c r="AD77" s="496"/>
      <c r="AE77" s="186"/>
      <c r="AF77" s="89"/>
      <c r="AG77" s="89"/>
      <c r="AH77" s="168"/>
      <c r="AI77" s="496"/>
    </row>
    <row r="78" s="15" customFormat="1" ht="22" customHeight="1" spans="15:35">
      <c r="O78" s="636"/>
      <c r="W78" s="496"/>
      <c r="X78" s="225"/>
      <c r="Y78" s="230"/>
      <c r="Z78" s="89"/>
      <c r="AA78" s="227"/>
      <c r="AB78" s="167"/>
      <c r="AC78" s="167"/>
      <c r="AD78" s="496"/>
      <c r="AE78" s="186"/>
      <c r="AF78" s="89"/>
      <c r="AG78" s="89"/>
      <c r="AH78" s="168"/>
      <c r="AI78" s="496"/>
    </row>
    <row r="79" s="15" customFormat="1" ht="22" customHeight="1" spans="15:35">
      <c r="O79" s="636"/>
      <c r="W79" s="496"/>
      <c r="X79" s="225"/>
      <c r="Y79" s="230"/>
      <c r="Z79" s="89"/>
      <c r="AA79" s="227"/>
      <c r="AB79" s="174"/>
      <c r="AC79" s="174"/>
      <c r="AD79" s="496"/>
      <c r="AE79" s="193"/>
      <c r="AF79" s="89"/>
      <c r="AG79" s="89"/>
      <c r="AH79" s="222"/>
      <c r="AI79" s="496"/>
    </row>
    <row r="80" s="15" customFormat="1" ht="22" customHeight="1" spans="15:35">
      <c r="O80" s="636"/>
      <c r="W80" s="496"/>
      <c r="X80" s="225"/>
      <c r="Y80" s="227"/>
      <c r="Z80" s="89"/>
      <c r="AA80" s="227"/>
      <c r="AB80" s="218"/>
      <c r="AC80" s="218"/>
      <c r="AD80" s="496"/>
      <c r="AE80" s="193"/>
      <c r="AF80" s="89"/>
      <c r="AG80" s="89"/>
      <c r="AH80" s="222"/>
      <c r="AI80" s="496"/>
    </row>
    <row r="81" s="15" customFormat="1" ht="22" customHeight="1" spans="15:35">
      <c r="O81" s="636"/>
      <c r="W81" s="496"/>
      <c r="X81" s="225"/>
      <c r="Y81" s="89"/>
      <c r="Z81" s="89"/>
      <c r="AA81" s="227"/>
      <c r="AB81" s="167"/>
      <c r="AC81" s="167"/>
      <c r="AD81" s="496"/>
      <c r="AE81" s="186"/>
      <c r="AF81" s="89"/>
      <c r="AG81" s="89"/>
      <c r="AH81" s="168"/>
      <c r="AI81" s="496"/>
    </row>
    <row r="82" s="15" customFormat="1" ht="22" customHeight="1" spans="15:35">
      <c r="O82" s="636"/>
      <c r="W82" s="496"/>
      <c r="X82" s="225"/>
      <c r="Y82" s="230"/>
      <c r="Z82" s="89"/>
      <c r="AA82" s="227"/>
      <c r="AB82" s="218"/>
      <c r="AC82" s="218"/>
      <c r="AD82" s="496"/>
      <c r="AE82" s="186"/>
      <c r="AF82" s="89"/>
      <c r="AG82" s="170"/>
      <c r="AH82" s="222"/>
      <c r="AI82" s="496"/>
    </row>
    <row r="83" s="15" customFormat="1" ht="22" customHeight="1" spans="15:35">
      <c r="O83" s="636"/>
      <c r="W83" s="496"/>
      <c r="X83" s="89"/>
      <c r="Y83" s="230"/>
      <c r="Z83" s="89"/>
      <c r="AA83" s="227"/>
      <c r="AB83" s="174"/>
      <c r="AC83" s="89"/>
      <c r="AD83" s="496"/>
      <c r="AE83" s="186"/>
      <c r="AF83" s="89"/>
      <c r="AG83" s="89"/>
      <c r="AH83" s="222"/>
      <c r="AI83" s="496"/>
    </row>
    <row r="84" s="15" customFormat="1" ht="22" customHeight="1" spans="15:35">
      <c r="O84" s="636"/>
      <c r="W84" s="496"/>
      <c r="X84" s="225"/>
      <c r="Y84" s="230"/>
      <c r="Z84" s="89"/>
      <c r="AA84" s="227"/>
      <c r="AB84" s="174"/>
      <c r="AC84" s="89"/>
      <c r="AD84" s="496"/>
      <c r="AE84" s="186"/>
      <c r="AF84" s="89"/>
      <c r="AG84" s="89"/>
      <c r="AH84" s="222"/>
      <c r="AI84" s="496"/>
    </row>
    <row r="85" s="15" customFormat="1" ht="22" customHeight="1" spans="15:35">
      <c r="O85" s="636"/>
      <c r="W85" s="496"/>
      <c r="X85" s="225"/>
      <c r="Y85" s="230"/>
      <c r="Z85" s="89"/>
      <c r="AA85" s="227"/>
      <c r="AB85" s="174"/>
      <c r="AC85" s="174"/>
      <c r="AD85" s="496"/>
      <c r="AE85" s="186"/>
      <c r="AF85" s="89"/>
      <c r="AG85" s="89"/>
      <c r="AH85" s="222"/>
      <c r="AI85" s="496"/>
    </row>
    <row r="86" s="15" customFormat="1" ht="22" customHeight="1" spans="15:35">
      <c r="O86" s="636"/>
      <c r="W86" s="496"/>
      <c r="X86" s="225"/>
      <c r="Y86" s="230"/>
      <c r="Z86" s="89"/>
      <c r="AA86" s="227"/>
      <c r="AB86" s="174"/>
      <c r="AC86" s="174"/>
      <c r="AD86" s="496"/>
      <c r="AE86" s="186"/>
      <c r="AF86" s="89"/>
      <c r="AG86" s="89"/>
      <c r="AH86" s="222"/>
      <c r="AI86" s="496"/>
    </row>
    <row r="87" s="15" customFormat="1" ht="22" customHeight="1" spans="15:35">
      <c r="O87" s="636"/>
      <c r="W87" s="496"/>
      <c r="X87" s="225"/>
      <c r="Y87" s="230"/>
      <c r="Z87" s="89"/>
      <c r="AA87" s="227"/>
      <c r="AB87" s="167"/>
      <c r="AC87" s="167"/>
      <c r="AD87" s="496"/>
      <c r="AE87" s="186"/>
      <c r="AF87" s="170"/>
      <c r="AG87" s="89"/>
      <c r="AH87" s="222"/>
      <c r="AI87" s="496"/>
    </row>
    <row r="88" s="15" customFormat="1" ht="22" customHeight="1" spans="15:35">
      <c r="O88" s="636"/>
      <c r="W88" s="496"/>
      <c r="X88" s="225"/>
      <c r="Y88" s="89"/>
      <c r="Z88" s="89"/>
      <c r="AA88" s="227"/>
      <c r="AB88" s="174"/>
      <c r="AC88" s="89"/>
      <c r="AD88" s="496"/>
      <c r="AE88" s="186"/>
      <c r="AF88" s="89"/>
      <c r="AG88" s="89"/>
      <c r="AH88" s="222"/>
      <c r="AI88" s="496"/>
    </row>
    <row r="89" s="15" customFormat="1" ht="22" customHeight="1" spans="15:35">
      <c r="O89" s="636"/>
      <c r="W89" s="496"/>
      <c r="X89" s="225"/>
      <c r="Y89" s="89"/>
      <c r="Z89" s="89"/>
      <c r="AA89" s="89"/>
      <c r="AB89" s="89"/>
      <c r="AC89" s="89"/>
      <c r="AD89" s="496"/>
      <c r="AE89" s="715"/>
      <c r="AF89" s="149"/>
      <c r="AG89" s="89"/>
      <c r="AH89" s="89"/>
      <c r="AI89" s="496"/>
    </row>
    <row r="90" s="15" customFormat="1" ht="22" customHeight="1" spans="15:35">
      <c r="O90" s="636"/>
      <c r="W90" s="496"/>
      <c r="X90" s="225"/>
      <c r="Y90" s="89"/>
      <c r="Z90" s="89"/>
      <c r="AA90" s="89"/>
      <c r="AB90" s="89"/>
      <c r="AC90" s="89"/>
      <c r="AD90" s="496"/>
      <c r="AE90" s="715"/>
      <c r="AF90" s="149"/>
      <c r="AG90" s="89"/>
      <c r="AH90" s="89"/>
      <c r="AI90" s="496"/>
    </row>
    <row r="91" s="15" customFormat="1" ht="22" customHeight="1" spans="15:35">
      <c r="O91" s="636"/>
      <c r="W91" s="496"/>
      <c r="X91" s="225"/>
      <c r="Y91" s="89"/>
      <c r="Z91" s="89"/>
      <c r="AA91" s="89"/>
      <c r="AB91" s="89"/>
      <c r="AC91" s="89"/>
      <c r="AD91" s="496"/>
      <c r="AE91" s="148"/>
      <c r="AF91" s="149"/>
      <c r="AG91" s="89"/>
      <c r="AH91" s="89"/>
      <c r="AI91" s="496"/>
    </row>
    <row r="92" s="15" customFormat="1" ht="22" customHeight="1" spans="15:35">
      <c r="O92" s="636"/>
      <c r="W92" s="496"/>
      <c r="X92" s="225"/>
      <c r="Y92" s="89"/>
      <c r="Z92" s="89"/>
      <c r="AA92" s="89"/>
      <c r="AB92" s="89"/>
      <c r="AC92" s="89"/>
      <c r="AD92" s="496"/>
      <c r="AE92" s="148"/>
      <c r="AF92" s="149"/>
      <c r="AG92" s="89"/>
      <c r="AH92" s="89"/>
      <c r="AI92" s="496"/>
    </row>
    <row r="93" s="15" customFormat="1" ht="22" customHeight="1" spans="15:35">
      <c r="O93" s="636"/>
      <c r="W93" s="496"/>
      <c r="X93" s="225"/>
      <c r="Y93" s="89"/>
      <c r="Z93" s="89"/>
      <c r="AA93" s="89"/>
      <c r="AB93" s="89"/>
      <c r="AC93" s="89"/>
      <c r="AD93" s="496"/>
      <c r="AE93" s="715"/>
      <c r="AF93" s="149"/>
      <c r="AG93" s="89"/>
      <c r="AH93" s="89"/>
      <c r="AI93" s="496"/>
    </row>
    <row r="94" s="15" customFormat="1" ht="22" customHeight="1" spans="15:35">
      <c r="O94" s="636"/>
      <c r="W94" s="496"/>
      <c r="X94" s="225"/>
      <c r="Y94" s="89"/>
      <c r="Z94" s="89"/>
      <c r="AA94" s="89"/>
      <c r="AB94" s="89"/>
      <c r="AC94" s="89"/>
      <c r="AD94" s="496"/>
      <c r="AE94" s="148"/>
      <c r="AF94" s="149"/>
      <c r="AG94" s="89"/>
      <c r="AH94" s="89"/>
      <c r="AI94" s="496"/>
    </row>
    <row r="95" s="15" customFormat="1" ht="22" customHeight="1" spans="15:35">
      <c r="O95" s="636"/>
      <c r="W95" s="496"/>
      <c r="X95" s="225"/>
      <c r="Y95" s="89"/>
      <c r="Z95" s="89"/>
      <c r="AA95" s="89"/>
      <c r="AB95" s="174"/>
      <c r="AC95" s="89"/>
      <c r="AD95" s="496"/>
      <c r="AE95" s="715"/>
      <c r="AF95" s="149"/>
      <c r="AG95" s="89"/>
      <c r="AH95" s="89"/>
      <c r="AI95" s="496"/>
    </row>
    <row r="96" s="15" customFormat="1" ht="22" customHeight="1" spans="15:35">
      <c r="O96" s="636"/>
      <c r="W96" s="496"/>
      <c r="X96" s="225"/>
      <c r="Y96" s="89"/>
      <c r="Z96" s="89"/>
      <c r="AA96" s="89"/>
      <c r="AB96" s="89"/>
      <c r="AC96" s="89"/>
      <c r="AD96" s="496"/>
      <c r="AE96" s="715"/>
      <c r="AF96" s="149"/>
      <c r="AG96" s="89"/>
      <c r="AH96" s="89"/>
      <c r="AI96" s="496"/>
    </row>
    <row r="97" s="15" customFormat="1" ht="22" customHeight="1" spans="15:35">
      <c r="O97" s="636"/>
      <c r="W97" s="496"/>
      <c r="X97" s="225"/>
      <c r="Y97" s="89"/>
      <c r="Z97" s="89"/>
      <c r="AA97" s="89"/>
      <c r="AB97" s="89"/>
      <c r="AC97" s="89"/>
      <c r="AD97" s="496"/>
      <c r="AE97" s="148"/>
      <c r="AF97" s="149"/>
      <c r="AG97" s="89"/>
      <c r="AH97" s="89"/>
      <c r="AI97" s="496"/>
    </row>
    <row r="98" s="15" customFormat="1" ht="22" customHeight="1" spans="15:35">
      <c r="O98" s="636"/>
      <c r="W98" s="496"/>
      <c r="X98" s="496"/>
      <c r="Y98" s="496"/>
      <c r="Z98" s="496"/>
      <c r="AA98" s="496"/>
      <c r="AB98" s="496"/>
      <c r="AC98" s="496"/>
      <c r="AD98" s="496"/>
      <c r="AE98" s="496"/>
      <c r="AF98" s="496"/>
      <c r="AG98" s="496"/>
      <c r="AH98" s="496"/>
      <c r="AI98" s="496"/>
    </row>
    <row r="99" s="15" customFormat="1" ht="22" customHeight="1" spans="15:15">
      <c r="O99" s="636"/>
    </row>
    <row r="100" s="15" customFormat="1" ht="22" customHeight="1" spans="15:15">
      <c r="O100" s="636"/>
    </row>
    <row r="101" s="15" customFormat="1" ht="22" customHeight="1" spans="15:15">
      <c r="O101" s="636"/>
    </row>
    <row r="102" s="15" customFormat="1" ht="22" customHeight="1" spans="15:15">
      <c r="O102" s="636"/>
    </row>
    <row r="103" s="15" customFormat="1" ht="22" customHeight="1" spans="15:15">
      <c r="O103" s="636"/>
    </row>
  </sheetData>
  <mergeCells count="85">
    <mergeCell ref="A1:X1"/>
    <mergeCell ref="L2:S2"/>
    <mergeCell ref="T2:V2"/>
    <mergeCell ref="H12:I12"/>
    <mergeCell ref="H15:I15"/>
    <mergeCell ref="H17:I17"/>
    <mergeCell ref="B22:G22"/>
    <mergeCell ref="B23:C23"/>
    <mergeCell ref="D23:E23"/>
    <mergeCell ref="F23:G23"/>
    <mergeCell ref="H23:I23"/>
    <mergeCell ref="J23:K23"/>
    <mergeCell ref="M23:N23"/>
    <mergeCell ref="O23:P23"/>
    <mergeCell ref="D24:E24"/>
    <mergeCell ref="F24:G24"/>
    <mergeCell ref="H24:I24"/>
    <mergeCell ref="J24:K24"/>
    <mergeCell ref="M24:N24"/>
    <mergeCell ref="O24:P24"/>
    <mergeCell ref="H25:I25"/>
    <mergeCell ref="H26:I26"/>
    <mergeCell ref="D27:E27"/>
    <mergeCell ref="F27:G27"/>
    <mergeCell ref="H27:I27"/>
    <mergeCell ref="J27:K27"/>
    <mergeCell ref="M27:N27"/>
    <mergeCell ref="O27:P27"/>
    <mergeCell ref="D28:E28"/>
    <mergeCell ref="F28:G28"/>
    <mergeCell ref="H28:I28"/>
    <mergeCell ref="J28:K28"/>
    <mergeCell ref="M28:N28"/>
    <mergeCell ref="O28:P28"/>
    <mergeCell ref="D29:E29"/>
    <mergeCell ref="F29:G29"/>
    <mergeCell ref="H29:I29"/>
    <mergeCell ref="J29:K29"/>
    <mergeCell ref="M29:N29"/>
    <mergeCell ref="O29:P29"/>
    <mergeCell ref="D30:E30"/>
    <mergeCell ref="F30:G30"/>
    <mergeCell ref="H30:I30"/>
    <mergeCell ref="J30:K30"/>
    <mergeCell ref="M30:N30"/>
    <mergeCell ref="O30:P30"/>
    <mergeCell ref="D31:E31"/>
    <mergeCell ref="F31:G31"/>
    <mergeCell ref="H31:I31"/>
    <mergeCell ref="J31:K31"/>
    <mergeCell ref="M31:N31"/>
    <mergeCell ref="O31:P31"/>
    <mergeCell ref="D32:E32"/>
    <mergeCell ref="F32:G32"/>
    <mergeCell ref="H32:I32"/>
    <mergeCell ref="J32:K32"/>
    <mergeCell ref="M32:N32"/>
    <mergeCell ref="O32:P32"/>
    <mergeCell ref="D33:E33"/>
    <mergeCell ref="F33:G33"/>
    <mergeCell ref="H33:I33"/>
    <mergeCell ref="J33:K33"/>
    <mergeCell ref="D34:E34"/>
    <mergeCell ref="D35:E35"/>
    <mergeCell ref="D36:E36"/>
    <mergeCell ref="D37:E37"/>
    <mergeCell ref="B38:C38"/>
    <mergeCell ref="D38:E38"/>
    <mergeCell ref="F38:G38"/>
    <mergeCell ref="H38:I38"/>
    <mergeCell ref="J38:K38"/>
    <mergeCell ref="M38:N38"/>
    <mergeCell ref="C39:L39"/>
    <mergeCell ref="M39:N39"/>
    <mergeCell ref="B41:S41"/>
    <mergeCell ref="T45:AI45"/>
    <mergeCell ref="A2:A3"/>
    <mergeCell ref="B2:B3"/>
    <mergeCell ref="B35:B36"/>
    <mergeCell ref="F15:F17"/>
    <mergeCell ref="J2:J3"/>
    <mergeCell ref="K2:K3"/>
    <mergeCell ref="P15:P16"/>
    <mergeCell ref="W2:W3"/>
    <mergeCell ref="B24:C25"/>
  </mergeCells>
  <conditionalFormatting sqref="U30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8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39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0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U41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AE68">
    <cfRule type="expression" dxfId="0" priority="39" stopIfTrue="1">
      <formula>AJ68&lt;&gt;0</formula>
    </cfRule>
  </conditionalFormatting>
  <conditionalFormatting sqref="AE69">
    <cfRule type="expression" dxfId="0" priority="34" stopIfTrue="1">
      <formula>AJ69&lt;&gt;0</formula>
    </cfRule>
    <cfRule type="expression" dxfId="0" priority="35" stopIfTrue="1">
      <formula>AJ69&lt;&gt;0</formula>
    </cfRule>
  </conditionalFormatting>
  <conditionalFormatting sqref="AE73">
    <cfRule type="expression" dxfId="0" priority="17" stopIfTrue="1">
      <formula>AJ23&lt;&gt;0</formula>
    </cfRule>
    <cfRule type="expression" dxfId="0" priority="18" stopIfTrue="1">
      <formula>AJ23&lt;&gt;0</formula>
    </cfRule>
    <cfRule type="expression" dxfId="0" priority="19" stopIfTrue="1">
      <formula>AJ23&lt;&gt;0</formula>
    </cfRule>
    <cfRule type="expression" dxfId="0" priority="20" stopIfTrue="1">
      <formula>AJ23&lt;&gt;0</formula>
    </cfRule>
  </conditionalFormatting>
  <conditionalFormatting sqref="AE74">
    <cfRule type="expression" dxfId="0" priority="38" stopIfTrue="1">
      <formula>AJ34&lt;&gt;0</formula>
    </cfRule>
    <cfRule type="expression" dxfId="0" priority="40" stopIfTrue="1">
      <formula>AJ34&lt;&gt;0</formula>
    </cfRule>
  </conditionalFormatting>
  <conditionalFormatting sqref="AE75">
    <cfRule type="expression" dxfId="0" priority="23" stopIfTrue="1">
      <formula>AJ45&lt;&gt;0</formula>
    </cfRule>
    <cfRule type="expression" dxfId="0" priority="24" stopIfTrue="1">
      <formula>AJ45&lt;&gt;0</formula>
    </cfRule>
  </conditionalFormatting>
  <conditionalFormatting sqref="AE76">
    <cfRule type="expression" dxfId="0" priority="64" stopIfTrue="1">
      <formula>AJ26&lt;&gt;0</formula>
    </cfRule>
    <cfRule type="expression" dxfId="0" priority="65" stopIfTrue="1">
      <formula>AJ26&lt;&gt;0</formula>
    </cfRule>
  </conditionalFormatting>
  <conditionalFormatting sqref="AE79">
    <cfRule type="expression" dxfId="0" priority="30" stopIfTrue="1">
      <formula>AJ28&lt;&gt;0</formula>
    </cfRule>
    <cfRule type="expression" dxfId="0" priority="31" stopIfTrue="1">
      <formula>AJ28&lt;&gt;0</formula>
    </cfRule>
  </conditionalFormatting>
  <conditionalFormatting sqref="AF79">
    <cfRule type="expression" dxfId="1" priority="50" stopIfTrue="1">
      <formula>$F79&lt;&gt;0</formula>
    </cfRule>
    <cfRule type="expression" dxfId="1" priority="51" stopIfTrue="1">
      <formula>$F79&lt;&gt;0</formula>
    </cfRule>
  </conditionalFormatting>
  <conditionalFormatting sqref="AE80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80">
    <cfRule type="expression" dxfId="1" priority="48" stopIfTrue="1">
      <formula>$F80&lt;&gt;0</formula>
    </cfRule>
    <cfRule type="expression" dxfId="1" priority="49" stopIfTrue="1">
      <formula>$F80&lt;&gt;0</formula>
    </cfRule>
  </conditionalFormatting>
  <conditionalFormatting sqref="AE81">
    <cfRule type="expression" dxfId="0" priority="25" stopIfTrue="1">
      <formula>AJ13&lt;&gt;0</formula>
    </cfRule>
    <cfRule type="expression" dxfId="0" priority="26" stopIfTrue="1">
      <formula>AJ13&lt;&gt;0</formula>
    </cfRule>
  </conditionalFormatting>
  <conditionalFormatting sqref="AF82">
    <cfRule type="expression" dxfId="1" priority="60" stopIfTrue="1">
      <formula>$F82&lt;&gt;0</formula>
    </cfRule>
  </conditionalFormatting>
  <conditionalFormatting sqref="AF83">
    <cfRule type="expression" dxfId="1" priority="57" stopIfTrue="1">
      <formula>$F83&lt;&gt;0</formula>
    </cfRule>
  </conditionalFormatting>
  <conditionalFormatting sqref="AF84">
    <cfRule type="expression" dxfId="1" priority="56" stopIfTrue="1">
      <formula>$F84&lt;&gt;0</formula>
    </cfRule>
  </conditionalFormatting>
  <conditionalFormatting sqref="AF85">
    <cfRule type="expression" dxfId="1" priority="55" stopIfTrue="1">
      <formula>$F85&lt;&gt;0</formula>
    </cfRule>
  </conditionalFormatting>
  <conditionalFormatting sqref="AF86">
    <cfRule type="expression" dxfId="1" priority="53" stopIfTrue="1">
      <formula>$F86&lt;&gt;0</formula>
    </cfRule>
    <cfRule type="expression" dxfId="1" priority="54" stopIfTrue="1">
      <formula>$F86&lt;&gt;0</formula>
    </cfRule>
  </conditionalFormatting>
  <conditionalFormatting sqref="AE87">
    <cfRule type="expression" dxfId="0" priority="21" stopIfTrue="1">
      <formula>AJ53&lt;&gt;0</formula>
    </cfRule>
    <cfRule type="expression" dxfId="0" priority="22" stopIfTrue="1">
      <formula>AJ53&lt;&gt;0</formula>
    </cfRule>
  </conditionalFormatting>
  <conditionalFormatting sqref="AF87">
    <cfRule type="expression" dxfId="1" priority="52" stopIfTrue="1">
      <formula>#REF!&lt;&gt;0</formula>
    </cfRule>
  </conditionalFormatting>
  <conditionalFormatting sqref="AE88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F88">
    <cfRule type="expression" dxfId="1" priority="58" stopIfTrue="1">
      <formula>$F88&lt;&gt;0</formula>
    </cfRule>
    <cfRule type="expression" dxfId="1" priority="59" stopIfTrue="1">
      <formula>$F88&lt;&gt;0</formula>
    </cfRule>
  </conditionalFormatting>
  <conditionalFormatting sqref="AF90">
    <cfRule type="expression" dxfId="1" priority="5" stopIfTrue="1">
      <formula>$F90&lt;&gt;0</formula>
    </cfRule>
    <cfRule type="expression" dxfId="1" priority="6" stopIfTrue="1">
      <formula>$F90&lt;&gt;0</formula>
    </cfRule>
  </conditionalFormatting>
  <conditionalFormatting sqref="AF91">
    <cfRule type="expression" dxfId="1" priority="3" stopIfTrue="1">
      <formula>$F91&lt;&gt;0</formula>
    </cfRule>
    <cfRule type="expression" dxfId="1" priority="4" stopIfTrue="1">
      <formula>$F91&lt;&gt;0</formula>
    </cfRule>
  </conditionalFormatting>
  <conditionalFormatting sqref="AF92">
    <cfRule type="expression" dxfId="1" priority="9" stopIfTrue="1">
      <formula>$F92&lt;&gt;0</formula>
    </cfRule>
    <cfRule type="expression" dxfId="1" priority="10" stopIfTrue="1">
      <formula>$F92&lt;&gt;0</formula>
    </cfRule>
  </conditionalFormatting>
  <conditionalFormatting sqref="AF93">
    <cfRule type="expression" dxfId="1" priority="1" stopIfTrue="1">
      <formula>$F93&lt;&gt;0</formula>
    </cfRule>
    <cfRule type="expression" dxfId="1" priority="2" stopIfTrue="1">
      <formula>$F93&lt;&gt;0</formula>
    </cfRule>
  </conditionalFormatting>
  <conditionalFormatting sqref="U31:U32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V40:V41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70:AE71">
    <cfRule type="expression" dxfId="0" priority="13" stopIfTrue="1">
      <formula>AJ40&lt;&gt;0</formula>
    </cfRule>
    <cfRule type="expression" dxfId="0" priority="14" stopIfTrue="1">
      <formula>AJ40&lt;&gt;0</formula>
    </cfRule>
    <cfRule type="expression" dxfId="0" priority="15" stopIfTrue="1">
      <formula>AJ70&lt;&gt;0</formula>
    </cfRule>
    <cfRule type="expression" dxfId="0" priority="16" stopIfTrue="1">
      <formula>AJ70&lt;&gt;0</formula>
    </cfRule>
    <cfRule type="expression" dxfId="0" priority="36" stopIfTrue="1">
      <formula>AJ70&lt;&gt;0</formula>
    </cfRule>
    <cfRule type="expression" dxfId="0" priority="37" stopIfTrue="1">
      <formula>AJ70&lt;&gt;0</formula>
    </cfRule>
  </conditionalFormatting>
  <conditionalFormatting sqref="AE72:AE73">
    <cfRule type="expression" dxfId="0" priority="32" stopIfTrue="1">
      <formula>AJ72&lt;&gt;0</formula>
    </cfRule>
    <cfRule type="expression" dxfId="0" priority="33" stopIfTrue="1">
      <formula>AJ72&lt;&gt;0</formula>
    </cfRule>
  </conditionalFormatting>
  <conditionalFormatting sqref="AE77:AE78">
    <cfRule type="expression" dxfId="0" priority="66" stopIfTrue="1">
      <formula>AJ52&lt;&gt;0</formula>
    </cfRule>
    <cfRule type="expression" dxfId="0" priority="67" stopIfTrue="1">
      <formula>AJ52&lt;&gt;0</formula>
    </cfRule>
  </conditionalFormatting>
  <conditionalFormatting sqref="AE82:AE86">
    <cfRule type="expression" dxfId="0" priority="27" stopIfTrue="1">
      <formula>AJ14&lt;&gt;0</formula>
    </cfRule>
    <cfRule type="expression" dxfId="0" priority="43" stopIfTrue="1">
      <formula>AJ14&lt;&gt;0</formula>
    </cfRule>
  </conditionalFormatting>
  <conditionalFormatting sqref="AE87:AE88">
    <cfRule type="expression" dxfId="0" priority="41" stopIfTrue="1">
      <formula>AJ27&lt;&gt;0</formula>
    </cfRule>
    <cfRule type="expression" dxfId="0" priority="42" stopIfTrue="1">
      <formula>AJ27&lt;&gt;0</formula>
    </cfRule>
  </conditionalFormatting>
  <conditionalFormatting sqref="AF75:AF76">
    <cfRule type="expression" dxfId="1" priority="46" stopIfTrue="1">
      <formula>$F75&lt;&gt;0</formula>
    </cfRule>
    <cfRule type="expression" dxfId="1" priority="47" stopIfTrue="1">
      <formula>$F75&lt;&gt;0</formula>
    </cfRule>
  </conditionalFormatting>
  <conditionalFormatting sqref="AF77:AF78">
    <cfRule type="expression" dxfId="1" priority="62" stopIfTrue="1">
      <formula>$F77&lt;&gt;0</formula>
    </cfRule>
    <cfRule type="expression" dxfId="1" priority="63" stopIfTrue="1">
      <formula>$F77&lt;&gt;0</formula>
    </cfRule>
  </conditionalFormatting>
  <conditionalFormatting sqref="AF81:AF82">
    <cfRule type="expression" dxfId="1" priority="61" stopIfTrue="1">
      <formula>$F81&lt;&gt;0</formula>
    </cfRule>
  </conditionalFormatting>
  <conditionalFormatting sqref="AF96:AF97">
    <cfRule type="expression" dxfId="1" priority="7" stopIfTrue="1">
      <formula>$F96&lt;&gt;0</formula>
    </cfRule>
    <cfRule type="expression" dxfId="1" priority="8" stopIfTrue="1">
      <formula>$F96&lt;&gt;0</formula>
    </cfRule>
  </conditionalFormatting>
  <conditionalFormatting sqref="V30 V32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1 V38:V39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94:AF95 AF89">
    <cfRule type="expression" dxfId="1" priority="11" stopIfTrue="1">
      <formula>$F89&lt;&gt;0</formula>
    </cfRule>
    <cfRule type="expression" dxfId="1" priority="12" stopIfTrue="1">
      <formula>$F89&lt;&gt;0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172"/>
  <sheetViews>
    <sheetView workbookViewId="0">
      <pane ySplit="3" topLeftCell="A11" activePane="bottomLeft" state="frozen"/>
      <selection/>
      <selection pane="bottomLeft" activeCell="G21" sqref="G21"/>
    </sheetView>
  </sheetViews>
  <sheetFormatPr defaultColWidth="9" defaultRowHeight="33" customHeight="1"/>
  <cols>
    <col min="1" max="1" width="5.55833333333333" style="278" customWidth="1"/>
    <col min="2" max="2" width="6.24166666666667" style="278" customWidth="1"/>
    <col min="3" max="3" width="12.625" style="278" customWidth="1"/>
    <col min="4" max="4" width="17.625" style="278" customWidth="1"/>
    <col min="5" max="5" width="14.75" style="278" customWidth="1"/>
    <col min="6" max="6" width="20.375" style="278" customWidth="1"/>
    <col min="7" max="7" width="25.875" style="278" customWidth="1"/>
    <col min="8" max="8" width="9.025" style="278" customWidth="1"/>
    <col min="9" max="9" width="10.25" style="278" customWidth="1"/>
    <col min="10" max="10" width="8.5" style="278" customWidth="1"/>
    <col min="11" max="11" width="9.025" style="278" customWidth="1"/>
    <col min="12" max="12" width="12.225" style="278" customWidth="1"/>
    <col min="13" max="13" width="11.375" style="278" customWidth="1"/>
    <col min="14" max="14" width="19.725" style="404" customWidth="1"/>
    <col min="15" max="15" width="16.5" style="103" customWidth="1"/>
    <col min="16" max="16" width="16.5" style="278" customWidth="1"/>
    <col min="17" max="17" width="16.875" style="278" customWidth="1"/>
    <col min="18" max="18" width="20.25" style="278" customWidth="1"/>
    <col min="19" max="19" width="17.35" style="278" customWidth="1"/>
    <col min="20" max="20" width="16.75" style="103" customWidth="1"/>
    <col min="21" max="21" width="13.375" style="278" customWidth="1"/>
    <col min="22" max="22" width="21.875" style="278" customWidth="1"/>
    <col min="23" max="23" width="15.1333333333333" style="278" customWidth="1"/>
    <col min="24" max="24" width="16.625" style="103" customWidth="1"/>
    <col min="25" max="25" width="17.5" style="278" customWidth="1"/>
    <col min="26" max="26" width="18.25" style="103" customWidth="1"/>
    <col min="27" max="27" width="15.625" style="278" customWidth="1"/>
    <col min="28" max="28" width="17" style="103" customWidth="1"/>
    <col min="29" max="29" width="15.25" style="278" customWidth="1"/>
    <col min="30" max="30" width="14.25" style="278" customWidth="1"/>
    <col min="31" max="37" width="13.75" style="278" customWidth="1"/>
    <col min="38" max="38" width="17.625" style="103" customWidth="1"/>
    <col min="39" max="39" width="10.4" style="278" customWidth="1"/>
    <col min="40" max="40" width="11.5" style="278" customWidth="1"/>
    <col min="41" max="41" width="15.925" style="278" customWidth="1"/>
    <col min="42" max="42" width="19.8" style="278" customWidth="1"/>
    <col min="43" max="43" width="13.2" style="278" customWidth="1"/>
    <col min="44" max="44" width="23.2" style="278" customWidth="1"/>
    <col min="45" max="45" width="8.7" style="278" customWidth="1"/>
    <col min="46" max="48" width="12.9" style="103" customWidth="1"/>
    <col min="49" max="49" width="11.625" style="103" customWidth="1"/>
    <col min="50" max="50" width="11.5" style="103" customWidth="1"/>
    <col min="51" max="51" width="12.875" style="103" customWidth="1"/>
    <col min="52" max="52" width="11.5" style="103" customWidth="1"/>
    <col min="53" max="54" width="14.375" style="103" customWidth="1"/>
    <col min="55" max="55" width="18" style="103" customWidth="1"/>
    <col min="56" max="56" width="10.375" style="463" customWidth="1"/>
    <col min="57" max="57" width="16.5" style="103" customWidth="1"/>
    <col min="58" max="59" width="15.375" style="103" customWidth="1"/>
    <col min="60" max="60" width="21.525" style="103" customWidth="1"/>
    <col min="61" max="61" width="15.1416666666667" style="103" customWidth="1"/>
    <col min="62" max="62" width="15.1333333333333" style="103" customWidth="1"/>
    <col min="63" max="71" width="16.8083333333333" style="103" customWidth="1"/>
    <col min="72" max="72" width="13.125" style="103" customWidth="1"/>
    <col min="73" max="73" width="21.5" style="278" customWidth="1"/>
    <col min="74" max="76" width="9" style="278" customWidth="1"/>
    <col min="77" max="77" width="10.4166666666667" style="278" customWidth="1"/>
    <col min="78" max="78" width="9.25" style="278" customWidth="1"/>
    <col min="79" max="80" width="9" style="278" customWidth="1"/>
    <col min="81" max="16384" width="9" style="278"/>
  </cols>
  <sheetData>
    <row r="1" s="462" customFormat="1" customHeight="1" spans="1:72">
      <c r="A1" s="462" t="s">
        <v>124</v>
      </c>
      <c r="N1" s="469"/>
      <c r="O1" s="470"/>
      <c r="T1" s="470"/>
      <c r="X1" s="470"/>
      <c r="Z1" s="470"/>
      <c r="AB1" s="470"/>
      <c r="AL1" s="470"/>
      <c r="AT1" s="470"/>
      <c r="AU1" s="470"/>
      <c r="AV1" s="470"/>
      <c r="AW1" s="470"/>
      <c r="AX1" s="470"/>
      <c r="AY1" s="470"/>
      <c r="AZ1" s="470"/>
      <c r="BA1" s="470"/>
      <c r="BB1" s="470"/>
      <c r="BC1" s="470"/>
      <c r="BD1" s="479"/>
      <c r="BE1" s="470"/>
      <c r="BF1" s="470"/>
      <c r="BG1" s="470"/>
      <c r="BH1" s="470"/>
      <c r="BI1" s="470"/>
      <c r="BJ1" s="470"/>
      <c r="BK1" s="103"/>
      <c r="BL1" s="103"/>
      <c r="BM1" s="103"/>
      <c r="BN1" s="103"/>
      <c r="BO1" s="103"/>
      <c r="BP1" s="103"/>
      <c r="BQ1" s="103"/>
      <c r="BR1" s="103"/>
      <c r="BS1" s="103"/>
      <c r="BT1" s="470"/>
    </row>
    <row r="2" s="462" customFormat="1" ht="16" customHeight="1" spans="1:80">
      <c r="A2" s="462" t="s">
        <v>1</v>
      </c>
      <c r="B2" s="462" t="s">
        <v>125</v>
      </c>
      <c r="C2" s="464" t="s">
        <v>126</v>
      </c>
      <c r="D2" s="462" t="s">
        <v>127</v>
      </c>
      <c r="E2" s="462" t="s">
        <v>128</v>
      </c>
      <c r="F2" s="462" t="s">
        <v>129</v>
      </c>
      <c r="G2" s="462" t="s">
        <v>130</v>
      </c>
      <c r="H2" s="462" t="s">
        <v>2</v>
      </c>
      <c r="I2" s="462" t="s">
        <v>131</v>
      </c>
      <c r="J2" s="462" t="s">
        <v>132</v>
      </c>
      <c r="K2" s="464" t="s">
        <v>133</v>
      </c>
      <c r="L2" s="462" t="s">
        <v>134</v>
      </c>
      <c r="M2" s="462" t="s">
        <v>135</v>
      </c>
      <c r="N2" s="469" t="s">
        <v>136</v>
      </c>
      <c r="O2" s="470" t="s">
        <v>137</v>
      </c>
      <c r="P2" s="471" t="s">
        <v>138</v>
      </c>
      <c r="Q2" s="471" t="s">
        <v>139</v>
      </c>
      <c r="R2" s="471"/>
      <c r="S2" s="471"/>
      <c r="T2" s="473" t="s">
        <v>140</v>
      </c>
      <c r="U2" s="462" t="s">
        <v>141</v>
      </c>
      <c r="V2" s="462" t="s">
        <v>142</v>
      </c>
      <c r="W2" s="462" t="s">
        <v>143</v>
      </c>
      <c r="X2" s="470" t="s">
        <v>144</v>
      </c>
      <c r="Z2" s="470"/>
      <c r="AB2" s="470"/>
      <c r="AL2" s="470" t="s">
        <v>145</v>
      </c>
      <c r="AM2" s="464" t="s">
        <v>146</v>
      </c>
      <c r="AN2" s="462" t="s">
        <v>147</v>
      </c>
      <c r="AO2" s="471" t="s">
        <v>22</v>
      </c>
      <c r="AP2" s="462" t="s">
        <v>148</v>
      </c>
      <c r="AQ2" s="462" t="s">
        <v>10</v>
      </c>
      <c r="AT2" s="476" t="s">
        <v>149</v>
      </c>
      <c r="AU2" s="477" t="s">
        <v>150</v>
      </c>
      <c r="AV2" s="477" t="s">
        <v>151</v>
      </c>
      <c r="AW2" s="477" t="s">
        <v>152</v>
      </c>
      <c r="AX2" s="477" t="s">
        <v>153</v>
      </c>
      <c r="AY2" s="477" t="s">
        <v>154</v>
      </c>
      <c r="AZ2" s="477" t="s">
        <v>155</v>
      </c>
      <c r="BA2" s="477" t="s">
        <v>156</v>
      </c>
      <c r="BB2" s="477" t="s">
        <v>157</v>
      </c>
      <c r="BC2" s="480" t="s">
        <v>158</v>
      </c>
      <c r="BD2" s="481" t="s">
        <v>159</v>
      </c>
      <c r="BE2" s="482" t="s">
        <v>160</v>
      </c>
      <c r="BF2" s="482" t="s">
        <v>161</v>
      </c>
      <c r="BG2" s="482" t="s">
        <v>162</v>
      </c>
      <c r="BH2" s="482" t="s">
        <v>163</v>
      </c>
      <c r="BI2" s="482" t="s">
        <v>164</v>
      </c>
      <c r="BJ2" s="482" t="s">
        <v>165</v>
      </c>
      <c r="BK2" s="482" t="s">
        <v>166</v>
      </c>
      <c r="BL2" s="482" t="s">
        <v>167</v>
      </c>
      <c r="BM2" s="482" t="s">
        <v>168</v>
      </c>
      <c r="BN2" s="482" t="s">
        <v>169</v>
      </c>
      <c r="BO2" s="482" t="s">
        <v>170</v>
      </c>
      <c r="BP2" s="482" t="s">
        <v>171</v>
      </c>
      <c r="BQ2" s="482" t="s">
        <v>172</v>
      </c>
      <c r="BR2" s="482" t="s">
        <v>173</v>
      </c>
      <c r="BS2" s="482" t="s">
        <v>174</v>
      </c>
      <c r="BT2" s="482"/>
      <c r="BU2" s="462" t="s">
        <v>175</v>
      </c>
      <c r="BW2" s="90" t="s">
        <v>73</v>
      </c>
      <c r="BX2" s="90" t="s">
        <v>176</v>
      </c>
      <c r="BY2" s="93"/>
      <c r="BZ2" s="361" t="s">
        <v>177</v>
      </c>
      <c r="CA2" s="361"/>
      <c r="CB2" s="361"/>
    </row>
    <row r="3" s="462" customFormat="1" ht="20" customHeight="1" spans="3:80">
      <c r="C3" s="464"/>
      <c r="N3" s="469"/>
      <c r="O3" s="470"/>
      <c r="P3" s="471"/>
      <c r="Q3" s="471" t="s">
        <v>178</v>
      </c>
      <c r="R3" s="471" t="s">
        <v>179</v>
      </c>
      <c r="S3" s="471"/>
      <c r="T3" s="470"/>
      <c r="X3" s="470" t="s">
        <v>180</v>
      </c>
      <c r="Y3" s="462" t="s">
        <v>181</v>
      </c>
      <c r="Z3" s="470" t="s">
        <v>182</v>
      </c>
      <c r="AA3" s="475" t="s">
        <v>181</v>
      </c>
      <c r="AB3" s="470" t="s">
        <v>183</v>
      </c>
      <c r="AC3" s="475" t="s">
        <v>181</v>
      </c>
      <c r="AD3" s="462" t="s">
        <v>184</v>
      </c>
      <c r="AE3" s="462" t="s">
        <v>181</v>
      </c>
      <c r="AF3" s="462" t="s">
        <v>185</v>
      </c>
      <c r="AG3" s="462" t="s">
        <v>181</v>
      </c>
      <c r="AH3" s="462" t="s">
        <v>186</v>
      </c>
      <c r="AI3" s="462" t="s">
        <v>181</v>
      </c>
      <c r="AJ3" s="462" t="s">
        <v>187</v>
      </c>
      <c r="AK3" s="462" t="s">
        <v>181</v>
      </c>
      <c r="AL3" s="470"/>
      <c r="AO3" s="471"/>
      <c r="AQ3" s="462" t="s">
        <v>188</v>
      </c>
      <c r="AR3" s="462" t="s">
        <v>189</v>
      </c>
      <c r="AS3" s="462" t="s">
        <v>190</v>
      </c>
      <c r="AT3" s="476"/>
      <c r="AU3" s="477"/>
      <c r="AV3" s="477"/>
      <c r="AW3" s="477"/>
      <c r="AX3" s="477"/>
      <c r="AY3" s="477"/>
      <c r="AZ3" s="477"/>
      <c r="BA3" s="477"/>
      <c r="BB3" s="477"/>
      <c r="BC3" s="480"/>
      <c r="BD3" s="481"/>
      <c r="BE3" s="482"/>
      <c r="BF3" s="482"/>
      <c r="BG3" s="482"/>
      <c r="BH3" s="482"/>
      <c r="BI3" s="482"/>
      <c r="BJ3" s="482"/>
      <c r="BK3" s="482"/>
      <c r="BL3" s="482"/>
      <c r="BM3" s="482"/>
      <c r="BN3" s="482"/>
      <c r="BO3" s="482"/>
      <c r="BP3" s="482"/>
      <c r="BQ3" s="482"/>
      <c r="BR3" s="482"/>
      <c r="BS3" s="482"/>
      <c r="BT3" s="482"/>
      <c r="BX3" s="90"/>
      <c r="BY3" s="464"/>
      <c r="BZ3" s="361"/>
      <c r="CA3" s="361"/>
      <c r="CB3" s="361"/>
    </row>
    <row r="4" s="279" customFormat="1" customHeight="1" spans="1:72">
      <c r="A4" s="279">
        <v>1</v>
      </c>
      <c r="B4" s="279"/>
      <c r="C4" s="279" t="s">
        <v>98</v>
      </c>
      <c r="D4" s="279">
        <v>20240005549</v>
      </c>
      <c r="F4" s="295" t="s">
        <v>191</v>
      </c>
      <c r="G4" s="294" t="s">
        <v>192</v>
      </c>
      <c r="H4" s="279" t="s">
        <v>193</v>
      </c>
      <c r="I4" s="295" t="s">
        <v>102</v>
      </c>
      <c r="J4" s="295" t="s">
        <v>194</v>
      </c>
      <c r="K4" s="279">
        <v>68.42</v>
      </c>
      <c r="L4" s="279">
        <v>68.42</v>
      </c>
      <c r="M4" s="279">
        <v>20868.5</v>
      </c>
      <c r="N4" s="318">
        <v>1427823</v>
      </c>
      <c r="O4" s="282">
        <v>22746.96</v>
      </c>
      <c r="P4" s="279" t="s">
        <v>195</v>
      </c>
      <c r="T4" s="282">
        <f>1060000+57823</f>
        <v>1117823</v>
      </c>
      <c r="U4" s="330" t="s">
        <v>98</v>
      </c>
      <c r="V4" s="330"/>
      <c r="W4" s="330" t="s">
        <v>196</v>
      </c>
      <c r="X4" s="282">
        <v>10000</v>
      </c>
      <c r="Y4" s="330">
        <v>45561</v>
      </c>
      <c r="Z4" s="282">
        <f>1060000+57823</f>
        <v>1117823</v>
      </c>
      <c r="AA4" s="330" t="s">
        <v>98</v>
      </c>
      <c r="AC4" s="283"/>
      <c r="AL4" s="282">
        <f>X4+Z4+AB4+AD4+AF4+AH4+AJ4</f>
        <v>1127823</v>
      </c>
      <c r="AO4" s="314">
        <f t="shared" ref="AO4:AO9" si="0">N4-AL4</f>
        <v>300000</v>
      </c>
      <c r="AP4" s="279">
        <v>13579043254</v>
      </c>
      <c r="AT4" s="349">
        <f>AU4+AV4+AW4+AX4+AY4+AZ4+BA4+BB4</f>
        <v>400</v>
      </c>
      <c r="AU4" s="349">
        <f>200</f>
        <v>200</v>
      </c>
      <c r="AV4" s="282">
        <v>200</v>
      </c>
      <c r="AW4" s="282"/>
      <c r="AX4" s="282"/>
      <c r="AY4" s="282"/>
      <c r="AZ4" s="282"/>
      <c r="BA4" s="282"/>
      <c r="BB4" s="282"/>
      <c r="BC4" s="282">
        <f>SUM(BE4:BT4)</f>
        <v>0</v>
      </c>
      <c r="BD4" s="427">
        <f>1%+0.18%+0.2%</f>
        <v>0.0138</v>
      </c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</row>
    <row r="5" s="279" customFormat="1" customHeight="1" spans="1:76">
      <c r="A5" s="278">
        <v>2</v>
      </c>
      <c r="C5" s="331">
        <v>45401</v>
      </c>
      <c r="D5" s="279">
        <v>20240002187</v>
      </c>
      <c r="E5" s="717" t="s">
        <v>197</v>
      </c>
      <c r="F5" s="295" t="s">
        <v>198</v>
      </c>
      <c r="G5" s="294" t="s">
        <v>199</v>
      </c>
      <c r="I5" s="295" t="s">
        <v>102</v>
      </c>
      <c r="J5" s="295" t="s">
        <v>200</v>
      </c>
      <c r="K5" s="279">
        <v>68.42</v>
      </c>
      <c r="L5" s="279">
        <v>68.42</v>
      </c>
      <c r="M5" s="279">
        <v>22700</v>
      </c>
      <c r="N5" s="318">
        <v>1553134</v>
      </c>
      <c r="O5" s="282">
        <v>22651.12</v>
      </c>
      <c r="T5" s="282"/>
      <c r="U5" s="331"/>
      <c r="V5" s="330"/>
      <c r="W5" s="330" t="s">
        <v>201</v>
      </c>
      <c r="X5" s="282">
        <v>100000</v>
      </c>
      <c r="Y5" s="331" t="s">
        <v>202</v>
      </c>
      <c r="Z5" s="282">
        <v>683134</v>
      </c>
      <c r="AA5" s="283" t="s">
        <v>203</v>
      </c>
      <c r="AB5" s="282">
        <v>770000</v>
      </c>
      <c r="AC5" s="331" t="s">
        <v>204</v>
      </c>
      <c r="AL5" s="282">
        <f>X5+Z5+AB5+AD5+AF5+AH5+AJ5</f>
        <v>1553134</v>
      </c>
      <c r="AO5" s="314">
        <f t="shared" si="0"/>
        <v>0</v>
      </c>
      <c r="AP5" s="279">
        <v>18609962209</v>
      </c>
      <c r="AT5" s="349">
        <f t="shared" ref="AT5:AT36" si="1">AU5+AV5+AW5+AX5+AY5+AZ5+BA5+BB5</f>
        <v>400</v>
      </c>
      <c r="AU5" s="349">
        <f>200</f>
        <v>200</v>
      </c>
      <c r="AV5" s="282"/>
      <c r="AW5" s="282"/>
      <c r="AX5" s="282">
        <v>200</v>
      </c>
      <c r="AY5" s="282"/>
      <c r="AZ5" s="282"/>
      <c r="BA5" s="282"/>
      <c r="BB5" s="282"/>
      <c r="BC5" s="282">
        <f t="shared" ref="BC5:BC36" si="2">SUM(BE5:BT5)</f>
        <v>1553134</v>
      </c>
      <c r="BD5" s="428">
        <f>1%+0.2%</f>
        <v>0.012</v>
      </c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>
        <v>1553134</v>
      </c>
      <c r="BP5" s="282"/>
      <c r="BQ5" s="282"/>
      <c r="BR5" s="282"/>
      <c r="BS5" s="282"/>
      <c r="BT5" s="282"/>
      <c r="BW5" s="279" t="s">
        <v>205</v>
      </c>
      <c r="BX5" s="279" t="s">
        <v>206</v>
      </c>
    </row>
    <row r="6" s="279" customFormat="1" customHeight="1" spans="1:71">
      <c r="A6" s="279">
        <v>3</v>
      </c>
      <c r="B6" s="279"/>
      <c r="C6" s="279" t="s">
        <v>98</v>
      </c>
      <c r="D6" s="279">
        <v>20240005511</v>
      </c>
      <c r="E6" s="717" t="s">
        <v>207</v>
      </c>
      <c r="F6" s="295" t="s">
        <v>208</v>
      </c>
      <c r="G6" s="279" t="s">
        <v>209</v>
      </c>
      <c r="I6" s="295" t="s">
        <v>102</v>
      </c>
      <c r="J6" s="295" t="s">
        <v>210</v>
      </c>
      <c r="K6" s="279">
        <v>116.65</v>
      </c>
      <c r="L6" s="279">
        <v>116.65</v>
      </c>
      <c r="M6" s="279">
        <v>21945.99</v>
      </c>
      <c r="N6" s="282">
        <v>2560000</v>
      </c>
      <c r="O6" s="282">
        <v>21618</v>
      </c>
      <c r="T6" s="282"/>
      <c r="U6" s="331"/>
      <c r="W6" s="331" t="s">
        <v>211</v>
      </c>
      <c r="X6" s="282">
        <v>50000</v>
      </c>
      <c r="Y6" s="331">
        <v>45539</v>
      </c>
      <c r="Z6" s="282">
        <v>800000</v>
      </c>
      <c r="AA6" s="331">
        <v>45563</v>
      </c>
      <c r="AB6" s="282"/>
      <c r="AL6" s="282">
        <f>X6+Z6+AB6+AD6+AF6+AH6+AJ6</f>
        <v>850000</v>
      </c>
      <c r="AO6" s="314">
        <f t="shared" si="0"/>
        <v>1710000</v>
      </c>
      <c r="AP6" s="279">
        <v>13899099509</v>
      </c>
      <c r="AT6" s="349">
        <f t="shared" si="1"/>
        <v>0</v>
      </c>
      <c r="AU6" s="294"/>
      <c r="BC6" s="282">
        <f t="shared" si="2"/>
        <v>0</v>
      </c>
      <c r="BD6" s="427">
        <f>1%+0.15%+0.2%</f>
        <v>0.0135</v>
      </c>
      <c r="BR6" s="278"/>
      <c r="BS6" s="278"/>
    </row>
    <row r="7" s="279" customFormat="1" customHeight="1" spans="1:76">
      <c r="A7" s="278">
        <v>4</v>
      </c>
      <c r="C7" s="279" t="s">
        <v>212</v>
      </c>
      <c r="D7" s="279">
        <v>20230010576</v>
      </c>
      <c r="E7" s="717" t="s">
        <v>213</v>
      </c>
      <c r="F7" s="295" t="s">
        <v>214</v>
      </c>
      <c r="G7" s="279" t="s">
        <v>215</v>
      </c>
      <c r="I7" s="295" t="s">
        <v>102</v>
      </c>
      <c r="J7" s="295" t="s">
        <v>216</v>
      </c>
      <c r="K7" s="279">
        <v>68.42</v>
      </c>
      <c r="L7" s="279">
        <v>68.42</v>
      </c>
      <c r="M7" s="279">
        <v>21800</v>
      </c>
      <c r="N7" s="282">
        <v>1491556</v>
      </c>
      <c r="O7" s="282">
        <v>21560</v>
      </c>
      <c r="T7" s="282"/>
      <c r="U7" s="331"/>
      <c r="V7" s="331"/>
      <c r="W7" s="331" t="s">
        <v>217</v>
      </c>
      <c r="X7" s="282">
        <v>80000</v>
      </c>
      <c r="Y7" s="331" t="s">
        <v>218</v>
      </c>
      <c r="Z7" s="282">
        <f>420000+361556</f>
        <v>781556</v>
      </c>
      <c r="AA7" s="331" t="s">
        <v>212</v>
      </c>
      <c r="AB7" s="282">
        <v>100000</v>
      </c>
      <c r="AC7" s="331" t="s">
        <v>219</v>
      </c>
      <c r="AD7" s="282">
        <v>130000</v>
      </c>
      <c r="AE7" s="331" t="s">
        <v>220</v>
      </c>
      <c r="AF7" s="282">
        <v>200000</v>
      </c>
      <c r="AG7" s="331" t="s">
        <v>221</v>
      </c>
      <c r="AH7" s="282">
        <v>200000</v>
      </c>
      <c r="AI7" s="331" t="s">
        <v>221</v>
      </c>
      <c r="AL7" s="282">
        <f t="shared" ref="AL7:AL26" si="3">X7+Z7+AB7+AD7+AF7+AH7+AJ7</f>
        <v>1491556</v>
      </c>
      <c r="AO7" s="314">
        <f t="shared" si="0"/>
        <v>0</v>
      </c>
      <c r="AP7" s="279">
        <v>17399115251</v>
      </c>
      <c r="AT7" s="349">
        <f t="shared" si="1"/>
        <v>0</v>
      </c>
      <c r="AU7" s="294"/>
      <c r="BC7" s="282">
        <f t="shared" si="2"/>
        <v>1491556</v>
      </c>
      <c r="BD7" s="427">
        <f>0.8%+0.13%+0.14%</f>
        <v>0.0107</v>
      </c>
      <c r="BJ7" s="279">
        <v>861556</v>
      </c>
      <c r="BQ7" s="279">
        <v>630000</v>
      </c>
      <c r="BW7" s="279" t="s">
        <v>205</v>
      </c>
      <c r="BX7" s="279" t="s">
        <v>206</v>
      </c>
    </row>
    <row r="8" s="279" customFormat="1" customHeight="1" spans="1:76">
      <c r="A8" s="278">
        <v>5</v>
      </c>
      <c r="C8" s="279" t="s">
        <v>222</v>
      </c>
      <c r="D8" s="279">
        <v>20240002029</v>
      </c>
      <c r="F8" s="295" t="s">
        <v>223</v>
      </c>
      <c r="G8" s="294" t="s">
        <v>224</v>
      </c>
      <c r="I8" s="295" t="s">
        <v>102</v>
      </c>
      <c r="J8" s="295" t="s">
        <v>225</v>
      </c>
      <c r="K8" s="279">
        <v>68.42</v>
      </c>
      <c r="L8" s="279">
        <v>68.42</v>
      </c>
      <c r="M8" s="279">
        <v>21967.26</v>
      </c>
      <c r="N8" s="282">
        <v>1503000</v>
      </c>
      <c r="O8" s="282">
        <v>21960</v>
      </c>
      <c r="T8" s="282"/>
      <c r="U8" s="331"/>
      <c r="V8" s="331"/>
      <c r="W8" s="330" t="s">
        <v>226</v>
      </c>
      <c r="X8" s="282">
        <v>20000</v>
      </c>
      <c r="Y8" s="331" t="s">
        <v>227</v>
      </c>
      <c r="Z8" s="282">
        <v>783000</v>
      </c>
      <c r="AA8" s="331" t="s">
        <v>222</v>
      </c>
      <c r="AB8" s="282">
        <v>700000</v>
      </c>
      <c r="AC8" s="331" t="s">
        <v>228</v>
      </c>
      <c r="AD8" s="282"/>
      <c r="AE8" s="331"/>
      <c r="AL8" s="282">
        <f t="shared" si="3"/>
        <v>1503000</v>
      </c>
      <c r="AO8" s="314">
        <f t="shared" si="0"/>
        <v>0</v>
      </c>
      <c r="AP8" s="279">
        <v>13150241703</v>
      </c>
      <c r="AT8" s="349">
        <f t="shared" si="1"/>
        <v>200</v>
      </c>
      <c r="AU8" s="294"/>
      <c r="AV8" s="279">
        <v>200</v>
      </c>
      <c r="BC8" s="282">
        <f t="shared" si="2"/>
        <v>1503000</v>
      </c>
      <c r="BD8" s="427">
        <f>1%+0.18%+0.2%</f>
        <v>0.0138</v>
      </c>
      <c r="BN8" s="279">
        <v>803000</v>
      </c>
      <c r="BO8" s="279">
        <v>700000</v>
      </c>
      <c r="BW8" s="279" t="s">
        <v>205</v>
      </c>
      <c r="BX8" s="279" t="s">
        <v>206</v>
      </c>
    </row>
    <row r="9" s="279" customFormat="1" ht="47" customHeight="1" spans="1:76">
      <c r="A9" s="278">
        <v>6</v>
      </c>
      <c r="C9" s="279" t="s">
        <v>229</v>
      </c>
      <c r="D9" s="279">
        <v>20230010242</v>
      </c>
      <c r="E9" s="717" t="s">
        <v>230</v>
      </c>
      <c r="F9" s="295" t="s">
        <v>231</v>
      </c>
      <c r="G9" s="294" t="s">
        <v>232</v>
      </c>
      <c r="I9" s="295" t="s">
        <v>102</v>
      </c>
      <c r="J9" s="295" t="s">
        <v>233</v>
      </c>
      <c r="K9" s="279">
        <v>68.42</v>
      </c>
      <c r="L9" s="279">
        <v>68.42</v>
      </c>
      <c r="M9" s="279">
        <v>22500</v>
      </c>
      <c r="N9" s="318">
        <f>L9*M9</f>
        <v>1539450</v>
      </c>
      <c r="O9" s="282">
        <v>22360</v>
      </c>
      <c r="T9" s="282"/>
      <c r="V9" s="294"/>
      <c r="W9" s="294" t="s">
        <v>234</v>
      </c>
      <c r="X9" s="282">
        <v>100000</v>
      </c>
      <c r="Y9" s="279" t="s">
        <v>235</v>
      </c>
      <c r="Z9" s="279">
        <v>909450</v>
      </c>
      <c r="AA9" s="283" t="s">
        <v>236</v>
      </c>
      <c r="AB9" s="282">
        <v>530000</v>
      </c>
      <c r="AC9" s="279" t="s">
        <v>229</v>
      </c>
      <c r="AD9" s="282"/>
      <c r="AL9" s="282">
        <f t="shared" si="3"/>
        <v>1539450</v>
      </c>
      <c r="AO9" s="314">
        <f t="shared" si="0"/>
        <v>0</v>
      </c>
      <c r="AT9" s="349">
        <f t="shared" si="1"/>
        <v>500</v>
      </c>
      <c r="AU9" s="349"/>
      <c r="AV9" s="282">
        <v>200</v>
      </c>
      <c r="AW9" s="282"/>
      <c r="AX9" s="282"/>
      <c r="AY9" s="282"/>
      <c r="AZ9" s="282"/>
      <c r="BA9" s="282">
        <v>300</v>
      </c>
      <c r="BB9" s="282"/>
      <c r="BC9" s="282">
        <f t="shared" si="2"/>
        <v>1539450</v>
      </c>
      <c r="BD9" s="428">
        <f>0.9%+0.13%+0.14%</f>
        <v>0.0117</v>
      </c>
      <c r="BE9" s="282"/>
      <c r="BF9" s="282"/>
      <c r="BG9" s="282"/>
      <c r="BH9" s="282"/>
      <c r="BI9" s="282"/>
      <c r="BJ9" s="282">
        <v>1539450</v>
      </c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78"/>
      <c r="BW9" s="279" t="s">
        <v>205</v>
      </c>
      <c r="BX9" s="279" t="s">
        <v>206</v>
      </c>
    </row>
    <row r="10" s="279" customFormat="1" ht="82" customHeight="1" spans="1:76">
      <c r="A10" s="278">
        <v>7</v>
      </c>
      <c r="C10" s="331">
        <v>45200</v>
      </c>
      <c r="D10" s="279">
        <v>20230008432</v>
      </c>
      <c r="E10" s="717" t="s">
        <v>237</v>
      </c>
      <c r="F10" s="295" t="s">
        <v>238</v>
      </c>
      <c r="G10" s="294" t="s">
        <v>239</v>
      </c>
      <c r="I10" s="295" t="s">
        <v>102</v>
      </c>
      <c r="J10" s="295" t="s">
        <v>240</v>
      </c>
      <c r="K10" s="279">
        <v>68.42</v>
      </c>
      <c r="L10" s="279">
        <v>68.42</v>
      </c>
      <c r="M10" s="279">
        <v>22960.42</v>
      </c>
      <c r="N10" s="318">
        <f>L10*M10</f>
        <v>1570951.9364</v>
      </c>
      <c r="O10" s="282">
        <v>22760.42</v>
      </c>
      <c r="T10" s="282"/>
      <c r="W10" s="294" t="s">
        <v>241</v>
      </c>
      <c r="X10" s="282">
        <v>30000</v>
      </c>
      <c r="Y10" s="279" t="s">
        <v>242</v>
      </c>
      <c r="Z10" s="282">
        <v>760952</v>
      </c>
      <c r="AA10" s="279" t="s">
        <v>243</v>
      </c>
      <c r="AB10" s="282">
        <v>780000</v>
      </c>
      <c r="AC10" s="279" t="s">
        <v>244</v>
      </c>
      <c r="AD10" s="282"/>
      <c r="AL10" s="282">
        <f t="shared" si="3"/>
        <v>1570952</v>
      </c>
      <c r="AO10" s="314">
        <f t="shared" ref="AO10:AO21" si="4">N10-AL10</f>
        <v>-0.0635999999940395</v>
      </c>
      <c r="AT10" s="349">
        <f t="shared" si="1"/>
        <v>200</v>
      </c>
      <c r="AU10" s="349"/>
      <c r="AV10" s="282">
        <v>200</v>
      </c>
      <c r="AW10" s="282"/>
      <c r="AX10" s="282"/>
      <c r="AY10" s="282"/>
      <c r="AZ10" s="282"/>
      <c r="BA10" s="282"/>
      <c r="BB10" s="282"/>
      <c r="BC10" s="282">
        <f t="shared" si="2"/>
        <v>1570952</v>
      </c>
      <c r="BD10" s="428">
        <f>1%+0.18%+0.25%</f>
        <v>0.0143</v>
      </c>
      <c r="BE10" s="282"/>
      <c r="BF10" s="282"/>
      <c r="BG10" s="282"/>
      <c r="BH10" s="282"/>
      <c r="BI10" s="282"/>
      <c r="BJ10" s="282"/>
      <c r="BK10" s="282"/>
      <c r="BL10" s="282"/>
      <c r="BM10" s="282"/>
      <c r="BN10" s="282">
        <v>1570952</v>
      </c>
      <c r="BO10" s="282"/>
      <c r="BP10" s="282"/>
      <c r="BQ10" s="282"/>
      <c r="BR10" s="282"/>
      <c r="BS10" s="282"/>
      <c r="BT10" s="282"/>
      <c r="BW10" s="279" t="s">
        <v>205</v>
      </c>
      <c r="BX10" s="279" t="s">
        <v>206</v>
      </c>
    </row>
    <row r="11" s="279" customFormat="1" ht="60" customHeight="1" spans="1:76">
      <c r="A11" s="278">
        <v>8</v>
      </c>
      <c r="C11" s="279" t="s">
        <v>245</v>
      </c>
      <c r="D11" s="279">
        <v>20230009415</v>
      </c>
      <c r="E11" s="717" t="s">
        <v>246</v>
      </c>
      <c r="F11" s="295" t="s">
        <v>247</v>
      </c>
      <c r="G11" s="465" t="s">
        <v>248</v>
      </c>
      <c r="I11" s="295" t="s">
        <v>102</v>
      </c>
      <c r="J11" s="295" t="s">
        <v>249</v>
      </c>
      <c r="K11" s="279">
        <v>68.42</v>
      </c>
      <c r="L11" s="279">
        <v>68.42</v>
      </c>
      <c r="M11" s="279">
        <v>23165.74</v>
      </c>
      <c r="N11" s="318">
        <v>1585000</v>
      </c>
      <c r="O11" s="282">
        <v>22953.6</v>
      </c>
      <c r="T11" s="282"/>
      <c r="U11" s="294"/>
      <c r="V11" s="294"/>
      <c r="W11" s="294" t="s">
        <v>250</v>
      </c>
      <c r="X11" s="282">
        <v>40000</v>
      </c>
      <c r="Y11" s="294" t="s">
        <v>251</v>
      </c>
      <c r="Z11" s="282">
        <v>765000</v>
      </c>
      <c r="AA11" s="294" t="s">
        <v>245</v>
      </c>
      <c r="AB11" s="279">
        <v>780000</v>
      </c>
      <c r="AC11" s="279" t="s">
        <v>252</v>
      </c>
      <c r="AL11" s="282">
        <f t="shared" si="3"/>
        <v>1585000</v>
      </c>
      <c r="AO11" s="314">
        <f t="shared" si="4"/>
        <v>0</v>
      </c>
      <c r="AP11" s="279">
        <v>15001560586</v>
      </c>
      <c r="AT11" s="349">
        <f t="shared" si="1"/>
        <v>700</v>
      </c>
      <c r="AU11" s="349"/>
      <c r="AV11" s="282">
        <f>200+200</f>
        <v>400</v>
      </c>
      <c r="AW11" s="282"/>
      <c r="AX11" s="282"/>
      <c r="AY11" s="282"/>
      <c r="AZ11" s="282"/>
      <c r="BA11" s="282">
        <v>300</v>
      </c>
      <c r="BB11" s="282"/>
      <c r="BC11" s="282">
        <f t="shared" si="2"/>
        <v>1585000</v>
      </c>
      <c r="BD11" s="428">
        <f>1%+0.2%</f>
        <v>0.012</v>
      </c>
      <c r="BE11" s="282"/>
      <c r="BF11" s="282"/>
      <c r="BG11" s="282"/>
      <c r="BH11" s="282"/>
      <c r="BI11" s="282">
        <v>805000</v>
      </c>
      <c r="BJ11" s="282"/>
      <c r="BK11" s="282"/>
      <c r="BL11" s="282"/>
      <c r="BM11" s="282">
        <v>780000</v>
      </c>
      <c r="BN11" s="282"/>
      <c r="BO11" s="282"/>
      <c r="BP11" s="282"/>
      <c r="BQ11" s="282"/>
      <c r="BR11" s="282"/>
      <c r="BS11" s="282"/>
      <c r="BT11" s="282"/>
      <c r="BU11" s="278"/>
      <c r="BW11" s="279" t="s">
        <v>205</v>
      </c>
      <c r="BX11" s="279" t="s">
        <v>206</v>
      </c>
    </row>
    <row r="12" s="279" customFormat="1" ht="91" customHeight="1" spans="1:76">
      <c r="A12" s="278">
        <v>9</v>
      </c>
      <c r="C12" s="279" t="s">
        <v>253</v>
      </c>
      <c r="D12" s="279">
        <v>20230010496</v>
      </c>
      <c r="E12" s="717" t="s">
        <v>254</v>
      </c>
      <c r="F12" s="295" t="s">
        <v>255</v>
      </c>
      <c r="G12" s="465" t="s">
        <v>256</v>
      </c>
      <c r="I12" s="295" t="s">
        <v>102</v>
      </c>
      <c r="J12" s="295" t="s">
        <v>96</v>
      </c>
      <c r="K12" s="279">
        <v>68.42</v>
      </c>
      <c r="L12" s="279">
        <v>68.42</v>
      </c>
      <c r="M12" s="279">
        <v>23346.77</v>
      </c>
      <c r="N12" s="318">
        <f>L12*M12</f>
        <v>1597386.0034</v>
      </c>
      <c r="O12" s="282">
        <v>23146.77</v>
      </c>
      <c r="T12" s="282"/>
      <c r="V12" s="294" t="s">
        <v>257</v>
      </c>
      <c r="W12" s="294" t="s">
        <v>258</v>
      </c>
      <c r="X12" s="282">
        <v>20000</v>
      </c>
      <c r="Y12" s="294" t="s">
        <v>259</v>
      </c>
      <c r="Z12" s="282">
        <v>80000</v>
      </c>
      <c r="AA12" s="283" t="s">
        <v>260</v>
      </c>
      <c r="AB12" s="282">
        <f>1386+976000</f>
        <v>977386</v>
      </c>
      <c r="AC12" s="279" t="s">
        <v>253</v>
      </c>
      <c r="AD12" s="282">
        <v>520000</v>
      </c>
      <c r="AE12" s="279" t="s">
        <v>261</v>
      </c>
      <c r="AL12" s="282">
        <f t="shared" si="3"/>
        <v>1597386</v>
      </c>
      <c r="AO12" s="314">
        <f t="shared" si="4"/>
        <v>0.00340000004507601</v>
      </c>
      <c r="AP12" s="279">
        <v>15276275398</v>
      </c>
      <c r="AT12" s="349">
        <f t="shared" si="1"/>
        <v>700</v>
      </c>
      <c r="AU12" s="349"/>
      <c r="AV12" s="282">
        <f>200+200</f>
        <v>400</v>
      </c>
      <c r="AW12" s="282"/>
      <c r="AX12" s="282"/>
      <c r="AY12" s="282"/>
      <c r="AZ12" s="282"/>
      <c r="BA12" s="282"/>
      <c r="BB12" s="282">
        <v>300</v>
      </c>
      <c r="BC12" s="282">
        <f t="shared" si="2"/>
        <v>1597386</v>
      </c>
      <c r="BD12" s="428">
        <f t="shared" ref="BD12:BD17" si="5">1%+0.18%+0.25%</f>
        <v>0.0143</v>
      </c>
      <c r="BE12" s="282"/>
      <c r="BF12" s="282"/>
      <c r="BG12" s="282"/>
      <c r="BH12" s="282"/>
      <c r="BI12" s="282"/>
      <c r="BJ12" s="282"/>
      <c r="BK12" s="282">
        <v>1597386</v>
      </c>
      <c r="BL12" s="282"/>
      <c r="BM12" s="282"/>
      <c r="BN12" s="282"/>
      <c r="BO12" s="282"/>
      <c r="BP12" s="282"/>
      <c r="BQ12" s="282"/>
      <c r="BR12" s="282"/>
      <c r="BS12" s="282"/>
      <c r="BT12" s="282"/>
      <c r="BU12" s="278"/>
      <c r="BW12" s="279" t="s">
        <v>205</v>
      </c>
      <c r="BX12" s="279" t="s">
        <v>206</v>
      </c>
    </row>
    <row r="13" s="279" customFormat="1" customHeight="1" spans="1:76">
      <c r="A13" s="278">
        <v>10</v>
      </c>
      <c r="C13" s="279" t="s">
        <v>262</v>
      </c>
      <c r="D13" s="279">
        <v>20230008488</v>
      </c>
      <c r="E13" s="717" t="s">
        <v>263</v>
      </c>
      <c r="F13" s="295" t="s">
        <v>264</v>
      </c>
      <c r="G13" s="294" t="s">
        <v>265</v>
      </c>
      <c r="I13" s="295" t="s">
        <v>102</v>
      </c>
      <c r="J13" s="295">
        <v>10</v>
      </c>
      <c r="K13" s="279">
        <v>68.42</v>
      </c>
      <c r="L13" s="279">
        <v>68.42</v>
      </c>
      <c r="M13" s="279">
        <v>23830.765</v>
      </c>
      <c r="N13" s="318">
        <f>L13*M13</f>
        <v>1630500.9413</v>
      </c>
      <c r="O13" s="282">
        <v>23533.12</v>
      </c>
      <c r="T13" s="282"/>
      <c r="U13" s="331"/>
      <c r="V13" s="279" t="s">
        <v>266</v>
      </c>
      <c r="W13" s="279" t="s">
        <v>267</v>
      </c>
      <c r="X13" s="282">
        <v>10000</v>
      </c>
      <c r="Y13" s="331" t="s">
        <v>268</v>
      </c>
      <c r="Z13" s="282">
        <v>90000</v>
      </c>
      <c r="AA13" s="283" t="s">
        <v>269</v>
      </c>
      <c r="AB13" s="282">
        <v>930501</v>
      </c>
      <c r="AC13" s="331" t="s">
        <v>243</v>
      </c>
      <c r="AD13" s="282">
        <v>600000</v>
      </c>
      <c r="AE13" s="331" t="s">
        <v>270</v>
      </c>
      <c r="AL13" s="282">
        <f t="shared" si="3"/>
        <v>1630501</v>
      </c>
      <c r="AO13" s="314">
        <f t="shared" si="4"/>
        <v>-0.058699999935925</v>
      </c>
      <c r="AP13" s="279">
        <v>18299772946</v>
      </c>
      <c r="AT13" s="349">
        <f t="shared" si="1"/>
        <v>500</v>
      </c>
      <c r="AU13" s="349"/>
      <c r="AV13" s="282"/>
      <c r="AW13" s="282"/>
      <c r="AX13" s="282"/>
      <c r="AY13" s="282"/>
      <c r="AZ13" s="282">
        <v>200</v>
      </c>
      <c r="BA13" s="282"/>
      <c r="BB13" s="282">
        <v>300</v>
      </c>
      <c r="BC13" s="282">
        <f t="shared" si="2"/>
        <v>1630501</v>
      </c>
      <c r="BD13" s="427">
        <f t="shared" ref="BD13:BD15" si="6">1%+0.18%+0.25%</f>
        <v>0.0143</v>
      </c>
      <c r="BE13" s="282"/>
      <c r="BF13" s="282"/>
      <c r="BG13" s="282"/>
      <c r="BH13" s="282">
        <v>1030501</v>
      </c>
      <c r="BI13" s="282"/>
      <c r="BJ13" s="282">
        <v>600000</v>
      </c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78"/>
      <c r="BW13" s="279" t="s">
        <v>205</v>
      </c>
      <c r="BX13" s="279" t="s">
        <v>206</v>
      </c>
    </row>
    <row r="14" s="279" customFormat="1" customHeight="1" spans="1:76">
      <c r="A14" s="278">
        <v>11</v>
      </c>
      <c r="C14" s="331">
        <v>45201</v>
      </c>
      <c r="D14" s="279">
        <v>20230008484</v>
      </c>
      <c r="E14" s="717" t="s">
        <v>271</v>
      </c>
      <c r="F14" s="369" t="s">
        <v>272</v>
      </c>
      <c r="G14" s="294" t="s">
        <v>273</v>
      </c>
      <c r="I14" s="295" t="s">
        <v>102</v>
      </c>
      <c r="J14" s="295">
        <v>11</v>
      </c>
      <c r="K14" s="279">
        <v>98.74</v>
      </c>
      <c r="L14" s="279">
        <v>98.74</v>
      </c>
      <c r="M14" s="279">
        <v>23801.69</v>
      </c>
      <c r="N14" s="318">
        <f>L14*M14</f>
        <v>2350178.8706</v>
      </c>
      <c r="O14" s="282">
        <v>23500</v>
      </c>
      <c r="T14" s="282"/>
      <c r="U14" s="331"/>
      <c r="V14" s="330" t="s">
        <v>274</v>
      </c>
      <c r="W14" s="330" t="s">
        <v>275</v>
      </c>
      <c r="X14" s="282">
        <f>10000</f>
        <v>10000</v>
      </c>
      <c r="Y14" s="330" t="s">
        <v>268</v>
      </c>
      <c r="Z14" s="282">
        <v>90000</v>
      </c>
      <c r="AA14" s="283" t="s">
        <v>269</v>
      </c>
      <c r="AB14" s="282">
        <v>1100179</v>
      </c>
      <c r="AC14" s="331" t="s">
        <v>243</v>
      </c>
      <c r="AD14" s="282">
        <v>1150000</v>
      </c>
      <c r="AE14" s="331" t="s">
        <v>270</v>
      </c>
      <c r="AL14" s="282">
        <f t="shared" si="3"/>
        <v>2350179</v>
      </c>
      <c r="AO14" s="314">
        <f t="shared" si="4"/>
        <v>-0.129399999976158</v>
      </c>
      <c r="AP14" s="279">
        <v>15235158196</v>
      </c>
      <c r="AT14" s="349">
        <f t="shared" si="1"/>
        <v>1000</v>
      </c>
      <c r="AU14" s="349">
        <v>200</v>
      </c>
      <c r="AV14" s="282"/>
      <c r="AW14" s="282"/>
      <c r="AX14" s="282"/>
      <c r="AY14" s="282"/>
      <c r="AZ14" s="282">
        <v>200</v>
      </c>
      <c r="BA14" s="282">
        <v>300</v>
      </c>
      <c r="BB14" s="282">
        <v>300</v>
      </c>
      <c r="BC14" s="282">
        <f t="shared" si="2"/>
        <v>2350179</v>
      </c>
      <c r="BD14" s="427">
        <f t="shared" si="6"/>
        <v>0.0143</v>
      </c>
      <c r="BE14" s="282"/>
      <c r="BF14" s="282"/>
      <c r="BG14" s="282"/>
      <c r="BH14" s="282">
        <v>1200179</v>
      </c>
      <c r="BI14" s="282"/>
      <c r="BJ14" s="282">
        <v>1150000</v>
      </c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78"/>
      <c r="BW14" s="279" t="s">
        <v>205</v>
      </c>
      <c r="BX14" s="279" t="s">
        <v>206</v>
      </c>
    </row>
    <row r="15" s="279" customFormat="1" ht="40" customHeight="1" spans="1:76">
      <c r="A15" s="278">
        <v>12</v>
      </c>
      <c r="C15" s="279" t="s">
        <v>262</v>
      </c>
      <c r="D15" s="279">
        <v>20230008510</v>
      </c>
      <c r="F15" s="295" t="s">
        <v>276</v>
      </c>
      <c r="G15" s="294" t="s">
        <v>277</v>
      </c>
      <c r="I15" s="295" t="s">
        <v>102</v>
      </c>
      <c r="J15" s="295">
        <v>12</v>
      </c>
      <c r="K15" s="279">
        <v>146.3</v>
      </c>
      <c r="L15" s="279">
        <v>146.3</v>
      </c>
      <c r="M15" s="279">
        <v>26000</v>
      </c>
      <c r="N15" s="318">
        <f>L15*M15</f>
        <v>3803800</v>
      </c>
      <c r="O15" s="282">
        <v>25800</v>
      </c>
      <c r="T15" s="282"/>
      <c r="U15" s="330"/>
      <c r="V15" s="330" t="s">
        <v>278</v>
      </c>
      <c r="W15" s="330" t="s">
        <v>279</v>
      </c>
      <c r="X15" s="282">
        <v>100000</v>
      </c>
      <c r="Y15" s="283" t="s">
        <v>269</v>
      </c>
      <c r="Z15" s="282">
        <f>5000+5000+5000+5000</f>
        <v>20000</v>
      </c>
      <c r="AA15" s="330">
        <v>44751</v>
      </c>
      <c r="AB15" s="282">
        <v>633800</v>
      </c>
      <c r="AC15" s="330" t="s">
        <v>243</v>
      </c>
      <c r="AD15" s="282">
        <v>1150000</v>
      </c>
      <c r="AE15" s="330" t="s">
        <v>280</v>
      </c>
      <c r="AF15" s="282">
        <v>500000</v>
      </c>
      <c r="AG15" s="330" t="s">
        <v>281</v>
      </c>
      <c r="AH15" s="282">
        <v>200000</v>
      </c>
      <c r="AI15" s="330" t="s">
        <v>282</v>
      </c>
      <c r="AL15" s="282">
        <f t="shared" si="3"/>
        <v>2603800</v>
      </c>
      <c r="AO15" s="314">
        <f t="shared" si="4"/>
        <v>1200000</v>
      </c>
      <c r="AT15" s="349">
        <f t="shared" si="1"/>
        <v>1100</v>
      </c>
      <c r="AU15" s="349">
        <f>200</f>
        <v>200</v>
      </c>
      <c r="AV15" s="282">
        <f>200+200</f>
        <v>400</v>
      </c>
      <c r="AW15" s="282">
        <v>200</v>
      </c>
      <c r="AX15" s="282"/>
      <c r="AY15" s="282"/>
      <c r="AZ15" s="282"/>
      <c r="BA15" s="282"/>
      <c r="BB15" s="282">
        <v>300</v>
      </c>
      <c r="BC15" s="282">
        <f t="shared" si="2"/>
        <v>0</v>
      </c>
      <c r="BD15" s="427">
        <f t="shared" si="6"/>
        <v>0.0143</v>
      </c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78"/>
      <c r="BW15" s="279" t="s">
        <v>205</v>
      </c>
      <c r="BX15" s="279" t="s">
        <v>206</v>
      </c>
    </row>
    <row r="16" s="279" customFormat="1" customHeight="1" spans="1:76">
      <c r="A16" s="278">
        <v>13</v>
      </c>
      <c r="C16" s="279" t="s">
        <v>283</v>
      </c>
      <c r="D16" s="279">
        <v>2024000115</v>
      </c>
      <c r="F16" s="295" t="s">
        <v>284</v>
      </c>
      <c r="G16" s="466" t="s">
        <v>285</v>
      </c>
      <c r="I16" s="295" t="s">
        <v>95</v>
      </c>
      <c r="J16" s="295" t="s">
        <v>194</v>
      </c>
      <c r="K16" s="279">
        <v>85.66</v>
      </c>
      <c r="L16" s="279">
        <v>85.66</v>
      </c>
      <c r="M16" s="279">
        <v>9777</v>
      </c>
      <c r="N16" s="318">
        <v>837500</v>
      </c>
      <c r="O16" s="282">
        <v>9538.71</v>
      </c>
      <c r="T16" s="282"/>
      <c r="V16" s="294"/>
      <c r="W16" s="294" t="s">
        <v>217</v>
      </c>
      <c r="X16" s="282">
        <v>35000</v>
      </c>
      <c r="Y16" s="279" t="s">
        <v>286</v>
      </c>
      <c r="Z16" s="279">
        <v>802500</v>
      </c>
      <c r="AA16" s="283" t="s">
        <v>286</v>
      </c>
      <c r="AC16" s="283"/>
      <c r="AL16" s="282">
        <f t="shared" si="3"/>
        <v>837500</v>
      </c>
      <c r="AO16" s="314">
        <f t="shared" si="4"/>
        <v>0</v>
      </c>
      <c r="AP16" s="279">
        <v>13031235925</v>
      </c>
      <c r="AT16" s="349">
        <f t="shared" si="1"/>
        <v>200</v>
      </c>
      <c r="AU16" s="349"/>
      <c r="AV16" s="282"/>
      <c r="AW16" s="282"/>
      <c r="AX16" s="282"/>
      <c r="AY16" s="282">
        <v>200</v>
      </c>
      <c r="AZ16" s="282"/>
      <c r="BA16" s="282"/>
      <c r="BB16" s="282"/>
      <c r="BC16" s="282">
        <f t="shared" si="2"/>
        <v>837500</v>
      </c>
      <c r="BD16" s="428">
        <f t="shared" si="5"/>
        <v>0.0143</v>
      </c>
      <c r="BE16" s="282"/>
      <c r="BF16" s="282"/>
      <c r="BG16" s="282"/>
      <c r="BH16" s="282"/>
      <c r="BI16" s="282"/>
      <c r="BJ16" s="282"/>
      <c r="BK16" s="282"/>
      <c r="BL16" s="282"/>
      <c r="BM16" s="282">
        <v>837500</v>
      </c>
      <c r="BN16" s="282"/>
      <c r="BO16" s="282"/>
      <c r="BP16" s="282"/>
      <c r="BQ16" s="282"/>
      <c r="BR16" s="282"/>
      <c r="BS16" s="282"/>
      <c r="BT16" s="282"/>
      <c r="BU16" s="278"/>
      <c r="BW16" s="279" t="s">
        <v>205</v>
      </c>
      <c r="BX16" s="279" t="s">
        <v>206</v>
      </c>
    </row>
    <row r="17" s="279" customFormat="1" customHeight="1" spans="1:76">
      <c r="A17" s="278">
        <v>14</v>
      </c>
      <c r="C17" s="279" t="s">
        <v>283</v>
      </c>
      <c r="D17" s="279">
        <v>2024000116</v>
      </c>
      <c r="F17" s="295" t="s">
        <v>284</v>
      </c>
      <c r="G17" s="466" t="s">
        <v>285</v>
      </c>
      <c r="I17" s="295" t="s">
        <v>95</v>
      </c>
      <c r="J17" s="295" t="s">
        <v>200</v>
      </c>
      <c r="K17" s="279">
        <v>85.66</v>
      </c>
      <c r="L17" s="279">
        <v>85.66</v>
      </c>
      <c r="M17" s="279">
        <v>9777</v>
      </c>
      <c r="N17" s="318">
        <v>837500</v>
      </c>
      <c r="O17" s="282">
        <v>9612.99</v>
      </c>
      <c r="T17" s="282"/>
      <c r="V17" s="294"/>
      <c r="W17" s="294" t="s">
        <v>217</v>
      </c>
      <c r="X17" s="282">
        <v>40000</v>
      </c>
      <c r="Y17" s="279" t="s">
        <v>286</v>
      </c>
      <c r="Z17" s="279">
        <v>797500</v>
      </c>
      <c r="AA17" s="283" t="s">
        <v>283</v>
      </c>
      <c r="AC17" s="283"/>
      <c r="AL17" s="282">
        <f t="shared" si="3"/>
        <v>837500</v>
      </c>
      <c r="AO17" s="314">
        <f t="shared" si="4"/>
        <v>0</v>
      </c>
      <c r="AP17" s="279">
        <v>13031235925</v>
      </c>
      <c r="AT17" s="349">
        <f t="shared" si="1"/>
        <v>200</v>
      </c>
      <c r="AU17" s="349"/>
      <c r="AV17" s="282"/>
      <c r="AW17" s="282"/>
      <c r="AX17" s="282"/>
      <c r="AY17" s="282">
        <v>200</v>
      </c>
      <c r="AZ17" s="282"/>
      <c r="BA17" s="282"/>
      <c r="BB17" s="282"/>
      <c r="BC17" s="282">
        <f t="shared" si="2"/>
        <v>837500</v>
      </c>
      <c r="BD17" s="428">
        <f t="shared" si="5"/>
        <v>0.0143</v>
      </c>
      <c r="BE17" s="282"/>
      <c r="BF17" s="282"/>
      <c r="BG17" s="282"/>
      <c r="BH17" s="282"/>
      <c r="BI17" s="282"/>
      <c r="BJ17" s="282"/>
      <c r="BK17" s="282"/>
      <c r="BL17" s="282"/>
      <c r="BM17" s="282">
        <v>837500</v>
      </c>
      <c r="BN17" s="282"/>
      <c r="BO17" s="282"/>
      <c r="BP17" s="282"/>
      <c r="BQ17" s="282"/>
      <c r="BR17" s="282"/>
      <c r="BS17" s="282"/>
      <c r="BT17" s="282"/>
      <c r="BU17" s="278"/>
      <c r="BW17" s="279" t="s">
        <v>205</v>
      </c>
      <c r="BX17" s="279" t="s">
        <v>206</v>
      </c>
    </row>
    <row r="18" s="279" customFormat="1" customHeight="1" spans="1:55">
      <c r="A18" s="279">
        <v>15</v>
      </c>
      <c r="B18" s="279">
        <v>1</v>
      </c>
      <c r="C18" s="279"/>
      <c r="D18" s="279"/>
      <c r="E18" s="717" t="s">
        <v>287</v>
      </c>
      <c r="F18" s="295" t="s">
        <v>288</v>
      </c>
      <c r="G18" s="279" t="s">
        <v>289</v>
      </c>
      <c r="I18" s="295" t="s">
        <v>95</v>
      </c>
      <c r="J18" s="295" t="s">
        <v>210</v>
      </c>
      <c r="K18" s="279">
        <v>140.95</v>
      </c>
      <c r="L18" s="279">
        <v>140.95</v>
      </c>
      <c r="M18" s="279">
        <v>9252.7</v>
      </c>
      <c r="N18" s="282">
        <v>1304168</v>
      </c>
      <c r="O18" s="282">
        <v>8790.78</v>
      </c>
      <c r="T18" s="282">
        <v>50000</v>
      </c>
      <c r="U18" s="279" t="s">
        <v>290</v>
      </c>
      <c r="W18" s="279" t="s">
        <v>291</v>
      </c>
      <c r="X18" s="282">
        <v>50000</v>
      </c>
      <c r="Y18" s="279" t="s">
        <v>290</v>
      </c>
      <c r="Z18" s="282"/>
      <c r="AA18" s="283"/>
      <c r="AC18" s="283"/>
      <c r="AL18" s="282">
        <f t="shared" si="3"/>
        <v>50000</v>
      </c>
      <c r="AO18" s="314">
        <f t="shared" si="4"/>
        <v>1254168</v>
      </c>
      <c r="AP18" s="279">
        <v>18083992128</v>
      </c>
      <c r="AT18" s="349">
        <f t="shared" si="1"/>
        <v>0</v>
      </c>
      <c r="AU18" s="294"/>
      <c r="BC18" s="282">
        <f t="shared" si="2"/>
        <v>0</v>
      </c>
    </row>
    <row r="19" s="279" customFormat="1" customHeight="1" spans="1:55">
      <c r="A19" s="279">
        <v>16</v>
      </c>
      <c r="B19" s="279">
        <v>1</v>
      </c>
      <c r="E19" s="717" t="s">
        <v>292</v>
      </c>
      <c r="F19" s="295" t="s">
        <v>288</v>
      </c>
      <c r="G19" s="279" t="s">
        <v>289</v>
      </c>
      <c r="I19" s="295" t="s">
        <v>95</v>
      </c>
      <c r="J19" s="295" t="s">
        <v>216</v>
      </c>
      <c r="K19" s="279">
        <v>85.66</v>
      </c>
      <c r="L19" s="279">
        <v>85.66</v>
      </c>
      <c r="M19" s="279">
        <v>10224.52</v>
      </c>
      <c r="N19" s="282">
        <v>875832</v>
      </c>
      <c r="O19" s="282">
        <v>9762.52</v>
      </c>
      <c r="T19" s="282">
        <v>50000</v>
      </c>
      <c r="U19" s="279" t="s">
        <v>290</v>
      </c>
      <c r="W19" s="279" t="s">
        <v>291</v>
      </c>
      <c r="X19" s="282">
        <v>50000</v>
      </c>
      <c r="Y19" s="279" t="s">
        <v>290</v>
      </c>
      <c r="Z19" s="282"/>
      <c r="AA19" s="283"/>
      <c r="AC19" s="283"/>
      <c r="AL19" s="282">
        <f t="shared" si="3"/>
        <v>50000</v>
      </c>
      <c r="AO19" s="314">
        <f t="shared" si="4"/>
        <v>825832</v>
      </c>
      <c r="AP19" s="279">
        <v>18083992128</v>
      </c>
      <c r="AT19" s="349">
        <f t="shared" si="1"/>
        <v>0</v>
      </c>
      <c r="AU19" s="294"/>
      <c r="BC19" s="282">
        <f t="shared" si="2"/>
        <v>0</v>
      </c>
    </row>
    <row r="20" s="279" customFormat="1" customHeight="1" spans="1:55">
      <c r="A20" s="279">
        <v>17</v>
      </c>
      <c r="B20" s="279">
        <v>1</v>
      </c>
      <c r="C20" s="279" t="s">
        <v>293</v>
      </c>
      <c r="D20" s="279">
        <v>20240006442</v>
      </c>
      <c r="E20" s="717" t="s">
        <v>294</v>
      </c>
      <c r="F20" s="717" t="s">
        <v>295</v>
      </c>
      <c r="G20" s="279" t="s">
        <v>296</v>
      </c>
      <c r="I20" s="295" t="s">
        <v>95</v>
      </c>
      <c r="J20" s="295" t="s">
        <v>225</v>
      </c>
      <c r="K20" s="279">
        <v>85.66</v>
      </c>
      <c r="L20" s="279">
        <v>85.66</v>
      </c>
      <c r="M20" s="279">
        <v>9600</v>
      </c>
      <c r="N20" s="282">
        <v>822336</v>
      </c>
      <c r="O20" s="282">
        <v>9837.28</v>
      </c>
      <c r="P20" s="279" t="s">
        <v>195</v>
      </c>
      <c r="T20" s="282">
        <v>10000</v>
      </c>
      <c r="U20" s="279" t="s">
        <v>297</v>
      </c>
      <c r="W20" s="279" t="s">
        <v>298</v>
      </c>
      <c r="X20" s="282">
        <v>10000</v>
      </c>
      <c r="Y20" s="279" t="s">
        <v>297</v>
      </c>
      <c r="Z20" s="282"/>
      <c r="AA20" s="283"/>
      <c r="AC20" s="283"/>
      <c r="AL20" s="282">
        <f t="shared" si="3"/>
        <v>10000</v>
      </c>
      <c r="AO20" s="314">
        <f t="shared" si="4"/>
        <v>812336</v>
      </c>
      <c r="AP20" s="279">
        <v>18799857500</v>
      </c>
      <c r="AT20" s="349">
        <f t="shared" si="1"/>
        <v>0</v>
      </c>
      <c r="AU20" s="294"/>
      <c r="BC20" s="282">
        <f t="shared" si="2"/>
        <v>0</v>
      </c>
    </row>
    <row r="21" s="279" customFormat="1" customHeight="1" spans="1:55">
      <c r="A21" s="279">
        <v>18</v>
      </c>
      <c r="B21" s="279">
        <v>1</v>
      </c>
      <c r="C21" s="279" t="s">
        <v>299</v>
      </c>
      <c r="D21" s="279">
        <v>20240006451</v>
      </c>
      <c r="E21" s="717" t="s">
        <v>300</v>
      </c>
      <c r="F21" s="717" t="s">
        <v>295</v>
      </c>
      <c r="G21" s="279" t="s">
        <v>296</v>
      </c>
      <c r="I21" s="295" t="s">
        <v>95</v>
      </c>
      <c r="J21" s="295" t="s">
        <v>233</v>
      </c>
      <c r="K21" s="279">
        <v>85.66</v>
      </c>
      <c r="L21" s="279">
        <v>85.66</v>
      </c>
      <c r="M21" s="279">
        <v>9600</v>
      </c>
      <c r="N21" s="282">
        <v>822336</v>
      </c>
      <c r="O21" s="282">
        <v>9912.04</v>
      </c>
      <c r="P21" s="279" t="s">
        <v>195</v>
      </c>
      <c r="T21" s="282">
        <v>10000</v>
      </c>
      <c r="U21" s="279" t="s">
        <v>297</v>
      </c>
      <c r="W21" s="279" t="s">
        <v>298</v>
      </c>
      <c r="X21" s="282">
        <v>10000</v>
      </c>
      <c r="Y21" s="279" t="s">
        <v>297</v>
      </c>
      <c r="Z21" s="282"/>
      <c r="AA21" s="283"/>
      <c r="AC21" s="283"/>
      <c r="AL21" s="282">
        <f t="shared" si="3"/>
        <v>10000</v>
      </c>
      <c r="AO21" s="314">
        <f t="shared" si="4"/>
        <v>812336</v>
      </c>
      <c r="AP21" s="279">
        <v>18799857500</v>
      </c>
      <c r="AT21" s="349">
        <f t="shared" si="1"/>
        <v>0</v>
      </c>
      <c r="AU21" s="294"/>
      <c r="BC21" s="282">
        <f t="shared" si="2"/>
        <v>0</v>
      </c>
    </row>
    <row r="22" s="278" customFormat="1" customHeight="1" spans="1:55">
      <c r="A22" s="278">
        <v>19</v>
      </c>
      <c r="F22" s="367"/>
      <c r="I22" s="367" t="s">
        <v>95</v>
      </c>
      <c r="J22" s="367" t="s">
        <v>240</v>
      </c>
      <c r="K22" s="278">
        <v>85.66</v>
      </c>
      <c r="N22" s="103"/>
      <c r="O22" s="103">
        <v>9986.8</v>
      </c>
      <c r="T22" s="103"/>
      <c r="X22" s="103"/>
      <c r="Z22" s="103"/>
      <c r="AA22" s="311"/>
      <c r="AC22" s="311"/>
      <c r="AL22" s="103">
        <f t="shared" si="3"/>
        <v>0</v>
      </c>
      <c r="AO22" s="478"/>
      <c r="AT22" s="348">
        <f t="shared" si="1"/>
        <v>0</v>
      </c>
      <c r="AU22" s="293"/>
      <c r="BC22" s="103">
        <f t="shared" si="2"/>
        <v>0</v>
      </c>
    </row>
    <row r="23" s="279" customFormat="1" customHeight="1" spans="1:56">
      <c r="A23" s="279">
        <v>20</v>
      </c>
      <c r="B23" s="279"/>
      <c r="C23" s="279" t="s">
        <v>290</v>
      </c>
      <c r="D23" s="279">
        <v>20240006011</v>
      </c>
      <c r="E23" s="717" t="s">
        <v>301</v>
      </c>
      <c r="F23" s="295" t="s">
        <v>93</v>
      </c>
      <c r="G23" s="279" t="s">
        <v>94</v>
      </c>
      <c r="I23" s="295" t="s">
        <v>95</v>
      </c>
      <c r="J23" s="295" t="s">
        <v>249</v>
      </c>
      <c r="K23" s="279">
        <v>85.66</v>
      </c>
      <c r="L23" s="279">
        <v>85.66</v>
      </c>
      <c r="M23" s="279">
        <v>9922.95</v>
      </c>
      <c r="N23" s="282">
        <v>850000</v>
      </c>
      <c r="O23" s="282">
        <v>10061.56</v>
      </c>
      <c r="P23" s="279" t="s">
        <v>195</v>
      </c>
      <c r="T23" s="282">
        <f>435000+45000+345000</f>
        <v>825000</v>
      </c>
      <c r="U23" s="279" t="s">
        <v>91</v>
      </c>
      <c r="W23" s="279" t="s">
        <v>226</v>
      </c>
      <c r="X23" s="282">
        <f>25000</f>
        <v>25000</v>
      </c>
      <c r="Y23" s="279" t="s">
        <v>302</v>
      </c>
      <c r="Z23" s="282">
        <v>45000</v>
      </c>
      <c r="AA23" s="279" t="s">
        <v>91</v>
      </c>
      <c r="AB23" s="279">
        <v>435000</v>
      </c>
      <c r="AC23" s="283" t="s">
        <v>290</v>
      </c>
      <c r="AD23" s="279">
        <v>345000</v>
      </c>
      <c r="AE23" s="279" t="s">
        <v>303</v>
      </c>
      <c r="AL23" s="282">
        <f t="shared" si="3"/>
        <v>850000</v>
      </c>
      <c r="AO23" s="314">
        <f>N23-AL23</f>
        <v>0</v>
      </c>
      <c r="AP23" s="279">
        <v>18106415251</v>
      </c>
      <c r="AT23" s="349">
        <f t="shared" si="1"/>
        <v>0</v>
      </c>
      <c r="AU23" s="294"/>
      <c r="BC23" s="282">
        <f t="shared" si="2"/>
        <v>0</v>
      </c>
      <c r="BD23" s="427">
        <f>1%+0.2%</f>
        <v>0.012</v>
      </c>
    </row>
    <row r="24" s="279" customFormat="1" customHeight="1" spans="1:56">
      <c r="A24" s="279">
        <v>21</v>
      </c>
      <c r="B24" s="279"/>
      <c r="C24" s="279" t="s">
        <v>91</v>
      </c>
      <c r="D24" s="279">
        <v>20240005853</v>
      </c>
      <c r="E24" s="717" t="s">
        <v>92</v>
      </c>
      <c r="F24" s="295" t="s">
        <v>93</v>
      </c>
      <c r="G24" s="279" t="s">
        <v>94</v>
      </c>
      <c r="I24" s="295" t="s">
        <v>95</v>
      </c>
      <c r="J24" s="295" t="s">
        <v>96</v>
      </c>
      <c r="K24" s="279">
        <v>85.66</v>
      </c>
      <c r="L24" s="279">
        <v>85.66</v>
      </c>
      <c r="M24" s="279">
        <v>9922.95</v>
      </c>
      <c r="N24" s="282">
        <v>850000</v>
      </c>
      <c r="O24" s="282">
        <v>10086</v>
      </c>
      <c r="P24" s="279" t="s">
        <v>195</v>
      </c>
      <c r="Q24" s="279">
        <v>779816.51</v>
      </c>
      <c r="R24" s="717" t="s">
        <v>97</v>
      </c>
      <c r="S24" s="474">
        <v>45582</v>
      </c>
      <c r="T24" s="282">
        <f>125000+225000+425000</f>
        <v>775000</v>
      </c>
      <c r="U24" s="279" t="s">
        <v>98</v>
      </c>
      <c r="W24" s="279" t="s">
        <v>226</v>
      </c>
      <c r="X24" s="282">
        <f>25000+50000</f>
        <v>75000</v>
      </c>
      <c r="Y24" s="279" t="s">
        <v>302</v>
      </c>
      <c r="Z24" s="282">
        <v>225000</v>
      </c>
      <c r="AA24" s="279" t="s">
        <v>98</v>
      </c>
      <c r="AB24" s="279">
        <v>125000</v>
      </c>
      <c r="AC24" s="283" t="s">
        <v>91</v>
      </c>
      <c r="AD24" s="279">
        <v>425000</v>
      </c>
      <c r="AE24" s="279" t="s">
        <v>303</v>
      </c>
      <c r="AL24" s="282">
        <f t="shared" si="3"/>
        <v>850000</v>
      </c>
      <c r="AO24" s="314">
        <f>N24-AL24</f>
        <v>0</v>
      </c>
      <c r="AP24" s="279">
        <v>18106415251</v>
      </c>
      <c r="AT24" s="349">
        <f t="shared" si="1"/>
        <v>0</v>
      </c>
      <c r="AU24" s="294"/>
      <c r="BC24" s="282">
        <f t="shared" si="2"/>
        <v>0</v>
      </c>
      <c r="BD24" s="427">
        <f>1%+0.2%</f>
        <v>0.012</v>
      </c>
    </row>
    <row r="25" s="278" customFormat="1" customHeight="1" spans="1:55">
      <c r="A25" s="278">
        <v>22</v>
      </c>
      <c r="F25" s="367"/>
      <c r="I25" s="367" t="s">
        <v>95</v>
      </c>
      <c r="J25" s="367">
        <v>10</v>
      </c>
      <c r="K25" s="278">
        <v>85.66</v>
      </c>
      <c r="N25" s="103"/>
      <c r="O25" s="103">
        <v>10116</v>
      </c>
      <c r="T25" s="103"/>
      <c r="X25" s="103"/>
      <c r="Z25" s="103"/>
      <c r="AA25" s="311"/>
      <c r="AC25" s="311"/>
      <c r="AL25" s="103">
        <f t="shared" si="3"/>
        <v>0</v>
      </c>
      <c r="AO25" s="478"/>
      <c r="AT25" s="348">
        <f t="shared" si="1"/>
        <v>0</v>
      </c>
      <c r="AU25" s="293"/>
      <c r="BC25" s="103">
        <f t="shared" si="2"/>
        <v>0</v>
      </c>
    </row>
    <row r="26" s="278" customFormat="1" customHeight="1" spans="1:55">
      <c r="A26" s="278">
        <v>23</v>
      </c>
      <c r="F26" s="367"/>
      <c r="I26" s="367" t="s">
        <v>95</v>
      </c>
      <c r="J26" s="367">
        <v>11</v>
      </c>
      <c r="K26" s="278">
        <v>306.78</v>
      </c>
      <c r="N26" s="103"/>
      <c r="O26" s="103">
        <v>9957</v>
      </c>
      <c r="T26" s="103"/>
      <c r="X26" s="103"/>
      <c r="Z26" s="103"/>
      <c r="AA26" s="311"/>
      <c r="AC26" s="311"/>
      <c r="AL26" s="103">
        <f t="shared" si="3"/>
        <v>0</v>
      </c>
      <c r="AO26" s="478"/>
      <c r="AT26" s="348">
        <f t="shared" si="1"/>
        <v>0</v>
      </c>
      <c r="AU26" s="293"/>
      <c r="BC26" s="103">
        <f t="shared" si="2"/>
        <v>0</v>
      </c>
    </row>
    <row r="27" s="278" customFormat="1" customHeight="1" spans="6:55">
      <c r="F27" s="367"/>
      <c r="H27" s="131" t="s">
        <v>304</v>
      </c>
      <c r="I27" s="367" t="s">
        <v>305</v>
      </c>
      <c r="J27" s="367" t="s">
        <v>306</v>
      </c>
      <c r="K27" s="278">
        <v>976.47</v>
      </c>
      <c r="N27" s="103"/>
      <c r="O27" s="103">
        <v>4550</v>
      </c>
      <c r="T27" s="103"/>
      <c r="X27" s="103"/>
      <c r="Z27" s="103"/>
      <c r="AA27" s="311"/>
      <c r="AC27" s="311"/>
      <c r="AL27" s="103"/>
      <c r="AO27" s="478"/>
      <c r="AT27" s="348"/>
      <c r="AU27" s="293"/>
      <c r="BC27" s="103"/>
    </row>
    <row r="28" s="278" customFormat="1" customHeight="1" spans="6:55">
      <c r="F28" s="367"/>
      <c r="G28" s="278" t="s">
        <v>307</v>
      </c>
      <c r="H28" s="131"/>
      <c r="I28" s="367" t="s">
        <v>305</v>
      </c>
      <c r="J28" s="367" t="s">
        <v>308</v>
      </c>
      <c r="K28" s="278">
        <v>524.4</v>
      </c>
      <c r="M28" s="174" t="s">
        <v>309</v>
      </c>
      <c r="N28" s="103"/>
      <c r="O28" s="103"/>
      <c r="T28" s="103"/>
      <c r="X28" s="103"/>
      <c r="Z28" s="103"/>
      <c r="AA28" s="311"/>
      <c r="AC28" s="311"/>
      <c r="AL28" s="103"/>
      <c r="AO28" s="478"/>
      <c r="AT28" s="348"/>
      <c r="AU28" s="293"/>
      <c r="BC28" s="103"/>
    </row>
    <row r="29" s="278" customFormat="1" customHeight="1" spans="6:55">
      <c r="F29" s="367"/>
      <c r="G29" s="278" t="s">
        <v>310</v>
      </c>
      <c r="H29" s="131"/>
      <c r="I29" s="367" t="s">
        <v>305</v>
      </c>
      <c r="J29" s="367" t="s">
        <v>311</v>
      </c>
      <c r="K29" s="278">
        <v>152.79</v>
      </c>
      <c r="M29" s="174"/>
      <c r="N29" s="103"/>
      <c r="O29" s="103"/>
      <c r="T29" s="103"/>
      <c r="X29" s="103"/>
      <c r="Z29" s="103"/>
      <c r="AA29" s="311"/>
      <c r="AC29" s="311"/>
      <c r="AL29" s="103"/>
      <c r="AO29" s="478"/>
      <c r="AT29" s="348"/>
      <c r="AU29" s="293"/>
      <c r="BC29" s="103"/>
    </row>
    <row r="30" s="278" customFormat="1" customHeight="1" spans="6:55">
      <c r="F30" s="367"/>
      <c r="G30" s="278" t="s">
        <v>312</v>
      </c>
      <c r="H30" s="131"/>
      <c r="I30" s="367" t="s">
        <v>305</v>
      </c>
      <c r="J30" s="367" t="s">
        <v>313</v>
      </c>
      <c r="K30" s="278">
        <v>15.25</v>
      </c>
      <c r="M30" s="174"/>
      <c r="N30" s="103"/>
      <c r="O30" s="103"/>
      <c r="T30" s="103"/>
      <c r="X30" s="103"/>
      <c r="Z30" s="103"/>
      <c r="AA30" s="311"/>
      <c r="AC30" s="311"/>
      <c r="AL30" s="103"/>
      <c r="AO30" s="478"/>
      <c r="AT30" s="348"/>
      <c r="AU30" s="293"/>
      <c r="BC30" s="103"/>
    </row>
    <row r="31" s="278" customFormat="1" customHeight="1" spans="6:55">
      <c r="F31" s="367"/>
      <c r="G31" s="278" t="s">
        <v>314</v>
      </c>
      <c r="H31" s="131"/>
      <c r="I31" s="367" t="s">
        <v>305</v>
      </c>
      <c r="J31" s="367" t="s">
        <v>315</v>
      </c>
      <c r="K31" s="278">
        <v>16.01</v>
      </c>
      <c r="M31" s="174"/>
      <c r="N31" s="103"/>
      <c r="O31" s="103"/>
      <c r="T31" s="103"/>
      <c r="X31" s="103"/>
      <c r="Z31" s="103"/>
      <c r="AA31" s="311"/>
      <c r="AC31" s="311"/>
      <c r="AL31" s="103"/>
      <c r="AO31" s="478"/>
      <c r="AT31" s="348"/>
      <c r="AU31" s="293"/>
      <c r="BC31" s="103"/>
    </row>
    <row r="32" s="279" customFormat="1" ht="75" customHeight="1" spans="1:75">
      <c r="A32" s="278">
        <v>24</v>
      </c>
      <c r="C32" s="331">
        <v>45524</v>
      </c>
      <c r="D32" s="279">
        <v>20240004769</v>
      </c>
      <c r="E32" s="717" t="s">
        <v>316</v>
      </c>
      <c r="F32" s="369" t="s">
        <v>317</v>
      </c>
      <c r="G32" s="294" t="s">
        <v>318</v>
      </c>
      <c r="H32" s="131"/>
      <c r="I32" s="279" t="s">
        <v>102</v>
      </c>
      <c r="J32" s="279">
        <v>1</v>
      </c>
      <c r="K32" s="279">
        <v>106.72</v>
      </c>
      <c r="L32" s="279">
        <v>106.72</v>
      </c>
      <c r="M32" s="279">
        <f>N32/L32</f>
        <v>26567.6536731634</v>
      </c>
      <c r="N32" s="318">
        <v>2835300</v>
      </c>
      <c r="O32" s="282">
        <v>26000</v>
      </c>
      <c r="T32" s="282"/>
      <c r="U32" s="330"/>
      <c r="V32" s="330"/>
      <c r="W32" s="330" t="s">
        <v>211</v>
      </c>
      <c r="X32" s="282">
        <v>50000</v>
      </c>
      <c r="Y32" s="330" t="s">
        <v>319</v>
      </c>
      <c r="Z32" s="282">
        <v>1785300</v>
      </c>
      <c r="AA32" s="330" t="s">
        <v>320</v>
      </c>
      <c r="AC32" s="283"/>
      <c r="AL32" s="282">
        <f t="shared" ref="AL32:AL53" si="7">X32+Z32+AB32+AD32+AF32+AH32+AJ32</f>
        <v>1835300</v>
      </c>
      <c r="AO32" s="314">
        <f t="shared" ref="AO32:AO37" si="8">N32-AL32</f>
        <v>1000000</v>
      </c>
      <c r="AP32" s="294">
        <v>15099260585</v>
      </c>
      <c r="AT32" s="349">
        <f t="shared" ref="AT32:AT41" si="9">AU32+AV32+AW32+AX32+AY32+AZ32+BA32+BB32</f>
        <v>800</v>
      </c>
      <c r="AU32" s="349">
        <f>200+200+200</f>
        <v>600</v>
      </c>
      <c r="AV32" s="282">
        <v>200</v>
      </c>
      <c r="AW32" s="282"/>
      <c r="AX32" s="282"/>
      <c r="AY32" s="282"/>
      <c r="AZ32" s="282"/>
      <c r="BA32" s="282"/>
      <c r="BB32" s="282"/>
      <c r="BC32" s="282">
        <f t="shared" ref="BC32:BC41" si="10">SUM(BE32:BT32)</f>
        <v>0</v>
      </c>
      <c r="BD32" s="428">
        <f>1%+0.18%+0.25%</f>
        <v>0.0143</v>
      </c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W32" s="279" t="s">
        <v>205</v>
      </c>
    </row>
    <row r="33" s="279" customFormat="1" ht="44" customHeight="1" spans="1:76">
      <c r="A33" s="278">
        <v>25</v>
      </c>
      <c r="C33" s="331">
        <v>45398</v>
      </c>
      <c r="D33" s="279">
        <v>20240002095</v>
      </c>
      <c r="E33" s="717" t="s">
        <v>321</v>
      </c>
      <c r="F33" s="295" t="s">
        <v>322</v>
      </c>
      <c r="G33" s="294" t="s">
        <v>323</v>
      </c>
      <c r="H33" s="131"/>
      <c r="I33" s="279" t="s">
        <v>102</v>
      </c>
      <c r="J33" s="279">
        <v>2</v>
      </c>
      <c r="K33" s="279">
        <v>103.64</v>
      </c>
      <c r="L33" s="279">
        <v>103.64</v>
      </c>
      <c r="M33" s="279">
        <f>N33/L33</f>
        <v>23962.4662292551</v>
      </c>
      <c r="N33" s="318">
        <v>2483470</v>
      </c>
      <c r="O33" s="282">
        <v>23806.26</v>
      </c>
      <c r="T33" s="282"/>
      <c r="U33" s="331"/>
      <c r="V33" s="331"/>
      <c r="W33" s="331" t="s">
        <v>291</v>
      </c>
      <c r="X33" s="282">
        <v>100000</v>
      </c>
      <c r="Y33" s="331" t="s">
        <v>324</v>
      </c>
      <c r="Z33" s="282">
        <v>400000</v>
      </c>
      <c r="AA33" s="331" t="s">
        <v>325</v>
      </c>
      <c r="AB33" s="282">
        <v>743470</v>
      </c>
      <c r="AC33" s="331" t="s">
        <v>326</v>
      </c>
      <c r="AD33" s="282">
        <v>1240000</v>
      </c>
      <c r="AE33" s="331" t="s">
        <v>327</v>
      </c>
      <c r="AL33" s="282">
        <f t="shared" si="7"/>
        <v>2483470</v>
      </c>
      <c r="AO33" s="314">
        <f t="shared" si="8"/>
        <v>0</v>
      </c>
      <c r="AP33" s="279">
        <v>18160288656</v>
      </c>
      <c r="AT33" s="349">
        <f t="shared" si="9"/>
        <v>200</v>
      </c>
      <c r="AU33" s="349">
        <f>200</f>
        <v>200</v>
      </c>
      <c r="AV33" s="282"/>
      <c r="AW33" s="282"/>
      <c r="AX33" s="282"/>
      <c r="AY33" s="282"/>
      <c r="AZ33" s="282"/>
      <c r="BA33" s="282"/>
      <c r="BB33" s="282"/>
      <c r="BC33" s="282">
        <f t="shared" si="10"/>
        <v>2483470</v>
      </c>
      <c r="BD33" s="428">
        <f>1%+0.13%+0.14%</f>
        <v>0.0127</v>
      </c>
      <c r="BE33" s="282"/>
      <c r="BF33" s="282"/>
      <c r="BG33" s="282"/>
      <c r="BH33" s="282"/>
      <c r="BI33" s="282"/>
      <c r="BJ33" s="282"/>
      <c r="BK33" s="282"/>
      <c r="BL33" s="282"/>
      <c r="BM33" s="282"/>
      <c r="BN33" s="282">
        <v>1243470</v>
      </c>
      <c r="BO33" s="282">
        <v>1240000</v>
      </c>
      <c r="BP33" s="282"/>
      <c r="BQ33" s="282"/>
      <c r="BR33" s="282"/>
      <c r="BS33" s="282"/>
      <c r="BT33" s="282"/>
      <c r="BW33" s="279" t="s">
        <v>205</v>
      </c>
      <c r="BX33" s="279" t="s">
        <v>206</v>
      </c>
    </row>
    <row r="34" s="279" customFormat="1" ht="66" customHeight="1" spans="1:76">
      <c r="A34" s="278">
        <v>26</v>
      </c>
      <c r="C34" s="331">
        <v>45202</v>
      </c>
      <c r="D34" s="717" t="s">
        <v>328</v>
      </c>
      <c r="E34" s="717" t="s">
        <v>329</v>
      </c>
      <c r="F34" s="718" t="s">
        <v>330</v>
      </c>
      <c r="G34" s="294" t="s">
        <v>331</v>
      </c>
      <c r="H34" s="131"/>
      <c r="I34" s="279" t="s">
        <v>102</v>
      </c>
      <c r="J34" s="279">
        <v>3</v>
      </c>
      <c r="K34" s="279">
        <v>68.28</v>
      </c>
      <c r="L34" s="279">
        <v>68.28</v>
      </c>
      <c r="M34" s="279">
        <f>N34/L34</f>
        <v>23929.6280023433</v>
      </c>
      <c r="N34" s="318">
        <v>1633915</v>
      </c>
      <c r="O34" s="282">
        <v>23422.22</v>
      </c>
      <c r="T34" s="282"/>
      <c r="U34" s="330"/>
      <c r="V34" s="330"/>
      <c r="W34" s="330" t="s">
        <v>332</v>
      </c>
      <c r="X34" s="282">
        <v>100000</v>
      </c>
      <c r="Y34" s="330" t="s">
        <v>333</v>
      </c>
      <c r="Z34" s="282">
        <f>270000+453915</f>
        <v>723915</v>
      </c>
      <c r="AA34" s="330" t="s">
        <v>334</v>
      </c>
      <c r="AB34" s="282">
        <v>810000</v>
      </c>
      <c r="AC34" s="330" t="s">
        <v>335</v>
      </c>
      <c r="AD34" s="282"/>
      <c r="AE34" s="330"/>
      <c r="AL34" s="282">
        <f t="shared" si="7"/>
        <v>1633915</v>
      </c>
      <c r="AO34" s="314">
        <f t="shared" si="8"/>
        <v>0</v>
      </c>
      <c r="AP34" s="279">
        <v>13565767398</v>
      </c>
      <c r="AT34" s="349">
        <f t="shared" si="9"/>
        <v>800</v>
      </c>
      <c r="AU34" s="349">
        <v>200</v>
      </c>
      <c r="AV34" s="282"/>
      <c r="AW34" s="282">
        <v>200</v>
      </c>
      <c r="AX34" s="282"/>
      <c r="AY34" s="282">
        <f>200+200</f>
        <v>400</v>
      </c>
      <c r="AZ34" s="282"/>
      <c r="BA34" s="282"/>
      <c r="BB34" s="282"/>
      <c r="BC34" s="282">
        <f t="shared" si="10"/>
        <v>1633915</v>
      </c>
      <c r="BD34" s="428">
        <f>1%+0.18%+0.25%</f>
        <v>0.0143</v>
      </c>
      <c r="BE34" s="282"/>
      <c r="BF34" s="282"/>
      <c r="BG34" s="282"/>
      <c r="BH34" s="282"/>
      <c r="BI34" s="282"/>
      <c r="BJ34" s="282"/>
      <c r="BK34" s="282">
        <v>1633915</v>
      </c>
      <c r="BL34" s="282"/>
      <c r="BM34" s="282"/>
      <c r="BN34" s="282"/>
      <c r="BO34" s="282"/>
      <c r="BP34" s="282"/>
      <c r="BQ34" s="282"/>
      <c r="BR34" s="282"/>
      <c r="BS34" s="282"/>
      <c r="BT34" s="282"/>
      <c r="BU34" s="278"/>
      <c r="BW34" s="279" t="s">
        <v>205</v>
      </c>
      <c r="BX34" s="279" t="s">
        <v>206</v>
      </c>
    </row>
    <row r="35" s="279" customFormat="1" ht="43" customHeight="1" spans="1:76">
      <c r="A35" s="278">
        <v>27</v>
      </c>
      <c r="C35" s="331">
        <v>45198</v>
      </c>
      <c r="D35" s="279">
        <v>20230008210</v>
      </c>
      <c r="E35" s="717" t="s">
        <v>336</v>
      </c>
      <c r="F35" s="295" t="s">
        <v>337</v>
      </c>
      <c r="G35" s="294" t="s">
        <v>338</v>
      </c>
      <c r="H35" s="131"/>
      <c r="I35" s="279" t="s">
        <v>102</v>
      </c>
      <c r="J35" s="279">
        <v>4</v>
      </c>
      <c r="K35" s="279">
        <v>68.28</v>
      </c>
      <c r="L35" s="279">
        <v>68.28</v>
      </c>
      <c r="M35" s="279">
        <v>23428.405</v>
      </c>
      <c r="N35" s="318">
        <v>1610000</v>
      </c>
      <c r="O35" s="282">
        <v>23229.92</v>
      </c>
      <c r="T35" s="282"/>
      <c r="U35" s="331"/>
      <c r="V35" s="719" t="s">
        <v>339</v>
      </c>
      <c r="W35" s="330" t="s">
        <v>226</v>
      </c>
      <c r="X35" s="282">
        <v>300000</v>
      </c>
      <c r="Y35" s="283" t="s">
        <v>340</v>
      </c>
      <c r="Z35" s="282">
        <f>115000+75000</f>
        <v>190000</v>
      </c>
      <c r="AA35" s="331" t="s">
        <v>341</v>
      </c>
      <c r="AB35" s="282">
        <v>210000</v>
      </c>
      <c r="AC35" s="331" t="s">
        <v>342</v>
      </c>
      <c r="AD35" s="282">
        <v>630000</v>
      </c>
      <c r="AE35" s="331" t="s">
        <v>343</v>
      </c>
      <c r="AF35" s="282">
        <v>280000</v>
      </c>
      <c r="AG35" s="331" t="s">
        <v>344</v>
      </c>
      <c r="AL35" s="282">
        <f t="shared" si="7"/>
        <v>1610000</v>
      </c>
      <c r="AO35" s="314">
        <f t="shared" si="8"/>
        <v>0</v>
      </c>
      <c r="AP35" s="279">
        <v>18999626053</v>
      </c>
      <c r="AT35" s="349">
        <f t="shared" si="9"/>
        <v>400</v>
      </c>
      <c r="AU35" s="349"/>
      <c r="AV35" s="282">
        <v>200</v>
      </c>
      <c r="AW35" s="282"/>
      <c r="AX35" s="282"/>
      <c r="AY35" s="282"/>
      <c r="AZ35" s="282">
        <v>200</v>
      </c>
      <c r="BA35" s="282"/>
      <c r="BB35" s="282"/>
      <c r="BC35" s="282">
        <f t="shared" si="10"/>
        <v>1610000</v>
      </c>
      <c r="BD35" s="427">
        <f t="shared" ref="BD35:BD39" si="11">1%+0.18%+0.25%</f>
        <v>0.0143</v>
      </c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>
        <v>1610000</v>
      </c>
      <c r="BQ35" s="282"/>
      <c r="BR35" s="282"/>
      <c r="BS35" s="282"/>
      <c r="BT35" s="282"/>
      <c r="BW35" s="279" t="s">
        <v>205</v>
      </c>
      <c r="BX35" s="279" t="s">
        <v>206</v>
      </c>
    </row>
    <row r="36" s="279" customFormat="1" ht="44" customHeight="1" spans="1:76">
      <c r="A36" s="278">
        <v>28</v>
      </c>
      <c r="C36" s="331">
        <v>45204</v>
      </c>
      <c r="D36" s="279">
        <v>20230008684</v>
      </c>
      <c r="E36" s="717" t="s">
        <v>345</v>
      </c>
      <c r="F36" s="295" t="s">
        <v>346</v>
      </c>
      <c r="G36" s="466" t="s">
        <v>347</v>
      </c>
      <c r="H36" s="131"/>
      <c r="I36" s="279" t="s">
        <v>102</v>
      </c>
      <c r="J36" s="279">
        <v>5</v>
      </c>
      <c r="K36" s="279">
        <v>68.28</v>
      </c>
      <c r="L36" s="279">
        <v>68.28</v>
      </c>
      <c r="M36" s="279">
        <v>23333.77</v>
      </c>
      <c r="N36" s="282">
        <v>1603497</v>
      </c>
      <c r="O36" s="282">
        <v>23133.77</v>
      </c>
      <c r="T36" s="282"/>
      <c r="V36" s="279" t="s">
        <v>348</v>
      </c>
      <c r="W36" s="279" t="s">
        <v>349</v>
      </c>
      <c r="X36" s="282">
        <v>10000</v>
      </c>
      <c r="Y36" s="330" t="s">
        <v>350</v>
      </c>
      <c r="Z36" s="282">
        <v>90000</v>
      </c>
      <c r="AA36" s="283" t="s">
        <v>269</v>
      </c>
      <c r="AB36" s="282">
        <v>1503497</v>
      </c>
      <c r="AC36" s="279" t="s">
        <v>334</v>
      </c>
      <c r="AL36" s="282">
        <f t="shared" si="7"/>
        <v>1603497</v>
      </c>
      <c r="AO36" s="314">
        <f t="shared" si="8"/>
        <v>0</v>
      </c>
      <c r="AP36" s="279">
        <v>19990631707</v>
      </c>
      <c r="AT36" s="349">
        <f t="shared" si="9"/>
        <v>500</v>
      </c>
      <c r="AU36" s="294"/>
      <c r="AW36" s="279">
        <v>200</v>
      </c>
      <c r="BB36" s="279">
        <v>300</v>
      </c>
      <c r="BC36" s="282">
        <f t="shared" si="10"/>
        <v>1603497</v>
      </c>
      <c r="BD36" s="428">
        <f t="shared" si="11"/>
        <v>0.0143</v>
      </c>
      <c r="BH36" s="279">
        <v>1603497</v>
      </c>
      <c r="BU36" s="278"/>
      <c r="BW36" s="279" t="s">
        <v>205</v>
      </c>
      <c r="BX36" s="279" t="s">
        <v>206</v>
      </c>
    </row>
    <row r="37" s="279" customFormat="1" ht="71" customHeight="1" spans="1:76">
      <c r="A37" s="278">
        <v>29</v>
      </c>
      <c r="C37" s="279" t="s">
        <v>351</v>
      </c>
      <c r="D37" s="279">
        <v>20230008648</v>
      </c>
      <c r="E37" s="717" t="s">
        <v>352</v>
      </c>
      <c r="F37" s="295" t="s">
        <v>353</v>
      </c>
      <c r="G37" s="294" t="s">
        <v>354</v>
      </c>
      <c r="H37" s="131"/>
      <c r="I37" s="279" t="s">
        <v>102</v>
      </c>
      <c r="J37" s="279">
        <v>6</v>
      </c>
      <c r="K37" s="279">
        <v>60.15</v>
      </c>
      <c r="L37" s="279">
        <v>60.15</v>
      </c>
      <c r="M37" s="279">
        <v>23000</v>
      </c>
      <c r="N37" s="318">
        <v>1392420</v>
      </c>
      <c r="O37" s="282">
        <v>22747.48</v>
      </c>
      <c r="T37" s="282"/>
      <c r="U37" s="331"/>
      <c r="V37" s="294"/>
      <c r="W37" s="294" t="s">
        <v>355</v>
      </c>
      <c r="X37" s="282">
        <v>100000</v>
      </c>
      <c r="Y37" s="331" t="s">
        <v>351</v>
      </c>
      <c r="Z37" s="279">
        <v>612420</v>
      </c>
      <c r="AA37" s="279" t="s">
        <v>351</v>
      </c>
      <c r="AB37" s="279">
        <v>500000</v>
      </c>
      <c r="AC37" s="279" t="s">
        <v>356</v>
      </c>
      <c r="AD37" s="282">
        <v>180000</v>
      </c>
      <c r="AE37" s="331" t="s">
        <v>357</v>
      </c>
      <c r="AH37" s="282"/>
      <c r="AI37" s="331"/>
      <c r="AL37" s="282">
        <f t="shared" si="7"/>
        <v>1392420</v>
      </c>
      <c r="AO37" s="314">
        <f t="shared" si="8"/>
        <v>0</v>
      </c>
      <c r="AP37" s="279">
        <v>18799850653</v>
      </c>
      <c r="AT37" s="349">
        <f t="shared" si="9"/>
        <v>400</v>
      </c>
      <c r="AU37" s="349"/>
      <c r="AV37" s="282">
        <v>200</v>
      </c>
      <c r="AW37" s="282"/>
      <c r="AX37" s="282">
        <v>200</v>
      </c>
      <c r="AY37" s="282"/>
      <c r="AZ37" s="282"/>
      <c r="BA37" s="282"/>
      <c r="BB37" s="282"/>
      <c r="BC37" s="282">
        <f t="shared" si="10"/>
        <v>1392420</v>
      </c>
      <c r="BD37" s="428">
        <f>1%+0.18%+0.2%</f>
        <v>0.0138</v>
      </c>
      <c r="BE37" s="282"/>
      <c r="BF37" s="282"/>
      <c r="BG37" s="282"/>
      <c r="BH37" s="282"/>
      <c r="BI37" s="282">
        <v>1392420</v>
      </c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78"/>
      <c r="BW37" s="279" t="s">
        <v>205</v>
      </c>
      <c r="BX37" s="279" t="s">
        <v>206</v>
      </c>
    </row>
    <row r="38" s="279" customFormat="1" customHeight="1" spans="1:76">
      <c r="A38" s="278">
        <v>30</v>
      </c>
      <c r="C38" s="331">
        <v>45370</v>
      </c>
      <c r="D38" s="279">
        <v>20240001485</v>
      </c>
      <c r="E38" s="717" t="s">
        <v>358</v>
      </c>
      <c r="F38" s="295" t="s">
        <v>359</v>
      </c>
      <c r="G38" s="294" t="s">
        <v>360</v>
      </c>
      <c r="H38" s="131"/>
      <c r="I38" s="279" t="s">
        <v>102</v>
      </c>
      <c r="J38" s="279">
        <v>7</v>
      </c>
      <c r="K38" s="279">
        <v>71.53</v>
      </c>
      <c r="L38" s="279">
        <v>71.53</v>
      </c>
      <c r="M38" s="279">
        <v>23600</v>
      </c>
      <c r="N38" s="318">
        <v>1698965</v>
      </c>
      <c r="O38" s="282">
        <v>23516.91</v>
      </c>
      <c r="T38" s="282"/>
      <c r="V38" s="717" t="s">
        <v>361</v>
      </c>
      <c r="W38" s="279" t="s">
        <v>211</v>
      </c>
      <c r="X38" s="282">
        <v>60000</v>
      </c>
      <c r="Y38" s="279" t="s">
        <v>362</v>
      </c>
      <c r="Z38" s="282">
        <v>40000</v>
      </c>
      <c r="AA38" s="279" t="s">
        <v>341</v>
      </c>
      <c r="AB38" s="282">
        <v>1000000</v>
      </c>
      <c r="AC38" s="279" t="s">
        <v>363</v>
      </c>
      <c r="AD38" s="282">
        <v>500000</v>
      </c>
      <c r="AE38" s="279" t="s">
        <v>364</v>
      </c>
      <c r="AF38" s="282">
        <v>20000</v>
      </c>
      <c r="AG38" s="279" t="s">
        <v>365</v>
      </c>
      <c r="AH38" s="282">
        <v>78965</v>
      </c>
      <c r="AI38" s="279" t="s">
        <v>366</v>
      </c>
      <c r="AL38" s="282">
        <f t="shared" si="7"/>
        <v>1698965</v>
      </c>
      <c r="AO38" s="314">
        <f t="shared" ref="AO38:AO43" si="12">N38-AL38</f>
        <v>0</v>
      </c>
      <c r="AP38" s="279">
        <v>18109967333</v>
      </c>
      <c r="AT38" s="349">
        <f t="shared" si="9"/>
        <v>500</v>
      </c>
      <c r="AU38" s="349"/>
      <c r="AV38" s="282"/>
      <c r="AW38" s="282">
        <v>200</v>
      </c>
      <c r="AX38" s="282"/>
      <c r="AY38" s="282"/>
      <c r="AZ38" s="282"/>
      <c r="BA38" s="282">
        <v>300</v>
      </c>
      <c r="BB38" s="282"/>
      <c r="BC38" s="282">
        <f t="shared" si="10"/>
        <v>1698965</v>
      </c>
      <c r="BD38" s="427">
        <f t="shared" si="11"/>
        <v>0.0143</v>
      </c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>
        <v>1698965</v>
      </c>
      <c r="BR38" s="282"/>
      <c r="BS38" s="282"/>
      <c r="BT38" s="282"/>
      <c r="BW38" s="279" t="s">
        <v>205</v>
      </c>
      <c r="BX38" s="279" t="s">
        <v>206</v>
      </c>
    </row>
    <row r="39" s="279" customFormat="1" customHeight="1" spans="1:76">
      <c r="A39" s="278">
        <v>31</v>
      </c>
      <c r="C39" s="331">
        <v>45204</v>
      </c>
      <c r="D39" s="279">
        <v>20230008670</v>
      </c>
      <c r="E39" s="717" t="s">
        <v>367</v>
      </c>
      <c r="F39" s="295" t="s">
        <v>368</v>
      </c>
      <c r="G39" s="467" t="s">
        <v>369</v>
      </c>
      <c r="H39" s="131"/>
      <c r="I39" s="279" t="s">
        <v>102</v>
      </c>
      <c r="J39" s="279">
        <v>8</v>
      </c>
      <c r="K39" s="279">
        <v>68.28</v>
      </c>
      <c r="L39" s="279">
        <v>68.28</v>
      </c>
      <c r="M39" s="279">
        <v>24000</v>
      </c>
      <c r="N39" s="318">
        <v>1649280</v>
      </c>
      <c r="O39" s="282">
        <v>23710.67</v>
      </c>
      <c r="T39" s="282"/>
      <c r="U39" s="331"/>
      <c r="V39" s="330" t="s">
        <v>370</v>
      </c>
      <c r="W39" s="330" t="s">
        <v>371</v>
      </c>
      <c r="X39" s="282">
        <f>10000+10000</f>
        <v>20000</v>
      </c>
      <c r="Y39" s="330" t="s">
        <v>372</v>
      </c>
      <c r="Z39" s="282">
        <v>80000</v>
      </c>
      <c r="AA39" s="283" t="s">
        <v>373</v>
      </c>
      <c r="AB39" s="282">
        <f>947000+2280</f>
        <v>949280</v>
      </c>
      <c r="AC39" s="331" t="s">
        <v>351</v>
      </c>
      <c r="AD39" s="282">
        <v>600000</v>
      </c>
      <c r="AE39" s="331" t="s">
        <v>374</v>
      </c>
      <c r="AL39" s="282">
        <f t="shared" si="7"/>
        <v>1649280</v>
      </c>
      <c r="AO39" s="314">
        <f t="shared" si="12"/>
        <v>0</v>
      </c>
      <c r="AP39" s="279">
        <v>15899027167</v>
      </c>
      <c r="AT39" s="349">
        <f t="shared" si="9"/>
        <v>500</v>
      </c>
      <c r="AU39" s="349"/>
      <c r="AV39" s="282">
        <v>200</v>
      </c>
      <c r="AW39" s="282"/>
      <c r="AX39" s="282"/>
      <c r="AY39" s="282"/>
      <c r="AZ39" s="282"/>
      <c r="BA39" s="282"/>
      <c r="BB39" s="282">
        <v>300</v>
      </c>
      <c r="BC39" s="282">
        <f t="shared" si="10"/>
        <v>1649280</v>
      </c>
      <c r="BD39" s="427">
        <f t="shared" si="11"/>
        <v>0.0143</v>
      </c>
      <c r="BE39" s="282"/>
      <c r="BF39" s="282"/>
      <c r="BG39" s="282"/>
      <c r="BH39" s="282"/>
      <c r="BI39" s="282"/>
      <c r="BJ39" s="282">
        <v>1649280</v>
      </c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78"/>
      <c r="BW39" s="279" t="s">
        <v>205</v>
      </c>
      <c r="BX39" s="279" t="s">
        <v>206</v>
      </c>
    </row>
    <row r="40" s="279" customFormat="1" customHeight="1" spans="1:72">
      <c r="A40" s="279">
        <v>32</v>
      </c>
      <c r="B40" s="279">
        <v>1</v>
      </c>
      <c r="C40" s="279" t="s">
        <v>98</v>
      </c>
      <c r="D40" s="279">
        <v>20240005488</v>
      </c>
      <c r="E40" s="279" t="s">
        <v>99</v>
      </c>
      <c r="F40" s="295" t="s">
        <v>100</v>
      </c>
      <c r="G40" s="279" t="s">
        <v>101</v>
      </c>
      <c r="H40" s="131"/>
      <c r="I40" s="279" t="s">
        <v>102</v>
      </c>
      <c r="J40" s="279">
        <v>9</v>
      </c>
      <c r="K40" s="279">
        <v>121.98</v>
      </c>
      <c r="L40" s="279">
        <v>121.98</v>
      </c>
      <c r="M40" s="279">
        <v>24300</v>
      </c>
      <c r="N40" s="318">
        <v>2964114</v>
      </c>
      <c r="O40" s="282">
        <v>22881</v>
      </c>
      <c r="Q40" s="279">
        <v>2719370.64</v>
      </c>
      <c r="R40" s="717" t="s">
        <v>103</v>
      </c>
      <c r="S40" s="474">
        <v>45576</v>
      </c>
      <c r="T40" s="282">
        <f>1500000+1488900</f>
        <v>2988900</v>
      </c>
      <c r="U40" s="331" t="s">
        <v>98</v>
      </c>
      <c r="V40" s="331"/>
      <c r="W40" s="331"/>
      <c r="X40" s="282">
        <f>1500000</f>
        <v>1500000</v>
      </c>
      <c r="Y40" s="331" t="s">
        <v>98</v>
      </c>
      <c r="Z40" s="282">
        <v>1488900</v>
      </c>
      <c r="AA40" s="283" t="s">
        <v>375</v>
      </c>
      <c r="AC40" s="283"/>
      <c r="AL40" s="282">
        <f t="shared" si="7"/>
        <v>2988900</v>
      </c>
      <c r="AO40" s="314">
        <f t="shared" si="12"/>
        <v>-24786</v>
      </c>
      <c r="AP40" s="279">
        <v>18999606611</v>
      </c>
      <c r="AT40" s="349">
        <f t="shared" si="9"/>
        <v>200</v>
      </c>
      <c r="AU40" s="349"/>
      <c r="AV40" s="282">
        <v>200</v>
      </c>
      <c r="AW40" s="282"/>
      <c r="AX40" s="282"/>
      <c r="AY40" s="282"/>
      <c r="AZ40" s="282"/>
      <c r="BA40" s="282"/>
      <c r="BB40" s="282"/>
      <c r="BC40" s="282">
        <f t="shared" si="10"/>
        <v>0</v>
      </c>
      <c r="BD40" s="428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</row>
    <row r="41" s="279" customFormat="1" ht="60" customHeight="1" spans="1:72">
      <c r="A41" s="278">
        <v>33</v>
      </c>
      <c r="E41" s="717" t="s">
        <v>376</v>
      </c>
      <c r="F41" s="295" t="s">
        <v>377</v>
      </c>
      <c r="G41" s="468" t="s">
        <v>378</v>
      </c>
      <c r="H41" s="131"/>
      <c r="I41" s="279" t="s">
        <v>102</v>
      </c>
      <c r="J41" s="279">
        <v>10</v>
      </c>
      <c r="K41" s="279">
        <v>206.2</v>
      </c>
      <c r="L41" s="279">
        <v>206.2</v>
      </c>
      <c r="M41" s="279">
        <v>26000</v>
      </c>
      <c r="N41" s="318">
        <v>5396040</v>
      </c>
      <c r="O41" s="282">
        <v>26000</v>
      </c>
      <c r="T41" s="282"/>
      <c r="U41" s="331"/>
      <c r="V41" s="330"/>
      <c r="W41" s="331" t="s">
        <v>226</v>
      </c>
      <c r="X41" s="282">
        <v>50000</v>
      </c>
      <c r="Y41" s="331" t="s">
        <v>379</v>
      </c>
      <c r="Z41" s="282">
        <v>300000</v>
      </c>
      <c r="AA41" s="331" t="s">
        <v>380</v>
      </c>
      <c r="AB41" s="282"/>
      <c r="AC41" s="283"/>
      <c r="AL41" s="282">
        <f t="shared" si="7"/>
        <v>350000</v>
      </c>
      <c r="AO41" s="314">
        <f t="shared" si="12"/>
        <v>5046040</v>
      </c>
      <c r="AP41" s="279">
        <v>18196458777</v>
      </c>
      <c r="AT41" s="349">
        <f t="shared" si="9"/>
        <v>500</v>
      </c>
      <c r="AU41" s="349"/>
      <c r="AV41" s="282">
        <v>200</v>
      </c>
      <c r="AW41" s="282"/>
      <c r="AX41" s="282"/>
      <c r="AY41" s="282"/>
      <c r="AZ41" s="282"/>
      <c r="BA41" s="282">
        <v>300</v>
      </c>
      <c r="BB41" s="282"/>
      <c r="BC41" s="282">
        <f t="shared" si="10"/>
        <v>0</v>
      </c>
      <c r="BD41" s="428">
        <f>1%+0.25%</f>
        <v>0.0125</v>
      </c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</row>
    <row r="42" s="279" customFormat="1" customHeight="1" spans="1:75">
      <c r="A42" s="278">
        <v>34</v>
      </c>
      <c r="C42" s="331">
        <v>45527</v>
      </c>
      <c r="D42" s="279">
        <v>20240004826</v>
      </c>
      <c r="F42" s="295" t="s">
        <v>381</v>
      </c>
      <c r="G42" s="279" t="s">
        <v>382</v>
      </c>
      <c r="H42" s="131"/>
      <c r="I42" s="279" t="s">
        <v>102</v>
      </c>
      <c r="J42" s="279">
        <v>11</v>
      </c>
      <c r="K42" s="279">
        <v>178.05</v>
      </c>
      <c r="L42" s="279">
        <v>178.05</v>
      </c>
      <c r="M42" s="279">
        <v>25669.65</v>
      </c>
      <c r="N42" s="318">
        <v>4600000</v>
      </c>
      <c r="O42" s="472">
        <v>25669.645</v>
      </c>
      <c r="T42" s="282"/>
      <c r="U42" s="331"/>
      <c r="V42" s="294"/>
      <c r="W42" s="331" t="s">
        <v>298</v>
      </c>
      <c r="X42" s="282">
        <f>100000+100000</f>
        <v>200000</v>
      </c>
      <c r="Y42" s="331" t="s">
        <v>383</v>
      </c>
      <c r="Z42" s="282">
        <v>500000</v>
      </c>
      <c r="AA42" s="331" t="s">
        <v>384</v>
      </c>
      <c r="AB42" s="282">
        <v>300000</v>
      </c>
      <c r="AC42" s="331" t="s">
        <v>356</v>
      </c>
      <c r="AD42" s="282">
        <v>200000</v>
      </c>
      <c r="AE42" s="331" t="s">
        <v>357</v>
      </c>
      <c r="AF42" s="282">
        <v>300000</v>
      </c>
      <c r="AG42" s="331" t="s">
        <v>385</v>
      </c>
      <c r="AH42" s="282">
        <v>100000</v>
      </c>
      <c r="AI42" s="331" t="s">
        <v>386</v>
      </c>
      <c r="AJ42" s="282">
        <f>300000+400000+300000+2000000</f>
        <v>3000000</v>
      </c>
      <c r="AK42" s="294" t="s">
        <v>387</v>
      </c>
      <c r="AL42" s="282">
        <f t="shared" si="7"/>
        <v>4600000</v>
      </c>
      <c r="AO42" s="314">
        <f t="shared" si="12"/>
        <v>0</v>
      </c>
      <c r="AP42" s="279">
        <v>18099969889</v>
      </c>
      <c r="AT42" s="349">
        <f t="shared" ref="AT42:AT73" si="13">AU42+AV42+AW42+AX42+AY42+AZ42+BA42+BB42</f>
        <v>0</v>
      </c>
      <c r="AU42" s="349"/>
      <c r="AV42" s="282"/>
      <c r="AW42" s="282"/>
      <c r="AX42" s="282"/>
      <c r="AY42" s="282"/>
      <c r="AZ42" s="282"/>
      <c r="BA42" s="282"/>
      <c r="BB42" s="282"/>
      <c r="BC42" s="282">
        <f t="shared" ref="BC42:BC73" si="14">SUM(BE42:BT42)</f>
        <v>4600000</v>
      </c>
      <c r="BD42" s="428">
        <v>0.0138</v>
      </c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>
        <v>2300000</v>
      </c>
      <c r="BS42" s="282">
        <v>2300000</v>
      </c>
      <c r="BT42" s="282"/>
      <c r="BU42" s="279">
        <f>BD42*BS42</f>
        <v>31740</v>
      </c>
      <c r="BW42" s="279" t="s">
        <v>205</v>
      </c>
    </row>
    <row r="43" s="279" customFormat="1" ht="53" customHeight="1" spans="1:80">
      <c r="A43" s="278">
        <v>35</v>
      </c>
      <c r="C43" s="279" t="s">
        <v>388</v>
      </c>
      <c r="D43" s="279">
        <v>20230008587</v>
      </c>
      <c r="E43" s="717" t="s">
        <v>389</v>
      </c>
      <c r="F43" s="295" t="s">
        <v>390</v>
      </c>
      <c r="G43" s="468" t="s">
        <v>391</v>
      </c>
      <c r="H43" s="131"/>
      <c r="I43" s="279" t="s">
        <v>102</v>
      </c>
      <c r="J43" s="279">
        <v>12</v>
      </c>
      <c r="K43" s="279">
        <v>63.93</v>
      </c>
      <c r="L43" s="279">
        <v>63.93</v>
      </c>
      <c r="M43" s="279">
        <v>20000</v>
      </c>
      <c r="N43" s="318">
        <v>1286800</v>
      </c>
      <c r="O43" s="282">
        <v>19919.88</v>
      </c>
      <c r="T43" s="282"/>
      <c r="V43" s="294" t="s">
        <v>392</v>
      </c>
      <c r="W43" s="294" t="s">
        <v>393</v>
      </c>
      <c r="X43" s="282">
        <f>10000</f>
        <v>10000</v>
      </c>
      <c r="Y43" s="294" t="s">
        <v>394</v>
      </c>
      <c r="Z43" s="282">
        <v>90000</v>
      </c>
      <c r="AA43" s="283" t="s">
        <v>269</v>
      </c>
      <c r="AB43" s="282">
        <v>550000</v>
      </c>
      <c r="AC43" s="279" t="s">
        <v>395</v>
      </c>
      <c r="AD43" s="282">
        <v>200000</v>
      </c>
      <c r="AE43" s="279" t="s">
        <v>396</v>
      </c>
      <c r="AF43" s="282">
        <v>390000</v>
      </c>
      <c r="AG43" s="279" t="s">
        <v>397</v>
      </c>
      <c r="AH43" s="279">
        <v>46800</v>
      </c>
      <c r="AI43" s="279" t="s">
        <v>398</v>
      </c>
      <c r="AL43" s="282">
        <f t="shared" si="7"/>
        <v>1286800</v>
      </c>
      <c r="AO43" s="314">
        <f t="shared" si="12"/>
        <v>0</v>
      </c>
      <c r="AP43" s="279">
        <v>18999613918</v>
      </c>
      <c r="AT43" s="349">
        <f t="shared" si="13"/>
        <v>900</v>
      </c>
      <c r="AU43" s="349"/>
      <c r="AV43" s="282"/>
      <c r="AW43" s="282">
        <v>200</v>
      </c>
      <c r="AX43" s="282"/>
      <c r="AY43" s="282">
        <v>200</v>
      </c>
      <c r="AZ43" s="282">
        <v>200</v>
      </c>
      <c r="BA43" s="282"/>
      <c r="BB43" s="282">
        <v>300</v>
      </c>
      <c r="BC43" s="282">
        <f t="shared" si="14"/>
        <v>1286800</v>
      </c>
      <c r="BD43" s="428">
        <v>0.012</v>
      </c>
      <c r="BE43" s="282"/>
      <c r="BF43" s="282"/>
      <c r="BG43" s="282"/>
      <c r="BH43" s="282"/>
      <c r="BI43" s="282"/>
      <c r="BJ43" s="282"/>
      <c r="BK43" s="282"/>
      <c r="BL43" s="282"/>
      <c r="BM43" s="282">
        <v>1286800</v>
      </c>
      <c r="BN43" s="282"/>
      <c r="BO43" s="282"/>
      <c r="BP43" s="282"/>
      <c r="BQ43" s="282"/>
      <c r="BR43" s="282"/>
      <c r="BS43" s="282"/>
      <c r="BT43" s="282"/>
      <c r="BU43" s="278"/>
      <c r="BW43" s="279" t="s">
        <v>205</v>
      </c>
      <c r="BX43" s="279" t="s">
        <v>206</v>
      </c>
      <c r="CB43" s="279">
        <v>4800</v>
      </c>
    </row>
    <row r="44" s="279" customFormat="1" ht="57" customHeight="1" spans="1:80">
      <c r="A44" s="278">
        <v>36</v>
      </c>
      <c r="C44" s="331">
        <v>45201</v>
      </c>
      <c r="D44" s="279">
        <v>20230008471</v>
      </c>
      <c r="E44" s="717" t="s">
        <v>399</v>
      </c>
      <c r="F44" s="295" t="s">
        <v>400</v>
      </c>
      <c r="G44" s="466" t="s">
        <v>401</v>
      </c>
      <c r="H44" s="131"/>
      <c r="I44" s="279" t="s">
        <v>102</v>
      </c>
      <c r="J44" s="279">
        <v>13</v>
      </c>
      <c r="K44" s="279">
        <v>63.93</v>
      </c>
      <c r="L44" s="279">
        <v>63.93</v>
      </c>
      <c r="M44" s="279">
        <v>20027.58</v>
      </c>
      <c r="N44" s="318">
        <v>1288575</v>
      </c>
      <c r="O44" s="282">
        <v>19827.58</v>
      </c>
      <c r="T44" s="282"/>
      <c r="V44" s="294" t="s">
        <v>402</v>
      </c>
      <c r="W44" s="294" t="s">
        <v>403</v>
      </c>
      <c r="X44" s="282">
        <v>5000</v>
      </c>
      <c r="Y44" s="330">
        <v>44780</v>
      </c>
      <c r="Z44" s="282">
        <v>95000</v>
      </c>
      <c r="AA44" s="283" t="s">
        <v>269</v>
      </c>
      <c r="AB44" s="282">
        <v>548575</v>
      </c>
      <c r="AC44" s="279" t="s">
        <v>243</v>
      </c>
      <c r="AD44" s="282">
        <v>640000</v>
      </c>
      <c r="AE44" s="279" t="s">
        <v>404</v>
      </c>
      <c r="AL44" s="282">
        <f t="shared" si="7"/>
        <v>1288575</v>
      </c>
      <c r="AO44" s="314">
        <f t="shared" ref="AO44:AO49" si="15">N44-AL44</f>
        <v>0</v>
      </c>
      <c r="AP44" s="279">
        <v>15299373632</v>
      </c>
      <c r="AT44" s="349">
        <f t="shared" si="13"/>
        <v>500</v>
      </c>
      <c r="AU44" s="349"/>
      <c r="AV44" s="282"/>
      <c r="AW44" s="282">
        <v>200</v>
      </c>
      <c r="AX44" s="282"/>
      <c r="AY44" s="282"/>
      <c r="AZ44" s="282"/>
      <c r="BA44" s="282"/>
      <c r="BB44" s="282">
        <v>300</v>
      </c>
      <c r="BC44" s="282">
        <f t="shared" si="14"/>
        <v>1288575</v>
      </c>
      <c r="BD44" s="428">
        <v>0.0143</v>
      </c>
      <c r="BE44" s="282"/>
      <c r="BF44" s="282"/>
      <c r="BG44" s="282"/>
      <c r="BH44" s="282"/>
      <c r="BI44" s="282"/>
      <c r="BJ44" s="282">
        <v>1288575</v>
      </c>
      <c r="BK44" s="282"/>
      <c r="BL44" s="282"/>
      <c r="BM44" s="282"/>
      <c r="BN44" s="282"/>
      <c r="BO44" s="282"/>
      <c r="BP44" s="282"/>
      <c r="BQ44" s="282"/>
      <c r="BR44" s="282"/>
      <c r="BS44" s="282"/>
      <c r="BT44" s="282"/>
      <c r="BU44" s="278"/>
      <c r="BW44" s="279" t="s">
        <v>205</v>
      </c>
      <c r="BX44" s="279" t="s">
        <v>206</v>
      </c>
      <c r="CB44" s="279">
        <v>17063.3331</v>
      </c>
    </row>
    <row r="45" s="279" customFormat="1" customHeight="1" spans="1:80">
      <c r="A45" s="279">
        <v>37</v>
      </c>
      <c r="B45" s="279"/>
      <c r="C45" s="279"/>
      <c r="D45" s="279"/>
      <c r="E45" s="717" t="s">
        <v>405</v>
      </c>
      <c r="F45" s="295" t="s">
        <v>406</v>
      </c>
      <c r="G45" s="279" t="s">
        <v>407</v>
      </c>
      <c r="H45" s="131"/>
      <c r="I45" s="279" t="s">
        <v>102</v>
      </c>
      <c r="J45" s="279">
        <v>14</v>
      </c>
      <c r="K45" s="279">
        <v>112.41</v>
      </c>
      <c r="L45" s="279">
        <v>112.41</v>
      </c>
      <c r="M45" s="279">
        <v>17500</v>
      </c>
      <c r="N45" s="282">
        <v>1916250</v>
      </c>
      <c r="O45" s="282">
        <v>16848</v>
      </c>
      <c r="T45" s="282"/>
      <c r="U45" s="331"/>
      <c r="W45" s="279" t="s">
        <v>408</v>
      </c>
      <c r="X45" s="282">
        <v>30000</v>
      </c>
      <c r="Y45" s="331">
        <v>45561</v>
      </c>
      <c r="Z45" s="282"/>
      <c r="AA45" s="283"/>
      <c r="AC45" s="283"/>
      <c r="AL45" s="282">
        <f t="shared" si="7"/>
        <v>30000</v>
      </c>
      <c r="AO45" s="314">
        <f t="shared" si="15"/>
        <v>1886250</v>
      </c>
      <c r="AP45" s="279">
        <v>13899052003</v>
      </c>
      <c r="AT45" s="349">
        <f t="shared" si="13"/>
        <v>0</v>
      </c>
      <c r="AU45" s="294"/>
      <c r="BC45" s="282">
        <f t="shared" si="14"/>
        <v>0</v>
      </c>
      <c r="BD45" s="427">
        <f>1%+0.13%+0.2%</f>
        <v>0.0133</v>
      </c>
      <c r="CB45" s="279">
        <v>4433</v>
      </c>
    </row>
    <row r="46" s="279" customFormat="1" ht="64" customHeight="1" spans="1:80">
      <c r="A46" s="278">
        <v>38</v>
      </c>
      <c r="C46" s="279" t="s">
        <v>98</v>
      </c>
      <c r="D46" s="279">
        <v>20240005606</v>
      </c>
      <c r="E46" s="717" t="s">
        <v>104</v>
      </c>
      <c r="F46" s="295" t="s">
        <v>105</v>
      </c>
      <c r="G46" s="294" t="s">
        <v>409</v>
      </c>
      <c r="H46" s="131"/>
      <c r="I46" s="279" t="s">
        <v>102</v>
      </c>
      <c r="J46" s="279">
        <v>15</v>
      </c>
      <c r="K46" s="279">
        <v>67.42</v>
      </c>
      <c r="L46" s="279">
        <v>67.42</v>
      </c>
      <c r="M46" s="279">
        <v>17479.73</v>
      </c>
      <c r="N46" s="318">
        <v>1178483</v>
      </c>
      <c r="O46" s="282">
        <v>17470.41</v>
      </c>
      <c r="Q46" s="279">
        <v>1081177.06</v>
      </c>
      <c r="R46" s="717" t="s">
        <v>107</v>
      </c>
      <c r="S46" s="474">
        <v>45590</v>
      </c>
      <c r="T46" s="282">
        <v>590000</v>
      </c>
      <c r="U46" s="331" t="s">
        <v>410</v>
      </c>
      <c r="V46" s="279"/>
      <c r="W46" s="294" t="s">
        <v>411</v>
      </c>
      <c r="X46" s="279">
        <v>20000</v>
      </c>
      <c r="Y46" s="283" t="s">
        <v>412</v>
      </c>
      <c r="Z46" s="282">
        <v>376000</v>
      </c>
      <c r="AA46" s="331">
        <v>45553</v>
      </c>
      <c r="AB46" s="282">
        <v>590000</v>
      </c>
      <c r="AC46" s="331" t="s">
        <v>410</v>
      </c>
      <c r="AD46" s="282"/>
      <c r="AE46" s="331"/>
      <c r="AF46" s="282"/>
      <c r="AG46" s="331"/>
      <c r="AL46" s="282">
        <f t="shared" si="7"/>
        <v>986000</v>
      </c>
      <c r="AO46" s="314">
        <f t="shared" ref="AO46:AO53" si="16">N46-AL46</f>
        <v>192483</v>
      </c>
      <c r="AP46" s="279">
        <v>15739818996</v>
      </c>
      <c r="AT46" s="349">
        <f t="shared" si="13"/>
        <v>200</v>
      </c>
      <c r="AU46" s="349"/>
      <c r="AV46" s="282">
        <v>200</v>
      </c>
      <c r="AW46" s="282"/>
      <c r="AX46" s="282"/>
      <c r="AY46" s="282"/>
      <c r="AZ46" s="282"/>
      <c r="BA46" s="282"/>
      <c r="BB46" s="282"/>
      <c r="BC46" s="282">
        <f t="shared" si="14"/>
        <v>0</v>
      </c>
      <c r="BD46" s="428">
        <v>0.0125</v>
      </c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  <c r="BR46" s="282"/>
      <c r="BS46" s="282"/>
      <c r="BT46" s="282"/>
      <c r="CB46" s="279">
        <v>5148</v>
      </c>
    </row>
    <row r="47" s="279" customFormat="1" customHeight="1" spans="1:80">
      <c r="A47" s="278">
        <v>39</v>
      </c>
      <c r="C47" s="279" t="s">
        <v>413</v>
      </c>
      <c r="D47" s="279">
        <v>20240001898</v>
      </c>
      <c r="E47" s="717" t="s">
        <v>414</v>
      </c>
      <c r="F47" s="295" t="s">
        <v>415</v>
      </c>
      <c r="G47" s="279" t="s">
        <v>416</v>
      </c>
      <c r="H47" s="131"/>
      <c r="I47" s="279" t="s">
        <v>102</v>
      </c>
      <c r="J47" s="279">
        <v>16</v>
      </c>
      <c r="K47" s="279">
        <v>110.21</v>
      </c>
      <c r="L47" s="279">
        <v>110.21</v>
      </c>
      <c r="M47" s="279">
        <v>17100</v>
      </c>
      <c r="N47" s="282">
        <v>1896732</v>
      </c>
      <c r="O47" s="282">
        <v>17100</v>
      </c>
      <c r="T47" s="282"/>
      <c r="W47" s="279" t="s">
        <v>411</v>
      </c>
      <c r="X47" s="282">
        <v>100000</v>
      </c>
      <c r="Y47" s="279" t="s">
        <v>397</v>
      </c>
      <c r="Z47" s="282">
        <v>290000</v>
      </c>
      <c r="AA47" s="279" t="s">
        <v>417</v>
      </c>
      <c r="AB47" s="279">
        <v>810000</v>
      </c>
      <c r="AC47" s="283" t="s">
        <v>417</v>
      </c>
      <c r="AD47" s="279">
        <v>6732</v>
      </c>
      <c r="AE47" s="279" t="s">
        <v>413</v>
      </c>
      <c r="AF47" s="282">
        <v>690000</v>
      </c>
      <c r="AG47" s="279" t="s">
        <v>418</v>
      </c>
      <c r="AL47" s="282">
        <f t="shared" si="7"/>
        <v>1896732</v>
      </c>
      <c r="AO47" s="314">
        <f t="shared" si="16"/>
        <v>0</v>
      </c>
      <c r="AP47" s="279">
        <v>15199929062</v>
      </c>
      <c r="AT47" s="349">
        <f t="shared" si="13"/>
        <v>0</v>
      </c>
      <c r="AU47" s="294"/>
      <c r="BC47" s="282">
        <f t="shared" si="14"/>
        <v>1896732</v>
      </c>
      <c r="BD47" s="427">
        <f>1%+0.2%</f>
        <v>0.012</v>
      </c>
      <c r="BO47" s="279">
        <v>1896732</v>
      </c>
      <c r="BW47" s="279" t="s">
        <v>205</v>
      </c>
      <c r="BX47" s="279" t="s">
        <v>206</v>
      </c>
      <c r="CB47" s="279">
        <v>5720</v>
      </c>
    </row>
    <row r="48" s="279" customFormat="1" customHeight="1" spans="1:80">
      <c r="A48" s="278">
        <v>40</v>
      </c>
      <c r="C48" s="331">
        <v>45203</v>
      </c>
      <c r="D48" s="279">
        <v>20230008599</v>
      </c>
      <c r="E48" s="717" t="s">
        <v>419</v>
      </c>
      <c r="F48" s="295" t="s">
        <v>420</v>
      </c>
      <c r="G48" s="279" t="s">
        <v>421</v>
      </c>
      <c r="H48" s="131"/>
      <c r="I48" s="279" t="s">
        <v>102</v>
      </c>
      <c r="J48" s="279">
        <v>17</v>
      </c>
      <c r="K48" s="279">
        <v>50.88</v>
      </c>
      <c r="L48" s="279">
        <v>50.88</v>
      </c>
      <c r="M48" s="279">
        <v>17965.24</v>
      </c>
      <c r="N48" s="282">
        <v>920000</v>
      </c>
      <c r="O48" s="282">
        <v>17813.85</v>
      </c>
      <c r="T48" s="282"/>
      <c r="W48" s="279" t="s">
        <v>422</v>
      </c>
      <c r="X48" s="282">
        <v>50000</v>
      </c>
      <c r="Y48" s="279" t="s">
        <v>384</v>
      </c>
      <c r="Z48" s="282">
        <f>860000+10000</f>
        <v>870000</v>
      </c>
      <c r="AA48" s="279" t="s">
        <v>334</v>
      </c>
      <c r="AC48" s="283"/>
      <c r="AL48" s="282">
        <f t="shared" si="7"/>
        <v>920000</v>
      </c>
      <c r="AO48" s="314">
        <f t="shared" si="15"/>
        <v>0</v>
      </c>
      <c r="AP48" s="279">
        <v>18299830920</v>
      </c>
      <c r="AT48" s="349">
        <f t="shared" si="13"/>
        <v>0</v>
      </c>
      <c r="AU48" s="294"/>
      <c r="BC48" s="282">
        <f t="shared" si="14"/>
        <v>920000</v>
      </c>
      <c r="BD48" s="427">
        <f>1%+0.18%+0.25%</f>
        <v>0.0143</v>
      </c>
      <c r="BH48" s="279">
        <v>920000</v>
      </c>
      <c r="BU48" s="278"/>
      <c r="BW48" s="279" t="s">
        <v>205</v>
      </c>
      <c r="BX48" s="279" t="s">
        <v>206</v>
      </c>
      <c r="CB48" s="279">
        <v>6520.8</v>
      </c>
    </row>
    <row r="49" s="279" customFormat="1" customHeight="1" spans="1:80">
      <c r="A49" s="278">
        <v>41</v>
      </c>
      <c r="C49" s="331">
        <v>45203</v>
      </c>
      <c r="D49" s="279">
        <v>20230008608</v>
      </c>
      <c r="E49" s="717" t="s">
        <v>423</v>
      </c>
      <c r="F49" s="295" t="s">
        <v>424</v>
      </c>
      <c r="G49" s="279" t="s">
        <v>425</v>
      </c>
      <c r="H49" s="131"/>
      <c r="I49" s="279" t="s">
        <v>102</v>
      </c>
      <c r="J49" s="279">
        <v>18</v>
      </c>
      <c r="K49" s="279">
        <v>50.88</v>
      </c>
      <c r="L49" s="279">
        <v>50.88</v>
      </c>
      <c r="M49" s="279">
        <v>18121.46</v>
      </c>
      <c r="N49" s="282">
        <v>928000</v>
      </c>
      <c r="O49" s="282">
        <v>17998.45</v>
      </c>
      <c r="T49" s="282"/>
      <c r="W49" s="279" t="s">
        <v>422</v>
      </c>
      <c r="X49" s="282">
        <v>50000</v>
      </c>
      <c r="Y49" s="279" t="s">
        <v>384</v>
      </c>
      <c r="Z49" s="282">
        <v>418000</v>
      </c>
      <c r="AA49" s="279" t="s">
        <v>334</v>
      </c>
      <c r="AB49" s="282">
        <v>460000</v>
      </c>
      <c r="AC49" s="279" t="s">
        <v>426</v>
      </c>
      <c r="AL49" s="282">
        <f t="shared" si="7"/>
        <v>928000</v>
      </c>
      <c r="AO49" s="314">
        <f t="shared" si="15"/>
        <v>0</v>
      </c>
      <c r="AP49" s="279">
        <v>13667531562</v>
      </c>
      <c r="AT49" s="349">
        <f t="shared" si="13"/>
        <v>0</v>
      </c>
      <c r="AU49" s="294"/>
      <c r="BC49" s="282">
        <f t="shared" si="14"/>
        <v>928000</v>
      </c>
      <c r="BD49" s="427">
        <f>1%+0.18%+0.25%</f>
        <v>0.0143</v>
      </c>
      <c r="BH49" s="279">
        <v>468000</v>
      </c>
      <c r="BK49" s="279">
        <v>460000</v>
      </c>
      <c r="BU49" s="278"/>
      <c r="BW49" s="279" t="s">
        <v>205</v>
      </c>
      <c r="BX49" s="279" t="s">
        <v>206</v>
      </c>
      <c r="CB49" s="279">
        <v>5750</v>
      </c>
    </row>
    <row r="50" s="278" customFormat="1" customHeight="1" spans="1:80">
      <c r="A50" s="278">
        <v>42</v>
      </c>
      <c r="F50" s="367"/>
      <c r="H50" s="131"/>
      <c r="I50" s="278" t="s">
        <v>102</v>
      </c>
      <c r="J50" s="278">
        <v>19</v>
      </c>
      <c r="K50" s="278">
        <v>102.97</v>
      </c>
      <c r="N50" s="103"/>
      <c r="O50" s="103">
        <v>16840.75</v>
      </c>
      <c r="T50" s="103"/>
      <c r="X50" s="103"/>
      <c r="Z50" s="103"/>
      <c r="AA50" s="311"/>
      <c r="AC50" s="311"/>
      <c r="AL50" s="103">
        <f t="shared" si="7"/>
        <v>0</v>
      </c>
      <c r="AO50" s="478"/>
      <c r="AT50" s="348">
        <f t="shared" si="13"/>
        <v>0</v>
      </c>
      <c r="AU50" s="293"/>
      <c r="BC50" s="103">
        <f t="shared" si="14"/>
        <v>0</v>
      </c>
      <c r="CB50" s="278">
        <v>8580</v>
      </c>
    </row>
    <row r="51" s="279" customFormat="1" customHeight="1" spans="1:75">
      <c r="A51" s="278">
        <v>43</v>
      </c>
      <c r="C51" s="331">
        <v>45533</v>
      </c>
      <c r="D51" s="279">
        <v>20240004964</v>
      </c>
      <c r="F51" s="295" t="s">
        <v>427</v>
      </c>
      <c r="G51" s="279" t="s">
        <v>428</v>
      </c>
      <c r="H51" s="131"/>
      <c r="I51" s="279" t="s">
        <v>95</v>
      </c>
      <c r="J51" s="279">
        <v>1</v>
      </c>
      <c r="K51" s="279">
        <v>124.63</v>
      </c>
      <c r="L51" s="279">
        <v>124.63</v>
      </c>
      <c r="M51" s="279">
        <v>9538.95</v>
      </c>
      <c r="N51" s="282">
        <v>1200000</v>
      </c>
      <c r="O51" s="282">
        <v>9538.95</v>
      </c>
      <c r="T51" s="282"/>
      <c r="U51" s="279"/>
      <c r="X51" s="282">
        <v>600000</v>
      </c>
      <c r="Y51" s="279" t="s">
        <v>380</v>
      </c>
      <c r="Z51" s="282">
        <v>200000</v>
      </c>
      <c r="AA51" s="283" t="s">
        <v>429</v>
      </c>
      <c r="AB51" s="282">
        <v>400000</v>
      </c>
      <c r="AC51" s="279" t="s">
        <v>430</v>
      </c>
      <c r="AL51" s="282">
        <f t="shared" si="7"/>
        <v>1200000</v>
      </c>
      <c r="AO51" s="314">
        <f t="shared" si="16"/>
        <v>0</v>
      </c>
      <c r="AP51" s="279">
        <v>15276156276</v>
      </c>
      <c r="AQ51" s="279" t="s">
        <v>431</v>
      </c>
      <c r="AT51" s="349">
        <f t="shared" si="13"/>
        <v>0</v>
      </c>
      <c r="AU51" s="294"/>
      <c r="BC51" s="282">
        <f t="shared" si="14"/>
        <v>1200000</v>
      </c>
      <c r="BD51" s="428">
        <v>0.012</v>
      </c>
      <c r="BR51" s="279">
        <v>800000</v>
      </c>
      <c r="BS51" s="279">
        <v>400000</v>
      </c>
      <c r="BU51" s="279">
        <f>BD51*BS51</f>
        <v>4800</v>
      </c>
      <c r="BW51" s="279" t="s">
        <v>205</v>
      </c>
    </row>
    <row r="52" s="279" customFormat="1" customHeight="1" spans="1:80">
      <c r="A52" s="278">
        <v>44</v>
      </c>
      <c r="C52" s="331">
        <v>45530</v>
      </c>
      <c r="D52" s="279">
        <v>20240004848</v>
      </c>
      <c r="F52" s="295" t="s">
        <v>432</v>
      </c>
      <c r="G52" s="279" t="s">
        <v>433</v>
      </c>
      <c r="H52" s="131"/>
      <c r="I52" s="279" t="s">
        <v>95</v>
      </c>
      <c r="J52" s="279">
        <v>2</v>
      </c>
      <c r="K52" s="279">
        <v>123.99</v>
      </c>
      <c r="L52" s="279">
        <v>123.99</v>
      </c>
      <c r="M52" s="279">
        <v>8950</v>
      </c>
      <c r="N52" s="282">
        <v>1120093</v>
      </c>
      <c r="O52" s="282">
        <v>8928.62</v>
      </c>
      <c r="T52" s="282">
        <v>100000</v>
      </c>
      <c r="U52" s="331" t="s">
        <v>434</v>
      </c>
      <c r="W52" s="279" t="s">
        <v>201</v>
      </c>
      <c r="X52" s="282">
        <v>10000</v>
      </c>
      <c r="Y52" s="279" t="s">
        <v>212</v>
      </c>
      <c r="Z52" s="282">
        <v>40000</v>
      </c>
      <c r="AA52" s="279" t="s">
        <v>435</v>
      </c>
      <c r="AB52" s="282">
        <f>1000+50000+147000+22000</f>
        <v>220000</v>
      </c>
      <c r="AC52" s="283"/>
      <c r="AD52" s="282">
        <v>190093</v>
      </c>
      <c r="AE52" s="279" t="s">
        <v>282</v>
      </c>
      <c r="AF52" s="282">
        <v>560000</v>
      </c>
      <c r="AG52" s="331">
        <v>45562</v>
      </c>
      <c r="AH52" s="282">
        <v>100000</v>
      </c>
      <c r="AI52" s="331" t="s">
        <v>434</v>
      </c>
      <c r="AL52" s="282">
        <f t="shared" si="7"/>
        <v>1120093</v>
      </c>
      <c r="AO52" s="314">
        <f t="shared" si="16"/>
        <v>0</v>
      </c>
      <c r="AP52" s="279">
        <v>15276287083</v>
      </c>
      <c r="AT52" s="349">
        <f t="shared" si="13"/>
        <v>0</v>
      </c>
      <c r="AU52" s="294"/>
      <c r="BC52" s="282">
        <f t="shared" si="14"/>
        <v>0</v>
      </c>
      <c r="BD52" s="427">
        <f>1%+0.14%</f>
        <v>0.0114</v>
      </c>
      <c r="BU52" s="278"/>
      <c r="BW52" s="279" t="s">
        <v>205</v>
      </c>
      <c r="CB52" s="279">
        <v>7736.3</v>
      </c>
    </row>
    <row r="53" s="279" customFormat="1" ht="48" customHeight="1" spans="1:80">
      <c r="A53" s="278">
        <v>45</v>
      </c>
      <c r="C53" s="279" t="s">
        <v>436</v>
      </c>
      <c r="D53" s="279">
        <v>20240006221</v>
      </c>
      <c r="F53" s="295" t="s">
        <v>437</v>
      </c>
      <c r="G53" s="294" t="s">
        <v>438</v>
      </c>
      <c r="H53" s="131"/>
      <c r="I53" s="279" t="s">
        <v>95</v>
      </c>
      <c r="J53" s="279">
        <v>3</v>
      </c>
      <c r="K53" s="279">
        <v>119.5</v>
      </c>
      <c r="L53" s="279">
        <v>119.5</v>
      </c>
      <c r="M53" s="279">
        <v>9119.55</v>
      </c>
      <c r="N53" s="282">
        <v>1100000</v>
      </c>
      <c r="O53" s="282">
        <v>9000</v>
      </c>
      <c r="T53" s="282">
        <f>500000+50000</f>
        <v>550000</v>
      </c>
      <c r="U53" s="279" t="s">
        <v>439</v>
      </c>
      <c r="W53" s="294" t="s">
        <v>440</v>
      </c>
      <c r="X53" s="282">
        <v>20000</v>
      </c>
      <c r="Y53" s="279" t="s">
        <v>380</v>
      </c>
      <c r="Z53" s="282">
        <v>50000</v>
      </c>
      <c r="AA53" s="279" t="s">
        <v>439</v>
      </c>
      <c r="AB53" s="279">
        <v>500000</v>
      </c>
      <c r="AC53" s="283" t="s">
        <v>441</v>
      </c>
      <c r="AL53" s="282">
        <f t="shared" si="7"/>
        <v>570000</v>
      </c>
      <c r="AO53" s="314">
        <f t="shared" si="16"/>
        <v>530000</v>
      </c>
      <c r="AP53" s="279">
        <v>18299789646</v>
      </c>
      <c r="AQ53" s="279" t="s">
        <v>431</v>
      </c>
      <c r="AT53" s="349">
        <f t="shared" si="13"/>
        <v>0</v>
      </c>
      <c r="AU53" s="294"/>
      <c r="BC53" s="282">
        <f t="shared" si="14"/>
        <v>0</v>
      </c>
      <c r="BD53" s="428">
        <f>1%+0.2%</f>
        <v>0.012</v>
      </c>
      <c r="CB53" s="279">
        <v>6149</v>
      </c>
    </row>
    <row r="54" s="279" customFormat="1" customHeight="1" spans="1:80">
      <c r="A54" s="278">
        <v>46</v>
      </c>
      <c r="C54" s="279" t="s">
        <v>442</v>
      </c>
      <c r="D54" s="279">
        <v>20230010720</v>
      </c>
      <c r="E54" s="717" t="s">
        <v>443</v>
      </c>
      <c r="F54" s="295" t="s">
        <v>444</v>
      </c>
      <c r="G54" s="279" t="s">
        <v>445</v>
      </c>
      <c r="H54" s="131"/>
      <c r="I54" s="279" t="s">
        <v>95</v>
      </c>
      <c r="J54" s="279">
        <v>4</v>
      </c>
      <c r="K54" s="279">
        <v>78.72</v>
      </c>
      <c r="L54" s="279">
        <v>78.72</v>
      </c>
      <c r="M54" s="279">
        <v>10000</v>
      </c>
      <c r="N54" s="282">
        <v>794600</v>
      </c>
      <c r="O54" s="282">
        <v>9725.34</v>
      </c>
      <c r="T54" s="282"/>
      <c r="W54" s="279" t="s">
        <v>226</v>
      </c>
      <c r="X54" s="282">
        <v>10000</v>
      </c>
      <c r="Y54" s="279" t="s">
        <v>446</v>
      </c>
      <c r="Z54" s="282">
        <v>90000</v>
      </c>
      <c r="AA54" s="283" t="s">
        <v>447</v>
      </c>
      <c r="AB54" s="282">
        <f>9200+295400</f>
        <v>304600</v>
      </c>
      <c r="AC54" s="279" t="s">
        <v>426</v>
      </c>
      <c r="AD54" s="282">
        <v>390000</v>
      </c>
      <c r="AE54" s="279" t="s">
        <v>448</v>
      </c>
      <c r="AL54" s="282">
        <f t="shared" ref="AL54:AL72" si="17">X54+Z54+AB54+AD54+AF54+AH54+AJ54</f>
        <v>794600</v>
      </c>
      <c r="AO54" s="314">
        <f t="shared" ref="AO54:AO61" si="18">N54-AL54</f>
        <v>0</v>
      </c>
      <c r="AP54" s="279">
        <v>18997668556</v>
      </c>
      <c r="AT54" s="349">
        <f t="shared" si="13"/>
        <v>0</v>
      </c>
      <c r="AU54" s="294"/>
      <c r="BC54" s="282">
        <f t="shared" si="14"/>
        <v>794600</v>
      </c>
      <c r="BD54" s="427">
        <f>0.8%+0.13%+0.14%</f>
        <v>0.0107</v>
      </c>
      <c r="BK54" s="279">
        <v>404600</v>
      </c>
      <c r="BL54" s="279">
        <v>390000</v>
      </c>
      <c r="BU54" s="278"/>
      <c r="BW54" s="279" t="s">
        <v>205</v>
      </c>
      <c r="BX54" s="279" t="s">
        <v>206</v>
      </c>
      <c r="CB54" s="279">
        <v>8222.5</v>
      </c>
    </row>
    <row r="55" s="279" customFormat="1" customHeight="1" spans="1:80">
      <c r="A55" s="278">
        <v>47</v>
      </c>
      <c r="C55" s="279" t="s">
        <v>442</v>
      </c>
      <c r="D55" s="279">
        <v>20230010721</v>
      </c>
      <c r="E55" s="717" t="s">
        <v>443</v>
      </c>
      <c r="F55" s="295" t="s">
        <v>444</v>
      </c>
      <c r="G55" s="279" t="s">
        <v>445</v>
      </c>
      <c r="H55" s="131"/>
      <c r="I55" s="279" t="s">
        <v>95</v>
      </c>
      <c r="J55" s="279">
        <v>5</v>
      </c>
      <c r="K55" s="279">
        <v>78.72</v>
      </c>
      <c r="L55" s="279">
        <v>78.72</v>
      </c>
      <c r="M55" s="279">
        <v>10000</v>
      </c>
      <c r="N55" s="282">
        <v>794600</v>
      </c>
      <c r="O55" s="282">
        <v>9645.63</v>
      </c>
      <c r="T55" s="282"/>
      <c r="W55" s="279" t="s">
        <v>226</v>
      </c>
      <c r="X55" s="282">
        <v>10000</v>
      </c>
      <c r="Y55" s="279" t="s">
        <v>446</v>
      </c>
      <c r="Z55" s="282">
        <v>90000</v>
      </c>
      <c r="AA55" s="283" t="s">
        <v>447</v>
      </c>
      <c r="AB55" s="282">
        <v>304600</v>
      </c>
      <c r="AC55" s="279" t="s">
        <v>426</v>
      </c>
      <c r="AD55" s="282">
        <v>390000</v>
      </c>
      <c r="AE55" s="279" t="s">
        <v>448</v>
      </c>
      <c r="AL55" s="282">
        <f t="shared" si="17"/>
        <v>794600</v>
      </c>
      <c r="AO55" s="314">
        <f t="shared" si="18"/>
        <v>0</v>
      </c>
      <c r="AP55" s="279">
        <v>18997668556</v>
      </c>
      <c r="AT55" s="349">
        <f t="shared" si="13"/>
        <v>0</v>
      </c>
      <c r="AU55" s="294"/>
      <c r="BC55" s="282">
        <f t="shared" si="14"/>
        <v>794600</v>
      </c>
      <c r="BD55" s="427">
        <f>0.8%+0.13%+0.14%</f>
        <v>0.0107</v>
      </c>
      <c r="BK55" s="279">
        <v>404600</v>
      </c>
      <c r="BL55" s="279">
        <v>390000</v>
      </c>
      <c r="BU55" s="278"/>
      <c r="BW55" s="279" t="s">
        <v>205</v>
      </c>
      <c r="BX55" s="279" t="s">
        <v>206</v>
      </c>
      <c r="CB55" s="279">
        <v>11250</v>
      </c>
    </row>
    <row r="56" s="279" customFormat="1" customHeight="1" spans="1:80">
      <c r="A56" s="278">
        <v>48</v>
      </c>
      <c r="C56" s="331">
        <v>45202</v>
      </c>
      <c r="D56" s="279">
        <v>20230008531</v>
      </c>
      <c r="E56" s="717" t="s">
        <v>449</v>
      </c>
      <c r="F56" s="718" t="s">
        <v>450</v>
      </c>
      <c r="G56" s="279" t="s">
        <v>451</v>
      </c>
      <c r="H56" s="131"/>
      <c r="I56" s="279" t="s">
        <v>95</v>
      </c>
      <c r="J56" s="279">
        <v>6</v>
      </c>
      <c r="K56" s="279">
        <v>78.72</v>
      </c>
      <c r="L56" s="279">
        <v>78.72</v>
      </c>
      <c r="M56" s="279">
        <v>9690.4</v>
      </c>
      <c r="N56" s="282">
        <v>770000</v>
      </c>
      <c r="O56" s="282">
        <v>9565.91</v>
      </c>
      <c r="T56" s="282"/>
      <c r="W56" s="279" t="s">
        <v>411</v>
      </c>
      <c r="X56" s="282">
        <v>100000</v>
      </c>
      <c r="Y56" s="279" t="s">
        <v>334</v>
      </c>
      <c r="Z56" s="282">
        <v>670000</v>
      </c>
      <c r="AA56" s="283" t="s">
        <v>334</v>
      </c>
      <c r="AC56" s="283"/>
      <c r="AL56" s="282">
        <f t="shared" si="17"/>
        <v>770000</v>
      </c>
      <c r="AO56" s="314">
        <f t="shared" si="18"/>
        <v>0</v>
      </c>
      <c r="AP56" s="279">
        <v>13899022962</v>
      </c>
      <c r="AT56" s="349">
        <f t="shared" si="13"/>
        <v>0</v>
      </c>
      <c r="AU56" s="294"/>
      <c r="BC56" s="282">
        <f t="shared" si="14"/>
        <v>770000</v>
      </c>
      <c r="BD56" s="427">
        <f>1%+0.25%</f>
        <v>0.0125</v>
      </c>
      <c r="BH56" s="279">
        <v>770000</v>
      </c>
      <c r="BU56" s="278"/>
      <c r="BW56" s="279" t="s">
        <v>205</v>
      </c>
      <c r="BX56" s="279" t="s">
        <v>206</v>
      </c>
      <c r="CB56" s="279">
        <v>20735</v>
      </c>
    </row>
    <row r="57" s="279" customFormat="1" customHeight="1" spans="1:80">
      <c r="A57" s="278">
        <v>49</v>
      </c>
      <c r="C57" s="331">
        <v>45319</v>
      </c>
      <c r="D57" s="279">
        <v>20240000633</v>
      </c>
      <c r="E57" s="717" t="s">
        <v>452</v>
      </c>
      <c r="F57" s="295" t="s">
        <v>453</v>
      </c>
      <c r="G57" s="279" t="s">
        <v>454</v>
      </c>
      <c r="H57" s="131"/>
      <c r="I57" s="279" t="s">
        <v>95</v>
      </c>
      <c r="J57" s="279">
        <v>7</v>
      </c>
      <c r="K57" s="279">
        <v>69.35</v>
      </c>
      <c r="L57" s="279">
        <v>69.35</v>
      </c>
      <c r="M57" s="279">
        <v>9740</v>
      </c>
      <c r="N57" s="282">
        <v>681800</v>
      </c>
      <c r="O57" s="282">
        <v>9646.51</v>
      </c>
      <c r="T57" s="282"/>
      <c r="W57" s="279" t="s">
        <v>411</v>
      </c>
      <c r="X57" s="282">
        <v>30000</v>
      </c>
      <c r="Y57" s="279" t="s">
        <v>341</v>
      </c>
      <c r="Z57" s="282">
        <f>10000+130000</f>
        <v>140000</v>
      </c>
      <c r="AA57" s="279" t="s">
        <v>455</v>
      </c>
      <c r="AB57" s="279">
        <v>130000</v>
      </c>
      <c r="AC57" s="283" t="s">
        <v>404</v>
      </c>
      <c r="AD57" s="282">
        <v>230000</v>
      </c>
      <c r="AE57" s="279" t="s">
        <v>456</v>
      </c>
      <c r="AF57" s="282">
        <f>77000+74800</f>
        <v>151800</v>
      </c>
      <c r="AG57" s="331" t="s">
        <v>457</v>
      </c>
      <c r="AL57" s="282">
        <f t="shared" si="17"/>
        <v>681800</v>
      </c>
      <c r="AO57" s="314">
        <f t="shared" si="18"/>
        <v>0</v>
      </c>
      <c r="AP57" s="279">
        <v>18095858980</v>
      </c>
      <c r="AT57" s="349">
        <f t="shared" si="13"/>
        <v>0</v>
      </c>
      <c r="AU57" s="294"/>
      <c r="BC57" s="282">
        <f t="shared" si="14"/>
        <v>681800</v>
      </c>
      <c r="BD57" s="427">
        <f>1%+0.25%</f>
        <v>0.0125</v>
      </c>
      <c r="BL57" s="279">
        <v>681800</v>
      </c>
      <c r="BU57" s="278"/>
      <c r="BW57" s="279" t="s">
        <v>205</v>
      </c>
      <c r="BX57" s="279" t="s">
        <v>206</v>
      </c>
      <c r="CB57" s="279">
        <v>17156.6466</v>
      </c>
    </row>
    <row r="58" s="279" customFormat="1" customHeight="1" spans="1:80">
      <c r="A58" s="278">
        <v>50</v>
      </c>
      <c r="C58" s="331">
        <v>45202</v>
      </c>
      <c r="D58" s="279">
        <v>20230008528</v>
      </c>
      <c r="E58" s="717" t="s">
        <v>458</v>
      </c>
      <c r="F58" s="295"/>
      <c r="G58" s="279" t="s">
        <v>459</v>
      </c>
      <c r="H58" s="131"/>
      <c r="I58" s="279" t="s">
        <v>95</v>
      </c>
      <c r="J58" s="279">
        <v>8</v>
      </c>
      <c r="K58" s="279">
        <v>82.47</v>
      </c>
      <c r="L58" s="279">
        <v>82.47</v>
      </c>
      <c r="M58" s="279">
        <v>9851</v>
      </c>
      <c r="N58" s="282">
        <v>820000</v>
      </c>
      <c r="O58" s="282">
        <v>9725.51</v>
      </c>
      <c r="T58" s="282"/>
      <c r="V58" s="279" t="s">
        <v>460</v>
      </c>
      <c r="W58" s="279" t="s">
        <v>461</v>
      </c>
      <c r="X58" s="282">
        <v>20000</v>
      </c>
      <c r="Y58" s="283" t="s">
        <v>462</v>
      </c>
      <c r="Z58" s="282">
        <v>80000</v>
      </c>
      <c r="AA58" s="279" t="s">
        <v>334</v>
      </c>
      <c r="AB58" s="279">
        <v>720000</v>
      </c>
      <c r="AC58" s="283" t="s">
        <v>334</v>
      </c>
      <c r="AL58" s="282">
        <f t="shared" si="17"/>
        <v>820000</v>
      </c>
      <c r="AO58" s="314">
        <f t="shared" si="18"/>
        <v>0</v>
      </c>
      <c r="AP58" s="279">
        <v>13899022962</v>
      </c>
      <c r="AT58" s="349">
        <f t="shared" si="13"/>
        <v>0</v>
      </c>
      <c r="AU58" s="294"/>
      <c r="BC58" s="282">
        <f t="shared" si="14"/>
        <v>820000</v>
      </c>
      <c r="BD58" s="427">
        <f>1%+0.25%</f>
        <v>0.0125</v>
      </c>
      <c r="BH58" s="279">
        <v>820000</v>
      </c>
      <c r="BU58" s="278"/>
      <c r="BW58" s="279" t="s">
        <v>205</v>
      </c>
      <c r="BX58" s="279" t="s">
        <v>206</v>
      </c>
      <c r="CB58" s="279">
        <v>13245.546</v>
      </c>
    </row>
    <row r="59" s="279" customFormat="1" customHeight="1" spans="1:76">
      <c r="A59" s="278">
        <v>51</v>
      </c>
      <c r="C59" s="331">
        <v>45202</v>
      </c>
      <c r="D59" s="279">
        <v>20230008534</v>
      </c>
      <c r="E59" s="717" t="s">
        <v>463</v>
      </c>
      <c r="F59" s="295" t="s">
        <v>464</v>
      </c>
      <c r="G59" s="279" t="s">
        <v>465</v>
      </c>
      <c r="H59" s="131"/>
      <c r="I59" s="279" t="s">
        <v>95</v>
      </c>
      <c r="J59" s="279">
        <v>9</v>
      </c>
      <c r="K59" s="279">
        <v>78.72</v>
      </c>
      <c r="L59" s="279">
        <v>78.72</v>
      </c>
      <c r="M59" s="279">
        <v>9942</v>
      </c>
      <c r="N59" s="282">
        <v>790000</v>
      </c>
      <c r="O59" s="282">
        <v>9805.06</v>
      </c>
      <c r="T59" s="282"/>
      <c r="V59" s="717" t="s">
        <v>466</v>
      </c>
      <c r="W59" s="279" t="s">
        <v>411</v>
      </c>
      <c r="X59" s="282">
        <v>20000</v>
      </c>
      <c r="Y59" s="279" t="s">
        <v>462</v>
      </c>
      <c r="Z59" s="282">
        <v>80000</v>
      </c>
      <c r="AA59" s="279" t="s">
        <v>334</v>
      </c>
      <c r="AB59" s="279">
        <v>300000</v>
      </c>
      <c r="AC59" s="283" t="s">
        <v>334</v>
      </c>
      <c r="AD59" s="282">
        <v>230000</v>
      </c>
      <c r="AE59" s="279" t="s">
        <v>467</v>
      </c>
      <c r="AF59" s="282">
        <v>160000</v>
      </c>
      <c r="AG59" s="279" t="s">
        <v>468</v>
      </c>
      <c r="AL59" s="282">
        <f t="shared" si="17"/>
        <v>790000</v>
      </c>
      <c r="AO59" s="314">
        <f t="shared" si="18"/>
        <v>0</v>
      </c>
      <c r="AP59" s="279">
        <v>15199940173</v>
      </c>
      <c r="AT59" s="349">
        <f t="shared" si="13"/>
        <v>0</v>
      </c>
      <c r="AU59" s="294"/>
      <c r="BC59" s="282">
        <f t="shared" si="14"/>
        <v>790000</v>
      </c>
      <c r="BD59" s="427">
        <f>1%+0.25%</f>
        <v>0.0125</v>
      </c>
      <c r="BN59" s="279">
        <v>790000</v>
      </c>
      <c r="BW59" s="279" t="s">
        <v>205</v>
      </c>
      <c r="BX59" s="279" t="s">
        <v>206</v>
      </c>
    </row>
    <row r="60" s="279" customFormat="1" customHeight="1" spans="1:75">
      <c r="A60" s="278">
        <v>52</v>
      </c>
      <c r="C60" s="331">
        <v>45538</v>
      </c>
      <c r="D60" s="279">
        <v>20240005074</v>
      </c>
      <c r="F60" s="295"/>
      <c r="G60" s="279" t="s">
        <v>469</v>
      </c>
      <c r="H60" s="131"/>
      <c r="I60" s="279" t="s">
        <v>95</v>
      </c>
      <c r="J60" s="279">
        <v>10</v>
      </c>
      <c r="K60" s="279">
        <v>140.64</v>
      </c>
      <c r="L60" s="279">
        <v>140.64</v>
      </c>
      <c r="M60" s="279">
        <v>9300</v>
      </c>
      <c r="N60" s="282">
        <v>1322739</v>
      </c>
      <c r="O60" s="282">
        <v>9126.58</v>
      </c>
      <c r="T60" s="282"/>
      <c r="U60" s="331"/>
      <c r="W60" s="279" t="s">
        <v>217</v>
      </c>
      <c r="X60" s="282">
        <v>10000</v>
      </c>
      <c r="Y60" s="279" t="s">
        <v>470</v>
      </c>
      <c r="Z60" s="282">
        <v>250000</v>
      </c>
      <c r="AA60" s="279" t="s">
        <v>429</v>
      </c>
      <c r="AB60" s="279">
        <v>70000</v>
      </c>
      <c r="AC60" s="283" t="s">
        <v>412</v>
      </c>
      <c r="AD60" s="282">
        <f>100000+892739</f>
        <v>992739</v>
      </c>
      <c r="AE60" s="331">
        <v>45538</v>
      </c>
      <c r="AL60" s="282">
        <f t="shared" si="17"/>
        <v>1322739</v>
      </c>
      <c r="AO60" s="314">
        <f t="shared" si="18"/>
        <v>0</v>
      </c>
      <c r="AT60" s="349">
        <f t="shared" si="13"/>
        <v>0</v>
      </c>
      <c r="AU60" s="294"/>
      <c r="BC60" s="282">
        <f t="shared" si="14"/>
        <v>1322739</v>
      </c>
      <c r="BD60" s="427">
        <f>1%+0.15%+0.14%</f>
        <v>0.0129</v>
      </c>
      <c r="BS60" s="279">
        <v>1322739</v>
      </c>
      <c r="BU60" s="279">
        <f>BD60*BS60</f>
        <v>17063.3331</v>
      </c>
      <c r="BW60" s="279" t="s">
        <v>205</v>
      </c>
    </row>
    <row r="61" s="279" customFormat="1" customHeight="1" spans="1:76">
      <c r="A61" s="278">
        <v>53</v>
      </c>
      <c r="C61" s="279" t="s">
        <v>471</v>
      </c>
      <c r="D61" s="279">
        <v>20240000151</v>
      </c>
      <c r="F61" s="295" t="s">
        <v>472</v>
      </c>
      <c r="G61" s="294" t="s">
        <v>473</v>
      </c>
      <c r="H61" s="131"/>
      <c r="I61" s="279" t="s">
        <v>95</v>
      </c>
      <c r="J61" s="279">
        <v>11</v>
      </c>
      <c r="K61" s="279">
        <v>237.74</v>
      </c>
      <c r="L61" s="279">
        <v>237.74</v>
      </c>
      <c r="M61" s="279">
        <f>N61/L61</f>
        <v>11971.746445697</v>
      </c>
      <c r="N61" s="318">
        <v>2846163</v>
      </c>
      <c r="O61" s="282">
        <v>11520</v>
      </c>
      <c r="T61" s="282"/>
      <c r="V61" s="279" t="s">
        <v>474</v>
      </c>
      <c r="W61" s="279" t="s">
        <v>475</v>
      </c>
      <c r="X61" s="282">
        <v>100000</v>
      </c>
      <c r="Y61" s="279" t="s">
        <v>476</v>
      </c>
      <c r="Z61" s="282">
        <v>1326163</v>
      </c>
      <c r="AA61" s="279" t="s">
        <v>456</v>
      </c>
      <c r="AB61" s="282">
        <v>1420000</v>
      </c>
      <c r="AC61" s="279" t="s">
        <v>477</v>
      </c>
      <c r="AL61" s="282">
        <f t="shared" si="17"/>
        <v>2846163</v>
      </c>
      <c r="AO61" s="314">
        <f t="shared" si="18"/>
        <v>0</v>
      </c>
      <c r="AP61" s="279">
        <v>18809965000</v>
      </c>
      <c r="AT61" s="349">
        <f t="shared" si="13"/>
        <v>0</v>
      </c>
      <c r="AU61" s="349"/>
      <c r="AV61" s="282"/>
      <c r="AW61" s="282"/>
      <c r="AX61" s="282"/>
      <c r="AY61" s="282"/>
      <c r="AZ61" s="282"/>
      <c r="BA61" s="282"/>
      <c r="BB61" s="282"/>
      <c r="BC61" s="282">
        <f t="shared" si="14"/>
        <v>2846163</v>
      </c>
      <c r="BD61" s="427">
        <f>1%+0.18%+0.25%</f>
        <v>0.0143</v>
      </c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  <c r="BQ61" s="282">
        <v>2846163</v>
      </c>
      <c r="BR61" s="282"/>
      <c r="BS61" s="282"/>
      <c r="BT61" s="282"/>
      <c r="BW61" s="279" t="s">
        <v>205</v>
      </c>
      <c r="BX61" s="279" t="s">
        <v>206</v>
      </c>
    </row>
    <row r="62" s="279" customFormat="1" ht="57" customHeight="1" spans="1:76">
      <c r="A62" s="278">
        <v>54</v>
      </c>
      <c r="C62" s="331">
        <v>45308</v>
      </c>
      <c r="D62" s="279">
        <v>20240000152</v>
      </c>
      <c r="F62" s="295"/>
      <c r="G62" s="294" t="s">
        <v>478</v>
      </c>
      <c r="H62" s="131"/>
      <c r="I62" s="279" t="s">
        <v>95</v>
      </c>
      <c r="J62" s="279">
        <v>12</v>
      </c>
      <c r="K62" s="279">
        <v>205.28</v>
      </c>
      <c r="L62" s="279">
        <v>205.28</v>
      </c>
      <c r="M62" s="279">
        <v>11860</v>
      </c>
      <c r="N62" s="318">
        <v>2457511</v>
      </c>
      <c r="O62" s="282">
        <v>11520</v>
      </c>
      <c r="T62" s="282"/>
      <c r="U62" s="330"/>
      <c r="V62" s="294" t="s">
        <v>474</v>
      </c>
      <c r="W62" s="294" t="s">
        <v>474</v>
      </c>
      <c r="X62" s="282">
        <v>100000</v>
      </c>
      <c r="Y62" s="330" t="s">
        <v>476</v>
      </c>
      <c r="Z62" s="282">
        <v>1137511</v>
      </c>
      <c r="AA62" s="330" t="s">
        <v>456</v>
      </c>
      <c r="AB62" s="282">
        <v>580000</v>
      </c>
      <c r="AC62" s="330" t="s">
        <v>477</v>
      </c>
      <c r="AD62" s="282">
        <v>640000</v>
      </c>
      <c r="AE62" s="330" t="s">
        <v>479</v>
      </c>
      <c r="AL62" s="282">
        <f t="shared" si="17"/>
        <v>2457511</v>
      </c>
      <c r="AO62" s="314">
        <f t="shared" ref="AO62:AO67" si="19">N62-AL62</f>
        <v>0</v>
      </c>
      <c r="AT62" s="349">
        <f t="shared" si="13"/>
        <v>400</v>
      </c>
      <c r="AU62" s="349"/>
      <c r="AV62" s="282">
        <f>200+200</f>
        <v>400</v>
      </c>
      <c r="AW62" s="282"/>
      <c r="AX62" s="282"/>
      <c r="AY62" s="282"/>
      <c r="AZ62" s="282"/>
      <c r="BA62" s="282"/>
      <c r="BB62" s="282"/>
      <c r="BC62" s="282">
        <f t="shared" si="14"/>
        <v>2457511</v>
      </c>
      <c r="BD62" s="427">
        <f>1%+0.18%+0.25%</f>
        <v>0.0143</v>
      </c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  <c r="BQ62" s="282"/>
      <c r="BR62" s="282">
        <v>2457511</v>
      </c>
      <c r="BS62" s="282"/>
      <c r="BT62" s="282"/>
      <c r="BW62" s="279" t="s">
        <v>205</v>
      </c>
      <c r="BX62" s="279" t="s">
        <v>206</v>
      </c>
    </row>
    <row r="63" s="279" customFormat="1" customHeight="1" spans="1:76">
      <c r="A63" s="278">
        <v>55</v>
      </c>
      <c r="C63" s="331">
        <v>45204</v>
      </c>
      <c r="D63" s="279">
        <v>20230008633</v>
      </c>
      <c r="E63" s="717" t="s">
        <v>480</v>
      </c>
      <c r="F63" s="295" t="s">
        <v>481</v>
      </c>
      <c r="G63" s="279" t="s">
        <v>482</v>
      </c>
      <c r="H63" s="131"/>
      <c r="I63" s="279" t="s">
        <v>95</v>
      </c>
      <c r="J63" s="279">
        <v>13</v>
      </c>
      <c r="K63" s="279">
        <v>73.7</v>
      </c>
      <c r="L63" s="279">
        <v>73.7</v>
      </c>
      <c r="M63" s="279">
        <v>8510.97</v>
      </c>
      <c r="N63" s="318">
        <v>633216</v>
      </c>
      <c r="O63" s="282">
        <v>8210.97</v>
      </c>
      <c r="T63" s="282"/>
      <c r="U63" s="331"/>
      <c r="V63" s="279" t="s">
        <v>483</v>
      </c>
      <c r="W63" s="279" t="s">
        <v>484</v>
      </c>
      <c r="X63" s="282">
        <v>5000</v>
      </c>
      <c r="Y63" s="279" t="s">
        <v>485</v>
      </c>
      <c r="Z63" s="282">
        <v>95000</v>
      </c>
      <c r="AA63" s="283" t="s">
        <v>260</v>
      </c>
      <c r="AB63" s="282">
        <v>50000</v>
      </c>
      <c r="AC63" s="279" t="s">
        <v>384</v>
      </c>
      <c r="AD63" s="282">
        <v>173216</v>
      </c>
      <c r="AE63" s="279" t="s">
        <v>486</v>
      </c>
      <c r="AF63" s="282">
        <v>310000</v>
      </c>
      <c r="AG63" s="331">
        <v>45544</v>
      </c>
      <c r="AL63" s="282">
        <f t="shared" si="17"/>
        <v>633216</v>
      </c>
      <c r="AO63" s="314">
        <f t="shared" si="19"/>
        <v>0</v>
      </c>
      <c r="AP63" s="279">
        <v>18509960985</v>
      </c>
      <c r="AT63" s="349">
        <f t="shared" si="13"/>
        <v>0</v>
      </c>
      <c r="AU63" s="349"/>
      <c r="AV63" s="282"/>
      <c r="AW63" s="282"/>
      <c r="AX63" s="282"/>
      <c r="AY63" s="282"/>
      <c r="AZ63" s="282"/>
      <c r="BA63" s="282"/>
      <c r="BB63" s="282"/>
      <c r="BC63" s="282">
        <f t="shared" si="14"/>
        <v>633216</v>
      </c>
      <c r="BD63" s="428">
        <f>1%+0.18%+0.25%</f>
        <v>0.0143</v>
      </c>
      <c r="BE63" s="282"/>
      <c r="BF63" s="282"/>
      <c r="BG63" s="282"/>
      <c r="BH63" s="282">
        <v>323216</v>
      </c>
      <c r="BI63" s="282"/>
      <c r="BJ63" s="282"/>
      <c r="BK63" s="282"/>
      <c r="BL63" s="282"/>
      <c r="BM63" s="282"/>
      <c r="BN63" s="282"/>
      <c r="BO63" s="282"/>
      <c r="BP63" s="282"/>
      <c r="BQ63" s="282"/>
      <c r="BR63" s="282"/>
      <c r="BS63" s="282">
        <v>310000</v>
      </c>
      <c r="BT63" s="282"/>
      <c r="BU63" s="279">
        <f>BD63*BS63</f>
        <v>4433</v>
      </c>
      <c r="BW63" s="279" t="s">
        <v>205</v>
      </c>
      <c r="BX63" s="279" t="s">
        <v>206</v>
      </c>
    </row>
    <row r="64" s="279" customFormat="1" customHeight="1" spans="1:78">
      <c r="A64" s="278">
        <v>56</v>
      </c>
      <c r="C64" s="279" t="s">
        <v>384</v>
      </c>
      <c r="D64" s="279">
        <v>20230008344</v>
      </c>
      <c r="E64" s="717" t="s">
        <v>487</v>
      </c>
      <c r="F64" s="295" t="s">
        <v>488</v>
      </c>
      <c r="G64" s="279" t="s">
        <v>489</v>
      </c>
      <c r="H64" s="131"/>
      <c r="I64" s="279" t="s">
        <v>95</v>
      </c>
      <c r="J64" s="279">
        <v>14</v>
      </c>
      <c r="K64" s="279">
        <v>73.7</v>
      </c>
      <c r="L64" s="279">
        <v>73.7</v>
      </c>
      <c r="M64" s="279">
        <v>8431.25</v>
      </c>
      <c r="N64" s="318">
        <v>627285</v>
      </c>
      <c r="O64" s="282">
        <v>8131.25</v>
      </c>
      <c r="T64" s="282"/>
      <c r="U64" s="331"/>
      <c r="W64" s="279" t="s">
        <v>484</v>
      </c>
      <c r="X64" s="282">
        <v>100000</v>
      </c>
      <c r="Y64" s="279" t="s">
        <v>260</v>
      </c>
      <c r="Z64" s="282">
        <v>217285</v>
      </c>
      <c r="AA64" s="279" t="s">
        <v>341</v>
      </c>
      <c r="AB64" s="282">
        <v>310000</v>
      </c>
      <c r="AC64" s="331">
        <v>45561</v>
      </c>
      <c r="AL64" s="282">
        <f t="shared" si="17"/>
        <v>627285</v>
      </c>
      <c r="AO64" s="314">
        <f t="shared" si="19"/>
        <v>0</v>
      </c>
      <c r="AP64" s="279">
        <v>18999012716</v>
      </c>
      <c r="AT64" s="349">
        <f t="shared" si="13"/>
        <v>300</v>
      </c>
      <c r="AU64" s="349"/>
      <c r="AV64" s="282"/>
      <c r="AW64" s="282"/>
      <c r="AX64" s="282"/>
      <c r="AY64" s="282"/>
      <c r="AZ64" s="282"/>
      <c r="BA64" s="282"/>
      <c r="BB64" s="282">
        <v>300</v>
      </c>
      <c r="BC64" s="282">
        <f t="shared" si="14"/>
        <v>634570</v>
      </c>
      <c r="BD64" s="428">
        <f>1%+0.18%+0.25%</f>
        <v>0.0143</v>
      </c>
      <c r="BE64" s="282"/>
      <c r="BF64" s="282"/>
      <c r="BG64" s="282">
        <v>317285</v>
      </c>
      <c r="BH64" s="282">
        <v>317285</v>
      </c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78"/>
      <c r="BW64" s="279" t="s">
        <v>205</v>
      </c>
      <c r="BX64" s="279" t="s">
        <v>206</v>
      </c>
      <c r="BZ64" s="279">
        <f>7285*BD64</f>
        <v>104.1755</v>
      </c>
    </row>
    <row r="65" s="278" customFormat="1" customHeight="1" spans="1:55">
      <c r="A65" s="278">
        <v>57</v>
      </c>
      <c r="F65" s="367"/>
      <c r="H65" s="131"/>
      <c r="I65" s="278" t="s">
        <v>95</v>
      </c>
      <c r="J65" s="278">
        <v>15</v>
      </c>
      <c r="K65" s="278">
        <v>130.9</v>
      </c>
      <c r="L65" s="278"/>
      <c r="N65" s="103"/>
      <c r="O65" s="103">
        <v>7552.21</v>
      </c>
      <c r="T65" s="103"/>
      <c r="X65" s="103"/>
      <c r="Z65" s="103"/>
      <c r="AA65" s="311"/>
      <c r="AC65" s="311"/>
      <c r="AL65" s="103">
        <f t="shared" si="17"/>
        <v>0</v>
      </c>
      <c r="AO65" s="478"/>
      <c r="AT65" s="348">
        <f t="shared" si="13"/>
        <v>0</v>
      </c>
      <c r="AU65" s="293"/>
      <c r="BC65" s="103">
        <f t="shared" si="14"/>
        <v>0</v>
      </c>
    </row>
    <row r="66" s="279" customFormat="1" customHeight="1" spans="1:71">
      <c r="A66" s="279">
        <v>58</v>
      </c>
      <c r="B66" s="279"/>
      <c r="C66" s="279" t="s">
        <v>98</v>
      </c>
      <c r="D66" s="279">
        <v>20240005533</v>
      </c>
      <c r="F66" s="295" t="s">
        <v>490</v>
      </c>
      <c r="G66" s="279" t="s">
        <v>491</v>
      </c>
      <c r="H66" s="131"/>
      <c r="I66" s="279" t="s">
        <v>95</v>
      </c>
      <c r="J66" s="279">
        <v>16</v>
      </c>
      <c r="K66" s="279">
        <v>86.8</v>
      </c>
      <c r="L66" s="279">
        <v>85.99</v>
      </c>
      <c r="M66" s="279">
        <v>8011.26</v>
      </c>
      <c r="N66" s="282">
        <v>688888</v>
      </c>
      <c r="O66" s="282">
        <v>8189.96</v>
      </c>
      <c r="P66" s="279" t="s">
        <v>195</v>
      </c>
      <c r="T66" s="282">
        <v>340000</v>
      </c>
      <c r="U66" s="331" t="s">
        <v>410</v>
      </c>
      <c r="W66" s="279" t="s">
        <v>298</v>
      </c>
      <c r="X66" s="282">
        <v>10000</v>
      </c>
      <c r="Y66" s="331">
        <v>45547</v>
      </c>
      <c r="Z66" s="282">
        <v>188888</v>
      </c>
      <c r="AA66" s="299" t="s">
        <v>492</v>
      </c>
      <c r="AB66" s="279">
        <v>150000</v>
      </c>
      <c r="AC66" s="283" t="s">
        <v>493</v>
      </c>
      <c r="AD66" s="282">
        <v>340000</v>
      </c>
      <c r="AE66" s="331" t="s">
        <v>410</v>
      </c>
      <c r="AL66" s="282">
        <f t="shared" si="17"/>
        <v>688888</v>
      </c>
      <c r="AO66" s="314">
        <f>N66-AL66</f>
        <v>0</v>
      </c>
      <c r="AP66" s="279">
        <v>13551810694</v>
      </c>
      <c r="AT66" s="349">
        <f t="shared" si="13"/>
        <v>0</v>
      </c>
      <c r="AU66" s="294"/>
      <c r="BC66" s="282">
        <f t="shared" si="14"/>
        <v>0</v>
      </c>
      <c r="BD66" s="427">
        <f>0.8%+0.15%+0.2%</f>
        <v>0.0115</v>
      </c>
      <c r="BR66" s="278"/>
      <c r="BS66" s="278"/>
    </row>
    <row r="67" s="279" customFormat="1" customHeight="1" spans="1:75">
      <c r="A67" s="278">
        <v>59</v>
      </c>
      <c r="C67" s="331">
        <v>45499</v>
      </c>
      <c r="D67" s="279">
        <v>20240004261</v>
      </c>
      <c r="E67" s="717" t="s">
        <v>494</v>
      </c>
      <c r="F67" s="295" t="s">
        <v>495</v>
      </c>
      <c r="G67" s="294" t="s">
        <v>496</v>
      </c>
      <c r="H67" s="131"/>
      <c r="I67" s="279" t="s">
        <v>95</v>
      </c>
      <c r="J67" s="279">
        <v>17</v>
      </c>
      <c r="K67" s="279">
        <v>78.97</v>
      </c>
      <c r="L67" s="279">
        <v>78.97</v>
      </c>
      <c r="M67" s="279">
        <v>8300</v>
      </c>
      <c r="N67" s="282">
        <v>661593</v>
      </c>
      <c r="O67" s="282">
        <v>8110.16</v>
      </c>
      <c r="T67" s="282"/>
      <c r="U67" s="331"/>
      <c r="V67" s="331"/>
      <c r="W67" s="331" t="s">
        <v>411</v>
      </c>
      <c r="X67" s="282">
        <v>100000</v>
      </c>
      <c r="Y67" s="331" t="s">
        <v>497</v>
      </c>
      <c r="Z67" s="279">
        <v>100000</v>
      </c>
      <c r="AA67" s="283" t="s">
        <v>498</v>
      </c>
      <c r="AB67" s="282">
        <v>133622</v>
      </c>
      <c r="AC67" s="331" t="s">
        <v>499</v>
      </c>
      <c r="AD67" s="282"/>
      <c r="AE67" s="331"/>
      <c r="AL67" s="282">
        <f t="shared" si="17"/>
        <v>333622</v>
      </c>
      <c r="AO67" s="314">
        <f t="shared" si="19"/>
        <v>327971</v>
      </c>
      <c r="AP67" s="279">
        <v>15226213785</v>
      </c>
      <c r="AT67" s="349">
        <f t="shared" si="13"/>
        <v>0</v>
      </c>
      <c r="AU67" s="294"/>
      <c r="BC67" s="282">
        <f t="shared" si="14"/>
        <v>333622</v>
      </c>
      <c r="BD67" s="428">
        <f>1%+0.2%</f>
        <v>0.012</v>
      </c>
      <c r="BQ67" s="279">
        <v>333622</v>
      </c>
      <c r="BW67" s="279" t="s">
        <v>205</v>
      </c>
    </row>
    <row r="68" s="278" customFormat="1" customHeight="1" spans="1:55">
      <c r="A68" s="278">
        <v>60</v>
      </c>
      <c r="F68" s="367"/>
      <c r="H68" s="131"/>
      <c r="I68" s="278" t="s">
        <v>95</v>
      </c>
      <c r="J68" s="278">
        <v>18</v>
      </c>
      <c r="K68" s="278">
        <v>127.07</v>
      </c>
      <c r="N68" s="103"/>
      <c r="O68" s="103">
        <v>7791.2</v>
      </c>
      <c r="T68" s="103"/>
      <c r="U68" s="104"/>
      <c r="V68" s="104"/>
      <c r="W68" s="104"/>
      <c r="X68" s="103"/>
      <c r="Y68" s="104"/>
      <c r="Z68" s="103"/>
      <c r="AA68" s="311"/>
      <c r="AC68" s="311"/>
      <c r="AL68" s="103">
        <f t="shared" si="17"/>
        <v>0</v>
      </c>
      <c r="AO68" s="478"/>
      <c r="AT68" s="348">
        <f t="shared" si="13"/>
        <v>0</v>
      </c>
      <c r="AU68" s="293"/>
      <c r="BC68" s="103">
        <f t="shared" si="14"/>
        <v>0</v>
      </c>
    </row>
    <row r="69" s="279" customFormat="1" customHeight="1" spans="1:76">
      <c r="A69" s="278">
        <v>61</v>
      </c>
      <c r="C69" s="279" t="s">
        <v>500</v>
      </c>
      <c r="D69" s="279">
        <v>20230008933</v>
      </c>
      <c r="F69" s="295"/>
      <c r="G69" s="279" t="s">
        <v>501</v>
      </c>
      <c r="H69" s="131"/>
      <c r="I69" s="279" t="s">
        <v>95</v>
      </c>
      <c r="J69" s="279">
        <v>19</v>
      </c>
      <c r="K69" s="279">
        <v>58.66</v>
      </c>
      <c r="L69" s="279">
        <v>58.66</v>
      </c>
      <c r="M69" s="279">
        <v>8144.33</v>
      </c>
      <c r="N69" s="282">
        <v>482226</v>
      </c>
      <c r="O69" s="282">
        <v>7813.24</v>
      </c>
      <c r="T69" s="282"/>
      <c r="U69" s="331"/>
      <c r="V69" s="331"/>
      <c r="W69" s="331" t="s">
        <v>201</v>
      </c>
      <c r="X69" s="282">
        <v>400000</v>
      </c>
      <c r="Y69" s="331" t="s">
        <v>500</v>
      </c>
      <c r="Z69" s="282">
        <v>82226</v>
      </c>
      <c r="AA69" s="283" t="s">
        <v>502</v>
      </c>
      <c r="AC69" s="283"/>
      <c r="AL69" s="282">
        <f t="shared" si="17"/>
        <v>482226</v>
      </c>
      <c r="AO69" s="314">
        <f>N69-AL69</f>
        <v>0</v>
      </c>
      <c r="AT69" s="349">
        <f t="shared" si="13"/>
        <v>0</v>
      </c>
      <c r="AU69" s="294"/>
      <c r="BC69" s="282">
        <f t="shared" si="14"/>
        <v>482226</v>
      </c>
      <c r="BD69" s="486">
        <f>0.9%+0.2%</f>
        <v>0.011</v>
      </c>
      <c r="BH69" s="279">
        <v>482226</v>
      </c>
      <c r="BU69" s="278"/>
      <c r="BW69" s="279" t="s">
        <v>205</v>
      </c>
      <c r="BX69" s="279" t="s">
        <v>206</v>
      </c>
    </row>
    <row r="70" s="279" customFormat="1" customHeight="1" spans="1:76">
      <c r="A70" s="278">
        <v>62</v>
      </c>
      <c r="C70" s="331">
        <v>45329</v>
      </c>
      <c r="D70" s="279">
        <v>20240000814</v>
      </c>
      <c r="E70" s="717" t="s">
        <v>503</v>
      </c>
      <c r="F70" s="295" t="s">
        <v>504</v>
      </c>
      <c r="G70" s="279" t="s">
        <v>505</v>
      </c>
      <c r="H70" s="131"/>
      <c r="I70" s="279" t="s">
        <v>95</v>
      </c>
      <c r="J70" s="279">
        <v>20</v>
      </c>
      <c r="K70" s="279">
        <v>58.66</v>
      </c>
      <c r="L70" s="279">
        <v>58.66</v>
      </c>
      <c r="M70" s="279">
        <v>7768.95</v>
      </c>
      <c r="N70" s="282">
        <v>460000</v>
      </c>
      <c r="O70" s="282">
        <v>7768.95</v>
      </c>
      <c r="T70" s="282"/>
      <c r="U70" s="331"/>
      <c r="V70" s="331"/>
      <c r="W70" s="331" t="s">
        <v>411</v>
      </c>
      <c r="X70" s="282">
        <v>60000</v>
      </c>
      <c r="Y70" s="331" t="s">
        <v>500</v>
      </c>
      <c r="Z70" s="282">
        <v>110000</v>
      </c>
      <c r="AA70" s="331" t="s">
        <v>506</v>
      </c>
      <c r="AB70" s="282">
        <v>140000</v>
      </c>
      <c r="AC70" s="331" t="s">
        <v>507</v>
      </c>
      <c r="AD70" s="282">
        <v>150000</v>
      </c>
      <c r="AE70" s="331" t="s">
        <v>222</v>
      </c>
      <c r="AL70" s="282">
        <f t="shared" si="17"/>
        <v>460000</v>
      </c>
      <c r="AO70" s="314">
        <f>N70-AL70</f>
        <v>0</v>
      </c>
      <c r="AP70" s="279">
        <v>18196240028</v>
      </c>
      <c r="AT70" s="349">
        <f t="shared" si="13"/>
        <v>0</v>
      </c>
      <c r="AU70" s="294"/>
      <c r="BC70" s="282">
        <f t="shared" si="14"/>
        <v>460000</v>
      </c>
      <c r="BD70" s="428">
        <f>1%+0.2%</f>
        <v>0.012</v>
      </c>
      <c r="BL70" s="279">
        <v>310000</v>
      </c>
      <c r="BN70" s="279">
        <v>150000</v>
      </c>
      <c r="BW70" s="279" t="s">
        <v>205</v>
      </c>
      <c r="BX70" s="279" t="s">
        <v>206</v>
      </c>
    </row>
    <row r="71" s="278" customFormat="1" customHeight="1" spans="1:55">
      <c r="A71" s="278">
        <v>63</v>
      </c>
      <c r="F71" s="367"/>
      <c r="H71" s="131"/>
      <c r="I71" s="278" t="s">
        <v>95</v>
      </c>
      <c r="J71" s="278">
        <v>21</v>
      </c>
      <c r="K71" s="278">
        <v>118.54</v>
      </c>
      <c r="N71" s="103"/>
      <c r="O71" s="103">
        <v>7572.4</v>
      </c>
      <c r="T71" s="103"/>
      <c r="U71" s="104"/>
      <c r="V71" s="104"/>
      <c r="W71" s="104"/>
      <c r="X71" s="103"/>
      <c r="Y71" s="104"/>
      <c r="Z71" s="103"/>
      <c r="AA71" s="311"/>
      <c r="AC71" s="311"/>
      <c r="AL71" s="103">
        <f t="shared" si="17"/>
        <v>0</v>
      </c>
      <c r="AO71" s="478"/>
      <c r="AT71" s="348">
        <f t="shared" si="13"/>
        <v>0</v>
      </c>
      <c r="AU71" s="293"/>
      <c r="BC71" s="103">
        <f t="shared" si="14"/>
        <v>0</v>
      </c>
    </row>
    <row r="72" s="278" customFormat="1" customHeight="1" spans="1:55">
      <c r="A72" s="278">
        <v>64</v>
      </c>
      <c r="F72" s="367"/>
      <c r="H72" s="131"/>
      <c r="I72" s="278" t="s">
        <v>508</v>
      </c>
      <c r="J72" s="278">
        <v>1</v>
      </c>
      <c r="K72" s="278">
        <v>898.79</v>
      </c>
      <c r="N72" s="103"/>
      <c r="O72" s="103">
        <v>7898.53</v>
      </c>
      <c r="T72" s="103"/>
      <c r="U72" s="104"/>
      <c r="V72" s="368"/>
      <c r="W72" s="104"/>
      <c r="X72" s="103"/>
      <c r="Y72" s="104"/>
      <c r="Z72" s="103"/>
      <c r="AA72" s="311"/>
      <c r="AC72" s="311"/>
      <c r="AL72" s="103">
        <f t="shared" si="17"/>
        <v>0</v>
      </c>
      <c r="AO72" s="478"/>
      <c r="AT72" s="348">
        <f t="shared" si="13"/>
        <v>200</v>
      </c>
      <c r="AU72" s="293"/>
      <c r="AV72" s="278">
        <v>200</v>
      </c>
      <c r="BC72" s="103">
        <f t="shared" si="14"/>
        <v>0</v>
      </c>
    </row>
    <row r="73" s="279" customFormat="1" customHeight="1" spans="1:76">
      <c r="A73" s="278">
        <v>65</v>
      </c>
      <c r="C73" s="331">
        <v>45465</v>
      </c>
      <c r="D73" s="279">
        <v>20240003579</v>
      </c>
      <c r="E73" s="717" t="s">
        <v>509</v>
      </c>
      <c r="F73" s="295" t="s">
        <v>510</v>
      </c>
      <c r="G73" s="279" t="s">
        <v>511</v>
      </c>
      <c r="H73" s="279" t="s">
        <v>512</v>
      </c>
      <c r="I73" s="279" t="s">
        <v>102</v>
      </c>
      <c r="J73" s="279">
        <v>1</v>
      </c>
      <c r="K73" s="279">
        <v>43.43</v>
      </c>
      <c r="L73" s="279">
        <v>43.43</v>
      </c>
      <c r="M73" s="279">
        <v>17000</v>
      </c>
      <c r="N73" s="282">
        <f>M73*L73</f>
        <v>738310</v>
      </c>
      <c r="O73" s="282">
        <v>17000</v>
      </c>
      <c r="T73" s="282"/>
      <c r="U73" s="331"/>
      <c r="V73" s="720" t="s">
        <v>513</v>
      </c>
      <c r="W73" s="331" t="s">
        <v>422</v>
      </c>
      <c r="X73" s="282">
        <v>2000</v>
      </c>
      <c r="Y73" s="331" t="s">
        <v>364</v>
      </c>
      <c r="Z73" s="282">
        <v>48000</v>
      </c>
      <c r="AA73" s="331" t="s">
        <v>418</v>
      </c>
      <c r="AB73" s="282">
        <v>328310</v>
      </c>
      <c r="AC73" s="331" t="s">
        <v>514</v>
      </c>
      <c r="AD73" s="282">
        <v>360000</v>
      </c>
      <c r="AE73" s="331">
        <v>45554</v>
      </c>
      <c r="AL73" s="282">
        <f t="shared" ref="AL73:AL92" si="20">X73+Z73+AB73+AD73+AF73+AH73+AJ73</f>
        <v>738310</v>
      </c>
      <c r="AO73" s="314">
        <f>N73-AL73</f>
        <v>0</v>
      </c>
      <c r="AP73" s="279">
        <v>15276299122</v>
      </c>
      <c r="AT73" s="349">
        <f t="shared" ref="AT73:AT104" si="21">AU73+AV73+AW73+AX73+AY73+AZ73+BA73+BB73</f>
        <v>0</v>
      </c>
      <c r="AU73" s="294"/>
      <c r="BC73" s="282">
        <f t="shared" ref="BC73:BC104" si="22">SUM(BE73:BT73)</f>
        <v>738310</v>
      </c>
      <c r="BD73" s="288">
        <f t="shared" ref="BD73:BD75" si="23">1%+0.18%+0.25%</f>
        <v>0.0143</v>
      </c>
      <c r="BP73" s="279">
        <v>378310</v>
      </c>
      <c r="BS73" s="279">
        <v>360000</v>
      </c>
      <c r="BU73" s="279">
        <f t="shared" ref="BU73:BU77" si="24">BD73*BS73</f>
        <v>5148</v>
      </c>
      <c r="BW73" s="279" t="s">
        <v>205</v>
      </c>
      <c r="BX73" s="279" t="s">
        <v>206</v>
      </c>
    </row>
    <row r="74" s="279" customFormat="1" customHeight="1" spans="1:76">
      <c r="A74" s="278">
        <v>66</v>
      </c>
      <c r="C74" s="331">
        <v>45465</v>
      </c>
      <c r="D74" s="279">
        <v>20240003028</v>
      </c>
      <c r="E74" s="717" t="s">
        <v>515</v>
      </c>
      <c r="F74" s="295" t="s">
        <v>510</v>
      </c>
      <c r="G74" s="279" t="s">
        <v>511</v>
      </c>
      <c r="I74" s="279" t="s">
        <v>102</v>
      </c>
      <c r="J74" s="279">
        <v>2</v>
      </c>
      <c r="K74" s="279">
        <v>50.67</v>
      </c>
      <c r="L74" s="279">
        <v>50.67</v>
      </c>
      <c r="M74" s="279">
        <v>17000</v>
      </c>
      <c r="N74" s="282">
        <f>M74*L74</f>
        <v>861390</v>
      </c>
      <c r="O74" s="282">
        <v>17000</v>
      </c>
      <c r="T74" s="282"/>
      <c r="U74" s="331"/>
      <c r="V74" s="720" t="s">
        <v>516</v>
      </c>
      <c r="W74" s="331" t="s">
        <v>422</v>
      </c>
      <c r="X74" s="282">
        <v>2000</v>
      </c>
      <c r="Y74" s="331" t="s">
        <v>517</v>
      </c>
      <c r="Z74" s="282">
        <v>48000</v>
      </c>
      <c r="AA74" s="331" t="s">
        <v>418</v>
      </c>
      <c r="AB74" s="279">
        <v>411390</v>
      </c>
      <c r="AC74" s="283" t="s">
        <v>518</v>
      </c>
      <c r="AD74" s="282">
        <v>400000</v>
      </c>
      <c r="AE74" s="331">
        <v>45554</v>
      </c>
      <c r="AL74" s="282">
        <f t="shared" si="20"/>
        <v>861390</v>
      </c>
      <c r="AO74" s="314">
        <f t="shared" ref="AO74:AO85" si="25">N74-AL74</f>
        <v>0</v>
      </c>
      <c r="AP74" s="279">
        <v>15276299122</v>
      </c>
      <c r="AT74" s="349">
        <f t="shared" si="21"/>
        <v>0</v>
      </c>
      <c r="AU74" s="294"/>
      <c r="BC74" s="282">
        <f t="shared" si="22"/>
        <v>861390</v>
      </c>
      <c r="BD74" s="288">
        <f t="shared" si="23"/>
        <v>0.0143</v>
      </c>
      <c r="BP74" s="279">
        <v>461390</v>
      </c>
      <c r="BS74" s="279">
        <v>400000</v>
      </c>
      <c r="BU74" s="279">
        <f t="shared" si="24"/>
        <v>5720</v>
      </c>
      <c r="BW74" s="279" t="s">
        <v>205</v>
      </c>
      <c r="BX74" s="279" t="s">
        <v>206</v>
      </c>
    </row>
    <row r="75" s="279" customFormat="1" customHeight="1" spans="1:76">
      <c r="A75" s="278">
        <v>67</v>
      </c>
      <c r="C75" s="331">
        <v>45464</v>
      </c>
      <c r="D75" s="279">
        <v>20240003564</v>
      </c>
      <c r="E75" s="717" t="s">
        <v>519</v>
      </c>
      <c r="F75" s="295" t="s">
        <v>520</v>
      </c>
      <c r="G75" s="279" t="s">
        <v>521</v>
      </c>
      <c r="I75" s="279" t="s">
        <v>102</v>
      </c>
      <c r="J75" s="279">
        <v>3</v>
      </c>
      <c r="K75" s="279">
        <v>50.67</v>
      </c>
      <c r="L75" s="279">
        <v>50.67</v>
      </c>
      <c r="M75" s="279">
        <f>N75/L75</f>
        <v>17959.3447799487</v>
      </c>
      <c r="N75" s="282">
        <v>910000</v>
      </c>
      <c r="O75" s="282">
        <v>17650</v>
      </c>
      <c r="T75" s="282"/>
      <c r="U75" s="331"/>
      <c r="V75" s="299"/>
      <c r="W75" s="331" t="s">
        <v>201</v>
      </c>
      <c r="X75" s="282">
        <v>50000</v>
      </c>
      <c r="Y75" s="331" t="s">
        <v>522</v>
      </c>
      <c r="Z75" s="282">
        <v>50000</v>
      </c>
      <c r="AA75" s="283" t="s">
        <v>523</v>
      </c>
      <c r="AB75" s="282">
        <v>200000</v>
      </c>
      <c r="AC75" s="331" t="s">
        <v>524</v>
      </c>
      <c r="AD75" s="279">
        <f>90000+60000</f>
        <v>150000</v>
      </c>
      <c r="AE75" s="279" t="s">
        <v>514</v>
      </c>
      <c r="AF75" s="282">
        <v>460000</v>
      </c>
      <c r="AG75" s="331" t="s">
        <v>525</v>
      </c>
      <c r="AL75" s="282">
        <f t="shared" si="20"/>
        <v>910000</v>
      </c>
      <c r="AO75" s="314">
        <f t="shared" si="25"/>
        <v>0</v>
      </c>
      <c r="AP75" s="279">
        <v>17767669870</v>
      </c>
      <c r="AT75" s="349">
        <f t="shared" si="21"/>
        <v>0</v>
      </c>
      <c r="AU75" s="294"/>
      <c r="BC75" s="282">
        <f t="shared" si="22"/>
        <v>910000</v>
      </c>
      <c r="BD75" s="288">
        <f>1%+0.25%</f>
        <v>0.0125</v>
      </c>
      <c r="BR75" s="279">
        <v>910000</v>
      </c>
      <c r="BW75" s="279" t="s">
        <v>205</v>
      </c>
      <c r="BX75" s="279" t="s">
        <v>206</v>
      </c>
    </row>
    <row r="76" s="279" customFormat="1" customHeight="1" spans="1:71">
      <c r="A76" s="279">
        <v>68</v>
      </c>
      <c r="B76" s="279"/>
      <c r="C76" s="279" t="s">
        <v>108</v>
      </c>
      <c r="D76" s="279">
        <v>20240005663</v>
      </c>
      <c r="E76" s="717" t="s">
        <v>526</v>
      </c>
      <c r="F76" s="295" t="s">
        <v>527</v>
      </c>
      <c r="G76" s="279" t="s">
        <v>528</v>
      </c>
      <c r="I76" s="279" t="s">
        <v>102</v>
      </c>
      <c r="J76" s="279">
        <v>4</v>
      </c>
      <c r="K76" s="279">
        <v>50.67</v>
      </c>
      <c r="L76" s="279">
        <v>50.67</v>
      </c>
      <c r="M76" s="279">
        <v>17959.34</v>
      </c>
      <c r="N76" s="282">
        <v>910000</v>
      </c>
      <c r="O76" s="282">
        <v>17844</v>
      </c>
      <c r="T76" s="282">
        <f>450000+440000</f>
        <v>890000</v>
      </c>
      <c r="U76" s="331" t="s">
        <v>108</v>
      </c>
      <c r="V76" s="299"/>
      <c r="W76" s="331" t="s">
        <v>529</v>
      </c>
      <c r="X76" s="282">
        <v>20000</v>
      </c>
      <c r="Y76" s="331">
        <v>45548</v>
      </c>
      <c r="Z76" s="282">
        <v>440000</v>
      </c>
      <c r="AA76" s="331" t="s">
        <v>108</v>
      </c>
      <c r="AB76" s="279">
        <v>450000</v>
      </c>
      <c r="AC76" s="283" t="s">
        <v>303</v>
      </c>
      <c r="AL76" s="282">
        <f t="shared" si="20"/>
        <v>910000</v>
      </c>
      <c r="AO76" s="314">
        <f t="shared" si="25"/>
        <v>0</v>
      </c>
      <c r="AP76" s="279">
        <v>13150268333</v>
      </c>
      <c r="AT76" s="349">
        <f t="shared" si="21"/>
        <v>0</v>
      </c>
      <c r="AU76" s="294"/>
      <c r="BC76" s="282">
        <f t="shared" si="22"/>
        <v>0</v>
      </c>
      <c r="BD76" s="427">
        <f>0.9%+0.2%</f>
        <v>0.011</v>
      </c>
      <c r="BR76" s="278"/>
      <c r="BS76" s="278"/>
    </row>
    <row r="77" s="279" customFormat="1" ht="40" customHeight="1" spans="1:75">
      <c r="A77" s="278">
        <v>69</v>
      </c>
      <c r="C77" s="331">
        <v>45504</v>
      </c>
      <c r="D77" s="279">
        <v>20240004390</v>
      </c>
      <c r="E77" s="717" t="s">
        <v>530</v>
      </c>
      <c r="F77" s="295" t="s">
        <v>531</v>
      </c>
      <c r="G77" s="294" t="s">
        <v>532</v>
      </c>
      <c r="I77" s="279" t="s">
        <v>102</v>
      </c>
      <c r="J77" s="279">
        <v>5</v>
      </c>
      <c r="K77" s="279">
        <v>50.67</v>
      </c>
      <c r="L77" s="279">
        <v>50.67</v>
      </c>
      <c r="M77" s="279">
        <v>18000</v>
      </c>
      <c r="N77" s="282">
        <f>M77*L77</f>
        <v>912060</v>
      </c>
      <c r="O77" s="282">
        <v>17747</v>
      </c>
      <c r="T77" s="282"/>
      <c r="U77" s="331"/>
      <c r="V77" s="297"/>
      <c r="W77" s="330" t="s">
        <v>211</v>
      </c>
      <c r="X77" s="282">
        <v>20000</v>
      </c>
      <c r="Y77" s="283" t="s">
        <v>522</v>
      </c>
      <c r="Z77" s="282">
        <v>300000</v>
      </c>
      <c r="AA77" s="331" t="s">
        <v>281</v>
      </c>
      <c r="AB77" s="282">
        <v>136060</v>
      </c>
      <c r="AC77" s="331" t="s">
        <v>533</v>
      </c>
      <c r="AD77" s="282">
        <v>456000</v>
      </c>
      <c r="AE77" s="331" t="s">
        <v>430</v>
      </c>
      <c r="AL77" s="282">
        <f t="shared" si="20"/>
        <v>912060</v>
      </c>
      <c r="AO77" s="314">
        <f t="shared" si="25"/>
        <v>0</v>
      </c>
      <c r="AP77" s="279">
        <v>17699945989</v>
      </c>
      <c r="AT77" s="349">
        <f t="shared" si="21"/>
        <v>0</v>
      </c>
      <c r="AU77" s="294"/>
      <c r="BC77" s="282">
        <f t="shared" si="22"/>
        <v>912060</v>
      </c>
      <c r="BD77" s="288">
        <f t="shared" ref="BD77:BD81" si="26">1%+0.18%+0.25%</f>
        <v>0.0143</v>
      </c>
      <c r="BQ77" s="279">
        <v>456060</v>
      </c>
      <c r="BS77" s="279">
        <v>456000</v>
      </c>
      <c r="BU77" s="279">
        <f t="shared" si="24"/>
        <v>6520.8</v>
      </c>
      <c r="BW77" s="279" t="s">
        <v>205</v>
      </c>
    </row>
    <row r="78" s="279" customFormat="1" ht="45" customHeight="1" spans="1:75">
      <c r="A78" s="278">
        <v>70</v>
      </c>
      <c r="C78" s="331">
        <v>45474</v>
      </c>
      <c r="D78" s="279">
        <v>20240003765</v>
      </c>
      <c r="E78" s="717" t="s">
        <v>534</v>
      </c>
      <c r="F78" s="295" t="s">
        <v>535</v>
      </c>
      <c r="G78" s="294" t="s">
        <v>536</v>
      </c>
      <c r="I78" s="279" t="s">
        <v>102</v>
      </c>
      <c r="J78" s="279">
        <v>6</v>
      </c>
      <c r="K78" s="279">
        <v>50.67</v>
      </c>
      <c r="L78" s="279">
        <v>50.67</v>
      </c>
      <c r="M78" s="279">
        <f>N78/L78</f>
        <v>18117.2291296625</v>
      </c>
      <c r="N78" s="282">
        <v>918000</v>
      </c>
      <c r="O78" s="282">
        <v>17941</v>
      </c>
      <c r="T78" s="282"/>
      <c r="U78" s="331"/>
      <c r="V78" s="720" t="s">
        <v>537</v>
      </c>
      <c r="W78" s="331" t="s">
        <v>201</v>
      </c>
      <c r="X78" s="282">
        <v>20000</v>
      </c>
      <c r="Y78" s="283" t="s">
        <v>538</v>
      </c>
      <c r="Z78" s="279">
        <v>30000</v>
      </c>
      <c r="AA78" s="283" t="s">
        <v>327</v>
      </c>
      <c r="AB78" s="282">
        <v>200000</v>
      </c>
      <c r="AC78" s="331" t="s">
        <v>319</v>
      </c>
      <c r="AD78" s="282">
        <v>312000</v>
      </c>
      <c r="AE78" s="331" t="s">
        <v>281</v>
      </c>
      <c r="AF78" s="279">
        <v>356000</v>
      </c>
      <c r="AG78" s="279" t="s">
        <v>539</v>
      </c>
      <c r="AL78" s="282">
        <f t="shared" si="20"/>
        <v>918000</v>
      </c>
      <c r="AO78" s="314">
        <f t="shared" si="25"/>
        <v>0</v>
      </c>
      <c r="AP78" s="279">
        <v>18095859769</v>
      </c>
      <c r="AT78" s="349">
        <f t="shared" si="21"/>
        <v>0</v>
      </c>
      <c r="AU78" s="294"/>
      <c r="BC78" s="282">
        <f t="shared" si="22"/>
        <v>918000</v>
      </c>
      <c r="BD78" s="288">
        <f t="shared" ref="BD78:BD81" si="27">1%+0.25%</f>
        <v>0.0125</v>
      </c>
      <c r="BQ78" s="279">
        <v>918000</v>
      </c>
      <c r="BW78" s="279" t="s">
        <v>205</v>
      </c>
    </row>
    <row r="79" s="279" customFormat="1" ht="44" customHeight="1" spans="1:75">
      <c r="A79" s="278">
        <v>71</v>
      </c>
      <c r="C79" s="331">
        <v>45474</v>
      </c>
      <c r="D79" s="279">
        <v>20240003764</v>
      </c>
      <c r="E79" s="717" t="s">
        <v>540</v>
      </c>
      <c r="F79" s="295" t="s">
        <v>535</v>
      </c>
      <c r="G79" s="294" t="s">
        <v>541</v>
      </c>
      <c r="I79" s="279" t="s">
        <v>102</v>
      </c>
      <c r="J79" s="279">
        <v>7</v>
      </c>
      <c r="K79" s="279">
        <v>50.67</v>
      </c>
      <c r="L79" s="279">
        <v>50.67</v>
      </c>
      <c r="M79" s="279">
        <f>N79/L79</f>
        <v>18117.2291296625</v>
      </c>
      <c r="N79" s="282">
        <v>918000</v>
      </c>
      <c r="O79" s="282">
        <v>18038</v>
      </c>
      <c r="T79" s="282"/>
      <c r="U79" s="331"/>
      <c r="V79" s="720" t="s">
        <v>542</v>
      </c>
      <c r="W79" s="331" t="s">
        <v>201</v>
      </c>
      <c r="X79" s="282">
        <v>25000</v>
      </c>
      <c r="Y79" s="331" t="s">
        <v>418</v>
      </c>
      <c r="Z79" s="279">
        <v>25000</v>
      </c>
      <c r="AA79" s="283" t="s">
        <v>522</v>
      </c>
      <c r="AB79" s="282">
        <f>688000+180000</f>
        <v>868000</v>
      </c>
      <c r="AC79" s="331" t="s">
        <v>281</v>
      </c>
      <c r="AL79" s="282">
        <f t="shared" si="20"/>
        <v>918000</v>
      </c>
      <c r="AO79" s="314">
        <f t="shared" si="25"/>
        <v>0</v>
      </c>
      <c r="AP79" s="279">
        <v>18095859769</v>
      </c>
      <c r="AT79" s="349">
        <f t="shared" si="21"/>
        <v>0</v>
      </c>
      <c r="AU79" s="294"/>
      <c r="BC79" s="282">
        <f t="shared" si="22"/>
        <v>918000</v>
      </c>
      <c r="BD79" s="288">
        <f t="shared" si="27"/>
        <v>0.0125</v>
      </c>
      <c r="BQ79" s="279">
        <v>918000</v>
      </c>
      <c r="BW79" s="279" t="s">
        <v>205</v>
      </c>
    </row>
    <row r="80" s="279" customFormat="1" customHeight="1" spans="1:75">
      <c r="A80" s="278">
        <v>72</v>
      </c>
      <c r="C80" s="331">
        <v>45440</v>
      </c>
      <c r="D80" s="279">
        <v>20240003156</v>
      </c>
      <c r="E80" s="717" t="s">
        <v>543</v>
      </c>
      <c r="F80" s="295"/>
      <c r="G80" s="279" t="s">
        <v>544</v>
      </c>
      <c r="I80" s="279" t="s">
        <v>102</v>
      </c>
      <c r="J80" s="279">
        <v>8</v>
      </c>
      <c r="K80" s="279">
        <v>50.67</v>
      </c>
      <c r="L80" s="279">
        <v>50.67</v>
      </c>
      <c r="M80" s="279">
        <v>18072.82</v>
      </c>
      <c r="N80" s="282">
        <v>915750</v>
      </c>
      <c r="O80" s="282">
        <v>18038</v>
      </c>
      <c r="T80" s="282"/>
      <c r="U80" s="331"/>
      <c r="V80" s="719" t="s">
        <v>545</v>
      </c>
      <c r="W80" s="331" t="s">
        <v>408</v>
      </c>
      <c r="X80" s="282">
        <f>2000+2000</f>
        <v>4000</v>
      </c>
      <c r="Y80" s="331" t="s">
        <v>468</v>
      </c>
      <c r="Z80" s="282">
        <v>16000</v>
      </c>
      <c r="AA80" s="331" t="s">
        <v>546</v>
      </c>
      <c r="AB80" s="279">
        <v>230000</v>
      </c>
      <c r="AC80" s="283" t="s">
        <v>523</v>
      </c>
      <c r="AD80" s="282">
        <v>100000</v>
      </c>
      <c r="AE80" s="331" t="s">
        <v>412</v>
      </c>
      <c r="AF80" s="282">
        <v>200000</v>
      </c>
      <c r="AG80" s="331" t="s">
        <v>547</v>
      </c>
      <c r="AL80" s="282">
        <f t="shared" si="20"/>
        <v>550000</v>
      </c>
      <c r="AO80" s="314">
        <f t="shared" si="25"/>
        <v>365750</v>
      </c>
      <c r="AP80" s="279">
        <v>13029623486</v>
      </c>
      <c r="AT80" s="349">
        <f t="shared" si="21"/>
        <v>0</v>
      </c>
      <c r="AU80" s="294"/>
      <c r="BC80" s="282">
        <f t="shared" si="22"/>
        <v>0</v>
      </c>
      <c r="BD80" s="288">
        <f t="shared" si="26"/>
        <v>0.0143</v>
      </c>
      <c r="BW80" s="279" t="s">
        <v>205</v>
      </c>
    </row>
    <row r="81" s="279" customFormat="1" customHeight="1" spans="1:75">
      <c r="A81" s="278">
        <v>73</v>
      </c>
      <c r="C81" s="331">
        <v>45520</v>
      </c>
      <c r="D81" s="279">
        <v>20240004709</v>
      </c>
      <c r="E81" s="717" t="s">
        <v>548</v>
      </c>
      <c r="F81" s="295" t="s">
        <v>549</v>
      </c>
      <c r="G81" s="279" t="s">
        <v>550</v>
      </c>
      <c r="I81" s="279" t="s">
        <v>102</v>
      </c>
      <c r="J81" s="279">
        <v>9</v>
      </c>
      <c r="K81" s="279">
        <v>50.67</v>
      </c>
      <c r="L81" s="279">
        <v>50.67</v>
      </c>
      <c r="M81" s="279">
        <v>18413.26</v>
      </c>
      <c r="N81" s="282">
        <v>933000</v>
      </c>
      <c r="O81" s="282">
        <v>18135</v>
      </c>
      <c r="T81" s="282"/>
      <c r="U81" s="331"/>
      <c r="V81" s="299"/>
      <c r="W81" s="331" t="s">
        <v>551</v>
      </c>
      <c r="X81" s="282">
        <v>2000</v>
      </c>
      <c r="Y81" s="331" t="s">
        <v>552</v>
      </c>
      <c r="Z81" s="282">
        <v>18000</v>
      </c>
      <c r="AA81" s="331" t="s">
        <v>204</v>
      </c>
      <c r="AB81" s="282">
        <v>453000</v>
      </c>
      <c r="AC81" s="331" t="s">
        <v>553</v>
      </c>
      <c r="AD81" s="282">
        <v>460000</v>
      </c>
      <c r="AE81" s="331" t="s">
        <v>430</v>
      </c>
      <c r="AL81" s="282">
        <f t="shared" si="20"/>
        <v>933000</v>
      </c>
      <c r="AO81" s="314">
        <f t="shared" si="25"/>
        <v>0</v>
      </c>
      <c r="AP81" s="279">
        <v>13565065448</v>
      </c>
      <c r="AT81" s="349">
        <f t="shared" si="21"/>
        <v>0</v>
      </c>
      <c r="AU81" s="294"/>
      <c r="BC81" s="282">
        <f t="shared" si="22"/>
        <v>933000</v>
      </c>
      <c r="BD81" s="288">
        <f t="shared" si="27"/>
        <v>0.0125</v>
      </c>
      <c r="BR81" s="279">
        <v>473000</v>
      </c>
      <c r="BS81" s="279">
        <v>460000</v>
      </c>
      <c r="BU81" s="279">
        <f>BD81*BS81</f>
        <v>5750</v>
      </c>
      <c r="BW81" s="279" t="s">
        <v>205</v>
      </c>
    </row>
    <row r="82" s="279" customFormat="1" ht="45" customHeight="1" spans="1:72">
      <c r="A82" s="279">
        <v>74</v>
      </c>
      <c r="B82" s="279"/>
      <c r="C82" s="279" t="s">
        <v>108</v>
      </c>
      <c r="D82" s="279">
        <v>20240005641</v>
      </c>
      <c r="E82" s="717" t="s">
        <v>109</v>
      </c>
      <c r="F82" s="295" t="s">
        <v>110</v>
      </c>
      <c r="G82" s="294" t="s">
        <v>111</v>
      </c>
      <c r="I82" s="279" t="s">
        <v>102</v>
      </c>
      <c r="J82" s="279">
        <v>10</v>
      </c>
      <c r="K82" s="279">
        <v>77.44</v>
      </c>
      <c r="L82" s="279">
        <v>77.44</v>
      </c>
      <c r="M82" s="279">
        <v>20000</v>
      </c>
      <c r="N82" s="318">
        <v>1548800</v>
      </c>
      <c r="O82" s="282">
        <v>22000</v>
      </c>
      <c r="P82" s="279" t="s">
        <v>195</v>
      </c>
      <c r="Q82" s="279">
        <v>1420917.43</v>
      </c>
      <c r="R82" s="717" t="s">
        <v>112</v>
      </c>
      <c r="S82" s="474">
        <v>45590</v>
      </c>
      <c r="T82" s="282">
        <v>21800</v>
      </c>
      <c r="U82" s="331" t="s">
        <v>98</v>
      </c>
      <c r="V82" s="297"/>
      <c r="W82" s="330" t="s">
        <v>226</v>
      </c>
      <c r="X82" s="282">
        <v>200000</v>
      </c>
      <c r="Y82" s="331">
        <v>45563</v>
      </c>
      <c r="Z82" s="282">
        <v>1327000</v>
      </c>
      <c r="AA82" s="331">
        <v>45565</v>
      </c>
      <c r="AB82" s="282">
        <v>21800</v>
      </c>
      <c r="AC82" s="331" t="s">
        <v>98</v>
      </c>
      <c r="AL82" s="282">
        <f t="shared" si="20"/>
        <v>1548800</v>
      </c>
      <c r="AO82" s="314">
        <f t="shared" si="25"/>
        <v>0</v>
      </c>
      <c r="AP82" s="279">
        <v>15999019972</v>
      </c>
      <c r="AT82" s="349">
        <f t="shared" si="21"/>
        <v>400</v>
      </c>
      <c r="AU82" s="349">
        <f>200</f>
        <v>200</v>
      </c>
      <c r="AV82" s="282"/>
      <c r="AW82" s="282">
        <v>200</v>
      </c>
      <c r="AX82" s="282"/>
      <c r="AY82" s="282"/>
      <c r="AZ82" s="282"/>
      <c r="BA82" s="282"/>
      <c r="BB82" s="282"/>
      <c r="BC82" s="282">
        <f t="shared" si="22"/>
        <v>0</v>
      </c>
      <c r="BD82" s="427">
        <f>1%+0.2%</f>
        <v>0.012</v>
      </c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  <c r="BQ82" s="282"/>
      <c r="BR82" s="282"/>
      <c r="BS82" s="282"/>
      <c r="BT82" s="282"/>
    </row>
    <row r="83" s="279" customFormat="1" customHeight="1" spans="1:75">
      <c r="A83" s="278">
        <v>75</v>
      </c>
      <c r="C83" s="331">
        <v>45485</v>
      </c>
      <c r="D83" s="279">
        <v>20240003988</v>
      </c>
      <c r="E83" s="717" t="s">
        <v>554</v>
      </c>
      <c r="F83" s="295" t="s">
        <v>555</v>
      </c>
      <c r="G83" s="279" t="s">
        <v>556</v>
      </c>
      <c r="I83" s="279" t="s">
        <v>95</v>
      </c>
      <c r="J83" s="279">
        <v>1</v>
      </c>
      <c r="K83" s="279">
        <v>49.47</v>
      </c>
      <c r="L83" s="279">
        <v>49.47</v>
      </c>
      <c r="M83" s="279">
        <v>7883</v>
      </c>
      <c r="N83" s="282">
        <v>390000</v>
      </c>
      <c r="O83" s="282">
        <v>7752</v>
      </c>
      <c r="T83" s="282">
        <v>110000</v>
      </c>
      <c r="U83" s="331" t="s">
        <v>98</v>
      </c>
      <c r="V83" s="720" t="s">
        <v>557</v>
      </c>
      <c r="W83" s="331" t="s">
        <v>211</v>
      </c>
      <c r="X83" s="282">
        <v>2000</v>
      </c>
      <c r="Y83" s="331" t="s">
        <v>398</v>
      </c>
      <c r="Z83" s="282">
        <v>13000</v>
      </c>
      <c r="AA83" s="331" t="s">
        <v>546</v>
      </c>
      <c r="AB83" s="282">
        <v>100000</v>
      </c>
      <c r="AC83" s="331" t="s">
        <v>558</v>
      </c>
      <c r="AD83" s="282">
        <v>80000</v>
      </c>
      <c r="AE83" s="331" t="s">
        <v>559</v>
      </c>
      <c r="AF83" s="282">
        <v>85000</v>
      </c>
      <c r="AG83" s="331" t="s">
        <v>282</v>
      </c>
      <c r="AH83" s="282">
        <v>110000</v>
      </c>
      <c r="AI83" s="331" t="s">
        <v>98</v>
      </c>
      <c r="AL83" s="282">
        <f t="shared" si="20"/>
        <v>390000</v>
      </c>
      <c r="AO83" s="314">
        <f t="shared" si="25"/>
        <v>0</v>
      </c>
      <c r="AP83" s="279">
        <v>18799829152</v>
      </c>
      <c r="AT83" s="349">
        <f t="shared" si="21"/>
        <v>0</v>
      </c>
      <c r="AU83" s="294"/>
      <c r="BC83" s="282">
        <f t="shared" si="22"/>
        <v>0</v>
      </c>
      <c r="BD83" s="288">
        <f>1%+0.18%+0.25%</f>
        <v>0.0143</v>
      </c>
      <c r="BW83" s="279" t="s">
        <v>205</v>
      </c>
    </row>
    <row r="84" s="279" customFormat="1" customHeight="1" spans="1:56">
      <c r="A84" s="279">
        <v>76</v>
      </c>
      <c r="B84" s="279"/>
      <c r="C84" s="279" t="s">
        <v>113</v>
      </c>
      <c r="D84" s="279">
        <v>20240005749</v>
      </c>
      <c r="E84" s="717" t="s">
        <v>114</v>
      </c>
      <c r="F84" s="295" t="s">
        <v>115</v>
      </c>
      <c r="G84" s="279" t="s">
        <v>116</v>
      </c>
      <c r="I84" s="279" t="s">
        <v>95</v>
      </c>
      <c r="J84" s="279">
        <v>2</v>
      </c>
      <c r="K84" s="279">
        <v>57.71</v>
      </c>
      <c r="L84" s="279">
        <v>57.71</v>
      </c>
      <c r="M84" s="279">
        <v>7000</v>
      </c>
      <c r="N84" s="282">
        <v>403970</v>
      </c>
      <c r="O84" s="282">
        <v>7668</v>
      </c>
      <c r="P84" s="279" t="s">
        <v>195</v>
      </c>
      <c r="Q84" s="279">
        <v>370614.68</v>
      </c>
      <c r="R84" s="717" t="s">
        <v>117</v>
      </c>
      <c r="S84" s="474">
        <v>45590</v>
      </c>
      <c r="T84" s="282">
        <f>183970+20000+200000</f>
        <v>403970</v>
      </c>
      <c r="U84" s="331" t="s">
        <v>98</v>
      </c>
      <c r="V84" s="331"/>
      <c r="W84" s="331" t="s">
        <v>196</v>
      </c>
      <c r="X84" s="282">
        <v>20000</v>
      </c>
      <c r="Y84" s="331" t="s">
        <v>98</v>
      </c>
      <c r="Z84" s="282">
        <v>183970</v>
      </c>
      <c r="AA84" s="283" t="s">
        <v>113</v>
      </c>
      <c r="AB84" s="279">
        <v>200000</v>
      </c>
      <c r="AC84" s="283" t="s">
        <v>560</v>
      </c>
      <c r="AL84" s="282">
        <f t="shared" si="20"/>
        <v>403970</v>
      </c>
      <c r="AO84" s="314">
        <f t="shared" si="25"/>
        <v>0</v>
      </c>
      <c r="AP84" s="279">
        <v>15352620619</v>
      </c>
      <c r="AT84" s="349">
        <f t="shared" si="21"/>
        <v>0</v>
      </c>
      <c r="AU84" s="294"/>
      <c r="BC84" s="282">
        <f t="shared" si="22"/>
        <v>0</v>
      </c>
      <c r="BD84" s="427">
        <f>1%+0.18%+0.2%</f>
        <v>0.0138</v>
      </c>
    </row>
    <row r="85" s="279" customFormat="1" customHeight="1" spans="1:55">
      <c r="A85" s="279">
        <v>77</v>
      </c>
      <c r="B85" s="279">
        <v>1</v>
      </c>
      <c r="C85" s="279" t="s">
        <v>91</v>
      </c>
      <c r="D85" s="279">
        <v>20240005929</v>
      </c>
      <c r="F85" s="295" t="s">
        <v>118</v>
      </c>
      <c r="G85" s="279" t="s">
        <v>119</v>
      </c>
      <c r="I85" s="279" t="s">
        <v>95</v>
      </c>
      <c r="J85" s="279">
        <v>3</v>
      </c>
      <c r="K85" s="279">
        <v>57.71</v>
      </c>
      <c r="L85" s="279">
        <v>57.71</v>
      </c>
      <c r="M85" s="279">
        <v>7451.05</v>
      </c>
      <c r="N85" s="282">
        <v>430000</v>
      </c>
      <c r="O85" s="282">
        <v>7753</v>
      </c>
      <c r="P85" s="279" t="s">
        <v>195</v>
      </c>
      <c r="Q85" s="279">
        <v>394495.41</v>
      </c>
      <c r="R85" s="717" t="s">
        <v>120</v>
      </c>
      <c r="S85" s="474">
        <v>45582</v>
      </c>
      <c r="T85" s="282">
        <f>350000+80000</f>
        <v>430000</v>
      </c>
      <c r="U85" s="331" t="s">
        <v>91</v>
      </c>
      <c r="V85" s="331"/>
      <c r="W85" s="331"/>
      <c r="X85" s="282">
        <v>80000</v>
      </c>
      <c r="Y85" s="331" t="s">
        <v>91</v>
      </c>
      <c r="Z85" s="282">
        <v>350000</v>
      </c>
      <c r="AA85" s="283" t="s">
        <v>561</v>
      </c>
      <c r="AC85" s="283"/>
      <c r="AL85" s="282">
        <f t="shared" si="20"/>
        <v>430000</v>
      </c>
      <c r="AO85" s="314">
        <f t="shared" si="25"/>
        <v>0</v>
      </c>
      <c r="AP85" s="279">
        <v>13565038253</v>
      </c>
      <c r="AT85" s="349">
        <f t="shared" si="21"/>
        <v>0</v>
      </c>
      <c r="AU85" s="294"/>
      <c r="BC85" s="282">
        <f t="shared" si="22"/>
        <v>0</v>
      </c>
    </row>
    <row r="86" s="278" customFormat="1" customHeight="1" spans="1:55">
      <c r="A86" s="278">
        <v>78</v>
      </c>
      <c r="F86" s="367"/>
      <c r="I86" s="278" t="s">
        <v>95</v>
      </c>
      <c r="J86" s="278">
        <v>4</v>
      </c>
      <c r="K86" s="278">
        <v>57.71</v>
      </c>
      <c r="N86" s="103"/>
      <c r="O86" s="103">
        <v>7923</v>
      </c>
      <c r="T86" s="103"/>
      <c r="U86" s="104"/>
      <c r="V86" s="104"/>
      <c r="W86" s="104"/>
      <c r="X86" s="103"/>
      <c r="Y86" s="104"/>
      <c r="Z86" s="103"/>
      <c r="AA86" s="311"/>
      <c r="AC86" s="311"/>
      <c r="AL86" s="103">
        <f t="shared" si="20"/>
        <v>0</v>
      </c>
      <c r="AO86" s="478"/>
      <c r="AT86" s="348">
        <f t="shared" si="21"/>
        <v>0</v>
      </c>
      <c r="AU86" s="293"/>
      <c r="BC86" s="103">
        <f t="shared" si="22"/>
        <v>0</v>
      </c>
    </row>
    <row r="87" s="278" customFormat="1" customHeight="1" spans="1:55">
      <c r="A87" s="278">
        <v>79</v>
      </c>
      <c r="F87" s="367"/>
      <c r="I87" s="278" t="s">
        <v>95</v>
      </c>
      <c r="J87" s="278">
        <v>5</v>
      </c>
      <c r="K87" s="278">
        <v>57.71</v>
      </c>
      <c r="N87" s="103"/>
      <c r="O87" s="103">
        <v>8008</v>
      </c>
      <c r="T87" s="103"/>
      <c r="U87" s="104"/>
      <c r="V87" s="104"/>
      <c r="W87" s="104"/>
      <c r="X87" s="103"/>
      <c r="Y87" s="104"/>
      <c r="Z87" s="103"/>
      <c r="AA87" s="311"/>
      <c r="AC87" s="311"/>
      <c r="AL87" s="103">
        <f t="shared" si="20"/>
        <v>0</v>
      </c>
      <c r="AO87" s="478"/>
      <c r="AT87" s="348">
        <f t="shared" si="21"/>
        <v>0</v>
      </c>
      <c r="AU87" s="293"/>
      <c r="BC87" s="103">
        <f t="shared" si="22"/>
        <v>0</v>
      </c>
    </row>
    <row r="88" s="278" customFormat="1" customHeight="1" spans="1:55">
      <c r="A88" s="278">
        <v>80</v>
      </c>
      <c r="F88" s="367"/>
      <c r="I88" s="278" t="s">
        <v>95</v>
      </c>
      <c r="J88" s="278">
        <v>6</v>
      </c>
      <c r="K88" s="278">
        <v>57.71</v>
      </c>
      <c r="N88" s="103"/>
      <c r="O88" s="103">
        <v>8094</v>
      </c>
      <c r="T88" s="103"/>
      <c r="U88" s="104"/>
      <c r="V88" s="104"/>
      <c r="W88" s="104"/>
      <c r="X88" s="103"/>
      <c r="Y88" s="104"/>
      <c r="Z88" s="103"/>
      <c r="AA88" s="311"/>
      <c r="AC88" s="311"/>
      <c r="AL88" s="103">
        <f t="shared" si="20"/>
        <v>0</v>
      </c>
      <c r="AO88" s="478"/>
      <c r="AT88" s="348">
        <f t="shared" si="21"/>
        <v>0</v>
      </c>
      <c r="AU88" s="293"/>
      <c r="BC88" s="103">
        <f t="shared" si="22"/>
        <v>0</v>
      </c>
    </row>
    <row r="89" s="278" customFormat="1" customHeight="1" spans="1:55">
      <c r="A89" s="278">
        <v>81</v>
      </c>
      <c r="F89" s="367"/>
      <c r="I89" s="278" t="s">
        <v>95</v>
      </c>
      <c r="J89" s="278">
        <v>7</v>
      </c>
      <c r="K89" s="278">
        <v>57.71</v>
      </c>
      <c r="N89" s="103"/>
      <c r="O89" s="103">
        <v>8179</v>
      </c>
      <c r="T89" s="103"/>
      <c r="U89" s="104"/>
      <c r="V89" s="104"/>
      <c r="W89" s="104"/>
      <c r="X89" s="103"/>
      <c r="Y89" s="104"/>
      <c r="Z89" s="103"/>
      <c r="AA89" s="311"/>
      <c r="AC89" s="311"/>
      <c r="AL89" s="103">
        <f t="shared" si="20"/>
        <v>0</v>
      </c>
      <c r="AO89" s="478"/>
      <c r="AT89" s="348">
        <f t="shared" si="21"/>
        <v>0</v>
      </c>
      <c r="AU89" s="293"/>
      <c r="BC89" s="103">
        <f t="shared" si="22"/>
        <v>0</v>
      </c>
    </row>
    <row r="90" s="278" customFormat="1" customHeight="1" spans="1:55">
      <c r="A90" s="278">
        <v>82</v>
      </c>
      <c r="F90" s="367"/>
      <c r="I90" s="278" t="s">
        <v>95</v>
      </c>
      <c r="J90" s="278">
        <v>8</v>
      </c>
      <c r="K90" s="278">
        <v>57.71</v>
      </c>
      <c r="N90" s="103"/>
      <c r="O90" s="103">
        <v>8179</v>
      </c>
      <c r="T90" s="103"/>
      <c r="U90" s="104"/>
      <c r="V90" s="104"/>
      <c r="W90" s="104"/>
      <c r="X90" s="103"/>
      <c r="Y90" s="104"/>
      <c r="Z90" s="103"/>
      <c r="AA90" s="311"/>
      <c r="AC90" s="311"/>
      <c r="AL90" s="103">
        <f t="shared" si="20"/>
        <v>0</v>
      </c>
      <c r="AO90" s="478"/>
      <c r="AT90" s="348">
        <f t="shared" si="21"/>
        <v>0</v>
      </c>
      <c r="AU90" s="293"/>
      <c r="BC90" s="103">
        <f t="shared" si="22"/>
        <v>0</v>
      </c>
    </row>
    <row r="91" s="278" customFormat="1" customHeight="1" spans="1:55">
      <c r="A91" s="278">
        <v>83</v>
      </c>
      <c r="F91" s="367"/>
      <c r="I91" s="278" t="s">
        <v>95</v>
      </c>
      <c r="J91" s="278">
        <v>9</v>
      </c>
      <c r="K91" s="278">
        <v>57.71</v>
      </c>
      <c r="N91" s="103"/>
      <c r="O91" s="103">
        <v>8264</v>
      </c>
      <c r="T91" s="103"/>
      <c r="U91" s="104"/>
      <c r="V91" s="104"/>
      <c r="W91" s="104"/>
      <c r="X91" s="103"/>
      <c r="Y91" s="104"/>
      <c r="Z91" s="103"/>
      <c r="AA91" s="311"/>
      <c r="AC91" s="311"/>
      <c r="AL91" s="103">
        <f t="shared" si="20"/>
        <v>0</v>
      </c>
      <c r="AO91" s="478"/>
      <c r="AT91" s="348">
        <f t="shared" si="21"/>
        <v>0</v>
      </c>
      <c r="AU91" s="293"/>
      <c r="BC91" s="103">
        <f t="shared" si="22"/>
        <v>0</v>
      </c>
    </row>
    <row r="92" s="278" customFormat="1" customHeight="1" spans="1:55">
      <c r="A92" s="278">
        <v>84</v>
      </c>
      <c r="F92" s="367"/>
      <c r="I92" s="278" t="s">
        <v>95</v>
      </c>
      <c r="J92" s="278">
        <v>10</v>
      </c>
      <c r="K92" s="278">
        <v>88.2</v>
      </c>
      <c r="N92" s="103"/>
      <c r="O92" s="103">
        <v>8093</v>
      </c>
      <c r="T92" s="103"/>
      <c r="U92" s="104"/>
      <c r="V92" s="104"/>
      <c r="W92" s="104"/>
      <c r="X92" s="103"/>
      <c r="Y92" s="104"/>
      <c r="Z92" s="103"/>
      <c r="AA92" s="311"/>
      <c r="AC92" s="311"/>
      <c r="AL92" s="103">
        <f t="shared" si="20"/>
        <v>0</v>
      </c>
      <c r="AO92" s="478"/>
      <c r="AT92" s="348">
        <f t="shared" si="21"/>
        <v>0</v>
      </c>
      <c r="AU92" s="293"/>
      <c r="BC92" s="103">
        <f t="shared" si="22"/>
        <v>0</v>
      </c>
    </row>
    <row r="93" s="279" customFormat="1" ht="117" customHeight="1" spans="1:76">
      <c r="A93" s="278">
        <v>85</v>
      </c>
      <c r="C93" s="279" t="s">
        <v>562</v>
      </c>
      <c r="D93" s="279">
        <v>20230006321</v>
      </c>
      <c r="E93" s="717" t="s">
        <v>563</v>
      </c>
      <c r="F93" s="295" t="s">
        <v>564</v>
      </c>
      <c r="G93" s="483" t="s">
        <v>565</v>
      </c>
      <c r="H93" s="279" t="s">
        <v>566</v>
      </c>
      <c r="I93" s="279" t="s">
        <v>102</v>
      </c>
      <c r="J93" s="279">
        <v>1</v>
      </c>
      <c r="K93" s="279">
        <v>43.2</v>
      </c>
      <c r="L93" s="279">
        <v>43.2</v>
      </c>
      <c r="M93" s="279">
        <v>27823.06</v>
      </c>
      <c r="N93" s="282">
        <v>1201957</v>
      </c>
      <c r="O93" s="282">
        <v>27160</v>
      </c>
      <c r="T93" s="282"/>
      <c r="U93" s="330"/>
      <c r="V93" s="330"/>
      <c r="W93" s="330" t="s">
        <v>567</v>
      </c>
      <c r="X93" s="282">
        <f>100000</f>
        <v>100000</v>
      </c>
      <c r="Y93" s="330" t="s">
        <v>568</v>
      </c>
      <c r="Z93" s="282">
        <v>150000</v>
      </c>
      <c r="AA93" s="283" t="s">
        <v>569</v>
      </c>
      <c r="AB93" s="282">
        <f>348400+3000</f>
        <v>351400</v>
      </c>
      <c r="AC93" s="330" t="s">
        <v>562</v>
      </c>
      <c r="AD93" s="282">
        <v>600000</v>
      </c>
      <c r="AE93" s="330" t="s">
        <v>430</v>
      </c>
      <c r="AF93" s="279">
        <v>557</v>
      </c>
      <c r="AG93" s="331">
        <v>45562</v>
      </c>
      <c r="AL93" s="282">
        <f t="shared" ref="AL93:AL124" si="28">X93+Z93+AB93+AD93+AF93+AH93+AJ93</f>
        <v>1201957</v>
      </c>
      <c r="AO93" s="485">
        <f>N93-AL93</f>
        <v>0</v>
      </c>
      <c r="AP93" s="279">
        <v>13899058276</v>
      </c>
      <c r="AT93" s="349">
        <f t="shared" si="21"/>
        <v>1600</v>
      </c>
      <c r="AU93" s="349">
        <f>200+200+200</f>
        <v>600</v>
      </c>
      <c r="AV93" s="282">
        <f>200+200+200+200</f>
        <v>800</v>
      </c>
      <c r="AW93" s="282">
        <v>200</v>
      </c>
      <c r="AX93" s="282"/>
      <c r="AY93" s="282"/>
      <c r="AZ93" s="282"/>
      <c r="BA93" s="282"/>
      <c r="BB93" s="282"/>
      <c r="BC93" s="282">
        <f t="shared" si="22"/>
        <v>1201400</v>
      </c>
      <c r="BD93" s="428">
        <f t="shared" ref="BD93:BD95" si="29">1%+0.18%+0.25%</f>
        <v>0.0143</v>
      </c>
      <c r="BE93" s="282">
        <v>601400</v>
      </c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  <c r="BQ93" s="282"/>
      <c r="BR93" s="282"/>
      <c r="BS93" s="282">
        <v>600000</v>
      </c>
      <c r="BT93" s="282"/>
      <c r="BU93" s="279">
        <f t="shared" ref="BU93:BU95" si="30">BD93*BS93</f>
        <v>8580</v>
      </c>
      <c r="BW93" s="279" t="s">
        <v>205</v>
      </c>
      <c r="BX93" s="279" t="s">
        <v>206</v>
      </c>
    </row>
    <row r="94" s="279" customFormat="1" customHeight="1" spans="1:76">
      <c r="A94" s="278">
        <v>86</v>
      </c>
      <c r="C94" s="279" t="s">
        <v>562</v>
      </c>
      <c r="D94" s="279">
        <v>20230006321</v>
      </c>
      <c r="E94" s="717" t="s">
        <v>570</v>
      </c>
      <c r="F94" s="295" t="s">
        <v>564</v>
      </c>
      <c r="G94" s="483" t="s">
        <v>571</v>
      </c>
      <c r="I94" s="279" t="s">
        <v>102</v>
      </c>
      <c r="J94" s="279">
        <v>2</v>
      </c>
      <c r="K94" s="279">
        <v>42.69</v>
      </c>
      <c r="L94" s="279">
        <v>42.69</v>
      </c>
      <c r="M94" s="279">
        <v>25861.15</v>
      </c>
      <c r="N94" s="318">
        <f t="shared" ref="N93:N96" si="31">L94*M94</f>
        <v>1104012.4935</v>
      </c>
      <c r="O94" s="282">
        <v>25198.09</v>
      </c>
      <c r="S94" s="279" t="s">
        <v>572</v>
      </c>
      <c r="T94" s="282"/>
      <c r="U94" s="330"/>
      <c r="V94" s="330" t="s">
        <v>573</v>
      </c>
      <c r="W94" s="330" t="s">
        <v>567</v>
      </c>
      <c r="X94" s="282">
        <f>100000</f>
        <v>100000</v>
      </c>
      <c r="Y94" s="330" t="s">
        <v>568</v>
      </c>
      <c r="Z94" s="282">
        <v>150000</v>
      </c>
      <c r="AA94" s="283" t="s">
        <v>569</v>
      </c>
      <c r="AB94" s="282">
        <f>302495</f>
        <v>302495</v>
      </c>
      <c r="AC94" s="330" t="s">
        <v>562</v>
      </c>
      <c r="AD94" s="282">
        <v>551000</v>
      </c>
      <c r="AE94" s="330">
        <v>45561</v>
      </c>
      <c r="AF94" s="279">
        <v>517</v>
      </c>
      <c r="AG94" s="331">
        <v>45562</v>
      </c>
      <c r="AL94" s="282">
        <f t="shared" si="28"/>
        <v>1104012</v>
      </c>
      <c r="AO94" s="485">
        <f t="shared" ref="AO94:AO102" si="32">N94-AL94</f>
        <v>0.49350000009872</v>
      </c>
      <c r="AP94" s="279">
        <v>13899058276</v>
      </c>
      <c r="AT94" s="349">
        <f t="shared" si="21"/>
        <v>900</v>
      </c>
      <c r="AU94" s="349">
        <v>200</v>
      </c>
      <c r="AV94" s="282">
        <f>200+200</f>
        <v>400</v>
      </c>
      <c r="AW94" s="282"/>
      <c r="AX94" s="282"/>
      <c r="AY94" s="282"/>
      <c r="AZ94" s="282"/>
      <c r="BA94" s="282">
        <v>300</v>
      </c>
      <c r="BB94" s="282"/>
      <c r="BC94" s="282">
        <f t="shared" si="22"/>
        <v>1103495</v>
      </c>
      <c r="BD94" s="428">
        <f t="shared" si="29"/>
        <v>0.0143</v>
      </c>
      <c r="BE94" s="282">
        <v>552495</v>
      </c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  <c r="BQ94" s="282"/>
      <c r="BR94" s="282"/>
      <c r="BS94" s="282">
        <v>551000</v>
      </c>
      <c r="BT94" s="282"/>
      <c r="BU94" s="279">
        <f t="shared" si="30"/>
        <v>7879.3</v>
      </c>
      <c r="BW94" s="279" t="s">
        <v>205</v>
      </c>
      <c r="BX94" s="279" t="s">
        <v>206</v>
      </c>
    </row>
    <row r="95" s="279" customFormat="1" ht="57" customHeight="1" spans="1:76">
      <c r="A95" s="278">
        <v>87</v>
      </c>
      <c r="C95" s="279" t="s">
        <v>562</v>
      </c>
      <c r="D95" s="279">
        <v>20230006321</v>
      </c>
      <c r="E95" s="717" t="s">
        <v>574</v>
      </c>
      <c r="F95" s="295" t="s">
        <v>564</v>
      </c>
      <c r="G95" s="483" t="s">
        <v>571</v>
      </c>
      <c r="I95" s="279" t="s">
        <v>102</v>
      </c>
      <c r="J95" s="279">
        <v>3</v>
      </c>
      <c r="K95" s="279">
        <v>42.69</v>
      </c>
      <c r="L95" s="279">
        <v>42.69</v>
      </c>
      <c r="M95" s="279">
        <v>25391.04</v>
      </c>
      <c r="N95" s="318">
        <v>1083944</v>
      </c>
      <c r="O95" s="282">
        <v>24727.98</v>
      </c>
      <c r="T95" s="282"/>
      <c r="U95" s="330"/>
      <c r="V95" s="330" t="s">
        <v>575</v>
      </c>
      <c r="W95" s="330" t="s">
        <v>576</v>
      </c>
      <c r="X95" s="282">
        <f>100000+5000-5000</f>
        <v>100000</v>
      </c>
      <c r="Y95" s="330" t="s">
        <v>577</v>
      </c>
      <c r="Z95" s="282">
        <f>150000-100000</f>
        <v>50000</v>
      </c>
      <c r="AA95" s="283" t="s">
        <v>569</v>
      </c>
      <c r="AB95" s="282">
        <v>392436</v>
      </c>
      <c r="AC95" s="330" t="s">
        <v>562</v>
      </c>
      <c r="AD95" s="282">
        <v>541000</v>
      </c>
      <c r="AE95" s="330">
        <v>45561</v>
      </c>
      <c r="AF95" s="279">
        <v>508</v>
      </c>
      <c r="AG95" s="331">
        <v>45562</v>
      </c>
      <c r="AL95" s="282">
        <f t="shared" si="28"/>
        <v>1083944</v>
      </c>
      <c r="AO95" s="485">
        <f t="shared" si="32"/>
        <v>0</v>
      </c>
      <c r="AP95" s="279">
        <v>13899058276</v>
      </c>
      <c r="AT95" s="349">
        <f t="shared" si="21"/>
        <v>700</v>
      </c>
      <c r="AU95" s="349">
        <f>200</f>
        <v>200</v>
      </c>
      <c r="AV95" s="282">
        <v>200</v>
      </c>
      <c r="AW95" s="282"/>
      <c r="AX95" s="282"/>
      <c r="AY95" s="282"/>
      <c r="AZ95" s="282"/>
      <c r="BA95" s="282">
        <v>300</v>
      </c>
      <c r="BB95" s="282"/>
      <c r="BC95" s="282">
        <f t="shared" si="22"/>
        <v>1083436</v>
      </c>
      <c r="BD95" s="428">
        <f t="shared" si="29"/>
        <v>0.0143</v>
      </c>
      <c r="BE95" s="282">
        <v>542436</v>
      </c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2"/>
      <c r="BS95" s="282">
        <v>541000</v>
      </c>
      <c r="BT95" s="282"/>
      <c r="BU95" s="279">
        <f t="shared" si="30"/>
        <v>7736.3</v>
      </c>
      <c r="BW95" s="279" t="s">
        <v>205</v>
      </c>
      <c r="BX95" s="279" t="s">
        <v>206</v>
      </c>
    </row>
    <row r="96" s="279" customFormat="1" ht="63" customHeight="1" spans="1:76">
      <c r="A96" s="278">
        <v>88</v>
      </c>
      <c r="C96" s="279" t="s">
        <v>578</v>
      </c>
      <c r="D96" s="279">
        <v>20230006451</v>
      </c>
      <c r="E96" s="717" t="s">
        <v>579</v>
      </c>
      <c r="F96" s="295" t="s">
        <v>580</v>
      </c>
      <c r="G96" s="467" t="s">
        <v>581</v>
      </c>
      <c r="I96" s="279" t="s">
        <v>102</v>
      </c>
      <c r="J96" s="279">
        <v>4</v>
      </c>
      <c r="K96" s="279">
        <v>42.69</v>
      </c>
      <c r="L96" s="279">
        <v>42.69</v>
      </c>
      <c r="M96" s="279">
        <v>24945.91</v>
      </c>
      <c r="N96" s="318">
        <f t="shared" si="31"/>
        <v>1064940.8979</v>
      </c>
      <c r="O96" s="282">
        <v>24445.91</v>
      </c>
      <c r="T96" s="282"/>
      <c r="U96" s="330"/>
      <c r="V96" s="330" t="s">
        <v>582</v>
      </c>
      <c r="W96" s="330" t="s">
        <v>583</v>
      </c>
      <c r="X96" s="282">
        <f>5000+10000</f>
        <v>15000</v>
      </c>
      <c r="Y96" s="330" t="s">
        <v>584</v>
      </c>
      <c r="Z96" s="282">
        <v>50000</v>
      </c>
      <c r="AA96" s="283" t="s">
        <v>269</v>
      </c>
      <c r="AB96" s="282">
        <v>469442</v>
      </c>
      <c r="AC96" s="330" t="s">
        <v>578</v>
      </c>
      <c r="AD96" s="282">
        <v>220000</v>
      </c>
      <c r="AE96" s="330" t="s">
        <v>585</v>
      </c>
      <c r="AF96" s="282">
        <v>310000</v>
      </c>
      <c r="AG96" s="330" t="s">
        <v>586</v>
      </c>
      <c r="AL96" s="282">
        <f t="shared" si="28"/>
        <v>1064442</v>
      </c>
      <c r="AO96" s="485">
        <f t="shared" si="32"/>
        <v>498.897899999982</v>
      </c>
      <c r="AP96" s="279">
        <v>19999196289</v>
      </c>
      <c r="AT96" s="349">
        <f t="shared" si="21"/>
        <v>1100</v>
      </c>
      <c r="AU96" s="349"/>
      <c r="AV96" s="282">
        <f>200+200</f>
        <v>400</v>
      </c>
      <c r="AW96" s="282">
        <v>200</v>
      </c>
      <c r="AX96" s="282"/>
      <c r="AY96" s="282">
        <v>200</v>
      </c>
      <c r="AZ96" s="282"/>
      <c r="BA96" s="282">
        <v>300</v>
      </c>
      <c r="BB96" s="282"/>
      <c r="BC96" s="282">
        <f t="shared" si="22"/>
        <v>1064442</v>
      </c>
      <c r="BD96" s="428">
        <f>1%+0.25%</f>
        <v>0.0125</v>
      </c>
      <c r="BE96" s="282">
        <v>534442</v>
      </c>
      <c r="BF96" s="282"/>
      <c r="BG96" s="282"/>
      <c r="BH96" s="282"/>
      <c r="BI96" s="282"/>
      <c r="BJ96" s="282"/>
      <c r="BK96" s="282">
        <v>530000</v>
      </c>
      <c r="BL96" s="282"/>
      <c r="BM96" s="282"/>
      <c r="BN96" s="282"/>
      <c r="BO96" s="282"/>
      <c r="BP96" s="282"/>
      <c r="BQ96" s="282"/>
      <c r="BR96" s="282"/>
      <c r="BS96" s="282"/>
      <c r="BT96" s="282"/>
      <c r="BU96" s="278"/>
      <c r="BW96" s="279" t="s">
        <v>205</v>
      </c>
      <c r="BX96" s="279" t="s">
        <v>206</v>
      </c>
    </row>
    <row r="97" s="279" customFormat="1" ht="102" customHeight="1" spans="1:76">
      <c r="A97" s="278">
        <v>89</v>
      </c>
      <c r="C97" s="279" t="s">
        <v>351</v>
      </c>
      <c r="D97" s="279">
        <v>20230008712</v>
      </c>
      <c r="E97" s="717" t="s">
        <v>587</v>
      </c>
      <c r="F97" s="295" t="s">
        <v>588</v>
      </c>
      <c r="G97" s="466" t="s">
        <v>589</v>
      </c>
      <c r="I97" s="279" t="s">
        <v>102</v>
      </c>
      <c r="J97" s="279">
        <v>5</v>
      </c>
      <c r="K97" s="279">
        <v>42.69</v>
      </c>
      <c r="L97" s="279">
        <v>42.69</v>
      </c>
      <c r="M97" s="279">
        <v>24963.84</v>
      </c>
      <c r="N97" s="318">
        <f t="shared" ref="N97:N106" si="33">L97*M97</f>
        <v>1065706.3296</v>
      </c>
      <c r="O97" s="282">
        <v>24163.84</v>
      </c>
      <c r="T97" s="282"/>
      <c r="U97" s="330"/>
      <c r="V97" s="330" t="s">
        <v>590</v>
      </c>
      <c r="W97" s="330" t="s">
        <v>591</v>
      </c>
      <c r="X97" s="282">
        <f>10000+10000+5000-5000+50000</f>
        <v>70000</v>
      </c>
      <c r="Y97" s="330" t="s">
        <v>592</v>
      </c>
      <c r="Z97" s="282">
        <v>200000</v>
      </c>
      <c r="AA97" s="330" t="s">
        <v>593</v>
      </c>
      <c r="AB97" s="282">
        <v>250000</v>
      </c>
      <c r="AC97" s="330" t="s">
        <v>594</v>
      </c>
      <c r="AD97" s="279">
        <v>15207</v>
      </c>
      <c r="AE97" s="279" t="s">
        <v>351</v>
      </c>
      <c r="AF97" s="282">
        <v>530000</v>
      </c>
      <c r="AG97" s="330" t="s">
        <v>595</v>
      </c>
      <c r="AL97" s="282">
        <f t="shared" si="28"/>
        <v>1065207</v>
      </c>
      <c r="AO97" s="314">
        <f t="shared" si="32"/>
        <v>499.329600000056</v>
      </c>
      <c r="AP97" s="314">
        <v>18997603797</v>
      </c>
      <c r="AT97" s="349">
        <f t="shared" si="21"/>
        <v>2400</v>
      </c>
      <c r="AU97" s="349">
        <f>200</f>
        <v>200</v>
      </c>
      <c r="AV97" s="282">
        <v>200</v>
      </c>
      <c r="AW97" s="282">
        <v>200</v>
      </c>
      <c r="AX97" s="282">
        <f>200+200</f>
        <v>400</v>
      </c>
      <c r="AY97" s="282">
        <f>200+200+200</f>
        <v>600</v>
      </c>
      <c r="AZ97" s="282">
        <v>200</v>
      </c>
      <c r="BA97" s="282">
        <f>300+300</f>
        <v>600</v>
      </c>
      <c r="BB97" s="282"/>
      <c r="BC97" s="282">
        <f t="shared" si="22"/>
        <v>1065207</v>
      </c>
      <c r="BD97" s="428">
        <f>1%+0.25%</f>
        <v>0.0125</v>
      </c>
      <c r="BE97" s="282"/>
      <c r="BF97" s="282"/>
      <c r="BG97" s="282"/>
      <c r="BH97" s="282">
        <v>535207</v>
      </c>
      <c r="BI97" s="282">
        <v>530000</v>
      </c>
      <c r="BJ97" s="282"/>
      <c r="BK97" s="282"/>
      <c r="BL97" s="282"/>
      <c r="BM97" s="282"/>
      <c r="BN97" s="282"/>
      <c r="BO97" s="282"/>
      <c r="BP97" s="282"/>
      <c r="BQ97" s="282"/>
      <c r="BR97" s="282"/>
      <c r="BS97" s="282"/>
      <c r="BT97" s="282"/>
      <c r="BU97" s="278"/>
      <c r="BW97" s="279" t="s">
        <v>205</v>
      </c>
      <c r="BX97" s="279" t="s">
        <v>206</v>
      </c>
    </row>
    <row r="98" s="279" customFormat="1" customHeight="1" spans="1:75">
      <c r="A98" s="278">
        <v>90</v>
      </c>
      <c r="E98" s="717" t="s">
        <v>596</v>
      </c>
      <c r="F98" s="295" t="s">
        <v>597</v>
      </c>
      <c r="G98" s="296" t="s">
        <v>598</v>
      </c>
      <c r="I98" s="279" t="s">
        <v>102</v>
      </c>
      <c r="J98" s="279">
        <v>6</v>
      </c>
      <c r="K98" s="279">
        <v>29.05</v>
      </c>
      <c r="L98" s="279">
        <v>29.05</v>
      </c>
      <c r="M98" s="279">
        <v>24463.84</v>
      </c>
      <c r="N98" s="318">
        <f t="shared" si="33"/>
        <v>710674.552</v>
      </c>
      <c r="O98" s="282">
        <v>24163.84</v>
      </c>
      <c r="T98" s="282"/>
      <c r="U98" s="330"/>
      <c r="V98" s="330" t="s">
        <v>599</v>
      </c>
      <c r="W98" s="330" t="s">
        <v>600</v>
      </c>
      <c r="X98" s="282">
        <f>10000+10000</f>
        <v>20000</v>
      </c>
      <c r="Y98" s="330" t="s">
        <v>601</v>
      </c>
      <c r="Z98" s="282">
        <v>30000</v>
      </c>
      <c r="AA98" s="283" t="s">
        <v>269</v>
      </c>
      <c r="AB98" s="282">
        <v>318262</v>
      </c>
      <c r="AC98" s="330" t="s">
        <v>602</v>
      </c>
      <c r="AL98" s="282">
        <f t="shared" si="28"/>
        <v>368262</v>
      </c>
      <c r="AO98" s="314">
        <f t="shared" si="32"/>
        <v>342412.552</v>
      </c>
      <c r="AP98" s="279">
        <v>13699330699</v>
      </c>
      <c r="AT98" s="349">
        <f t="shared" si="21"/>
        <v>0</v>
      </c>
      <c r="AU98" s="349"/>
      <c r="AV98" s="282"/>
      <c r="AW98" s="282"/>
      <c r="AX98" s="282"/>
      <c r="AY98" s="282"/>
      <c r="AZ98" s="282"/>
      <c r="BA98" s="282"/>
      <c r="BB98" s="282"/>
      <c r="BC98" s="282">
        <f t="shared" si="22"/>
        <v>0</v>
      </c>
      <c r="BD98" s="428">
        <f>1%+0.25%</f>
        <v>0.0125</v>
      </c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  <c r="BQ98" s="282"/>
      <c r="BR98" s="282"/>
      <c r="BS98" s="282"/>
      <c r="BT98" s="282"/>
      <c r="BU98" s="278"/>
      <c r="BW98" s="279" t="s">
        <v>205</v>
      </c>
    </row>
    <row r="99" s="279" customFormat="1" customHeight="1" spans="1:76">
      <c r="A99" s="278">
        <v>91</v>
      </c>
      <c r="C99" s="279" t="s">
        <v>384</v>
      </c>
      <c r="D99" s="279">
        <v>20230008395</v>
      </c>
      <c r="E99" s="717" t="s">
        <v>603</v>
      </c>
      <c r="F99" s="295" t="s">
        <v>597</v>
      </c>
      <c r="G99" s="296" t="s">
        <v>604</v>
      </c>
      <c r="I99" s="279" t="s">
        <v>102</v>
      </c>
      <c r="J99" s="279">
        <v>7</v>
      </c>
      <c r="K99" s="279">
        <v>42.69</v>
      </c>
      <c r="L99" s="279">
        <v>42.69</v>
      </c>
      <c r="M99" s="279">
        <v>24369.82</v>
      </c>
      <c r="N99" s="318">
        <f t="shared" si="33"/>
        <v>1040347.6158</v>
      </c>
      <c r="O99" s="282">
        <v>24069.82</v>
      </c>
      <c r="T99" s="282"/>
      <c r="U99" s="330"/>
      <c r="V99" s="330"/>
      <c r="W99" s="330" t="s">
        <v>600</v>
      </c>
      <c r="X99" s="282">
        <v>50000</v>
      </c>
      <c r="Y99" s="330" t="s">
        <v>269</v>
      </c>
      <c r="Z99" s="282">
        <v>33203</v>
      </c>
      <c r="AA99" s="330" t="s">
        <v>384</v>
      </c>
      <c r="AB99" s="282">
        <v>280000</v>
      </c>
      <c r="AC99" s="330" t="s">
        <v>243</v>
      </c>
      <c r="AD99" s="279">
        <v>150000</v>
      </c>
      <c r="AE99" s="279" t="s">
        <v>602</v>
      </c>
      <c r="AL99" s="282">
        <f t="shared" si="28"/>
        <v>513203</v>
      </c>
      <c r="AO99" s="314">
        <f t="shared" si="32"/>
        <v>527144.6158</v>
      </c>
      <c r="AP99" s="279">
        <v>13699330699</v>
      </c>
      <c r="AT99" s="349">
        <f t="shared" si="21"/>
        <v>0</v>
      </c>
      <c r="AU99" s="349"/>
      <c r="AV99" s="282"/>
      <c r="AW99" s="282"/>
      <c r="AX99" s="282"/>
      <c r="AY99" s="282"/>
      <c r="AZ99" s="282"/>
      <c r="BA99" s="282"/>
      <c r="BB99" s="282"/>
      <c r="BC99" s="282">
        <f t="shared" si="22"/>
        <v>0</v>
      </c>
      <c r="BD99" s="428">
        <f>1%+0.25%</f>
        <v>0.0125</v>
      </c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2"/>
      <c r="BS99" s="282"/>
      <c r="BT99" s="282"/>
      <c r="BU99" s="278"/>
      <c r="BW99" s="279" t="s">
        <v>205</v>
      </c>
      <c r="BX99" s="279" t="s">
        <v>206</v>
      </c>
    </row>
    <row r="100" s="279" customFormat="1" customHeight="1" spans="1:76">
      <c r="A100" s="278">
        <v>92</v>
      </c>
      <c r="C100" s="279" t="s">
        <v>605</v>
      </c>
      <c r="D100" s="279">
        <v>20230005526</v>
      </c>
      <c r="E100" s="717" t="s">
        <v>606</v>
      </c>
      <c r="F100" s="295" t="s">
        <v>607</v>
      </c>
      <c r="G100" s="296" t="s">
        <v>608</v>
      </c>
      <c r="I100" s="279" t="s">
        <v>102</v>
      </c>
      <c r="J100" s="279">
        <v>8</v>
      </c>
      <c r="K100" s="279">
        <v>42.69</v>
      </c>
      <c r="L100" s="279">
        <v>42.69</v>
      </c>
      <c r="M100" s="279">
        <v>24275.79</v>
      </c>
      <c r="N100" s="318">
        <f t="shared" si="33"/>
        <v>1036333.4751</v>
      </c>
      <c r="O100" s="282">
        <v>23975.79</v>
      </c>
      <c r="T100" s="282">
        <v>200000</v>
      </c>
      <c r="U100" s="330" t="s">
        <v>609</v>
      </c>
      <c r="V100" s="330" t="s">
        <v>610</v>
      </c>
      <c r="W100" s="330" t="s">
        <v>611</v>
      </c>
      <c r="X100" s="282">
        <v>5000</v>
      </c>
      <c r="Y100" s="330">
        <v>44762</v>
      </c>
      <c r="Z100" s="282">
        <v>100000</v>
      </c>
      <c r="AA100" s="283" t="s">
        <v>269</v>
      </c>
      <c r="AB100" s="282">
        <v>420848</v>
      </c>
      <c r="AC100" s="283" t="s">
        <v>605</v>
      </c>
      <c r="AD100" s="282">
        <v>110000</v>
      </c>
      <c r="AE100" s="330" t="s">
        <v>429</v>
      </c>
      <c r="AF100" s="282">
        <v>200000</v>
      </c>
      <c r="AG100" s="330" t="s">
        <v>609</v>
      </c>
      <c r="AL100" s="282">
        <f t="shared" si="28"/>
        <v>835848</v>
      </c>
      <c r="AO100" s="314">
        <f t="shared" si="32"/>
        <v>200485.4751</v>
      </c>
      <c r="AP100" s="279">
        <v>14799095699</v>
      </c>
      <c r="AT100" s="349">
        <f t="shared" si="21"/>
        <v>0</v>
      </c>
      <c r="AU100" s="349"/>
      <c r="AV100" s="282"/>
      <c r="AW100" s="282"/>
      <c r="AX100" s="282"/>
      <c r="AY100" s="282"/>
      <c r="AZ100" s="282"/>
      <c r="BA100" s="282"/>
      <c r="BB100" s="282"/>
      <c r="BC100" s="282">
        <f t="shared" si="22"/>
        <v>520848</v>
      </c>
      <c r="BD100" s="428">
        <f>1%+0.18%+0.25%</f>
        <v>0.0143</v>
      </c>
      <c r="BE100" s="282">
        <v>520848</v>
      </c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2"/>
      <c r="BS100" s="282"/>
      <c r="BT100" s="282"/>
      <c r="BU100" s="278"/>
      <c r="BW100" s="279" t="s">
        <v>205</v>
      </c>
      <c r="BX100" s="279" t="s">
        <v>206</v>
      </c>
    </row>
    <row r="101" s="279" customFormat="1" customHeight="1" spans="1:75">
      <c r="A101" s="278">
        <v>93</v>
      </c>
      <c r="E101" s="717" t="s">
        <v>612</v>
      </c>
      <c r="F101" s="295" t="s">
        <v>613</v>
      </c>
      <c r="G101" s="296" t="s">
        <v>614</v>
      </c>
      <c r="I101" s="279" t="s">
        <v>102</v>
      </c>
      <c r="J101" s="279">
        <v>9</v>
      </c>
      <c r="K101" s="279">
        <v>42.69</v>
      </c>
      <c r="L101" s="279">
        <v>42.69</v>
      </c>
      <c r="M101" s="279">
        <v>24181.77</v>
      </c>
      <c r="N101" s="318">
        <f t="shared" si="33"/>
        <v>1032319.7613</v>
      </c>
      <c r="O101" s="282">
        <v>23881.77</v>
      </c>
      <c r="T101" s="282">
        <f>484+100000</f>
        <v>100484</v>
      </c>
      <c r="U101" s="330" t="s">
        <v>91</v>
      </c>
      <c r="V101" s="330" t="s">
        <v>615</v>
      </c>
      <c r="W101" s="330" t="s">
        <v>616</v>
      </c>
      <c r="X101" s="282">
        <f>5000+5000</f>
        <v>10000</v>
      </c>
      <c r="Y101" s="330" t="s">
        <v>617</v>
      </c>
      <c r="Z101" s="282">
        <v>50000</v>
      </c>
      <c r="AA101" s="283" t="s">
        <v>269</v>
      </c>
      <c r="AB101" s="282">
        <v>140000</v>
      </c>
      <c r="AC101" s="283" t="s">
        <v>618</v>
      </c>
      <c r="AD101" s="282">
        <v>50000</v>
      </c>
      <c r="AE101" s="330" t="s">
        <v>397</v>
      </c>
      <c r="AF101" s="282">
        <v>100000</v>
      </c>
      <c r="AG101" s="330" t="s">
        <v>281</v>
      </c>
      <c r="AH101" s="282">
        <v>100000</v>
      </c>
      <c r="AI101" s="330">
        <v>45565</v>
      </c>
      <c r="AJ101" s="282">
        <f>484+100000</f>
        <v>100484</v>
      </c>
      <c r="AK101" s="330" t="s">
        <v>91</v>
      </c>
      <c r="AL101" s="282">
        <f t="shared" si="28"/>
        <v>550484</v>
      </c>
      <c r="AO101" s="314">
        <f t="shared" si="32"/>
        <v>481835.7613</v>
      </c>
      <c r="AP101" s="279">
        <v>13999607739</v>
      </c>
      <c r="AT101" s="349">
        <f t="shared" si="21"/>
        <v>0</v>
      </c>
      <c r="AU101" s="349"/>
      <c r="AV101" s="282"/>
      <c r="AW101" s="282"/>
      <c r="AX101" s="282"/>
      <c r="AY101" s="282"/>
      <c r="AZ101" s="282"/>
      <c r="BA101" s="282"/>
      <c r="BB101" s="282"/>
      <c r="BC101" s="282">
        <f t="shared" si="22"/>
        <v>0</v>
      </c>
      <c r="BD101" s="428">
        <f>1%+0.25%</f>
        <v>0.0125</v>
      </c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  <c r="BQ101" s="282"/>
      <c r="BR101" s="282"/>
      <c r="BS101" s="282"/>
      <c r="BT101" s="282"/>
      <c r="BU101" s="278"/>
      <c r="BW101" s="279" t="s">
        <v>205</v>
      </c>
    </row>
    <row r="102" s="279" customFormat="1" customHeight="1" spans="1:76">
      <c r="A102" s="278">
        <v>94</v>
      </c>
      <c r="C102" s="279" t="s">
        <v>619</v>
      </c>
      <c r="D102" s="279">
        <v>20230005458</v>
      </c>
      <c r="E102" s="717" t="s">
        <v>620</v>
      </c>
      <c r="F102" s="295" t="s">
        <v>621</v>
      </c>
      <c r="G102" s="466" t="s">
        <v>622</v>
      </c>
      <c r="I102" s="279" t="s">
        <v>102</v>
      </c>
      <c r="J102" s="279">
        <v>10</v>
      </c>
      <c r="K102" s="279">
        <v>41.68</v>
      </c>
      <c r="L102" s="279">
        <v>41.68</v>
      </c>
      <c r="M102" s="279">
        <v>24669.16</v>
      </c>
      <c r="N102" s="318">
        <f t="shared" si="33"/>
        <v>1028210.5888</v>
      </c>
      <c r="O102" s="282">
        <v>24369.16</v>
      </c>
      <c r="T102" s="282"/>
      <c r="U102" s="330"/>
      <c r="V102" s="279" t="s">
        <v>623</v>
      </c>
      <c r="W102" s="279" t="s">
        <v>624</v>
      </c>
      <c r="X102" s="282">
        <v>5000</v>
      </c>
      <c r="Y102" s="279" t="s">
        <v>625</v>
      </c>
      <c r="Z102" s="282">
        <v>45000</v>
      </c>
      <c r="AA102" s="283" t="s">
        <v>260</v>
      </c>
      <c r="AB102" s="282">
        <v>464717</v>
      </c>
      <c r="AC102" s="283" t="s">
        <v>619</v>
      </c>
      <c r="AD102" s="282">
        <f>84000+429000</f>
        <v>513000</v>
      </c>
      <c r="AE102" s="330" t="s">
        <v>356</v>
      </c>
      <c r="AF102" s="279"/>
      <c r="AG102" s="279"/>
      <c r="AL102" s="282">
        <f t="shared" si="28"/>
        <v>1027717</v>
      </c>
      <c r="AO102" s="314">
        <f t="shared" si="32"/>
        <v>493.588800000027</v>
      </c>
      <c r="AP102" s="279">
        <v>18116973710</v>
      </c>
      <c r="AT102" s="349">
        <f t="shared" si="21"/>
        <v>700</v>
      </c>
      <c r="AU102" s="349"/>
      <c r="AV102" s="282"/>
      <c r="AW102" s="282">
        <v>200</v>
      </c>
      <c r="AX102" s="282"/>
      <c r="AY102" s="282">
        <v>200</v>
      </c>
      <c r="AZ102" s="282"/>
      <c r="BA102" s="282">
        <v>300</v>
      </c>
      <c r="BB102" s="282"/>
      <c r="BC102" s="282">
        <f t="shared" si="22"/>
        <v>1027717</v>
      </c>
      <c r="BD102" s="428">
        <f t="shared" ref="BD102:BD105" si="34">1%+0.18%+0.25%</f>
        <v>0.0143</v>
      </c>
      <c r="BE102" s="282"/>
      <c r="BF102" s="282"/>
      <c r="BG102" s="282"/>
      <c r="BH102" s="282">
        <v>1027717</v>
      </c>
      <c r="BI102" s="282"/>
      <c r="BJ102" s="282"/>
      <c r="BK102" s="282"/>
      <c r="BL102" s="282"/>
      <c r="BM102" s="282"/>
      <c r="BN102" s="282"/>
      <c r="BO102" s="282"/>
      <c r="BP102" s="282"/>
      <c r="BQ102" s="282"/>
      <c r="BR102" s="282"/>
      <c r="BS102" s="282"/>
      <c r="BT102" s="282"/>
      <c r="BU102" s="278"/>
      <c r="BW102" s="279" t="s">
        <v>205</v>
      </c>
      <c r="BX102" s="279" t="s">
        <v>206</v>
      </c>
    </row>
    <row r="103" s="279" customFormat="1" customHeight="1" spans="1:76">
      <c r="A103" s="278">
        <v>95</v>
      </c>
      <c r="C103" s="279" t="s">
        <v>341</v>
      </c>
      <c r="D103" s="279">
        <v>20230008219</v>
      </c>
      <c r="E103" s="717" t="s">
        <v>626</v>
      </c>
      <c r="F103" s="295" t="s">
        <v>627</v>
      </c>
      <c r="G103" s="466" t="s">
        <v>628</v>
      </c>
      <c r="I103" s="279" t="s">
        <v>102</v>
      </c>
      <c r="J103" s="279">
        <v>11</v>
      </c>
      <c r="K103" s="279">
        <v>43.2</v>
      </c>
      <c r="L103" s="279">
        <v>43.2</v>
      </c>
      <c r="M103" s="279">
        <v>25867</v>
      </c>
      <c r="N103" s="318">
        <f t="shared" si="33"/>
        <v>1117454.4</v>
      </c>
      <c r="O103" s="282">
        <v>25705</v>
      </c>
      <c r="T103" s="282"/>
      <c r="U103" s="330"/>
      <c r="V103" s="330" t="s">
        <v>629</v>
      </c>
      <c r="W103" s="330" t="s">
        <v>630</v>
      </c>
      <c r="X103" s="282">
        <v>10000</v>
      </c>
      <c r="Y103" s="330" t="s">
        <v>631</v>
      </c>
      <c r="Z103" s="282">
        <v>90000</v>
      </c>
      <c r="AA103" s="283" t="s">
        <v>260</v>
      </c>
      <c r="AB103" s="282">
        <v>1016937</v>
      </c>
      <c r="AC103" s="330" t="s">
        <v>632</v>
      </c>
      <c r="AL103" s="282">
        <f t="shared" si="28"/>
        <v>1116937</v>
      </c>
      <c r="AO103" s="314">
        <f t="shared" ref="AO103:AO109" si="35">N103-AL103</f>
        <v>517.399999999907</v>
      </c>
      <c r="AP103" s="279">
        <v>15276260476</v>
      </c>
      <c r="AT103" s="349">
        <f t="shared" si="21"/>
        <v>200</v>
      </c>
      <c r="AU103" s="349"/>
      <c r="AV103" s="282"/>
      <c r="AW103" s="282"/>
      <c r="AX103" s="282"/>
      <c r="AY103" s="282">
        <v>200</v>
      </c>
      <c r="AZ103" s="282"/>
      <c r="BA103" s="282"/>
      <c r="BB103" s="282"/>
      <c r="BC103" s="282">
        <f t="shared" si="22"/>
        <v>1116937</v>
      </c>
      <c r="BD103" s="428">
        <f t="shared" si="34"/>
        <v>0.0143</v>
      </c>
      <c r="BE103" s="282"/>
      <c r="BF103" s="282"/>
      <c r="BG103" s="282">
        <v>1116937</v>
      </c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2"/>
      <c r="BS103" s="282"/>
      <c r="BT103" s="282"/>
      <c r="BU103" s="278"/>
      <c r="BW103" s="279" t="s">
        <v>205</v>
      </c>
      <c r="BX103" s="279" t="s">
        <v>206</v>
      </c>
    </row>
    <row r="104" s="279" customFormat="1" customHeight="1" spans="1:76">
      <c r="A104" s="278">
        <v>96</v>
      </c>
      <c r="C104" s="279" t="s">
        <v>341</v>
      </c>
      <c r="D104" s="279">
        <v>20230008224</v>
      </c>
      <c r="E104" s="717" t="s">
        <v>633</v>
      </c>
      <c r="F104" s="295" t="s">
        <v>627</v>
      </c>
      <c r="G104" s="466" t="s">
        <v>628</v>
      </c>
      <c r="I104" s="279" t="s">
        <v>102</v>
      </c>
      <c r="J104" s="279">
        <v>12</v>
      </c>
      <c r="K104" s="279">
        <v>43.2</v>
      </c>
      <c r="L104" s="279">
        <v>43.2</v>
      </c>
      <c r="M104" s="279">
        <v>20533</v>
      </c>
      <c r="N104" s="318">
        <f t="shared" si="33"/>
        <v>887025.6</v>
      </c>
      <c r="O104" s="282">
        <v>20372.35</v>
      </c>
      <c r="T104" s="282"/>
      <c r="U104" s="330"/>
      <c r="V104" s="330"/>
      <c r="W104" s="330" t="s">
        <v>630</v>
      </c>
      <c r="X104" s="282">
        <v>100000</v>
      </c>
      <c r="Y104" s="330" t="s">
        <v>260</v>
      </c>
      <c r="Z104" s="282">
        <v>283063</v>
      </c>
      <c r="AA104" s="330" t="s">
        <v>632</v>
      </c>
      <c r="AB104" s="282">
        <v>503552</v>
      </c>
      <c r="AC104" s="283" t="s">
        <v>341</v>
      </c>
      <c r="AL104" s="282">
        <f t="shared" si="28"/>
        <v>886615</v>
      </c>
      <c r="AO104" s="314">
        <f t="shared" si="35"/>
        <v>410.599999999977</v>
      </c>
      <c r="AP104" s="279">
        <v>15276260476</v>
      </c>
      <c r="AT104" s="349">
        <f t="shared" si="21"/>
        <v>200</v>
      </c>
      <c r="AU104" s="349"/>
      <c r="AV104" s="282"/>
      <c r="AW104" s="282"/>
      <c r="AX104" s="282"/>
      <c r="AY104" s="282">
        <v>200</v>
      </c>
      <c r="AZ104" s="282"/>
      <c r="BA104" s="282"/>
      <c r="BB104" s="282"/>
      <c r="BC104" s="282">
        <f t="shared" si="22"/>
        <v>886615</v>
      </c>
      <c r="BD104" s="428">
        <f t="shared" si="34"/>
        <v>0.0143</v>
      </c>
      <c r="BE104" s="282"/>
      <c r="BF104" s="282"/>
      <c r="BG104" s="282">
        <v>886615</v>
      </c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78"/>
      <c r="BW104" s="279" t="s">
        <v>205</v>
      </c>
      <c r="BX104" s="279" t="s">
        <v>206</v>
      </c>
    </row>
    <row r="105" s="279" customFormat="1" customHeight="1" spans="1:76">
      <c r="A105" s="278">
        <v>97</v>
      </c>
      <c r="C105" s="279" t="s">
        <v>619</v>
      </c>
      <c r="D105" s="279">
        <v>20230005459</v>
      </c>
      <c r="E105" s="717" t="s">
        <v>634</v>
      </c>
      <c r="F105" s="295" t="s">
        <v>621</v>
      </c>
      <c r="G105" s="466" t="s">
        <v>622</v>
      </c>
      <c r="I105" s="279" t="s">
        <v>102</v>
      </c>
      <c r="J105" s="279">
        <v>13</v>
      </c>
      <c r="K105" s="279">
        <v>41.68</v>
      </c>
      <c r="L105" s="279">
        <v>41.68</v>
      </c>
      <c r="M105" s="279">
        <v>19527.5</v>
      </c>
      <c r="N105" s="318">
        <f t="shared" si="33"/>
        <v>813906.2</v>
      </c>
      <c r="O105" s="282">
        <v>19227.5</v>
      </c>
      <c r="T105" s="282"/>
      <c r="U105" s="330"/>
      <c r="V105" s="330"/>
      <c r="W105" s="279" t="s">
        <v>624</v>
      </c>
      <c r="X105" s="282">
        <v>50000</v>
      </c>
      <c r="Y105" s="279" t="s">
        <v>260</v>
      </c>
      <c r="Z105" s="282">
        <v>357516</v>
      </c>
      <c r="AA105" s="283" t="s">
        <v>619</v>
      </c>
      <c r="AB105" s="282">
        <v>406000</v>
      </c>
      <c r="AC105" s="283" t="s">
        <v>635</v>
      </c>
      <c r="AL105" s="282">
        <f t="shared" si="28"/>
        <v>813516</v>
      </c>
      <c r="AO105" s="314">
        <f t="shared" si="35"/>
        <v>390.199999999953</v>
      </c>
      <c r="AP105" s="279">
        <v>18116973710</v>
      </c>
      <c r="AT105" s="349">
        <f t="shared" ref="AT105:AT150" si="36">AU105+AV105+AW105+AX105+AY105+AZ105+BA105+BB105</f>
        <v>200</v>
      </c>
      <c r="AU105" s="349"/>
      <c r="AV105" s="282"/>
      <c r="AW105" s="282"/>
      <c r="AX105" s="282"/>
      <c r="AY105" s="282">
        <v>200</v>
      </c>
      <c r="AZ105" s="282"/>
      <c r="BA105" s="282"/>
      <c r="BB105" s="282"/>
      <c r="BC105" s="282">
        <f t="shared" ref="BC105:BC150" si="37">SUM(BE105:BT105)</f>
        <v>813516</v>
      </c>
      <c r="BD105" s="428">
        <f t="shared" si="34"/>
        <v>0.0143</v>
      </c>
      <c r="BE105" s="282"/>
      <c r="BF105" s="282"/>
      <c r="BG105" s="282"/>
      <c r="BH105" s="282">
        <v>813516</v>
      </c>
      <c r="BI105" s="282"/>
      <c r="BJ105" s="282"/>
      <c r="BK105" s="282"/>
      <c r="BL105" s="282"/>
      <c r="BM105" s="282"/>
      <c r="BN105" s="282"/>
      <c r="BO105" s="282"/>
      <c r="BP105" s="282"/>
      <c r="BQ105" s="282"/>
      <c r="BR105" s="282"/>
      <c r="BS105" s="282"/>
      <c r="BT105" s="282"/>
      <c r="BU105" s="278"/>
      <c r="BW105" s="279" t="s">
        <v>205</v>
      </c>
      <c r="BX105" s="279" t="s">
        <v>206</v>
      </c>
    </row>
    <row r="106" s="279" customFormat="1" customHeight="1" spans="1:76">
      <c r="A106" s="278">
        <v>98</v>
      </c>
      <c r="C106" s="331">
        <v>45318</v>
      </c>
      <c r="D106" s="279">
        <v>20240000629</v>
      </c>
      <c r="E106" s="717" t="s">
        <v>636</v>
      </c>
      <c r="F106" s="295" t="s">
        <v>637</v>
      </c>
      <c r="G106" s="296" t="s">
        <v>638</v>
      </c>
      <c r="I106" s="279" t="s">
        <v>102</v>
      </c>
      <c r="J106" s="279">
        <v>14</v>
      </c>
      <c r="K106" s="279">
        <v>42.69</v>
      </c>
      <c r="L106" s="279">
        <v>42.69</v>
      </c>
      <c r="M106" s="279">
        <v>17421.83</v>
      </c>
      <c r="N106" s="318">
        <f t="shared" si="33"/>
        <v>743737.9227</v>
      </c>
      <c r="O106" s="282">
        <v>17121.83</v>
      </c>
      <c r="T106" s="282"/>
      <c r="U106" s="330"/>
      <c r="V106" s="330"/>
      <c r="W106" s="330" t="s">
        <v>639</v>
      </c>
      <c r="X106" s="282">
        <v>50000</v>
      </c>
      <c r="Y106" s="330" t="s">
        <v>269</v>
      </c>
      <c r="Z106" s="282">
        <v>300000</v>
      </c>
      <c r="AA106" s="330" t="s">
        <v>640</v>
      </c>
      <c r="AB106" s="282">
        <v>200000</v>
      </c>
      <c r="AC106" s="330" t="s">
        <v>641</v>
      </c>
      <c r="AD106" s="282">
        <v>150000</v>
      </c>
      <c r="AE106" s="330" t="s">
        <v>642</v>
      </c>
      <c r="AF106" s="282">
        <v>43389</v>
      </c>
      <c r="AG106" s="330" t="s">
        <v>397</v>
      </c>
      <c r="AL106" s="282">
        <f t="shared" si="28"/>
        <v>743389</v>
      </c>
      <c r="AO106" s="314">
        <f t="shared" si="35"/>
        <v>348.922699999996</v>
      </c>
      <c r="AP106" s="279">
        <v>13899019911</v>
      </c>
      <c r="AT106" s="349">
        <f t="shared" si="36"/>
        <v>0</v>
      </c>
      <c r="AU106" s="349"/>
      <c r="AV106" s="282"/>
      <c r="AW106" s="282"/>
      <c r="AX106" s="282"/>
      <c r="AY106" s="282"/>
      <c r="AZ106" s="282"/>
      <c r="BA106" s="282"/>
      <c r="BB106" s="282"/>
      <c r="BC106" s="282">
        <f t="shared" si="37"/>
        <v>743389</v>
      </c>
      <c r="BD106" s="428">
        <f>1%+0.25%</f>
        <v>0.0125</v>
      </c>
      <c r="BE106" s="282"/>
      <c r="BF106" s="282"/>
      <c r="BG106" s="282"/>
      <c r="BH106" s="282"/>
      <c r="BI106" s="282"/>
      <c r="BJ106" s="282"/>
      <c r="BK106" s="282"/>
      <c r="BL106" s="282"/>
      <c r="BM106" s="282">
        <v>743389</v>
      </c>
      <c r="BN106" s="282"/>
      <c r="BO106" s="282"/>
      <c r="BP106" s="282"/>
      <c r="BQ106" s="282"/>
      <c r="BR106" s="282"/>
      <c r="BS106" s="282"/>
      <c r="BT106" s="282"/>
      <c r="BU106" s="278"/>
      <c r="BW106" s="279" t="s">
        <v>205</v>
      </c>
      <c r="BX106" s="279" t="s">
        <v>206</v>
      </c>
    </row>
    <row r="107" s="279" customFormat="1" customHeight="1" spans="1:75">
      <c r="A107" s="278">
        <v>99</v>
      </c>
      <c r="C107" s="331">
        <v>45111</v>
      </c>
      <c r="D107" s="279">
        <v>20230005527</v>
      </c>
      <c r="E107" s="717" t="s">
        <v>643</v>
      </c>
      <c r="F107" s="295" t="s">
        <v>607</v>
      </c>
      <c r="G107" s="296" t="s">
        <v>608</v>
      </c>
      <c r="I107" s="279" t="s">
        <v>102</v>
      </c>
      <c r="J107" s="279">
        <v>15</v>
      </c>
      <c r="K107" s="279">
        <v>42.69</v>
      </c>
      <c r="L107" s="279">
        <v>42.69</v>
      </c>
      <c r="M107" s="279">
        <v>17235.72</v>
      </c>
      <c r="N107" s="318">
        <f t="shared" ref="N106:N109" si="38">L107*M107</f>
        <v>735792.8868</v>
      </c>
      <c r="O107" s="282">
        <v>16935.72</v>
      </c>
      <c r="T107" s="282"/>
      <c r="U107" s="330"/>
      <c r="V107" s="330"/>
      <c r="W107" s="330" t="s">
        <v>611</v>
      </c>
      <c r="X107" s="282">
        <v>100000</v>
      </c>
      <c r="Y107" s="330" t="s">
        <v>269</v>
      </c>
      <c r="Z107" s="282">
        <f>4500+270948+180000</f>
        <v>455448</v>
      </c>
      <c r="AA107" s="283" t="s">
        <v>605</v>
      </c>
      <c r="AB107" s="282">
        <v>130000</v>
      </c>
      <c r="AC107" s="330" t="s">
        <v>426</v>
      </c>
      <c r="AD107" s="282">
        <v>50000</v>
      </c>
      <c r="AE107" s="330" t="s">
        <v>227</v>
      </c>
      <c r="AL107" s="282">
        <f t="shared" si="28"/>
        <v>735448</v>
      </c>
      <c r="AO107" s="314">
        <f t="shared" si="35"/>
        <v>344.886799999978</v>
      </c>
      <c r="AP107" s="279">
        <v>14799095699</v>
      </c>
      <c r="AT107" s="349">
        <f t="shared" si="36"/>
        <v>0</v>
      </c>
      <c r="AU107" s="349"/>
      <c r="AV107" s="282"/>
      <c r="AW107" s="282"/>
      <c r="AX107" s="282"/>
      <c r="AY107" s="282"/>
      <c r="AZ107" s="282"/>
      <c r="BA107" s="282"/>
      <c r="BB107" s="282"/>
      <c r="BC107" s="282">
        <f t="shared" si="37"/>
        <v>735448</v>
      </c>
      <c r="BD107" s="428">
        <f>1%+0.18%+0.25%</f>
        <v>0.0143</v>
      </c>
      <c r="BE107" s="282"/>
      <c r="BF107" s="282"/>
      <c r="BG107" s="282"/>
      <c r="BH107" s="282"/>
      <c r="BI107" s="282"/>
      <c r="BJ107" s="282"/>
      <c r="BK107" s="282"/>
      <c r="BL107" s="282"/>
      <c r="BM107" s="282">
        <v>735448</v>
      </c>
      <c r="BN107" s="282"/>
      <c r="BO107" s="282"/>
      <c r="BP107" s="282"/>
      <c r="BQ107" s="282"/>
      <c r="BR107" s="282"/>
      <c r="BS107" s="282"/>
      <c r="BT107" s="282"/>
      <c r="BU107" s="278"/>
      <c r="BW107" s="279" t="s">
        <v>205</v>
      </c>
    </row>
    <row r="108" s="279" customFormat="1" customHeight="1" spans="1:76">
      <c r="A108" s="278">
        <v>100</v>
      </c>
      <c r="C108" s="331">
        <v>45223</v>
      </c>
      <c r="D108" s="279">
        <v>20230009189</v>
      </c>
      <c r="E108" s="717" t="s">
        <v>644</v>
      </c>
      <c r="F108" s="295" t="s">
        <v>597</v>
      </c>
      <c r="G108" s="296" t="s">
        <v>598</v>
      </c>
      <c r="I108" s="279" t="s">
        <v>102</v>
      </c>
      <c r="J108" s="279">
        <v>16</v>
      </c>
      <c r="K108" s="279">
        <v>42.69</v>
      </c>
      <c r="L108" s="279">
        <v>42.69</v>
      </c>
      <c r="M108" s="279">
        <v>17049.62</v>
      </c>
      <c r="N108" s="318">
        <f t="shared" si="38"/>
        <v>727848.2778</v>
      </c>
      <c r="O108" s="282">
        <v>16749.62</v>
      </c>
      <c r="T108" s="282"/>
      <c r="U108" s="330"/>
      <c r="V108" s="330"/>
      <c r="W108" s="330" t="s">
        <v>600</v>
      </c>
      <c r="X108" s="282">
        <v>50000</v>
      </c>
      <c r="Y108" s="330" t="s">
        <v>269</v>
      </c>
      <c r="Z108" s="282">
        <f>89962+220888</f>
        <v>310850</v>
      </c>
      <c r="AA108" s="330" t="s">
        <v>602</v>
      </c>
      <c r="AB108" s="282"/>
      <c r="AC108" s="283"/>
      <c r="AL108" s="282">
        <f t="shared" si="28"/>
        <v>360850</v>
      </c>
      <c r="AO108" s="314">
        <f t="shared" si="35"/>
        <v>366998.2778</v>
      </c>
      <c r="AP108" s="279">
        <v>13699330699</v>
      </c>
      <c r="AT108" s="349">
        <f t="shared" si="36"/>
        <v>0</v>
      </c>
      <c r="AU108" s="349"/>
      <c r="AV108" s="282"/>
      <c r="AW108" s="282"/>
      <c r="AX108" s="282"/>
      <c r="AY108" s="282"/>
      <c r="AZ108" s="282"/>
      <c r="BA108" s="282"/>
      <c r="BB108" s="282"/>
      <c r="BC108" s="282">
        <f t="shared" si="37"/>
        <v>0</v>
      </c>
      <c r="BD108" s="428">
        <f>1%+0.25%</f>
        <v>0.0125</v>
      </c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2"/>
      <c r="BR108" s="282"/>
      <c r="BS108" s="282"/>
      <c r="BT108" s="282"/>
      <c r="BU108" s="278"/>
      <c r="BW108" s="279" t="s">
        <v>205</v>
      </c>
      <c r="BX108" s="279" t="s">
        <v>206</v>
      </c>
    </row>
    <row r="109" s="279" customFormat="1" customHeight="1" spans="1:76">
      <c r="A109" s="278">
        <v>101</v>
      </c>
      <c r="C109" s="331">
        <v>45223</v>
      </c>
      <c r="D109" s="279">
        <v>20230009190</v>
      </c>
      <c r="E109" s="717" t="s">
        <v>645</v>
      </c>
      <c r="F109" s="295" t="s">
        <v>597</v>
      </c>
      <c r="G109" s="296" t="s">
        <v>598</v>
      </c>
      <c r="I109" s="279" t="s">
        <v>102</v>
      </c>
      <c r="J109" s="279">
        <v>17</v>
      </c>
      <c r="K109" s="279">
        <v>42.69</v>
      </c>
      <c r="L109" s="279">
        <v>42.69</v>
      </c>
      <c r="M109" s="279">
        <v>17049.62</v>
      </c>
      <c r="N109" s="318">
        <f t="shared" si="38"/>
        <v>727848.2778</v>
      </c>
      <c r="O109" s="282">
        <v>16749.62</v>
      </c>
      <c r="T109" s="282"/>
      <c r="U109" s="330"/>
      <c r="V109" s="330"/>
      <c r="W109" s="330" t="s">
        <v>600</v>
      </c>
      <c r="X109" s="282">
        <v>50000</v>
      </c>
      <c r="Y109" s="330" t="s">
        <v>269</v>
      </c>
      <c r="Z109" s="282">
        <v>310850</v>
      </c>
      <c r="AA109" s="330" t="s">
        <v>602</v>
      </c>
      <c r="AB109" s="282"/>
      <c r="AC109" s="283"/>
      <c r="AL109" s="282">
        <f t="shared" si="28"/>
        <v>360850</v>
      </c>
      <c r="AO109" s="314">
        <f t="shared" si="35"/>
        <v>366998.2778</v>
      </c>
      <c r="AP109" s="279">
        <v>13699330699</v>
      </c>
      <c r="AT109" s="349">
        <f t="shared" si="36"/>
        <v>0</v>
      </c>
      <c r="AU109" s="349"/>
      <c r="AV109" s="282"/>
      <c r="AW109" s="282"/>
      <c r="AX109" s="282"/>
      <c r="AY109" s="282"/>
      <c r="AZ109" s="282"/>
      <c r="BA109" s="282"/>
      <c r="BB109" s="282"/>
      <c r="BC109" s="282">
        <f t="shared" si="37"/>
        <v>0</v>
      </c>
      <c r="BD109" s="428">
        <f>1%+0.25%</f>
        <v>0.0125</v>
      </c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  <c r="BQ109" s="282"/>
      <c r="BR109" s="282"/>
      <c r="BS109" s="282"/>
      <c r="BT109" s="282"/>
      <c r="BU109" s="278"/>
      <c r="BW109" s="279" t="s">
        <v>205</v>
      </c>
      <c r="BX109" s="279" t="s">
        <v>206</v>
      </c>
    </row>
    <row r="110" s="279" customFormat="1" customHeight="1" spans="1:76">
      <c r="A110" s="278">
        <v>102</v>
      </c>
      <c r="C110" s="279" t="s">
        <v>351</v>
      </c>
      <c r="D110" s="279">
        <v>20230008715</v>
      </c>
      <c r="E110" s="717" t="s">
        <v>646</v>
      </c>
      <c r="F110" s="295" t="s">
        <v>588</v>
      </c>
      <c r="G110" s="279" t="s">
        <v>647</v>
      </c>
      <c r="I110" s="279" t="s">
        <v>102</v>
      </c>
      <c r="J110" s="279">
        <v>18</v>
      </c>
      <c r="K110" s="279">
        <v>42.69</v>
      </c>
      <c r="L110" s="279">
        <v>42.69</v>
      </c>
      <c r="M110" s="279">
        <v>16677.4</v>
      </c>
      <c r="N110" s="318">
        <f t="shared" ref="N110:N116" si="39">L110*M110</f>
        <v>711958.206</v>
      </c>
      <c r="O110" s="282">
        <v>16377.4</v>
      </c>
      <c r="T110" s="282"/>
      <c r="U110" s="331"/>
      <c r="V110" s="331"/>
      <c r="W110" s="331" t="s">
        <v>591</v>
      </c>
      <c r="X110" s="282">
        <v>50000</v>
      </c>
      <c r="Y110" s="331" t="s">
        <v>269</v>
      </c>
      <c r="Z110" s="282">
        <v>106625</v>
      </c>
      <c r="AA110" s="283" t="s">
        <v>351</v>
      </c>
      <c r="AB110" s="282">
        <v>30000</v>
      </c>
      <c r="AC110" s="283" t="s">
        <v>351</v>
      </c>
      <c r="AD110" s="282">
        <v>170000</v>
      </c>
      <c r="AE110" s="331" t="s">
        <v>324</v>
      </c>
      <c r="AF110" s="279">
        <v>5000</v>
      </c>
      <c r="AH110" s="282">
        <v>350000</v>
      </c>
      <c r="AI110" s="331" t="s">
        <v>648</v>
      </c>
      <c r="AL110" s="282">
        <f t="shared" si="28"/>
        <v>711625</v>
      </c>
      <c r="AO110" s="314">
        <f t="shared" ref="AO110:AO150" si="40">N110-AL110</f>
        <v>333.206000000006</v>
      </c>
      <c r="AP110" s="279">
        <v>18997603797</v>
      </c>
      <c r="AT110" s="349">
        <f t="shared" si="36"/>
        <v>0</v>
      </c>
      <c r="AU110" s="349"/>
      <c r="AV110" s="282"/>
      <c r="AW110" s="282"/>
      <c r="AX110" s="282"/>
      <c r="AY110" s="282"/>
      <c r="AZ110" s="282"/>
      <c r="BA110" s="282"/>
      <c r="BB110" s="282"/>
      <c r="BC110" s="282">
        <f t="shared" si="37"/>
        <v>711625</v>
      </c>
      <c r="BD110" s="428">
        <f>1%+0.25%</f>
        <v>0.0125</v>
      </c>
      <c r="BE110" s="282"/>
      <c r="BF110" s="282"/>
      <c r="BG110" s="282"/>
      <c r="BH110" s="282"/>
      <c r="BI110" s="282">
        <v>361625</v>
      </c>
      <c r="BJ110" s="282"/>
      <c r="BK110" s="282"/>
      <c r="BL110" s="282">
        <v>350000</v>
      </c>
      <c r="BM110" s="282"/>
      <c r="BN110" s="282"/>
      <c r="BO110" s="282"/>
      <c r="BP110" s="282"/>
      <c r="BQ110" s="282"/>
      <c r="BR110" s="282"/>
      <c r="BS110" s="282"/>
      <c r="BT110" s="282"/>
      <c r="BU110" s="278"/>
      <c r="BW110" s="279" t="s">
        <v>205</v>
      </c>
      <c r="BX110" s="279" t="s">
        <v>206</v>
      </c>
    </row>
    <row r="111" s="279" customFormat="1" customHeight="1" spans="1:76">
      <c r="A111" s="278">
        <v>103</v>
      </c>
      <c r="C111" s="279" t="s">
        <v>649</v>
      </c>
      <c r="D111" s="279">
        <v>20230006187</v>
      </c>
      <c r="E111" s="717" t="s">
        <v>650</v>
      </c>
      <c r="F111" s="295" t="s">
        <v>651</v>
      </c>
      <c r="G111" s="466" t="s">
        <v>652</v>
      </c>
      <c r="I111" s="279" t="s">
        <v>102</v>
      </c>
      <c r="J111" s="279">
        <v>19</v>
      </c>
      <c r="K111" s="279">
        <v>42.69</v>
      </c>
      <c r="L111" s="279">
        <v>42.69</v>
      </c>
      <c r="M111" s="279">
        <v>16563.51</v>
      </c>
      <c r="N111" s="318">
        <v>706767</v>
      </c>
      <c r="O111" s="282">
        <v>16563.51</v>
      </c>
      <c r="T111" s="282"/>
      <c r="U111" s="331"/>
      <c r="V111" s="331"/>
      <c r="W111" s="330" t="s">
        <v>653</v>
      </c>
      <c r="X111" s="282">
        <v>50000</v>
      </c>
      <c r="Y111" s="330" t="s">
        <v>269</v>
      </c>
      <c r="Z111" s="282">
        <v>306767</v>
      </c>
      <c r="AA111" s="331" t="s">
        <v>649</v>
      </c>
      <c r="AB111" s="282">
        <v>350000</v>
      </c>
      <c r="AC111" s="331" t="s">
        <v>654</v>
      </c>
      <c r="AL111" s="282">
        <f t="shared" si="28"/>
        <v>706767</v>
      </c>
      <c r="AO111" s="314">
        <f t="shared" si="40"/>
        <v>0</v>
      </c>
      <c r="AP111" s="279">
        <v>17767666623</v>
      </c>
      <c r="AT111" s="349">
        <f t="shared" si="36"/>
        <v>200</v>
      </c>
      <c r="AU111" s="349"/>
      <c r="AV111" s="282"/>
      <c r="AW111" s="282">
        <v>200</v>
      </c>
      <c r="AX111" s="282"/>
      <c r="AY111" s="282"/>
      <c r="AZ111" s="282"/>
      <c r="BA111" s="282"/>
      <c r="BB111" s="282"/>
      <c r="BC111" s="282">
        <f t="shared" si="37"/>
        <v>706767</v>
      </c>
      <c r="BD111" s="428">
        <f>1%+0.25%</f>
        <v>0.0125</v>
      </c>
      <c r="BE111" s="282">
        <v>356767</v>
      </c>
      <c r="BF111" s="282"/>
      <c r="BG111" s="282">
        <v>350000</v>
      </c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2"/>
      <c r="BR111" s="282"/>
      <c r="BS111" s="282"/>
      <c r="BT111" s="282"/>
      <c r="BU111" s="278"/>
      <c r="BW111" s="279" t="s">
        <v>205</v>
      </c>
      <c r="BX111" s="279" t="s">
        <v>206</v>
      </c>
    </row>
    <row r="112" s="279" customFormat="1" ht="57" customHeight="1" spans="1:76">
      <c r="A112" s="278">
        <v>104</v>
      </c>
      <c r="C112" s="279" t="s">
        <v>341</v>
      </c>
      <c r="D112" s="279">
        <v>20230008181</v>
      </c>
      <c r="E112" s="717" t="s">
        <v>655</v>
      </c>
      <c r="F112" s="295" t="s">
        <v>656</v>
      </c>
      <c r="G112" s="466" t="s">
        <v>657</v>
      </c>
      <c r="I112" s="279" t="s">
        <v>102</v>
      </c>
      <c r="J112" s="279">
        <v>20</v>
      </c>
      <c r="K112" s="279">
        <v>42.69</v>
      </c>
      <c r="L112" s="279">
        <v>42.69</v>
      </c>
      <c r="M112" s="279">
        <v>17780.15</v>
      </c>
      <c r="N112" s="318">
        <f t="shared" si="39"/>
        <v>759034.6035</v>
      </c>
      <c r="O112" s="282">
        <v>17680.15</v>
      </c>
      <c r="T112" s="282"/>
      <c r="U112" s="331"/>
      <c r="V112" s="330" t="s">
        <v>658</v>
      </c>
      <c r="W112" s="330" t="s">
        <v>659</v>
      </c>
      <c r="X112" s="282">
        <f>10000+40000</f>
        <v>50000</v>
      </c>
      <c r="Y112" s="330" t="s">
        <v>660</v>
      </c>
      <c r="Z112" s="282">
        <f>150000+129679</f>
        <v>279679</v>
      </c>
      <c r="AA112" s="331" t="s">
        <v>661</v>
      </c>
      <c r="AB112" s="282">
        <v>50000</v>
      </c>
      <c r="AC112" s="331" t="s">
        <v>654</v>
      </c>
      <c r="AD112" s="279">
        <v>379000</v>
      </c>
      <c r="AE112" s="279" t="s">
        <v>618</v>
      </c>
      <c r="AL112" s="282">
        <f t="shared" si="28"/>
        <v>758679</v>
      </c>
      <c r="AO112" s="314">
        <f t="shared" si="40"/>
        <v>355.603499999968</v>
      </c>
      <c r="AP112" s="279">
        <v>13899010102</v>
      </c>
      <c r="AT112" s="349">
        <f t="shared" si="36"/>
        <v>700</v>
      </c>
      <c r="AU112" s="349"/>
      <c r="AV112" s="282"/>
      <c r="AW112" s="282">
        <v>200</v>
      </c>
      <c r="AX112" s="282"/>
      <c r="AY112" s="282">
        <v>200</v>
      </c>
      <c r="AZ112" s="282"/>
      <c r="BA112" s="282">
        <v>300</v>
      </c>
      <c r="BB112" s="282"/>
      <c r="BC112" s="282">
        <f t="shared" si="37"/>
        <v>758679</v>
      </c>
      <c r="BD112" s="428">
        <f t="shared" ref="BD111:BD116" si="41">1%+0.18%+0.25%</f>
        <v>0.0143</v>
      </c>
      <c r="BE112" s="282"/>
      <c r="BF112" s="282"/>
      <c r="BG112" s="282">
        <v>379679</v>
      </c>
      <c r="BH112" s="282">
        <v>379000</v>
      </c>
      <c r="BI112" s="282"/>
      <c r="BJ112" s="282"/>
      <c r="BK112" s="282"/>
      <c r="BL112" s="282"/>
      <c r="BM112" s="282"/>
      <c r="BN112" s="282"/>
      <c r="BO112" s="282"/>
      <c r="BP112" s="282"/>
      <c r="BQ112" s="282"/>
      <c r="BR112" s="282"/>
      <c r="BS112" s="282"/>
      <c r="BT112" s="282"/>
      <c r="BU112" s="278"/>
      <c r="BW112" s="279" t="s">
        <v>205</v>
      </c>
      <c r="BX112" s="279" t="s">
        <v>206</v>
      </c>
    </row>
    <row r="113" s="279" customFormat="1" ht="42" customHeight="1" spans="1:76">
      <c r="A113" s="278">
        <v>105</v>
      </c>
      <c r="C113" s="279" t="s">
        <v>562</v>
      </c>
      <c r="D113" s="279">
        <v>20230006324</v>
      </c>
      <c r="E113" s="717" t="s">
        <v>662</v>
      </c>
      <c r="F113" s="295" t="s">
        <v>564</v>
      </c>
      <c r="G113" s="466" t="s">
        <v>571</v>
      </c>
      <c r="I113" s="279" t="s">
        <v>102</v>
      </c>
      <c r="J113" s="279">
        <v>21</v>
      </c>
      <c r="K113" s="279">
        <v>42.69</v>
      </c>
      <c r="L113" s="279">
        <v>42.69</v>
      </c>
      <c r="M113" s="279">
        <v>20163.06</v>
      </c>
      <c r="N113" s="318">
        <f t="shared" si="39"/>
        <v>860761.0314</v>
      </c>
      <c r="O113" s="282">
        <v>20000</v>
      </c>
      <c r="T113" s="282"/>
      <c r="U113" s="331"/>
      <c r="V113" s="330"/>
      <c r="W113" s="330" t="s">
        <v>663</v>
      </c>
      <c r="X113" s="282">
        <v>100000</v>
      </c>
      <c r="Y113" s="283" t="s">
        <v>569</v>
      </c>
      <c r="Z113" s="282">
        <v>330358</v>
      </c>
      <c r="AA113" s="331" t="s">
        <v>562</v>
      </c>
      <c r="AB113" s="282">
        <v>430000</v>
      </c>
      <c r="AC113" s="331" t="s">
        <v>430</v>
      </c>
      <c r="AD113" s="279">
        <v>403</v>
      </c>
      <c r="AE113" s="331">
        <v>45562</v>
      </c>
      <c r="AL113" s="282">
        <f t="shared" si="28"/>
        <v>860761</v>
      </c>
      <c r="AO113" s="314">
        <f t="shared" si="40"/>
        <v>0.0313999999780208</v>
      </c>
      <c r="AP113" s="279">
        <v>13899058276</v>
      </c>
      <c r="AT113" s="349">
        <f t="shared" si="36"/>
        <v>200</v>
      </c>
      <c r="AU113" s="349"/>
      <c r="AV113" s="282"/>
      <c r="AW113" s="282">
        <v>200</v>
      </c>
      <c r="AX113" s="282"/>
      <c r="AY113" s="282"/>
      <c r="AZ113" s="282"/>
      <c r="BA113" s="282"/>
      <c r="BB113" s="282"/>
      <c r="BC113" s="282">
        <f t="shared" si="37"/>
        <v>860358</v>
      </c>
      <c r="BD113" s="428">
        <f t="shared" si="41"/>
        <v>0.0143</v>
      </c>
      <c r="BE113" s="282">
        <v>430358</v>
      </c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  <c r="BQ113" s="282"/>
      <c r="BR113" s="282"/>
      <c r="BS113" s="282">
        <v>430000</v>
      </c>
      <c r="BT113" s="282"/>
      <c r="BU113" s="279">
        <f t="shared" ref="BU113:BU116" si="42">BD113*BS113</f>
        <v>6149</v>
      </c>
      <c r="BW113" s="279" t="s">
        <v>205</v>
      </c>
      <c r="BX113" s="279" t="s">
        <v>206</v>
      </c>
    </row>
    <row r="114" s="279" customFormat="1" ht="62" customHeight="1" spans="1:76">
      <c r="A114" s="278">
        <v>106</v>
      </c>
      <c r="C114" s="279" t="s">
        <v>562</v>
      </c>
      <c r="D114" s="279">
        <v>20230006324</v>
      </c>
      <c r="E114" s="717" t="s">
        <v>664</v>
      </c>
      <c r="F114" s="295" t="s">
        <v>564</v>
      </c>
      <c r="G114" s="294" t="s">
        <v>571</v>
      </c>
      <c r="I114" s="279" t="s">
        <v>102</v>
      </c>
      <c r="J114" s="279">
        <v>22</v>
      </c>
      <c r="K114" s="279">
        <v>43.2</v>
      </c>
      <c r="L114" s="279">
        <v>43.2</v>
      </c>
      <c r="M114" s="279">
        <v>26663.06</v>
      </c>
      <c r="N114" s="318">
        <f t="shared" si="39"/>
        <v>1151844.192</v>
      </c>
      <c r="O114" s="282">
        <v>26000</v>
      </c>
      <c r="T114" s="282"/>
      <c r="U114" s="330"/>
      <c r="V114" s="330" t="s">
        <v>665</v>
      </c>
      <c r="W114" s="330" t="s">
        <v>666</v>
      </c>
      <c r="X114" s="282">
        <f>100000+5000+5000-5000-5000</f>
        <v>100000</v>
      </c>
      <c r="Y114" s="330" t="s">
        <v>667</v>
      </c>
      <c r="Z114" s="282">
        <v>150000</v>
      </c>
      <c r="AA114" s="283" t="s">
        <v>569</v>
      </c>
      <c r="AB114" s="282">
        <v>326311</v>
      </c>
      <c r="AC114" s="330" t="s">
        <v>562</v>
      </c>
      <c r="AD114" s="282">
        <v>575000</v>
      </c>
      <c r="AE114" s="330" t="s">
        <v>430</v>
      </c>
      <c r="AF114" s="279">
        <v>533</v>
      </c>
      <c r="AG114" s="331">
        <v>45562</v>
      </c>
      <c r="AL114" s="282">
        <f t="shared" si="28"/>
        <v>1151844</v>
      </c>
      <c r="AO114" s="314">
        <f t="shared" si="40"/>
        <v>0.192000000039116</v>
      </c>
      <c r="AP114" s="279">
        <v>13899058276</v>
      </c>
      <c r="AT114" s="349">
        <f t="shared" si="36"/>
        <v>400</v>
      </c>
      <c r="AU114" s="349"/>
      <c r="AV114" s="282">
        <f>200+200</f>
        <v>400</v>
      </c>
      <c r="AW114" s="282"/>
      <c r="AX114" s="282"/>
      <c r="AY114" s="282"/>
      <c r="AZ114" s="282"/>
      <c r="BA114" s="282"/>
      <c r="BB114" s="282"/>
      <c r="BC114" s="282">
        <f t="shared" si="37"/>
        <v>1151311</v>
      </c>
      <c r="BD114" s="428">
        <f t="shared" si="41"/>
        <v>0.0143</v>
      </c>
      <c r="BE114" s="282">
        <v>576311</v>
      </c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  <c r="BQ114" s="282"/>
      <c r="BR114" s="282"/>
      <c r="BS114" s="282">
        <v>575000</v>
      </c>
      <c r="BT114" s="282"/>
      <c r="BU114" s="279">
        <f t="shared" si="42"/>
        <v>8222.5</v>
      </c>
      <c r="BW114" s="279" t="s">
        <v>205</v>
      </c>
      <c r="BX114" s="279" t="s">
        <v>206</v>
      </c>
    </row>
    <row r="115" s="279" customFormat="1" ht="54" customHeight="1" spans="1:76">
      <c r="A115" s="278">
        <v>107</v>
      </c>
      <c r="C115" s="279" t="s">
        <v>668</v>
      </c>
      <c r="D115" s="279">
        <v>20230006477</v>
      </c>
      <c r="F115" s="295" t="s">
        <v>472</v>
      </c>
      <c r="G115" s="466" t="s">
        <v>669</v>
      </c>
      <c r="I115" s="279" t="s">
        <v>95</v>
      </c>
      <c r="J115" s="279">
        <v>1</v>
      </c>
      <c r="K115" s="279">
        <v>197.25</v>
      </c>
      <c r="L115" s="279">
        <v>197.25</v>
      </c>
      <c r="M115" s="279">
        <v>10900</v>
      </c>
      <c r="N115" s="318">
        <f t="shared" si="39"/>
        <v>2150025</v>
      </c>
      <c r="O115" s="282">
        <v>10900</v>
      </c>
      <c r="T115" s="282"/>
      <c r="U115" s="330"/>
      <c r="V115" s="330" t="s">
        <v>474</v>
      </c>
      <c r="W115" s="330" t="s">
        <v>475</v>
      </c>
      <c r="X115" s="282">
        <v>100000</v>
      </c>
      <c r="Y115" s="330" t="s">
        <v>476</v>
      </c>
      <c r="Z115" s="282">
        <v>2005226</v>
      </c>
      <c r="AA115" s="330" t="s">
        <v>668</v>
      </c>
      <c r="AC115" s="283"/>
      <c r="AL115" s="282">
        <f t="shared" si="28"/>
        <v>2105226</v>
      </c>
      <c r="AO115" s="314">
        <f t="shared" si="40"/>
        <v>44799</v>
      </c>
      <c r="AT115" s="349">
        <f t="shared" si="36"/>
        <v>400</v>
      </c>
      <c r="AU115" s="349"/>
      <c r="AV115" s="282"/>
      <c r="AW115" s="282">
        <v>200</v>
      </c>
      <c r="AX115" s="282">
        <v>200</v>
      </c>
      <c r="AY115" s="282"/>
      <c r="AZ115" s="282"/>
      <c r="BA115" s="282"/>
      <c r="BB115" s="282"/>
      <c r="BC115" s="282">
        <f t="shared" si="37"/>
        <v>2105226</v>
      </c>
      <c r="BD115" s="428">
        <f t="shared" si="41"/>
        <v>0.0143</v>
      </c>
      <c r="BE115" s="282">
        <v>2105226</v>
      </c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2"/>
      <c r="BR115" s="282"/>
      <c r="BS115" s="282"/>
      <c r="BT115" s="282"/>
      <c r="BU115" s="278"/>
      <c r="BW115" s="279" t="s">
        <v>205</v>
      </c>
      <c r="BX115" s="279" t="s">
        <v>206</v>
      </c>
    </row>
    <row r="116" s="279" customFormat="1" ht="85" customHeight="1" spans="1:75">
      <c r="A116" s="278">
        <v>108</v>
      </c>
      <c r="C116" s="331">
        <v>45501</v>
      </c>
      <c r="D116" s="279">
        <v>20240004284</v>
      </c>
      <c r="E116" s="717" t="s">
        <v>670</v>
      </c>
      <c r="F116" s="295" t="s">
        <v>671</v>
      </c>
      <c r="G116" s="279" t="s">
        <v>672</v>
      </c>
      <c r="I116" s="279" t="s">
        <v>95</v>
      </c>
      <c r="J116" s="279">
        <v>2</v>
      </c>
      <c r="K116" s="279">
        <v>291.86</v>
      </c>
      <c r="L116" s="279">
        <v>291.86</v>
      </c>
      <c r="M116" s="279">
        <v>10900</v>
      </c>
      <c r="N116" s="318">
        <v>3115329</v>
      </c>
      <c r="O116" s="282">
        <v>10900</v>
      </c>
      <c r="T116" s="282"/>
      <c r="U116" s="331"/>
      <c r="V116" s="330" t="s">
        <v>673</v>
      </c>
      <c r="W116" s="331" t="s">
        <v>674</v>
      </c>
      <c r="X116" s="282">
        <f>50000+50000+50000+40000</f>
        <v>190000</v>
      </c>
      <c r="Y116" s="330" t="s">
        <v>675</v>
      </c>
      <c r="Z116" s="282">
        <v>10000</v>
      </c>
      <c r="AA116" s="283" t="s">
        <v>269</v>
      </c>
      <c r="AB116" s="282">
        <v>300000</v>
      </c>
      <c r="AC116" s="331" t="s">
        <v>383</v>
      </c>
      <c r="AD116" s="282">
        <v>100000</v>
      </c>
      <c r="AE116" s="331" t="s">
        <v>340</v>
      </c>
      <c r="AF116" s="282">
        <v>150000</v>
      </c>
      <c r="AG116" s="331" t="s">
        <v>676</v>
      </c>
      <c r="AH116" s="282">
        <v>1000000</v>
      </c>
      <c r="AI116" s="331" t="s">
        <v>677</v>
      </c>
      <c r="AJ116" s="282">
        <f>100000+105329+60000+200000+900000</f>
        <v>1365329</v>
      </c>
      <c r="AK116" s="330" t="s">
        <v>678</v>
      </c>
      <c r="AL116" s="282">
        <f t="shared" si="28"/>
        <v>3115329</v>
      </c>
      <c r="AO116" s="314">
        <f t="shared" si="40"/>
        <v>0</v>
      </c>
      <c r="AP116" s="283">
        <v>18099778096</v>
      </c>
      <c r="AT116" s="349">
        <f t="shared" si="36"/>
        <v>0</v>
      </c>
      <c r="AU116" s="349"/>
      <c r="AV116" s="282"/>
      <c r="AW116" s="282"/>
      <c r="AX116" s="282"/>
      <c r="AY116" s="282"/>
      <c r="AZ116" s="282"/>
      <c r="BA116" s="282"/>
      <c r="BB116" s="282"/>
      <c r="BC116" s="282">
        <f t="shared" si="37"/>
        <v>3115329</v>
      </c>
      <c r="BD116" s="428">
        <f>1%+0.25%</f>
        <v>0.0125</v>
      </c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2">
        <v>2215329</v>
      </c>
      <c r="BR116" s="282"/>
      <c r="BS116" s="282">
        <v>900000</v>
      </c>
      <c r="BT116" s="282"/>
      <c r="BU116" s="279">
        <f t="shared" si="42"/>
        <v>11250</v>
      </c>
      <c r="BW116" s="279" t="s">
        <v>205</v>
      </c>
    </row>
    <row r="117" s="279" customFormat="1" customHeight="1" spans="1:76">
      <c r="A117" s="278">
        <v>109</v>
      </c>
      <c r="C117" s="279" t="s">
        <v>679</v>
      </c>
      <c r="D117" s="279">
        <v>20240001025</v>
      </c>
      <c r="F117" s="295" t="s">
        <v>680</v>
      </c>
      <c r="G117" s="294" t="s">
        <v>681</v>
      </c>
      <c r="I117" s="279" t="s">
        <v>95</v>
      </c>
      <c r="J117" s="279">
        <v>3</v>
      </c>
      <c r="K117" s="279">
        <v>276.2</v>
      </c>
      <c r="L117" s="279">
        <v>276.2</v>
      </c>
      <c r="M117" s="279">
        <v>9100</v>
      </c>
      <c r="N117" s="282">
        <v>2600871</v>
      </c>
      <c r="O117" s="282">
        <v>9100</v>
      </c>
      <c r="T117" s="282">
        <v>33420</v>
      </c>
      <c r="U117" s="331" t="s">
        <v>98</v>
      </c>
      <c r="V117" s="331"/>
      <c r="W117" s="330"/>
      <c r="X117" s="282">
        <v>400000</v>
      </c>
      <c r="Y117" s="331" t="s">
        <v>679</v>
      </c>
      <c r="Z117" s="282">
        <f>100000+1000000</f>
        <v>1100000</v>
      </c>
      <c r="AA117" s="283" t="s">
        <v>679</v>
      </c>
      <c r="AB117" s="282">
        <v>200000</v>
      </c>
      <c r="AC117" s="331">
        <v>45537</v>
      </c>
      <c r="AD117" s="279">
        <v>200000</v>
      </c>
      <c r="AE117" s="331">
        <v>45551</v>
      </c>
      <c r="AF117" s="279">
        <v>580000</v>
      </c>
      <c r="AG117" s="331">
        <v>45565</v>
      </c>
      <c r="AH117" s="282">
        <v>33420</v>
      </c>
      <c r="AI117" s="331" t="s">
        <v>98</v>
      </c>
      <c r="AL117" s="282">
        <f t="shared" si="28"/>
        <v>2513420</v>
      </c>
      <c r="AO117" s="314">
        <f t="shared" si="40"/>
        <v>87451</v>
      </c>
      <c r="AP117" s="279">
        <v>15899031737</v>
      </c>
      <c r="AT117" s="349">
        <f t="shared" si="36"/>
        <v>0</v>
      </c>
      <c r="AU117" s="294"/>
      <c r="BC117" s="282">
        <f t="shared" si="37"/>
        <v>0</v>
      </c>
      <c r="BD117" s="428">
        <f t="shared" ref="BD117:BD121" si="43">1%+0.18%+0.25%</f>
        <v>0.0143</v>
      </c>
      <c r="BU117" s="278"/>
      <c r="BW117" s="279" t="s">
        <v>205</v>
      </c>
      <c r="BX117" s="279" t="s">
        <v>206</v>
      </c>
    </row>
    <row r="118" s="278" customFormat="1" customHeight="1" spans="1:56">
      <c r="A118" s="278">
        <v>110</v>
      </c>
      <c r="F118" s="367"/>
      <c r="I118" s="278" t="s">
        <v>95</v>
      </c>
      <c r="J118" s="278">
        <v>4</v>
      </c>
      <c r="K118" s="278">
        <v>292.95</v>
      </c>
      <c r="N118" s="103"/>
      <c r="O118" s="103">
        <v>9590.4</v>
      </c>
      <c r="T118" s="103"/>
      <c r="U118" s="104"/>
      <c r="V118" s="104"/>
      <c r="W118" s="104"/>
      <c r="X118" s="103"/>
      <c r="Y118" s="104"/>
      <c r="Z118" s="103"/>
      <c r="AA118" s="104"/>
      <c r="AC118" s="311"/>
      <c r="AL118" s="103">
        <f t="shared" si="28"/>
        <v>0</v>
      </c>
      <c r="AO118" s="478">
        <f t="shared" si="40"/>
        <v>0</v>
      </c>
      <c r="AT118" s="348">
        <f t="shared" si="36"/>
        <v>0</v>
      </c>
      <c r="AU118" s="293"/>
      <c r="BC118" s="103">
        <f t="shared" si="37"/>
        <v>0</v>
      </c>
      <c r="BD118" s="487"/>
    </row>
    <row r="119" s="279" customFormat="1" ht="67" customHeight="1" spans="1:76">
      <c r="A119" s="278">
        <v>111</v>
      </c>
      <c r="C119" s="279" t="s">
        <v>388</v>
      </c>
      <c r="D119" s="279">
        <v>20230008529</v>
      </c>
      <c r="E119" s="717" t="s">
        <v>682</v>
      </c>
      <c r="F119" s="295" t="s">
        <v>683</v>
      </c>
      <c r="G119" s="294" t="s">
        <v>684</v>
      </c>
      <c r="I119" s="279" t="s">
        <v>508</v>
      </c>
      <c r="J119" s="279">
        <v>1</v>
      </c>
      <c r="K119" s="279">
        <v>489.11</v>
      </c>
      <c r="L119" s="279">
        <v>489.11</v>
      </c>
      <c r="M119" s="279">
        <v>7600</v>
      </c>
      <c r="N119" s="318">
        <f t="shared" ref="N119:N125" si="44">L119*M119</f>
        <v>3717236</v>
      </c>
      <c r="O119" s="282">
        <v>7447.8</v>
      </c>
      <c r="T119" s="282"/>
      <c r="U119" s="331"/>
      <c r="V119" s="297"/>
      <c r="W119" s="330" t="s">
        <v>685</v>
      </c>
      <c r="X119" s="282">
        <v>100000</v>
      </c>
      <c r="Y119" s="331" t="s">
        <v>341</v>
      </c>
      <c r="Z119" s="282">
        <f>109944+210000</f>
        <v>319944</v>
      </c>
      <c r="AA119" s="331" t="s">
        <v>351</v>
      </c>
      <c r="AB119" s="279">
        <v>1290000</v>
      </c>
      <c r="AC119" s="279" t="s">
        <v>500</v>
      </c>
      <c r="AD119" s="279">
        <v>480000</v>
      </c>
      <c r="AE119" s="279" t="s">
        <v>686</v>
      </c>
      <c r="AF119" s="282">
        <v>200000</v>
      </c>
      <c r="AG119" s="331" t="s">
        <v>379</v>
      </c>
      <c r="AH119" s="282">
        <f>77292+1250000</f>
        <v>1327292</v>
      </c>
      <c r="AI119" s="331">
        <v>45561</v>
      </c>
      <c r="AL119" s="282">
        <f t="shared" si="28"/>
        <v>3717236</v>
      </c>
      <c r="AO119" s="314">
        <f t="shared" si="40"/>
        <v>0</v>
      </c>
      <c r="AP119" s="279">
        <v>13999606251</v>
      </c>
      <c r="AT119" s="349">
        <f t="shared" si="36"/>
        <v>700</v>
      </c>
      <c r="AU119" s="349"/>
      <c r="AV119" s="282"/>
      <c r="AW119" s="282"/>
      <c r="AX119" s="282">
        <v>200</v>
      </c>
      <c r="AY119" s="282">
        <v>200</v>
      </c>
      <c r="AZ119" s="282"/>
      <c r="BA119" s="282">
        <v>300</v>
      </c>
      <c r="BB119" s="282"/>
      <c r="BC119" s="282">
        <f t="shared" si="37"/>
        <v>3639944</v>
      </c>
      <c r="BD119" s="427">
        <f t="shared" si="43"/>
        <v>0.0143</v>
      </c>
      <c r="BE119" s="282"/>
      <c r="BF119" s="282"/>
      <c r="BG119" s="282"/>
      <c r="BH119" s="282">
        <v>2189944</v>
      </c>
      <c r="BI119" s="282"/>
      <c r="BJ119" s="282"/>
      <c r="BK119" s="282"/>
      <c r="BL119" s="282"/>
      <c r="BM119" s="282"/>
      <c r="BN119" s="282"/>
      <c r="BO119" s="282"/>
      <c r="BP119" s="282"/>
      <c r="BQ119" s="282"/>
      <c r="BR119" s="282"/>
      <c r="BS119" s="282">
        <v>1450000</v>
      </c>
      <c r="BT119" s="282"/>
      <c r="BU119" s="279">
        <f>BD119*BS119</f>
        <v>20735</v>
      </c>
      <c r="BW119" s="279" t="s">
        <v>205</v>
      </c>
      <c r="BX119" s="279" t="s">
        <v>206</v>
      </c>
    </row>
    <row r="120" s="279" customFormat="1" ht="49" customHeight="1" spans="1:76">
      <c r="A120" s="278">
        <v>112</v>
      </c>
      <c r="C120" s="279" t="s">
        <v>687</v>
      </c>
      <c r="D120" s="279">
        <v>20240002594</v>
      </c>
      <c r="F120" s="295" t="s">
        <v>688</v>
      </c>
      <c r="G120" s="294" t="s">
        <v>689</v>
      </c>
      <c r="I120" s="279" t="s">
        <v>508</v>
      </c>
      <c r="J120" s="279">
        <v>2</v>
      </c>
      <c r="K120" s="279">
        <v>569.14</v>
      </c>
      <c r="L120" s="279">
        <v>569.14</v>
      </c>
      <c r="M120" s="279">
        <f>N120/L120</f>
        <v>7000</v>
      </c>
      <c r="N120" s="318">
        <f>-24570+4008550</f>
        <v>3983980</v>
      </c>
      <c r="O120" s="282">
        <v>7000</v>
      </c>
      <c r="T120" s="282"/>
      <c r="U120" s="330"/>
      <c r="V120" s="330"/>
      <c r="W120" s="330" t="s">
        <v>690</v>
      </c>
      <c r="X120" s="282">
        <v>50000</v>
      </c>
      <c r="Y120" s="330" t="s">
        <v>691</v>
      </c>
      <c r="Z120" s="282">
        <v>958550</v>
      </c>
      <c r="AA120" s="283" t="s">
        <v>687</v>
      </c>
      <c r="AB120" s="279">
        <v>1000000</v>
      </c>
      <c r="AC120" s="279" t="s">
        <v>692</v>
      </c>
      <c r="AD120" s="282">
        <v>2000000</v>
      </c>
      <c r="AE120" s="330" t="s">
        <v>693</v>
      </c>
      <c r="AF120" s="282"/>
      <c r="AG120" s="330"/>
      <c r="AL120" s="282">
        <f t="shared" si="28"/>
        <v>4008550</v>
      </c>
      <c r="AO120" s="314">
        <f t="shared" si="40"/>
        <v>-24570</v>
      </c>
      <c r="AP120" s="279">
        <v>18909966788</v>
      </c>
      <c r="AT120" s="349">
        <f t="shared" si="36"/>
        <v>900</v>
      </c>
      <c r="AU120" s="349"/>
      <c r="AV120" s="282">
        <v>200</v>
      </c>
      <c r="AW120" s="282"/>
      <c r="AX120" s="282"/>
      <c r="AY120" s="282">
        <f>200+200</f>
        <v>400</v>
      </c>
      <c r="AZ120" s="282"/>
      <c r="BA120" s="282">
        <v>300</v>
      </c>
      <c r="BB120" s="282"/>
      <c r="BC120" s="282">
        <f t="shared" si="37"/>
        <v>4008550</v>
      </c>
      <c r="BD120" s="288">
        <f t="shared" si="43"/>
        <v>0.0143</v>
      </c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>
        <v>2008550</v>
      </c>
      <c r="BP120" s="282">
        <v>2000000</v>
      </c>
      <c r="BQ120" s="282"/>
      <c r="BR120" s="282"/>
      <c r="BS120" s="282"/>
      <c r="BT120" s="282"/>
      <c r="BW120" s="279" t="s">
        <v>205</v>
      </c>
      <c r="BX120" s="279" t="s">
        <v>206</v>
      </c>
    </row>
    <row r="121" s="279" customFormat="1" ht="57" customHeight="1" spans="1:76">
      <c r="A121" s="278">
        <v>113</v>
      </c>
      <c r="C121" s="279" t="s">
        <v>694</v>
      </c>
      <c r="D121" s="279">
        <v>20230006201</v>
      </c>
      <c r="E121" s="717" t="s">
        <v>695</v>
      </c>
      <c r="F121" s="295" t="s">
        <v>696</v>
      </c>
      <c r="G121" s="294" t="s">
        <v>697</v>
      </c>
      <c r="H121" s="131" t="s">
        <v>698</v>
      </c>
      <c r="I121" s="279" t="s">
        <v>102</v>
      </c>
      <c r="J121" s="279">
        <v>1</v>
      </c>
      <c r="K121" s="279">
        <v>58.46</v>
      </c>
      <c r="L121" s="279">
        <v>58.46</v>
      </c>
      <c r="M121" s="279">
        <v>26290</v>
      </c>
      <c r="N121" s="318">
        <v>1536651</v>
      </c>
      <c r="O121" s="282">
        <v>26190</v>
      </c>
      <c r="T121" s="282"/>
      <c r="U121" s="330" t="s">
        <v>699</v>
      </c>
      <c r="V121" s="330" t="s">
        <v>700</v>
      </c>
      <c r="W121" s="330" t="s">
        <v>701</v>
      </c>
      <c r="X121" s="282">
        <f>5000+10000-10000+10000-10000</f>
        <v>5000</v>
      </c>
      <c r="Y121" s="330" t="s">
        <v>702</v>
      </c>
      <c r="Z121" s="282">
        <v>100000</v>
      </c>
      <c r="AA121" s="330" t="s">
        <v>703</v>
      </c>
      <c r="AB121" s="282">
        <v>1436651</v>
      </c>
      <c r="AC121" s="330" t="s">
        <v>704</v>
      </c>
      <c r="AL121" s="282">
        <f t="shared" si="28"/>
        <v>1541651</v>
      </c>
      <c r="AO121" s="314">
        <f t="shared" si="40"/>
        <v>-5000</v>
      </c>
      <c r="AT121" s="349">
        <f t="shared" si="36"/>
        <v>3200</v>
      </c>
      <c r="AU121" s="349">
        <f>200</f>
        <v>200</v>
      </c>
      <c r="AV121" s="282"/>
      <c r="AW121" s="282">
        <f>200+200+200+200</f>
        <v>800</v>
      </c>
      <c r="AX121" s="282"/>
      <c r="AY121" s="282">
        <f>200+200+200+200+200+200</f>
        <v>1200</v>
      </c>
      <c r="AZ121" s="282">
        <f>200+200</f>
        <v>400</v>
      </c>
      <c r="BA121" s="282">
        <f>300+300</f>
        <v>600</v>
      </c>
      <c r="BB121" s="282"/>
      <c r="BC121" s="282">
        <f t="shared" si="37"/>
        <v>1536651</v>
      </c>
      <c r="BD121" s="428">
        <f t="shared" si="43"/>
        <v>0.0143</v>
      </c>
      <c r="BE121" s="282">
        <v>1536651</v>
      </c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  <c r="BQ121" s="282"/>
      <c r="BR121" s="282"/>
      <c r="BS121" s="282"/>
      <c r="BT121" s="282"/>
      <c r="BU121" s="278"/>
      <c r="BW121" s="279" t="s">
        <v>205</v>
      </c>
      <c r="BX121" s="279" t="s">
        <v>206</v>
      </c>
    </row>
    <row r="122" s="279" customFormat="1" ht="73" customHeight="1" spans="1:76">
      <c r="A122" s="278">
        <v>114</v>
      </c>
      <c r="C122" s="279" t="s">
        <v>705</v>
      </c>
      <c r="D122" s="279">
        <v>20230006847</v>
      </c>
      <c r="E122" s="717" t="s">
        <v>706</v>
      </c>
      <c r="F122" s="295" t="s">
        <v>707</v>
      </c>
      <c r="G122" s="296" t="s">
        <v>708</v>
      </c>
      <c r="H122" s="131"/>
      <c r="I122" s="279" t="s">
        <v>102</v>
      </c>
      <c r="J122" s="279">
        <v>2</v>
      </c>
      <c r="K122" s="279">
        <v>41.69</v>
      </c>
      <c r="L122" s="279">
        <v>41.69</v>
      </c>
      <c r="M122" s="279">
        <v>24675</v>
      </c>
      <c r="N122" s="318">
        <f t="shared" si="44"/>
        <v>1028700.75</v>
      </c>
      <c r="O122" s="282">
        <v>24475.1</v>
      </c>
      <c r="T122" s="282"/>
      <c r="U122" s="330"/>
      <c r="V122" s="330" t="s">
        <v>709</v>
      </c>
      <c r="W122" s="330" t="s">
        <v>710</v>
      </c>
      <c r="X122" s="282">
        <f>5000+5000+5000+85000</f>
        <v>100000</v>
      </c>
      <c r="Y122" s="330">
        <v>44755</v>
      </c>
      <c r="Z122" s="282">
        <f>360000+58454</f>
        <v>418454</v>
      </c>
      <c r="AA122" s="330" t="s">
        <v>711</v>
      </c>
      <c r="AB122" s="282">
        <v>510000</v>
      </c>
      <c r="AC122" s="330" t="s">
        <v>654</v>
      </c>
      <c r="AL122" s="282">
        <f t="shared" si="28"/>
        <v>1028454</v>
      </c>
      <c r="AO122" s="314">
        <f t="shared" si="40"/>
        <v>246.75</v>
      </c>
      <c r="AP122" s="279">
        <v>17399100888</v>
      </c>
      <c r="AT122" s="349">
        <f t="shared" si="36"/>
        <v>1600</v>
      </c>
      <c r="AU122" s="349">
        <f>200</f>
        <v>200</v>
      </c>
      <c r="AV122" s="282">
        <f>200+200</f>
        <v>400</v>
      </c>
      <c r="AW122" s="282"/>
      <c r="AX122" s="282"/>
      <c r="AY122" s="282">
        <v>200</v>
      </c>
      <c r="AZ122" s="282">
        <v>200</v>
      </c>
      <c r="BA122" s="282">
        <f>300+300</f>
        <v>600</v>
      </c>
      <c r="BB122" s="282"/>
      <c r="BC122" s="282">
        <f t="shared" si="37"/>
        <v>1028454</v>
      </c>
      <c r="BD122" s="428">
        <f>1%+0.25%</f>
        <v>0.0125</v>
      </c>
      <c r="BE122" s="282"/>
      <c r="BF122" s="282">
        <v>518454</v>
      </c>
      <c r="BG122" s="282">
        <v>510000</v>
      </c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2"/>
      <c r="BR122" s="282"/>
      <c r="BS122" s="282"/>
      <c r="BT122" s="282"/>
      <c r="BU122" s="278"/>
      <c r="BW122" s="279" t="s">
        <v>205</v>
      </c>
      <c r="BX122" s="279" t="s">
        <v>206</v>
      </c>
    </row>
    <row r="123" s="279" customFormat="1" ht="66" customHeight="1" spans="1:76">
      <c r="A123" s="278">
        <v>115</v>
      </c>
      <c r="C123" s="279" t="s">
        <v>705</v>
      </c>
      <c r="D123" s="279">
        <v>20230006849</v>
      </c>
      <c r="E123" s="717" t="s">
        <v>712</v>
      </c>
      <c r="F123" s="295" t="s">
        <v>707</v>
      </c>
      <c r="G123" s="467" t="s">
        <v>713</v>
      </c>
      <c r="H123" s="131"/>
      <c r="I123" s="279" t="s">
        <v>102</v>
      </c>
      <c r="J123" s="279">
        <v>3</v>
      </c>
      <c r="K123" s="279">
        <v>42.7</v>
      </c>
      <c r="L123" s="279">
        <v>42.7</v>
      </c>
      <c r="M123" s="279">
        <v>23799.7</v>
      </c>
      <c r="N123" s="318">
        <f t="shared" si="44"/>
        <v>1016247.19</v>
      </c>
      <c r="O123" s="282">
        <v>23599.7</v>
      </c>
      <c r="T123" s="282"/>
      <c r="U123" s="330"/>
      <c r="V123" s="330" t="s">
        <v>714</v>
      </c>
      <c r="W123" s="330" t="s">
        <v>715</v>
      </c>
      <c r="X123" s="282">
        <f>5000-5000+100000</f>
        <v>100000</v>
      </c>
      <c r="Y123" s="330" t="s">
        <v>716</v>
      </c>
      <c r="Z123" s="282">
        <f>416009</f>
        <v>416009</v>
      </c>
      <c r="AA123" s="330" t="s">
        <v>711</v>
      </c>
      <c r="AB123" s="282">
        <v>500000</v>
      </c>
      <c r="AC123" s="330" t="s">
        <v>654</v>
      </c>
      <c r="AL123" s="282">
        <f t="shared" si="28"/>
        <v>1016009</v>
      </c>
      <c r="AO123" s="314">
        <f t="shared" si="40"/>
        <v>238.189999999944</v>
      </c>
      <c r="AT123" s="349">
        <f t="shared" si="36"/>
        <v>1100</v>
      </c>
      <c r="AU123" s="349"/>
      <c r="AV123" s="282">
        <f>200+200+200</f>
        <v>600</v>
      </c>
      <c r="AW123" s="282"/>
      <c r="AX123" s="282"/>
      <c r="AY123" s="282">
        <v>200</v>
      </c>
      <c r="AZ123" s="282"/>
      <c r="BA123" s="282">
        <v>300</v>
      </c>
      <c r="BB123" s="282"/>
      <c r="BC123" s="282">
        <f t="shared" si="37"/>
        <v>1016009</v>
      </c>
      <c r="BD123" s="428">
        <f>1%+0.25%</f>
        <v>0.0125</v>
      </c>
      <c r="BE123" s="282"/>
      <c r="BF123" s="282">
        <v>516009</v>
      </c>
      <c r="BG123" s="282">
        <v>500000</v>
      </c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2"/>
      <c r="BR123" s="282"/>
      <c r="BS123" s="282"/>
      <c r="BT123" s="282"/>
      <c r="BU123" s="278"/>
      <c r="BW123" s="279" t="s">
        <v>205</v>
      </c>
      <c r="BX123" s="279" t="s">
        <v>206</v>
      </c>
    </row>
    <row r="124" s="279" customFormat="1" customHeight="1" spans="1:76">
      <c r="A124" s="278">
        <v>116</v>
      </c>
      <c r="C124" s="279" t="s">
        <v>694</v>
      </c>
      <c r="D124" s="279">
        <v>20230006188</v>
      </c>
      <c r="E124" s="717" t="s">
        <v>717</v>
      </c>
      <c r="F124" s="295" t="s">
        <v>718</v>
      </c>
      <c r="G124" s="296" t="s">
        <v>719</v>
      </c>
      <c r="H124" s="131"/>
      <c r="I124" s="279" t="s">
        <v>102</v>
      </c>
      <c r="J124" s="279">
        <v>4</v>
      </c>
      <c r="K124" s="279">
        <v>42.7</v>
      </c>
      <c r="L124" s="279">
        <v>42.7</v>
      </c>
      <c r="M124" s="279">
        <v>23793.72</v>
      </c>
      <c r="N124" s="318">
        <f t="shared" si="44"/>
        <v>1015991.844</v>
      </c>
      <c r="O124" s="282">
        <v>23693.72</v>
      </c>
      <c r="T124" s="282"/>
      <c r="U124" s="330"/>
      <c r="V124" s="330"/>
      <c r="W124" s="330" t="s">
        <v>720</v>
      </c>
      <c r="X124" s="282">
        <f>100000</f>
        <v>100000</v>
      </c>
      <c r="Y124" s="330" t="s">
        <v>269</v>
      </c>
      <c r="Z124" s="282">
        <v>915754</v>
      </c>
      <c r="AA124" s="330" t="s">
        <v>721</v>
      </c>
      <c r="AB124" s="282"/>
      <c r="AC124" s="283"/>
      <c r="AL124" s="282">
        <f t="shared" si="28"/>
        <v>1015754</v>
      </c>
      <c r="AO124" s="314">
        <f t="shared" si="40"/>
        <v>237.844000000041</v>
      </c>
      <c r="AP124" s="279">
        <v>15209968666</v>
      </c>
      <c r="AT124" s="349">
        <f t="shared" si="36"/>
        <v>700</v>
      </c>
      <c r="AU124" s="349">
        <f>200</f>
        <v>200</v>
      </c>
      <c r="AV124" s="282">
        <v>200</v>
      </c>
      <c r="AW124" s="282"/>
      <c r="AX124" s="282"/>
      <c r="AY124" s="282"/>
      <c r="AZ124" s="282"/>
      <c r="BA124" s="282">
        <v>300</v>
      </c>
      <c r="BB124" s="282"/>
      <c r="BC124" s="282">
        <f t="shared" si="37"/>
        <v>1015754</v>
      </c>
      <c r="BD124" s="428">
        <f>1%+0.25%</f>
        <v>0.0125</v>
      </c>
      <c r="BE124" s="282">
        <v>1015754</v>
      </c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2"/>
      <c r="BR124" s="282"/>
      <c r="BS124" s="282"/>
      <c r="BT124" s="282"/>
      <c r="BU124" s="278"/>
      <c r="BW124" s="279" t="s">
        <v>205</v>
      </c>
      <c r="BX124" s="279" t="s">
        <v>206</v>
      </c>
    </row>
    <row r="125" s="279" customFormat="1" ht="72" customHeight="1" spans="1:76">
      <c r="A125" s="278">
        <v>117</v>
      </c>
      <c r="C125" s="279" t="s">
        <v>694</v>
      </c>
      <c r="D125" s="279">
        <v>20230006199</v>
      </c>
      <c r="E125" s="717" t="s">
        <v>722</v>
      </c>
      <c r="F125" s="295" t="s">
        <v>723</v>
      </c>
      <c r="G125" s="484" t="s">
        <v>724</v>
      </c>
      <c r="H125" s="131"/>
      <c r="I125" s="279" t="s">
        <v>102</v>
      </c>
      <c r="J125" s="279">
        <v>5</v>
      </c>
      <c r="K125" s="279">
        <v>42.7</v>
      </c>
      <c r="L125" s="279">
        <v>42.7</v>
      </c>
      <c r="M125" s="279">
        <v>23887.75</v>
      </c>
      <c r="N125" s="318">
        <f t="shared" si="44"/>
        <v>1020006.925</v>
      </c>
      <c r="O125" s="282">
        <v>23787.75</v>
      </c>
      <c r="T125" s="282"/>
      <c r="U125" s="331"/>
      <c r="V125" s="330" t="s">
        <v>725</v>
      </c>
      <c r="W125" s="330" t="s">
        <v>720</v>
      </c>
      <c r="X125" s="282">
        <f>10000+60000+10000+10000+10000</f>
        <v>100000</v>
      </c>
      <c r="Y125" s="330" t="s">
        <v>726</v>
      </c>
      <c r="Z125" s="282">
        <v>919768</v>
      </c>
      <c r="AA125" s="331" t="s">
        <v>721</v>
      </c>
      <c r="AB125" s="282"/>
      <c r="AC125" s="283"/>
      <c r="AL125" s="282">
        <f t="shared" ref="AL125:AL150" si="45">X125+Z125+AB125+AD125+AF125+AH125+AJ125</f>
        <v>1019768</v>
      </c>
      <c r="AO125" s="314">
        <f t="shared" si="40"/>
        <v>238.925000000047</v>
      </c>
      <c r="AT125" s="349">
        <f t="shared" si="36"/>
        <v>1300</v>
      </c>
      <c r="AU125" s="349">
        <f>200</f>
        <v>200</v>
      </c>
      <c r="AV125" s="282"/>
      <c r="AW125" s="282">
        <v>200</v>
      </c>
      <c r="AX125" s="282"/>
      <c r="AY125" s="282"/>
      <c r="AZ125" s="282"/>
      <c r="BA125" s="282">
        <f>300+300+300</f>
        <v>900</v>
      </c>
      <c r="BB125" s="282"/>
      <c r="BC125" s="282">
        <f t="shared" si="37"/>
        <v>1019768</v>
      </c>
      <c r="BD125" s="428">
        <f>1%+0.25%</f>
        <v>0.0125</v>
      </c>
      <c r="BE125" s="282">
        <v>1019768</v>
      </c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  <c r="BQ125" s="282"/>
      <c r="BR125" s="282"/>
      <c r="BS125" s="282"/>
      <c r="BT125" s="282"/>
      <c r="BU125" s="278"/>
      <c r="BW125" s="279" t="s">
        <v>205</v>
      </c>
      <c r="BX125" s="279" t="s">
        <v>206</v>
      </c>
    </row>
    <row r="126" s="279" customFormat="1" ht="87" customHeight="1" spans="1:76">
      <c r="A126" s="278">
        <v>118</v>
      </c>
      <c r="C126" s="279" t="s">
        <v>727</v>
      </c>
      <c r="D126" s="279">
        <v>20230005506</v>
      </c>
      <c r="E126" s="717" t="s">
        <v>728</v>
      </c>
      <c r="F126" s="295" t="s">
        <v>729</v>
      </c>
      <c r="G126" s="296" t="s">
        <v>730</v>
      </c>
      <c r="H126" s="131"/>
      <c r="I126" s="279" t="s">
        <v>102</v>
      </c>
      <c r="J126" s="279">
        <v>6</v>
      </c>
      <c r="K126" s="279">
        <v>42.7</v>
      </c>
      <c r="L126" s="279">
        <v>42.7</v>
      </c>
      <c r="M126" s="279">
        <v>24181.76</v>
      </c>
      <c r="N126" s="318">
        <f>M126*L126</f>
        <v>1032561.152</v>
      </c>
      <c r="O126" s="282">
        <v>23881.77</v>
      </c>
      <c r="T126" s="282"/>
      <c r="U126" s="330"/>
      <c r="V126" s="330" t="s">
        <v>731</v>
      </c>
      <c r="W126" s="330" t="s">
        <v>732</v>
      </c>
      <c r="X126" s="282">
        <f>5000-5000+5000+5000+5000+5000</f>
        <v>20000</v>
      </c>
      <c r="Y126" s="330" t="s">
        <v>733</v>
      </c>
      <c r="Z126" s="282">
        <v>80000</v>
      </c>
      <c r="AA126" s="283" t="s">
        <v>734</v>
      </c>
      <c r="AB126" s="282">
        <v>212319</v>
      </c>
      <c r="AC126" s="283">
        <v>2023.7</v>
      </c>
      <c r="AD126" s="282">
        <f>200000+10000</f>
        <v>210000</v>
      </c>
      <c r="AE126" s="330" t="s">
        <v>735</v>
      </c>
      <c r="AF126" s="282">
        <v>360000</v>
      </c>
      <c r="AG126" s="330" t="s">
        <v>736</v>
      </c>
      <c r="AH126" s="279">
        <v>150000</v>
      </c>
      <c r="AI126" s="279" t="s">
        <v>736</v>
      </c>
      <c r="AL126" s="282">
        <f t="shared" si="45"/>
        <v>1032319</v>
      </c>
      <c r="AO126" s="314">
        <f t="shared" si="40"/>
        <v>242.152000000002</v>
      </c>
      <c r="AP126" s="279">
        <v>13899005378</v>
      </c>
      <c r="AT126" s="349">
        <f t="shared" si="36"/>
        <v>2000</v>
      </c>
      <c r="AU126" s="349">
        <f>200</f>
        <v>200</v>
      </c>
      <c r="AV126" s="282">
        <f>200+200+200</f>
        <v>600</v>
      </c>
      <c r="AW126" s="282">
        <v>200</v>
      </c>
      <c r="AX126" s="282">
        <v>200</v>
      </c>
      <c r="AY126" s="282">
        <v>200</v>
      </c>
      <c r="AZ126" s="282"/>
      <c r="BA126" s="282">
        <f>300+300</f>
        <v>600</v>
      </c>
      <c r="BB126" s="282"/>
      <c r="BC126" s="282">
        <f t="shared" si="37"/>
        <v>1032319</v>
      </c>
      <c r="BD126" s="428">
        <f>1%+0.18%+0.25%</f>
        <v>0.0143</v>
      </c>
      <c r="BE126" s="282"/>
      <c r="BF126" s="282"/>
      <c r="BG126" s="282"/>
      <c r="BH126" s="282"/>
      <c r="BI126" s="282"/>
      <c r="BJ126" s="282">
        <v>1032319</v>
      </c>
      <c r="BK126" s="282"/>
      <c r="BL126" s="282"/>
      <c r="BM126" s="282"/>
      <c r="BN126" s="282"/>
      <c r="BO126" s="282"/>
      <c r="BP126" s="282"/>
      <c r="BQ126" s="282"/>
      <c r="BR126" s="282"/>
      <c r="BS126" s="282"/>
      <c r="BT126" s="282"/>
      <c r="BU126" s="278"/>
      <c r="BW126" s="279" t="s">
        <v>205</v>
      </c>
      <c r="BX126" s="279" t="s">
        <v>206</v>
      </c>
    </row>
    <row r="127" s="279" customFormat="1" ht="88" customHeight="1" spans="1:76">
      <c r="A127" s="278">
        <v>119</v>
      </c>
      <c r="C127" s="279" t="s">
        <v>737</v>
      </c>
      <c r="D127" s="279">
        <v>20230005811</v>
      </c>
      <c r="E127" s="717" t="s">
        <v>738</v>
      </c>
      <c r="F127" s="295" t="s">
        <v>739</v>
      </c>
      <c r="G127" s="294" t="s">
        <v>740</v>
      </c>
      <c r="H127" s="131"/>
      <c r="I127" s="279" t="s">
        <v>102</v>
      </c>
      <c r="J127" s="279">
        <v>7</v>
      </c>
      <c r="K127" s="279">
        <v>42.7</v>
      </c>
      <c r="L127" s="279">
        <v>42.7</v>
      </c>
      <c r="M127" s="279">
        <v>23799.7</v>
      </c>
      <c r="N127" s="318">
        <f>L127*M127</f>
        <v>1016247.19</v>
      </c>
      <c r="O127" s="282">
        <v>23599.7</v>
      </c>
      <c r="T127" s="282"/>
      <c r="U127" s="330"/>
      <c r="V127" s="330" t="s">
        <v>741</v>
      </c>
      <c r="W127" s="330" t="s">
        <v>742</v>
      </c>
      <c r="X127" s="282">
        <f>5000-5000+10000-10000+5000+95000</f>
        <v>100000</v>
      </c>
      <c r="Y127" s="330" t="s">
        <v>743</v>
      </c>
      <c r="Z127" s="282">
        <v>316009</v>
      </c>
      <c r="AA127" s="330" t="s">
        <v>737</v>
      </c>
      <c r="AB127" s="282">
        <f>410000+190000</f>
        <v>600000</v>
      </c>
      <c r="AC127" s="283" t="s">
        <v>578</v>
      </c>
      <c r="AL127" s="282">
        <f t="shared" si="45"/>
        <v>1016009</v>
      </c>
      <c r="AO127" s="314">
        <f t="shared" si="40"/>
        <v>238.189999999944</v>
      </c>
      <c r="AP127" s="279">
        <v>15739856132</v>
      </c>
      <c r="AT127" s="349">
        <f t="shared" si="36"/>
        <v>600</v>
      </c>
      <c r="AU127" s="349"/>
      <c r="AV127" s="282">
        <f>200+200</f>
        <v>400</v>
      </c>
      <c r="AW127" s="282"/>
      <c r="AX127" s="282"/>
      <c r="AY127" s="282"/>
      <c r="AZ127" s="282">
        <v>200</v>
      </c>
      <c r="BA127" s="282"/>
      <c r="BB127" s="282"/>
      <c r="BC127" s="282">
        <f t="shared" si="37"/>
        <v>1016009</v>
      </c>
      <c r="BD127" s="428">
        <f>1%+0.25%</f>
        <v>0.0125</v>
      </c>
      <c r="BE127" s="282">
        <v>1016009</v>
      </c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  <c r="BQ127" s="282"/>
      <c r="BR127" s="282"/>
      <c r="BS127" s="282"/>
      <c r="BT127" s="282"/>
      <c r="BU127" s="278"/>
      <c r="BW127" s="279" t="s">
        <v>205</v>
      </c>
      <c r="BX127" s="279" t="s">
        <v>206</v>
      </c>
    </row>
    <row r="128" s="279" customFormat="1" ht="62" customHeight="1" spans="1:76">
      <c r="A128" s="278">
        <v>120</v>
      </c>
      <c r="C128" s="279" t="s">
        <v>744</v>
      </c>
      <c r="D128" s="279">
        <v>20230005770</v>
      </c>
      <c r="E128" s="717" t="s">
        <v>745</v>
      </c>
      <c r="F128" s="295" t="s">
        <v>746</v>
      </c>
      <c r="G128" s="296" t="s">
        <v>747</v>
      </c>
      <c r="H128" s="131"/>
      <c r="I128" s="279" t="s">
        <v>102</v>
      </c>
      <c r="J128" s="279">
        <v>8</v>
      </c>
      <c r="K128" s="279">
        <v>42.7</v>
      </c>
      <c r="L128" s="279">
        <v>42.7</v>
      </c>
      <c r="M128" s="279">
        <v>24475.79</v>
      </c>
      <c r="N128" s="318">
        <v>1044872</v>
      </c>
      <c r="O128" s="282">
        <v>23975.79</v>
      </c>
      <c r="T128" s="282"/>
      <c r="U128" s="330"/>
      <c r="V128" s="330" t="s">
        <v>748</v>
      </c>
      <c r="W128" s="330" t="s">
        <v>749</v>
      </c>
      <c r="X128" s="282">
        <f>5000+5000-5000+5000+95000-5000</f>
        <v>100000</v>
      </c>
      <c r="Y128" s="330" t="s">
        <v>750</v>
      </c>
      <c r="Z128" s="282">
        <v>944872</v>
      </c>
      <c r="AA128" s="330" t="s">
        <v>744</v>
      </c>
      <c r="AB128" s="282"/>
      <c r="AC128" s="283"/>
      <c r="AL128" s="282">
        <f t="shared" si="45"/>
        <v>1044872</v>
      </c>
      <c r="AO128" s="314">
        <f t="shared" si="40"/>
        <v>0</v>
      </c>
      <c r="AP128" s="279">
        <v>15099460058</v>
      </c>
      <c r="AT128" s="349">
        <f t="shared" si="36"/>
        <v>800</v>
      </c>
      <c r="AU128" s="349">
        <f>200+200+200</f>
        <v>600</v>
      </c>
      <c r="AV128" s="282">
        <v>200</v>
      </c>
      <c r="AW128" s="282"/>
      <c r="AX128" s="282"/>
      <c r="AY128" s="282"/>
      <c r="AZ128" s="282"/>
      <c r="BA128" s="282"/>
      <c r="BB128" s="282"/>
      <c r="BC128" s="282">
        <f t="shared" si="37"/>
        <v>1044872</v>
      </c>
      <c r="BD128" s="428">
        <f>0.8%+0.18%+0.25%</f>
        <v>0.0123</v>
      </c>
      <c r="BE128" s="282">
        <v>1044872</v>
      </c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  <c r="BQ128" s="282"/>
      <c r="BR128" s="282"/>
      <c r="BS128" s="282"/>
      <c r="BT128" s="282"/>
      <c r="BU128" s="278"/>
      <c r="BW128" s="279" t="s">
        <v>205</v>
      </c>
      <c r="BX128" s="279" t="s">
        <v>206</v>
      </c>
    </row>
    <row r="129" s="279" customFormat="1" ht="72" customHeight="1" spans="1:76">
      <c r="A129" s="278">
        <v>121</v>
      </c>
      <c r="C129" s="279" t="s">
        <v>668</v>
      </c>
      <c r="D129" s="279">
        <v>20230006480</v>
      </c>
      <c r="E129" s="717" t="s">
        <v>751</v>
      </c>
      <c r="F129" s="295" t="s">
        <v>752</v>
      </c>
      <c r="G129" s="296" t="s">
        <v>753</v>
      </c>
      <c r="H129" s="131"/>
      <c r="I129" s="279" t="s">
        <v>102</v>
      </c>
      <c r="J129" s="279">
        <v>9</v>
      </c>
      <c r="K129" s="279">
        <v>42.7</v>
      </c>
      <c r="L129" s="279">
        <v>42.7</v>
      </c>
      <c r="M129" s="279">
        <v>24633.96</v>
      </c>
      <c r="N129" s="318">
        <f>L129*M129</f>
        <v>1051870.092</v>
      </c>
      <c r="O129" s="282">
        <v>24633.96</v>
      </c>
      <c r="T129" s="282"/>
      <c r="U129" s="330"/>
      <c r="V129" s="330" t="s">
        <v>754</v>
      </c>
      <c r="W129" s="330" t="s">
        <v>755</v>
      </c>
      <c r="X129" s="282">
        <f>5000-5000+10000+40000</f>
        <v>50000</v>
      </c>
      <c r="Y129" s="330" t="s">
        <v>756</v>
      </c>
      <c r="Z129" s="282">
        <v>481624</v>
      </c>
      <c r="AA129" s="283" t="s">
        <v>605</v>
      </c>
      <c r="AB129" s="282">
        <v>520000</v>
      </c>
      <c r="AC129" s="330" t="s">
        <v>280</v>
      </c>
      <c r="AL129" s="282">
        <f t="shared" si="45"/>
        <v>1051624</v>
      </c>
      <c r="AO129" s="314">
        <f t="shared" si="40"/>
        <v>246.091999999946</v>
      </c>
      <c r="AP129" s="279">
        <v>13779673130</v>
      </c>
      <c r="AT129" s="349">
        <f t="shared" si="36"/>
        <v>1500</v>
      </c>
      <c r="AU129" s="349">
        <f>200</f>
        <v>200</v>
      </c>
      <c r="AV129" s="282">
        <f>200+200+200+200</f>
        <v>800</v>
      </c>
      <c r="AW129" s="282"/>
      <c r="AX129" s="282">
        <v>200</v>
      </c>
      <c r="AY129" s="282"/>
      <c r="AZ129" s="282"/>
      <c r="BA129" s="282">
        <v>300</v>
      </c>
      <c r="BB129" s="282"/>
      <c r="BC129" s="282">
        <f t="shared" si="37"/>
        <v>1051624</v>
      </c>
      <c r="BD129" s="428">
        <f>0.8%+0.13%+0.25%</f>
        <v>0.0118</v>
      </c>
      <c r="BE129" s="282">
        <v>531624</v>
      </c>
      <c r="BF129" s="282"/>
      <c r="BG129" s="282"/>
      <c r="BH129" s="282"/>
      <c r="BI129" s="282"/>
      <c r="BJ129" s="282">
        <v>520000</v>
      </c>
      <c r="BK129" s="282"/>
      <c r="BL129" s="282"/>
      <c r="BM129" s="282"/>
      <c r="BN129" s="282"/>
      <c r="BO129" s="282"/>
      <c r="BP129" s="282"/>
      <c r="BQ129" s="282"/>
      <c r="BR129" s="282"/>
      <c r="BS129" s="282"/>
      <c r="BT129" s="282"/>
      <c r="BU129" s="278"/>
      <c r="BW129" s="279" t="s">
        <v>205</v>
      </c>
      <c r="BX129" s="279" t="s">
        <v>206</v>
      </c>
    </row>
    <row r="130" s="279" customFormat="1" ht="58" customHeight="1" spans="1:76">
      <c r="A130" s="278">
        <v>122</v>
      </c>
      <c r="C130" s="331">
        <v>45166</v>
      </c>
      <c r="D130" s="279">
        <v>20230007366</v>
      </c>
      <c r="E130" s="717" t="s">
        <v>757</v>
      </c>
      <c r="F130" s="295" t="s">
        <v>758</v>
      </c>
      <c r="G130" s="296" t="s">
        <v>759</v>
      </c>
      <c r="H130" s="131"/>
      <c r="I130" s="279" t="s">
        <v>102</v>
      </c>
      <c r="J130" s="279">
        <v>10</v>
      </c>
      <c r="K130" s="279">
        <v>42.7</v>
      </c>
      <c r="L130" s="279">
        <v>42.7</v>
      </c>
      <c r="M130" s="279">
        <v>25532.91</v>
      </c>
      <c r="N130" s="318">
        <f>L130*M130</f>
        <v>1090255.257</v>
      </c>
      <c r="O130" s="282">
        <v>25386.13</v>
      </c>
      <c r="T130" s="282"/>
      <c r="U130" s="331"/>
      <c r="V130" s="330" t="s">
        <v>760</v>
      </c>
      <c r="W130" s="330" t="s">
        <v>761</v>
      </c>
      <c r="X130" s="282">
        <f>5000-5000+5000+95000</f>
        <v>100000</v>
      </c>
      <c r="Y130" s="330" t="s">
        <v>762</v>
      </c>
      <c r="Z130" s="282">
        <v>30000</v>
      </c>
      <c r="AA130" s="331" t="s">
        <v>383</v>
      </c>
      <c r="AB130" s="282">
        <v>960000</v>
      </c>
      <c r="AC130" s="331" t="s">
        <v>593</v>
      </c>
      <c r="AL130" s="282">
        <f t="shared" si="45"/>
        <v>1090000</v>
      </c>
      <c r="AO130" s="314">
        <f t="shared" si="40"/>
        <v>255.256999999983</v>
      </c>
      <c r="AP130" s="279">
        <v>13899061155</v>
      </c>
      <c r="AT130" s="349">
        <f t="shared" si="36"/>
        <v>1000</v>
      </c>
      <c r="AU130" s="349"/>
      <c r="AV130" s="282">
        <f>200</f>
        <v>200</v>
      </c>
      <c r="AW130" s="282">
        <v>200</v>
      </c>
      <c r="AX130" s="282">
        <v>200</v>
      </c>
      <c r="AY130" s="282">
        <f>200+200</f>
        <v>400</v>
      </c>
      <c r="AZ130" s="282"/>
      <c r="BA130" s="282"/>
      <c r="BB130" s="282"/>
      <c r="BC130" s="282">
        <f t="shared" si="37"/>
        <v>1090000</v>
      </c>
      <c r="BD130" s="428">
        <f>1%+0.18%+0.25%</f>
        <v>0.0143</v>
      </c>
      <c r="BE130" s="282"/>
      <c r="BF130" s="282">
        <v>1090000</v>
      </c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  <c r="BQ130" s="282"/>
      <c r="BR130" s="282"/>
      <c r="BS130" s="282"/>
      <c r="BT130" s="282"/>
      <c r="BU130" s="278"/>
      <c r="BW130" s="279" t="s">
        <v>205</v>
      </c>
      <c r="BX130" s="279" t="s">
        <v>206</v>
      </c>
    </row>
    <row r="131" s="279" customFormat="1" ht="56" customHeight="1" spans="1:75">
      <c r="A131" s="278">
        <v>123</v>
      </c>
      <c r="C131" s="331">
        <v>45527</v>
      </c>
      <c r="D131" s="279">
        <v>20240004827</v>
      </c>
      <c r="E131" s="717" t="s">
        <v>763</v>
      </c>
      <c r="F131" s="295" t="s">
        <v>764</v>
      </c>
      <c r="G131" s="466" t="s">
        <v>765</v>
      </c>
      <c r="H131" s="131"/>
      <c r="I131" s="279" t="s">
        <v>102</v>
      </c>
      <c r="J131" s="279">
        <v>11</v>
      </c>
      <c r="K131" s="279">
        <v>55.92</v>
      </c>
      <c r="L131" s="279">
        <v>55.92</v>
      </c>
      <c r="M131" s="279">
        <f>N131/L131</f>
        <v>26912.8934191702</v>
      </c>
      <c r="N131" s="318">
        <v>1504969</v>
      </c>
      <c r="O131" s="282">
        <v>26136.28</v>
      </c>
      <c r="T131" s="282"/>
      <c r="U131" s="330"/>
      <c r="V131" s="330" t="s">
        <v>766</v>
      </c>
      <c r="W131" s="330" t="s">
        <v>767</v>
      </c>
      <c r="X131" s="282">
        <f>853633+30000+30000+240000+200000+151336</f>
        <v>1504969</v>
      </c>
      <c r="Y131" s="330" t="s">
        <v>768</v>
      </c>
      <c r="Z131" s="282"/>
      <c r="AA131" s="283"/>
      <c r="AB131" s="282"/>
      <c r="AC131" s="330"/>
      <c r="AD131" s="279"/>
      <c r="AE131" s="279"/>
      <c r="AF131" s="282"/>
      <c r="AG131" s="330"/>
      <c r="AH131" s="279"/>
      <c r="AI131" s="279"/>
      <c r="AJ131" s="282"/>
      <c r="AK131" s="330"/>
      <c r="AL131" s="282">
        <f t="shared" si="45"/>
        <v>1504969</v>
      </c>
      <c r="AO131" s="314">
        <f t="shared" si="40"/>
        <v>0</v>
      </c>
      <c r="AP131" s="279">
        <v>13779245999</v>
      </c>
      <c r="AT131" s="349">
        <f t="shared" si="36"/>
        <v>1900</v>
      </c>
      <c r="AU131" s="349">
        <f>200+200</f>
        <v>400</v>
      </c>
      <c r="AV131" s="282">
        <v>200</v>
      </c>
      <c r="AW131" s="282">
        <v>200</v>
      </c>
      <c r="AX131" s="282">
        <v>200</v>
      </c>
      <c r="AY131" s="282">
        <f>200+200+200</f>
        <v>600</v>
      </c>
      <c r="AZ131" s="282"/>
      <c r="BA131" s="282">
        <v>300</v>
      </c>
      <c r="BB131" s="282"/>
      <c r="BC131" s="282">
        <f t="shared" si="37"/>
        <v>1504969</v>
      </c>
      <c r="BD131" s="428">
        <f>1%+0.14%</f>
        <v>0.0114</v>
      </c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  <c r="BQ131" s="282"/>
      <c r="BR131" s="282"/>
      <c r="BS131" s="282">
        <v>1504969</v>
      </c>
      <c r="BT131" s="282"/>
      <c r="BU131" s="279">
        <f>BD131*BS131</f>
        <v>17156.6466</v>
      </c>
      <c r="BW131" s="279" t="s">
        <v>205</v>
      </c>
    </row>
    <row r="132" s="279" customFormat="1" ht="97" customHeight="1" spans="1:76">
      <c r="A132" s="278">
        <v>124</v>
      </c>
      <c r="C132" s="279" t="s">
        <v>769</v>
      </c>
      <c r="D132" s="279">
        <v>20230005679</v>
      </c>
      <c r="E132" s="717" t="s">
        <v>770</v>
      </c>
      <c r="F132" s="369" t="s">
        <v>771</v>
      </c>
      <c r="G132" s="294" t="s">
        <v>772</v>
      </c>
      <c r="H132" s="131"/>
      <c r="I132" s="279" t="s">
        <v>102</v>
      </c>
      <c r="J132" s="279">
        <v>12</v>
      </c>
      <c r="K132" s="279">
        <v>42.19</v>
      </c>
      <c r="L132" s="279">
        <v>42.19</v>
      </c>
      <c r="M132" s="279">
        <v>33084.45</v>
      </c>
      <c r="N132" s="318">
        <f t="shared" ref="N132:N143" si="46">L132*M132</f>
        <v>1395832.9455</v>
      </c>
      <c r="O132" s="282">
        <v>33000</v>
      </c>
      <c r="T132" s="282"/>
      <c r="U132" s="330"/>
      <c r="V132" s="330" t="s">
        <v>773</v>
      </c>
      <c r="W132" s="330" t="s">
        <v>774</v>
      </c>
      <c r="X132" s="282">
        <f>5000+5000-5000</f>
        <v>5000</v>
      </c>
      <c r="Y132" s="330" t="s">
        <v>775</v>
      </c>
      <c r="Z132" s="282">
        <v>95000</v>
      </c>
      <c r="AA132" s="283" t="s">
        <v>703</v>
      </c>
      <c r="AB132" s="282">
        <v>598833</v>
      </c>
      <c r="AC132" s="330" t="s">
        <v>776</v>
      </c>
      <c r="AD132" s="282">
        <v>697000</v>
      </c>
      <c r="AE132" s="330" t="s">
        <v>333</v>
      </c>
      <c r="AL132" s="282">
        <f t="shared" si="45"/>
        <v>1395833</v>
      </c>
      <c r="AO132" s="314">
        <f t="shared" si="40"/>
        <v>-0.0545000000856817</v>
      </c>
      <c r="AP132" s="294"/>
      <c r="AT132" s="349">
        <f t="shared" si="36"/>
        <v>3400</v>
      </c>
      <c r="AU132" s="349">
        <f>200+200+200+200+200</f>
        <v>1000</v>
      </c>
      <c r="AV132" s="282">
        <f>200+200</f>
        <v>400</v>
      </c>
      <c r="AW132" s="282">
        <f>200+200</f>
        <v>400</v>
      </c>
      <c r="AX132" s="282">
        <v>200</v>
      </c>
      <c r="AY132" s="282">
        <f>200+200+200+200</f>
        <v>800</v>
      </c>
      <c r="AZ132" s="282"/>
      <c r="BA132" s="282">
        <f>300+300</f>
        <v>600</v>
      </c>
      <c r="BB132" s="282"/>
      <c r="BC132" s="282">
        <f t="shared" si="37"/>
        <v>1395833</v>
      </c>
      <c r="BD132" s="428">
        <f t="shared" ref="BD132:BD139" si="47">1%+0.18%+0.25%</f>
        <v>0.0143</v>
      </c>
      <c r="BE132" s="282">
        <v>698833</v>
      </c>
      <c r="BF132" s="282">
        <v>697000</v>
      </c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  <c r="BQ132" s="282"/>
      <c r="BR132" s="282"/>
      <c r="BS132" s="282"/>
      <c r="BT132" s="282"/>
      <c r="BU132" s="278"/>
      <c r="BW132" s="279" t="s">
        <v>205</v>
      </c>
      <c r="BX132" s="279" t="s">
        <v>206</v>
      </c>
    </row>
    <row r="133" s="279" customFormat="1" ht="42" customHeight="1" spans="1:76">
      <c r="A133" s="278">
        <v>125</v>
      </c>
      <c r="C133" s="279" t="s">
        <v>769</v>
      </c>
      <c r="D133" s="279">
        <v>20230005680</v>
      </c>
      <c r="E133" s="717" t="s">
        <v>770</v>
      </c>
      <c r="F133" s="369" t="s">
        <v>771</v>
      </c>
      <c r="G133" s="294" t="s">
        <v>777</v>
      </c>
      <c r="H133" s="131"/>
      <c r="I133" s="279" t="s">
        <v>102</v>
      </c>
      <c r="J133" s="279">
        <v>13</v>
      </c>
      <c r="K133" s="279">
        <v>42.19</v>
      </c>
      <c r="L133" s="279">
        <v>42.19</v>
      </c>
      <c r="M133" s="279">
        <v>26171.3</v>
      </c>
      <c r="N133" s="318">
        <f t="shared" si="46"/>
        <v>1104167.147</v>
      </c>
      <c r="O133" s="282">
        <v>26000</v>
      </c>
      <c r="T133" s="282"/>
      <c r="U133" s="330"/>
      <c r="V133" s="330"/>
      <c r="W133" s="330" t="s">
        <v>778</v>
      </c>
      <c r="X133" s="282">
        <v>100000</v>
      </c>
      <c r="Y133" s="283" t="s">
        <v>703</v>
      </c>
      <c r="Z133" s="282">
        <f>61167+110000+76000+70000+100000+35000</f>
        <v>452167</v>
      </c>
      <c r="AA133" s="330" t="s">
        <v>776</v>
      </c>
      <c r="AB133" s="282">
        <v>552000</v>
      </c>
      <c r="AC133" s="330" t="s">
        <v>333</v>
      </c>
      <c r="AL133" s="282">
        <f t="shared" si="45"/>
        <v>1104167</v>
      </c>
      <c r="AO133" s="314">
        <f t="shared" si="40"/>
        <v>0.147000000113621</v>
      </c>
      <c r="AT133" s="349">
        <f t="shared" si="36"/>
        <v>1100</v>
      </c>
      <c r="AU133" s="349">
        <f>200+200</f>
        <v>400</v>
      </c>
      <c r="AV133" s="282"/>
      <c r="AW133" s="282">
        <v>200</v>
      </c>
      <c r="AX133" s="282"/>
      <c r="AY133" s="282">
        <v>200</v>
      </c>
      <c r="AZ133" s="282"/>
      <c r="BA133" s="282">
        <v>300</v>
      </c>
      <c r="BB133" s="282"/>
      <c r="BC133" s="282">
        <f t="shared" si="37"/>
        <v>1104167</v>
      </c>
      <c r="BD133" s="428">
        <f t="shared" si="47"/>
        <v>0.0143</v>
      </c>
      <c r="BE133" s="282">
        <v>552167</v>
      </c>
      <c r="BF133" s="282">
        <v>552000</v>
      </c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  <c r="BQ133" s="282"/>
      <c r="BR133" s="282"/>
      <c r="BS133" s="282"/>
      <c r="BT133" s="282"/>
      <c r="BU133" s="278"/>
      <c r="BW133" s="279" t="s">
        <v>205</v>
      </c>
      <c r="BX133" s="279" t="s">
        <v>206</v>
      </c>
    </row>
    <row r="134" s="279" customFormat="1" ht="81" customHeight="1" spans="1:75">
      <c r="A134" s="278">
        <v>126</v>
      </c>
      <c r="C134" s="331">
        <v>45527</v>
      </c>
      <c r="D134" s="279">
        <v>20240004828</v>
      </c>
      <c r="E134" s="717" t="s">
        <v>779</v>
      </c>
      <c r="F134" s="295" t="s">
        <v>764</v>
      </c>
      <c r="G134" s="466" t="s">
        <v>780</v>
      </c>
      <c r="H134" s="131"/>
      <c r="I134" s="279" t="s">
        <v>102</v>
      </c>
      <c r="J134" s="279">
        <v>14</v>
      </c>
      <c r="K134" s="279">
        <v>55.92</v>
      </c>
      <c r="L134" s="279">
        <v>55.92</v>
      </c>
      <c r="M134" s="279">
        <f>N134/L134</f>
        <v>20777.7181688126</v>
      </c>
      <c r="N134" s="318">
        <v>1161890</v>
      </c>
      <c r="O134" s="282">
        <v>20000</v>
      </c>
      <c r="T134" s="282"/>
      <c r="U134" s="330"/>
      <c r="V134" s="330"/>
      <c r="W134" s="330" t="s">
        <v>781</v>
      </c>
      <c r="X134" s="282">
        <v>315000</v>
      </c>
      <c r="Y134" s="330" t="s">
        <v>782</v>
      </c>
      <c r="Z134" s="282">
        <v>168000</v>
      </c>
      <c r="AA134" s="330">
        <v>45536</v>
      </c>
      <c r="AB134" s="279">
        <v>678890</v>
      </c>
      <c r="AC134" s="331">
        <v>45541</v>
      </c>
      <c r="AD134" s="282"/>
      <c r="AE134" s="330"/>
      <c r="AF134" s="279"/>
      <c r="AG134" s="331"/>
      <c r="AL134" s="282">
        <f t="shared" si="45"/>
        <v>1161890</v>
      </c>
      <c r="AO134" s="314">
        <f t="shared" si="40"/>
        <v>0</v>
      </c>
      <c r="AP134" s="279">
        <v>13779245999</v>
      </c>
      <c r="AT134" s="349">
        <f t="shared" si="36"/>
        <v>800</v>
      </c>
      <c r="AU134" s="349">
        <f>200</f>
        <v>200</v>
      </c>
      <c r="AV134" s="282"/>
      <c r="AW134" s="282">
        <f>200+200</f>
        <v>400</v>
      </c>
      <c r="AX134" s="282">
        <v>200</v>
      </c>
      <c r="AY134" s="282"/>
      <c r="AZ134" s="282"/>
      <c r="BA134" s="282"/>
      <c r="BB134" s="282"/>
      <c r="BC134" s="282">
        <f t="shared" si="37"/>
        <v>1161890</v>
      </c>
      <c r="BD134" s="428">
        <f>1%+0.14%</f>
        <v>0.0114</v>
      </c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  <c r="BQ134" s="282"/>
      <c r="BR134" s="282"/>
      <c r="BS134" s="282">
        <v>1161890</v>
      </c>
      <c r="BT134" s="282"/>
      <c r="BU134" s="279">
        <f>BD134*BS134</f>
        <v>13245.546</v>
      </c>
      <c r="BW134" s="279" t="s">
        <v>205</v>
      </c>
    </row>
    <row r="135" s="279" customFormat="1" ht="72" customHeight="1" spans="1:76">
      <c r="A135" s="278">
        <v>127</v>
      </c>
      <c r="C135" s="279" t="s">
        <v>769</v>
      </c>
      <c r="D135" s="279">
        <v>20230005699</v>
      </c>
      <c r="E135" s="717" t="s">
        <v>783</v>
      </c>
      <c r="F135" s="295" t="s">
        <v>784</v>
      </c>
      <c r="G135" s="296" t="s">
        <v>785</v>
      </c>
      <c r="H135" s="131"/>
      <c r="I135" s="279" t="s">
        <v>102</v>
      </c>
      <c r="J135" s="279">
        <v>15</v>
      </c>
      <c r="K135" s="279">
        <v>42.7</v>
      </c>
      <c r="L135" s="279">
        <v>42.7</v>
      </c>
      <c r="M135" s="279">
        <v>17880.15</v>
      </c>
      <c r="N135" s="318">
        <f t="shared" si="46"/>
        <v>763482.405</v>
      </c>
      <c r="O135" s="282">
        <v>17680.15</v>
      </c>
      <c r="T135" s="282"/>
      <c r="U135" s="330"/>
      <c r="V135" s="330" t="s">
        <v>786</v>
      </c>
      <c r="W135" s="330" t="s">
        <v>787</v>
      </c>
      <c r="X135" s="282">
        <f>5000-5000+5000</f>
        <v>5000</v>
      </c>
      <c r="Y135" s="330" t="s">
        <v>788</v>
      </c>
      <c r="Z135" s="282">
        <v>95000</v>
      </c>
      <c r="AA135" s="283" t="s">
        <v>269</v>
      </c>
      <c r="AB135" s="282">
        <f>563304+100000</f>
        <v>663304</v>
      </c>
      <c r="AC135" s="283" t="s">
        <v>776</v>
      </c>
      <c r="AL135" s="282">
        <f t="shared" si="45"/>
        <v>763304</v>
      </c>
      <c r="AO135" s="314">
        <f t="shared" si="40"/>
        <v>178.405000000028</v>
      </c>
      <c r="AP135" s="279">
        <v>13999605768</v>
      </c>
      <c r="AT135" s="349">
        <f t="shared" si="36"/>
        <v>600</v>
      </c>
      <c r="AU135" s="349"/>
      <c r="AV135" s="282"/>
      <c r="AW135" s="282">
        <f>200+200+200</f>
        <v>600</v>
      </c>
      <c r="AX135" s="282"/>
      <c r="AY135" s="282"/>
      <c r="AZ135" s="282"/>
      <c r="BA135" s="282"/>
      <c r="BB135" s="282"/>
      <c r="BC135" s="282">
        <f t="shared" si="37"/>
        <v>763304</v>
      </c>
      <c r="BD135" s="428">
        <f>0.8%+0.18%+0.25%</f>
        <v>0.0123</v>
      </c>
      <c r="BE135" s="282">
        <v>763304</v>
      </c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  <c r="BQ135" s="282"/>
      <c r="BR135" s="282"/>
      <c r="BS135" s="282"/>
      <c r="BT135" s="282"/>
      <c r="BU135" s="278"/>
      <c r="BW135" s="279" t="s">
        <v>205</v>
      </c>
      <c r="BX135" s="279" t="s">
        <v>206</v>
      </c>
    </row>
    <row r="136" s="279" customFormat="1" customHeight="1" spans="1:76">
      <c r="A136" s="278">
        <v>128</v>
      </c>
      <c r="C136" s="279" t="s">
        <v>351</v>
      </c>
      <c r="D136" s="279">
        <v>20230008663</v>
      </c>
      <c r="E136" s="717" t="s">
        <v>789</v>
      </c>
      <c r="F136" s="295" t="s">
        <v>790</v>
      </c>
      <c r="G136" s="296" t="s">
        <v>791</v>
      </c>
      <c r="H136" s="131"/>
      <c r="I136" s="279" t="s">
        <v>102</v>
      </c>
      <c r="J136" s="279">
        <v>16</v>
      </c>
      <c r="K136" s="279">
        <v>42.7</v>
      </c>
      <c r="L136" s="279">
        <v>42.7</v>
      </c>
      <c r="M136" s="279">
        <v>17214.88</v>
      </c>
      <c r="N136" s="318">
        <f t="shared" si="46"/>
        <v>735075.376</v>
      </c>
      <c r="O136" s="282">
        <v>17214.88</v>
      </c>
      <c r="T136" s="282"/>
      <c r="U136" s="331"/>
      <c r="V136" s="330" t="s">
        <v>792</v>
      </c>
      <c r="W136" s="330" t="s">
        <v>793</v>
      </c>
      <c r="X136" s="282">
        <f>10000</f>
        <v>10000</v>
      </c>
      <c r="Y136" s="330" t="s">
        <v>601</v>
      </c>
      <c r="Z136" s="282">
        <v>90000</v>
      </c>
      <c r="AA136" s="283" t="s">
        <v>260</v>
      </c>
      <c r="AB136" s="282">
        <v>267903</v>
      </c>
      <c r="AC136" s="331" t="s">
        <v>351</v>
      </c>
      <c r="AD136" s="282">
        <v>67000</v>
      </c>
      <c r="AE136" s="331" t="s">
        <v>641</v>
      </c>
      <c r="AF136" s="282">
        <v>300000</v>
      </c>
      <c r="AG136" s="331" t="s">
        <v>794</v>
      </c>
      <c r="AL136" s="282">
        <f t="shared" si="45"/>
        <v>734903</v>
      </c>
      <c r="AO136" s="314">
        <f t="shared" si="40"/>
        <v>172.376000000047</v>
      </c>
      <c r="AP136" s="279">
        <v>13565086261</v>
      </c>
      <c r="AT136" s="349">
        <f t="shared" si="36"/>
        <v>200</v>
      </c>
      <c r="AU136" s="349">
        <f>200</f>
        <v>200</v>
      </c>
      <c r="AV136" s="282"/>
      <c r="AW136" s="282"/>
      <c r="AX136" s="282"/>
      <c r="AY136" s="282"/>
      <c r="AZ136" s="282"/>
      <c r="BA136" s="282"/>
      <c r="BB136" s="282"/>
      <c r="BC136" s="282">
        <f t="shared" si="37"/>
        <v>734903</v>
      </c>
      <c r="BD136" s="428">
        <f>1%+0.25%</f>
        <v>0.0125</v>
      </c>
      <c r="BE136" s="282"/>
      <c r="BF136" s="282"/>
      <c r="BG136" s="282"/>
      <c r="BH136" s="282"/>
      <c r="BI136" s="282"/>
      <c r="BJ136" s="282"/>
      <c r="BK136" s="282"/>
      <c r="BL136" s="282"/>
      <c r="BM136" s="282">
        <v>734903</v>
      </c>
      <c r="BN136" s="282"/>
      <c r="BO136" s="282"/>
      <c r="BP136" s="282"/>
      <c r="BQ136" s="282"/>
      <c r="BR136" s="282"/>
      <c r="BS136" s="282"/>
      <c r="BT136" s="282"/>
      <c r="BU136" s="278"/>
      <c r="BW136" s="279" t="s">
        <v>205</v>
      </c>
      <c r="BX136" s="279" t="s">
        <v>206</v>
      </c>
    </row>
    <row r="137" s="279" customFormat="1" ht="70" customHeight="1" spans="1:76">
      <c r="A137" s="278">
        <v>129</v>
      </c>
      <c r="C137" s="279" t="s">
        <v>795</v>
      </c>
      <c r="D137" s="279">
        <v>20230005464</v>
      </c>
      <c r="E137" s="717" t="s">
        <v>796</v>
      </c>
      <c r="F137" s="295" t="s">
        <v>797</v>
      </c>
      <c r="G137" s="466" t="s">
        <v>798</v>
      </c>
      <c r="H137" s="131"/>
      <c r="I137" s="279" t="s">
        <v>102</v>
      </c>
      <c r="J137" s="279">
        <v>17</v>
      </c>
      <c r="K137" s="279">
        <v>42.7</v>
      </c>
      <c r="L137" s="279">
        <v>42.7</v>
      </c>
      <c r="M137" s="279">
        <v>17621.83</v>
      </c>
      <c r="N137" s="318">
        <f t="shared" si="46"/>
        <v>752452.141</v>
      </c>
      <c r="O137" s="282">
        <v>17121.83</v>
      </c>
      <c r="T137" s="282"/>
      <c r="U137" s="331"/>
      <c r="V137" s="297" t="s">
        <v>799</v>
      </c>
      <c r="W137" s="330" t="s">
        <v>800</v>
      </c>
      <c r="X137" s="282">
        <f>5000</f>
        <v>5000</v>
      </c>
      <c r="Y137" s="331" t="s">
        <v>568</v>
      </c>
      <c r="Z137" s="282">
        <v>95000</v>
      </c>
      <c r="AA137" s="283" t="s">
        <v>269</v>
      </c>
      <c r="AB137" s="282">
        <v>652276</v>
      </c>
      <c r="AC137" s="283" t="s">
        <v>619</v>
      </c>
      <c r="AL137" s="282">
        <f t="shared" si="45"/>
        <v>752276</v>
      </c>
      <c r="AO137" s="314">
        <f t="shared" si="40"/>
        <v>176.140999999945</v>
      </c>
      <c r="AP137" s="279">
        <v>13779237535</v>
      </c>
      <c r="AT137" s="349">
        <f t="shared" si="36"/>
        <v>200</v>
      </c>
      <c r="AU137" s="349"/>
      <c r="AV137" s="282"/>
      <c r="AW137" s="282">
        <v>200</v>
      </c>
      <c r="AX137" s="282"/>
      <c r="AY137" s="282"/>
      <c r="AZ137" s="282"/>
      <c r="BA137" s="282"/>
      <c r="BB137" s="282"/>
      <c r="BC137" s="282">
        <f t="shared" si="37"/>
        <v>752276</v>
      </c>
      <c r="BD137" s="428">
        <f t="shared" si="47"/>
        <v>0.0143</v>
      </c>
      <c r="BE137" s="282">
        <v>752276</v>
      </c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  <c r="BQ137" s="282"/>
      <c r="BR137" s="282"/>
      <c r="BS137" s="282"/>
      <c r="BT137" s="282"/>
      <c r="BU137" s="278"/>
      <c r="BW137" s="279" t="s">
        <v>205</v>
      </c>
      <c r="BX137" s="279" t="s">
        <v>206</v>
      </c>
    </row>
    <row r="138" s="279" customFormat="1" ht="53" customHeight="1" spans="1:76">
      <c r="A138" s="278">
        <v>130</v>
      </c>
      <c r="D138" s="279">
        <v>20230005448</v>
      </c>
      <c r="E138" s="717" t="s">
        <v>801</v>
      </c>
      <c r="F138" s="295" t="s">
        <v>802</v>
      </c>
      <c r="G138" s="467" t="s">
        <v>803</v>
      </c>
      <c r="H138" s="131"/>
      <c r="I138" s="279" t="s">
        <v>102</v>
      </c>
      <c r="J138" s="279">
        <v>18</v>
      </c>
      <c r="K138" s="279">
        <v>42.8</v>
      </c>
      <c r="L138" s="279">
        <v>42.8</v>
      </c>
      <c r="M138" s="279">
        <v>17400</v>
      </c>
      <c r="N138" s="318">
        <f t="shared" si="46"/>
        <v>744720</v>
      </c>
      <c r="O138" s="282">
        <v>17026.06</v>
      </c>
      <c r="T138" s="282"/>
      <c r="U138" s="331"/>
      <c r="V138" s="330"/>
      <c r="W138" s="330" t="s">
        <v>804</v>
      </c>
      <c r="X138" s="282">
        <v>100000</v>
      </c>
      <c r="Y138" s="283" t="s">
        <v>260</v>
      </c>
      <c r="Z138" s="282">
        <v>644546</v>
      </c>
      <c r="AA138" s="283" t="s">
        <v>805</v>
      </c>
      <c r="AB138" s="282"/>
      <c r="AC138" s="283"/>
      <c r="AL138" s="282">
        <f t="shared" si="45"/>
        <v>744546</v>
      </c>
      <c r="AO138" s="314">
        <f t="shared" si="40"/>
        <v>174</v>
      </c>
      <c r="AP138" s="279">
        <v>15899013998</v>
      </c>
      <c r="AT138" s="349">
        <f t="shared" si="36"/>
        <v>800</v>
      </c>
      <c r="AU138" s="349"/>
      <c r="AV138" s="282">
        <v>200</v>
      </c>
      <c r="AW138" s="282">
        <f>200+200</f>
        <v>400</v>
      </c>
      <c r="AX138" s="282"/>
      <c r="AY138" s="282"/>
      <c r="AZ138" s="282">
        <v>200</v>
      </c>
      <c r="BA138" s="282"/>
      <c r="BB138" s="282"/>
      <c r="BC138" s="282">
        <f t="shared" si="37"/>
        <v>0</v>
      </c>
      <c r="BD138" s="428">
        <f t="shared" si="47"/>
        <v>0.0143</v>
      </c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  <c r="BQ138" s="282"/>
      <c r="BR138" s="282"/>
      <c r="BS138" s="282"/>
      <c r="BT138" s="282"/>
      <c r="BU138" s="278"/>
      <c r="BW138" s="279" t="s">
        <v>205</v>
      </c>
      <c r="BX138" s="279" t="s">
        <v>206</v>
      </c>
    </row>
    <row r="139" s="279" customFormat="1" ht="66" customHeight="1" spans="1:76">
      <c r="A139" s="278">
        <v>131</v>
      </c>
      <c r="C139" s="279" t="s">
        <v>727</v>
      </c>
      <c r="D139" s="279">
        <v>20230005507</v>
      </c>
      <c r="E139" s="717" t="s">
        <v>806</v>
      </c>
      <c r="F139" s="295" t="s">
        <v>729</v>
      </c>
      <c r="G139" s="466" t="s">
        <v>807</v>
      </c>
      <c r="H139" s="131"/>
      <c r="I139" s="279" t="s">
        <v>102</v>
      </c>
      <c r="J139" s="279">
        <v>19</v>
      </c>
      <c r="K139" s="279">
        <v>42.7</v>
      </c>
      <c r="L139" s="279">
        <v>42.7</v>
      </c>
      <c r="M139" s="279">
        <v>16956.55</v>
      </c>
      <c r="N139" s="318">
        <f t="shared" si="46"/>
        <v>724044.685</v>
      </c>
      <c r="O139" s="282">
        <v>16656.57</v>
      </c>
      <c r="T139" s="282"/>
      <c r="U139" s="331"/>
      <c r="V139" s="330"/>
      <c r="W139" s="330" t="s">
        <v>808</v>
      </c>
      <c r="X139" s="282">
        <f>10000-10000+100000</f>
        <v>100000</v>
      </c>
      <c r="Y139" s="330" t="s">
        <v>809</v>
      </c>
      <c r="Z139" s="282">
        <v>123875</v>
      </c>
      <c r="AA139" s="283" t="s">
        <v>727</v>
      </c>
      <c r="AB139" s="282">
        <v>200000</v>
      </c>
      <c r="AC139" s="331" t="s">
        <v>735</v>
      </c>
      <c r="AD139" s="279">
        <v>300000</v>
      </c>
      <c r="AE139" s="279" t="s">
        <v>686</v>
      </c>
      <c r="AL139" s="282">
        <f t="shared" si="45"/>
        <v>723875</v>
      </c>
      <c r="AO139" s="314">
        <f t="shared" si="40"/>
        <v>169.685000000056</v>
      </c>
      <c r="AP139" s="279">
        <v>13899005378</v>
      </c>
      <c r="AT139" s="349">
        <f t="shared" si="36"/>
        <v>1100</v>
      </c>
      <c r="AU139" s="349"/>
      <c r="AV139" s="282">
        <v>200</v>
      </c>
      <c r="AW139" s="282">
        <v>200</v>
      </c>
      <c r="AX139" s="282">
        <v>200</v>
      </c>
      <c r="AY139" s="282">
        <v>200</v>
      </c>
      <c r="AZ139" s="282"/>
      <c r="BA139" s="282">
        <v>300</v>
      </c>
      <c r="BB139" s="282"/>
      <c r="BC139" s="282">
        <f t="shared" si="37"/>
        <v>723875</v>
      </c>
      <c r="BD139" s="428">
        <f t="shared" si="47"/>
        <v>0.0143</v>
      </c>
      <c r="BE139" s="282"/>
      <c r="BF139" s="282"/>
      <c r="BG139" s="282"/>
      <c r="BH139" s="282">
        <v>723875</v>
      </c>
      <c r="BI139" s="282"/>
      <c r="BJ139" s="282"/>
      <c r="BK139" s="282"/>
      <c r="BL139" s="282"/>
      <c r="BM139" s="282"/>
      <c r="BN139" s="282"/>
      <c r="BO139" s="282"/>
      <c r="BP139" s="282"/>
      <c r="BQ139" s="282"/>
      <c r="BR139" s="282"/>
      <c r="BS139" s="282"/>
      <c r="BT139" s="282"/>
      <c r="BU139" s="278"/>
      <c r="BW139" s="279" t="s">
        <v>205</v>
      </c>
      <c r="BX139" s="279" t="s">
        <v>206</v>
      </c>
    </row>
    <row r="140" s="279" customFormat="1" customHeight="1" spans="1:76">
      <c r="A140" s="278">
        <v>132</v>
      </c>
      <c r="C140" s="279" t="s">
        <v>694</v>
      </c>
      <c r="D140" s="279">
        <v>20230006200</v>
      </c>
      <c r="E140" s="717" t="s">
        <v>810</v>
      </c>
      <c r="F140" s="295" t="s">
        <v>723</v>
      </c>
      <c r="G140" s="296" t="s">
        <v>724</v>
      </c>
      <c r="H140" s="131"/>
      <c r="I140" s="279" t="s">
        <v>102</v>
      </c>
      <c r="J140" s="279">
        <v>20</v>
      </c>
      <c r="K140" s="279">
        <v>42.7</v>
      </c>
      <c r="L140" s="279">
        <v>42.7</v>
      </c>
      <c r="M140" s="279">
        <v>16942.67</v>
      </c>
      <c r="N140" s="318">
        <f t="shared" si="46"/>
        <v>723452.009</v>
      </c>
      <c r="O140" s="282">
        <v>16842.67</v>
      </c>
      <c r="T140" s="282"/>
      <c r="U140" s="330"/>
      <c r="V140" s="330"/>
      <c r="W140" s="330" t="s">
        <v>811</v>
      </c>
      <c r="X140" s="282">
        <f>100000</f>
        <v>100000</v>
      </c>
      <c r="Y140" s="330" t="s">
        <v>269</v>
      </c>
      <c r="Z140" s="282">
        <v>623283</v>
      </c>
      <c r="AA140" s="330" t="s">
        <v>721</v>
      </c>
      <c r="AB140" s="282"/>
      <c r="AC140" s="283"/>
      <c r="AL140" s="282">
        <f t="shared" si="45"/>
        <v>723283</v>
      </c>
      <c r="AO140" s="314">
        <f t="shared" si="40"/>
        <v>169.008999999962</v>
      </c>
      <c r="AP140" s="279">
        <v>15209968666</v>
      </c>
      <c r="AT140" s="349">
        <f t="shared" si="36"/>
        <v>1200</v>
      </c>
      <c r="AU140" s="349">
        <f>200</f>
        <v>200</v>
      </c>
      <c r="AV140" s="282">
        <v>200</v>
      </c>
      <c r="AW140" s="282">
        <v>200</v>
      </c>
      <c r="AX140" s="282"/>
      <c r="AY140" s="282"/>
      <c r="AZ140" s="282"/>
      <c r="BA140" s="282">
        <f>300+300</f>
        <v>600</v>
      </c>
      <c r="BB140" s="282"/>
      <c r="BC140" s="282">
        <f t="shared" si="37"/>
        <v>723283</v>
      </c>
      <c r="BD140" s="428">
        <f>1%+0.25%</f>
        <v>0.0125</v>
      </c>
      <c r="BE140" s="282">
        <v>723283</v>
      </c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  <c r="BQ140" s="282"/>
      <c r="BR140" s="282"/>
      <c r="BS140" s="282"/>
      <c r="BT140" s="282"/>
      <c r="BU140" s="278"/>
      <c r="BW140" s="279" t="s">
        <v>205</v>
      </c>
      <c r="BX140" s="279" t="s">
        <v>206</v>
      </c>
    </row>
    <row r="141" s="279" customFormat="1" ht="54" customHeight="1" spans="1:76">
      <c r="A141" s="278">
        <v>133</v>
      </c>
      <c r="C141" s="279" t="s">
        <v>694</v>
      </c>
      <c r="D141" s="279">
        <v>20230006190</v>
      </c>
      <c r="E141" s="717" t="s">
        <v>812</v>
      </c>
      <c r="F141" s="295" t="s">
        <v>718</v>
      </c>
      <c r="G141" s="467" t="s">
        <v>813</v>
      </c>
      <c r="H141" s="131"/>
      <c r="I141" s="279" t="s">
        <v>102</v>
      </c>
      <c r="J141" s="279">
        <v>21</v>
      </c>
      <c r="K141" s="279">
        <v>42.7</v>
      </c>
      <c r="L141" s="279">
        <v>42.7</v>
      </c>
      <c r="M141" s="279">
        <v>16849.62</v>
      </c>
      <c r="N141" s="318">
        <f t="shared" si="46"/>
        <v>719478.774</v>
      </c>
      <c r="O141" s="282">
        <v>16749.62</v>
      </c>
      <c r="T141" s="282"/>
      <c r="U141" s="331"/>
      <c r="V141" s="330"/>
      <c r="W141" s="330" t="s">
        <v>720</v>
      </c>
      <c r="X141" s="282">
        <v>100000</v>
      </c>
      <c r="Y141" s="330" t="s">
        <v>269</v>
      </c>
      <c r="Z141" s="282">
        <v>619310</v>
      </c>
      <c r="AA141" s="331" t="s">
        <v>721</v>
      </c>
      <c r="AB141" s="282"/>
      <c r="AC141" s="283"/>
      <c r="AL141" s="282">
        <f t="shared" si="45"/>
        <v>719310</v>
      </c>
      <c r="AO141" s="314">
        <f t="shared" si="40"/>
        <v>168.773999999976</v>
      </c>
      <c r="AP141" s="279">
        <v>1520998666</v>
      </c>
      <c r="AT141" s="349">
        <f t="shared" si="36"/>
        <v>200</v>
      </c>
      <c r="AU141" s="349"/>
      <c r="AV141" s="282"/>
      <c r="AW141" s="282">
        <v>200</v>
      </c>
      <c r="AX141" s="282"/>
      <c r="AY141" s="282"/>
      <c r="AZ141" s="282"/>
      <c r="BA141" s="282"/>
      <c r="BB141" s="282"/>
      <c r="BC141" s="282">
        <f t="shared" si="37"/>
        <v>719310</v>
      </c>
      <c r="BD141" s="428">
        <f>1%+0.25%</f>
        <v>0.0125</v>
      </c>
      <c r="BE141" s="282">
        <v>719310</v>
      </c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  <c r="BQ141" s="282"/>
      <c r="BR141" s="282"/>
      <c r="BS141" s="282"/>
      <c r="BT141" s="282"/>
      <c r="BU141" s="278"/>
      <c r="BW141" s="279" t="s">
        <v>205</v>
      </c>
      <c r="BX141" s="279" t="s">
        <v>206</v>
      </c>
    </row>
    <row r="142" s="279" customFormat="1" customHeight="1" spans="1:76">
      <c r="A142" s="278">
        <v>134</v>
      </c>
      <c r="C142" s="279" t="s">
        <v>705</v>
      </c>
      <c r="D142" s="279">
        <v>20230006850</v>
      </c>
      <c r="E142" s="717" t="s">
        <v>814</v>
      </c>
      <c r="F142" s="295" t="s">
        <v>707</v>
      </c>
      <c r="G142" s="466" t="s">
        <v>708</v>
      </c>
      <c r="H142" s="131"/>
      <c r="I142" s="279" t="s">
        <v>102</v>
      </c>
      <c r="J142" s="279">
        <v>22</v>
      </c>
      <c r="K142" s="279">
        <v>42.7</v>
      </c>
      <c r="L142" s="279">
        <v>42.7</v>
      </c>
      <c r="M142" s="279">
        <v>17135</v>
      </c>
      <c r="N142" s="318">
        <f t="shared" si="46"/>
        <v>731664.5</v>
      </c>
      <c r="O142" s="282">
        <v>16935.72</v>
      </c>
      <c r="T142" s="282"/>
      <c r="U142" s="331"/>
      <c r="V142" s="331"/>
      <c r="W142" s="330" t="s">
        <v>710</v>
      </c>
      <c r="X142" s="282">
        <v>100000</v>
      </c>
      <c r="Y142" s="330" t="s">
        <v>269</v>
      </c>
      <c r="Z142" s="282">
        <f>120000+151493</f>
        <v>271493</v>
      </c>
      <c r="AA142" s="331" t="s">
        <v>705</v>
      </c>
      <c r="AB142" s="282">
        <v>360000</v>
      </c>
      <c r="AC142" s="331" t="s">
        <v>654</v>
      </c>
      <c r="AL142" s="282">
        <f t="shared" si="45"/>
        <v>731493</v>
      </c>
      <c r="AO142" s="314">
        <f t="shared" si="40"/>
        <v>171.5</v>
      </c>
      <c r="AT142" s="349">
        <f t="shared" si="36"/>
        <v>200</v>
      </c>
      <c r="AU142" s="349"/>
      <c r="AV142" s="282"/>
      <c r="AW142" s="282">
        <v>200</v>
      </c>
      <c r="AX142" s="282"/>
      <c r="AY142" s="282"/>
      <c r="AZ142" s="282"/>
      <c r="BA142" s="282"/>
      <c r="BB142" s="282"/>
      <c r="BC142" s="282">
        <f t="shared" si="37"/>
        <v>731493</v>
      </c>
      <c r="BD142" s="428">
        <f>1%+0.25%</f>
        <v>0.0125</v>
      </c>
      <c r="BE142" s="282"/>
      <c r="BF142" s="282">
        <v>371493</v>
      </c>
      <c r="BG142" s="282">
        <v>360000</v>
      </c>
      <c r="BH142" s="282"/>
      <c r="BI142" s="282"/>
      <c r="BJ142" s="282"/>
      <c r="BK142" s="282"/>
      <c r="BL142" s="282"/>
      <c r="BM142" s="282"/>
      <c r="BN142" s="282"/>
      <c r="BO142" s="282"/>
      <c r="BP142" s="282"/>
      <c r="BQ142" s="282"/>
      <c r="BR142" s="282"/>
      <c r="BS142" s="282"/>
      <c r="BT142" s="282"/>
      <c r="BU142" s="278"/>
      <c r="BW142" s="279" t="s">
        <v>205</v>
      </c>
      <c r="BX142" s="279" t="s">
        <v>206</v>
      </c>
    </row>
    <row r="143" s="279" customFormat="1" ht="68" customHeight="1" spans="1:76">
      <c r="A143" s="278">
        <v>135</v>
      </c>
      <c r="C143" s="279" t="s">
        <v>705</v>
      </c>
      <c r="D143" s="279">
        <v>20230006852</v>
      </c>
      <c r="E143" s="717" t="s">
        <v>815</v>
      </c>
      <c r="F143" s="295" t="s">
        <v>707</v>
      </c>
      <c r="G143" s="466" t="s">
        <v>708</v>
      </c>
      <c r="H143" s="131"/>
      <c r="I143" s="279" t="s">
        <v>102</v>
      </c>
      <c r="J143" s="279">
        <v>23</v>
      </c>
      <c r="K143" s="279">
        <v>41.69</v>
      </c>
      <c r="L143" s="279">
        <v>41.69</v>
      </c>
      <c r="M143" s="279">
        <v>17201.58</v>
      </c>
      <c r="N143" s="318">
        <f t="shared" si="46"/>
        <v>717133.8702</v>
      </c>
      <c r="O143" s="282">
        <v>17121.41</v>
      </c>
      <c r="T143" s="282"/>
      <c r="U143" s="331"/>
      <c r="V143" s="294"/>
      <c r="W143" s="294" t="s">
        <v>816</v>
      </c>
      <c r="X143" s="282">
        <f>5000-5000+100000</f>
        <v>100000</v>
      </c>
      <c r="Y143" s="330" t="s">
        <v>817</v>
      </c>
      <c r="Z143" s="282">
        <f>165537+1425</f>
        <v>166962</v>
      </c>
      <c r="AA143" s="331" t="s">
        <v>711</v>
      </c>
      <c r="AB143" s="282">
        <v>100000</v>
      </c>
      <c r="AC143" s="331" t="s">
        <v>705</v>
      </c>
      <c r="AD143" s="282">
        <v>350000</v>
      </c>
      <c r="AE143" s="331" t="s">
        <v>654</v>
      </c>
      <c r="AL143" s="282">
        <f t="shared" si="45"/>
        <v>716962</v>
      </c>
      <c r="AO143" s="314">
        <f t="shared" si="40"/>
        <v>171.870200000005</v>
      </c>
      <c r="AT143" s="349">
        <f t="shared" si="36"/>
        <v>400</v>
      </c>
      <c r="AU143" s="349"/>
      <c r="AV143" s="282"/>
      <c r="AW143" s="282">
        <f>200+200</f>
        <v>400</v>
      </c>
      <c r="AX143" s="282"/>
      <c r="AY143" s="282"/>
      <c r="AZ143" s="282"/>
      <c r="BA143" s="282"/>
      <c r="BB143" s="282"/>
      <c r="BC143" s="282">
        <f t="shared" si="37"/>
        <v>716962</v>
      </c>
      <c r="BD143" s="428">
        <f>1%+0.25%</f>
        <v>0.0125</v>
      </c>
      <c r="BE143" s="282"/>
      <c r="BF143" s="282">
        <v>366962</v>
      </c>
      <c r="BG143" s="282">
        <v>350000</v>
      </c>
      <c r="BH143" s="282"/>
      <c r="BI143" s="282"/>
      <c r="BJ143" s="282"/>
      <c r="BK143" s="282"/>
      <c r="BL143" s="282"/>
      <c r="BM143" s="282"/>
      <c r="BN143" s="282"/>
      <c r="BO143" s="282"/>
      <c r="BP143" s="282"/>
      <c r="BQ143" s="282"/>
      <c r="BR143" s="282"/>
      <c r="BS143" s="282"/>
      <c r="BT143" s="282"/>
      <c r="BU143" s="278"/>
      <c r="BW143" s="279" t="s">
        <v>205</v>
      </c>
      <c r="BX143" s="279" t="s">
        <v>206</v>
      </c>
    </row>
    <row r="144" s="279" customFormat="1" customHeight="1" spans="1:76">
      <c r="A144" s="278">
        <v>136</v>
      </c>
      <c r="C144" s="279" t="s">
        <v>694</v>
      </c>
      <c r="D144" s="279">
        <v>20230006202</v>
      </c>
      <c r="E144" s="717" t="s">
        <v>818</v>
      </c>
      <c r="F144" s="295" t="s">
        <v>696</v>
      </c>
      <c r="G144" s="294" t="s">
        <v>819</v>
      </c>
      <c r="H144" s="131"/>
      <c r="I144" s="279" t="s">
        <v>102</v>
      </c>
      <c r="J144" s="279">
        <v>24</v>
      </c>
      <c r="K144" s="279">
        <v>58.46</v>
      </c>
      <c r="L144" s="279">
        <v>58.46</v>
      </c>
      <c r="M144" s="279">
        <v>19436.81</v>
      </c>
      <c r="N144" s="318">
        <f>M144*L144</f>
        <v>1136275.9126</v>
      </c>
      <c r="O144" s="282">
        <v>19336.81</v>
      </c>
      <c r="T144" s="282"/>
      <c r="U144" s="330"/>
      <c r="V144" s="331"/>
      <c r="W144" s="330" t="s">
        <v>820</v>
      </c>
      <c r="X144" s="282">
        <v>100000</v>
      </c>
      <c r="Y144" s="330" t="s">
        <v>703</v>
      </c>
      <c r="Z144" s="282">
        <v>1036082</v>
      </c>
      <c r="AA144" s="330" t="s">
        <v>704</v>
      </c>
      <c r="AB144" s="282"/>
      <c r="AC144" s="283"/>
      <c r="AL144" s="282">
        <f t="shared" si="45"/>
        <v>1136082</v>
      </c>
      <c r="AO144" s="314">
        <f t="shared" si="40"/>
        <v>193.912599999923</v>
      </c>
      <c r="AT144" s="349">
        <f t="shared" si="36"/>
        <v>200</v>
      </c>
      <c r="AU144" s="349"/>
      <c r="AV144" s="282"/>
      <c r="AW144" s="282"/>
      <c r="AX144" s="282"/>
      <c r="AY144" s="282"/>
      <c r="AZ144" s="282">
        <v>200</v>
      </c>
      <c r="BA144" s="282"/>
      <c r="BB144" s="282"/>
      <c r="BC144" s="282">
        <f t="shared" si="37"/>
        <v>1136082</v>
      </c>
      <c r="BD144" s="428">
        <f t="shared" ref="BD144:BD146" si="48">1%+0.18%+0.25%</f>
        <v>0.0143</v>
      </c>
      <c r="BE144" s="282">
        <v>1136082</v>
      </c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  <c r="BQ144" s="282"/>
      <c r="BR144" s="282"/>
      <c r="BS144" s="282"/>
      <c r="BT144" s="282"/>
      <c r="BU144" s="278"/>
      <c r="BW144" s="279" t="s">
        <v>205</v>
      </c>
      <c r="BX144" s="279" t="s">
        <v>206</v>
      </c>
    </row>
    <row r="145" s="279" customFormat="1" customHeight="1" spans="1:75">
      <c r="A145" s="278">
        <v>137</v>
      </c>
      <c r="C145" s="283" t="s">
        <v>98</v>
      </c>
      <c r="D145" s="279">
        <v>20240005476</v>
      </c>
      <c r="F145" s="295" t="s">
        <v>121</v>
      </c>
      <c r="G145" s="279" t="s">
        <v>122</v>
      </c>
      <c r="H145" s="131"/>
      <c r="I145" s="279" t="s">
        <v>95</v>
      </c>
      <c r="J145" s="279">
        <v>1</v>
      </c>
      <c r="K145" s="279">
        <v>351.53</v>
      </c>
      <c r="L145" s="279">
        <v>351.53</v>
      </c>
      <c r="M145" s="279">
        <v>9925</v>
      </c>
      <c r="N145" s="318">
        <v>3488935</v>
      </c>
      <c r="O145" s="282">
        <v>9439.37</v>
      </c>
      <c r="Q145" s="283">
        <v>3200857.8</v>
      </c>
      <c r="R145" s="717" t="s">
        <v>123</v>
      </c>
      <c r="S145" s="474">
        <v>45590</v>
      </c>
      <c r="T145" s="282">
        <v>860000</v>
      </c>
      <c r="U145" s="331" t="s">
        <v>821</v>
      </c>
      <c r="V145" s="331"/>
      <c r="W145" s="331"/>
      <c r="X145" s="282">
        <v>10000</v>
      </c>
      <c r="Y145" s="331" t="s">
        <v>822</v>
      </c>
      <c r="Z145" s="282">
        <v>30000</v>
      </c>
      <c r="AA145" s="331" t="s">
        <v>823</v>
      </c>
      <c r="AB145" s="282">
        <v>1720298</v>
      </c>
      <c r="AC145" s="331">
        <v>45538</v>
      </c>
      <c r="AD145" s="282">
        <v>900000</v>
      </c>
      <c r="AE145" s="331">
        <v>45563</v>
      </c>
      <c r="AF145" s="282">
        <v>860000</v>
      </c>
      <c r="AG145" s="331" t="s">
        <v>821</v>
      </c>
      <c r="AH145" s="282"/>
      <c r="AI145" s="331"/>
      <c r="AL145" s="282">
        <f t="shared" si="45"/>
        <v>3520298</v>
      </c>
      <c r="AO145" s="314">
        <f t="shared" si="40"/>
        <v>-31363</v>
      </c>
      <c r="AT145" s="349">
        <f t="shared" si="36"/>
        <v>0</v>
      </c>
      <c r="AU145" s="349"/>
      <c r="AV145" s="282"/>
      <c r="AW145" s="282"/>
      <c r="AX145" s="282"/>
      <c r="AY145" s="282"/>
      <c r="AZ145" s="282"/>
      <c r="BA145" s="282"/>
      <c r="BB145" s="282"/>
      <c r="BC145" s="282">
        <f t="shared" si="37"/>
        <v>0</v>
      </c>
      <c r="BD145" s="428">
        <f t="shared" si="48"/>
        <v>0.0143</v>
      </c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  <c r="BQ145" s="282"/>
      <c r="BR145" s="282"/>
      <c r="BS145" s="282"/>
      <c r="BT145" s="282"/>
      <c r="BW145" s="279" t="s">
        <v>205</v>
      </c>
    </row>
    <row r="146" s="278" customFormat="1" ht="39" customHeight="1" spans="1:75">
      <c r="A146" s="278">
        <v>138</v>
      </c>
      <c r="F146" s="367"/>
      <c r="G146" s="293"/>
      <c r="H146" s="89"/>
      <c r="I146" s="278" t="s">
        <v>95</v>
      </c>
      <c r="J146" s="278">
        <v>2</v>
      </c>
      <c r="K146" s="278">
        <v>312.83</v>
      </c>
      <c r="N146" s="404"/>
      <c r="O146" s="103">
        <v>9439.46</v>
      </c>
      <c r="T146" s="103"/>
      <c r="U146" s="104"/>
      <c r="W146" s="293"/>
      <c r="X146" s="103"/>
      <c r="Y146" s="104"/>
      <c r="Z146" s="103"/>
      <c r="AA146" s="104"/>
      <c r="AC146" s="311"/>
      <c r="AL146" s="103">
        <f t="shared" si="45"/>
        <v>0</v>
      </c>
      <c r="AO146" s="478">
        <f t="shared" si="40"/>
        <v>0</v>
      </c>
      <c r="AT146" s="348">
        <f t="shared" si="36"/>
        <v>200</v>
      </c>
      <c r="AU146" s="348"/>
      <c r="AV146" s="103">
        <v>200</v>
      </c>
      <c r="AW146" s="103"/>
      <c r="AX146" s="103"/>
      <c r="AY146" s="103"/>
      <c r="AZ146" s="103"/>
      <c r="BA146" s="103"/>
      <c r="BB146" s="103"/>
      <c r="BC146" s="103">
        <f t="shared" si="37"/>
        <v>0</v>
      </c>
      <c r="BD146" s="490">
        <f t="shared" si="48"/>
        <v>0.0143</v>
      </c>
      <c r="BE146" s="103"/>
      <c r="BF146" s="103"/>
      <c r="BG146" s="103"/>
      <c r="BH146" s="103"/>
      <c r="BI146" s="103"/>
      <c r="BJ146" s="103"/>
      <c r="BK146" s="103"/>
      <c r="BL146" s="103"/>
      <c r="BM146" s="103"/>
      <c r="BN146" s="103"/>
      <c r="BO146" s="103"/>
      <c r="BP146" s="103"/>
      <c r="BQ146" s="103"/>
      <c r="BR146" s="103"/>
      <c r="BS146" s="103"/>
      <c r="BT146" s="103"/>
      <c r="BW146" s="278" t="s">
        <v>205</v>
      </c>
    </row>
    <row r="147" s="278" customFormat="1" customHeight="1" spans="1:55">
      <c r="A147" s="278">
        <v>139</v>
      </c>
      <c r="F147" s="367"/>
      <c r="G147" s="430"/>
      <c r="H147" s="131"/>
      <c r="I147" s="278" t="s">
        <v>95</v>
      </c>
      <c r="J147" s="278">
        <v>3</v>
      </c>
      <c r="K147" s="278">
        <v>312.6</v>
      </c>
      <c r="N147" s="103"/>
      <c r="O147" s="103">
        <v>9994.46</v>
      </c>
      <c r="T147" s="103"/>
      <c r="U147" s="104"/>
      <c r="V147" s="104"/>
      <c r="W147" s="104"/>
      <c r="X147" s="103"/>
      <c r="Y147" s="104"/>
      <c r="Z147" s="103"/>
      <c r="AA147" s="311"/>
      <c r="AC147" s="311"/>
      <c r="AL147" s="103">
        <f t="shared" si="45"/>
        <v>0</v>
      </c>
      <c r="AO147" s="478">
        <f t="shared" si="40"/>
        <v>0</v>
      </c>
      <c r="AT147" s="348">
        <f t="shared" si="36"/>
        <v>0</v>
      </c>
      <c r="AU147" s="293"/>
      <c r="BC147" s="103">
        <f t="shared" si="37"/>
        <v>0</v>
      </c>
    </row>
    <row r="148" s="278" customFormat="1" customHeight="1" spans="1:72">
      <c r="A148" s="278">
        <v>140</v>
      </c>
      <c r="F148" s="367"/>
      <c r="H148" s="131"/>
      <c r="I148" s="278" t="s">
        <v>95</v>
      </c>
      <c r="J148" s="278">
        <v>4</v>
      </c>
      <c r="K148" s="278">
        <v>346.53</v>
      </c>
      <c r="N148" s="404"/>
      <c r="O148" s="103">
        <v>11031</v>
      </c>
      <c r="T148" s="103"/>
      <c r="U148" s="104"/>
      <c r="V148" s="368"/>
      <c r="W148" s="104"/>
      <c r="X148" s="103"/>
      <c r="Y148" s="104"/>
      <c r="Z148" s="103"/>
      <c r="AA148" s="311"/>
      <c r="AC148" s="311"/>
      <c r="AL148" s="103">
        <f t="shared" si="45"/>
        <v>0</v>
      </c>
      <c r="AO148" s="478"/>
      <c r="AT148" s="348">
        <f t="shared" si="36"/>
        <v>200</v>
      </c>
      <c r="AU148" s="348"/>
      <c r="AV148" s="103"/>
      <c r="AW148" s="103"/>
      <c r="AX148" s="103"/>
      <c r="AY148" s="103">
        <v>200</v>
      </c>
      <c r="AZ148" s="103"/>
      <c r="BA148" s="103"/>
      <c r="BB148" s="103"/>
      <c r="BC148" s="103">
        <f t="shared" si="37"/>
        <v>0</v>
      </c>
      <c r="BD148" s="490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</row>
    <row r="149" s="278" customFormat="1" customHeight="1" spans="6:55">
      <c r="F149" s="367"/>
      <c r="G149" s="293"/>
      <c r="H149" s="278">
        <v>19</v>
      </c>
      <c r="I149" s="278">
        <v>1</v>
      </c>
      <c r="J149" s="367"/>
      <c r="N149" s="103"/>
      <c r="O149" s="103"/>
      <c r="T149" s="103"/>
      <c r="U149" s="104"/>
      <c r="V149" s="104"/>
      <c r="W149" s="104"/>
      <c r="X149" s="103"/>
      <c r="Y149" s="104"/>
      <c r="Z149" s="103"/>
      <c r="AA149" s="104"/>
      <c r="AB149" s="103"/>
      <c r="AC149" s="104"/>
      <c r="AL149" s="103">
        <f t="shared" si="45"/>
        <v>0</v>
      </c>
      <c r="AO149" s="478"/>
      <c r="AT149" s="348">
        <f t="shared" si="36"/>
        <v>0</v>
      </c>
      <c r="AU149" s="293"/>
      <c r="BC149" s="103">
        <f t="shared" si="37"/>
        <v>0</v>
      </c>
    </row>
    <row r="150" s="278" customFormat="1" customHeight="1" spans="6:72">
      <c r="F150" s="367"/>
      <c r="H150" s="278">
        <v>19</v>
      </c>
      <c r="I150" s="278">
        <v>1</v>
      </c>
      <c r="J150" s="368"/>
      <c r="K150" s="278" t="s">
        <v>824</v>
      </c>
      <c r="N150" s="404"/>
      <c r="O150" s="103"/>
      <c r="T150" s="103"/>
      <c r="U150" s="104"/>
      <c r="X150" s="103"/>
      <c r="Y150" s="104"/>
      <c r="Z150" s="103"/>
      <c r="AA150" s="311"/>
      <c r="AC150" s="311"/>
      <c r="AL150" s="103">
        <f t="shared" si="45"/>
        <v>0</v>
      </c>
      <c r="AO150" s="478"/>
      <c r="AT150" s="348">
        <f t="shared" si="36"/>
        <v>200</v>
      </c>
      <c r="AU150" s="348"/>
      <c r="AV150" s="103"/>
      <c r="AW150" s="103">
        <v>200</v>
      </c>
      <c r="AX150" s="103"/>
      <c r="AY150" s="103"/>
      <c r="AZ150" s="103"/>
      <c r="BA150" s="103"/>
      <c r="BB150" s="103"/>
      <c r="BC150" s="103">
        <f t="shared" si="37"/>
        <v>0</v>
      </c>
      <c r="BD150" s="490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</row>
    <row r="151" s="280" customFormat="1" customHeight="1" spans="1:79">
      <c r="A151" s="462" t="s">
        <v>31</v>
      </c>
      <c r="B151" s="280">
        <f>SUM(B4:B150)</f>
        <v>6</v>
      </c>
      <c r="F151" s="488"/>
      <c r="J151" s="488"/>
      <c r="K151" s="280">
        <f>SUM(K4:K150)</f>
        <v>15320.31</v>
      </c>
      <c r="L151" s="280">
        <f>SUM(L4:L150)</f>
        <v>10078.84</v>
      </c>
      <c r="N151" s="442">
        <f>SUM(N4:N150)</f>
        <v>159271131.229</v>
      </c>
      <c r="O151" s="442"/>
      <c r="Q151" s="489">
        <f>SUM(Q4:Q150)</f>
        <v>9967249.53</v>
      </c>
      <c r="T151" s="442">
        <f>SUM(T4:T150)</f>
        <v>10456397</v>
      </c>
      <c r="X151" s="442">
        <f>SUM(X4:X150)</f>
        <v>11276969</v>
      </c>
      <c r="Z151" s="442">
        <f t="shared" ref="Z151:AE151" si="49">SUM(Z4:Z150)</f>
        <v>42562780</v>
      </c>
      <c r="AB151" s="442">
        <f t="shared" si="49"/>
        <v>46322944</v>
      </c>
      <c r="AD151" s="280">
        <f t="shared" si="49"/>
        <v>23939390</v>
      </c>
      <c r="AF151" s="280">
        <f t="shared" ref="AF151:AJ151" si="50">SUM(AF4:AF150)</f>
        <v>8303304</v>
      </c>
      <c r="AH151" s="280">
        <f t="shared" si="50"/>
        <v>3796477</v>
      </c>
      <c r="AJ151" s="280">
        <f t="shared" si="50"/>
        <v>4465813</v>
      </c>
      <c r="AL151" s="442">
        <f>SUM(AL4:AL150)</f>
        <v>140667677</v>
      </c>
      <c r="AM151" s="280">
        <f>SUM(AM4:AM150)</f>
        <v>0</v>
      </c>
      <c r="AN151" s="280">
        <f>SUM(AN4:AN150)</f>
        <v>0</v>
      </c>
      <c r="AO151" s="280">
        <f>SUM(AO4:AO150)</f>
        <v>18603454.229</v>
      </c>
      <c r="AS151" s="280">
        <f t="shared" ref="AS151:BC151" si="51">SUM(AS4:AS150)</f>
        <v>0</v>
      </c>
      <c r="AT151" s="442">
        <f t="shared" si="51"/>
        <v>52000</v>
      </c>
      <c r="AU151" s="442">
        <f t="shared" si="51"/>
        <v>7400</v>
      </c>
      <c r="AV151" s="442">
        <f t="shared" si="51"/>
        <v>11400</v>
      </c>
      <c r="AW151" s="442">
        <f t="shared" si="51"/>
        <v>8200</v>
      </c>
      <c r="AX151" s="442">
        <f t="shared" si="51"/>
        <v>2600</v>
      </c>
      <c r="AY151" s="442">
        <f t="shared" si="51"/>
        <v>7600</v>
      </c>
      <c r="AZ151" s="442">
        <f t="shared" si="51"/>
        <v>2200</v>
      </c>
      <c r="BA151" s="442">
        <f t="shared" si="51"/>
        <v>9900</v>
      </c>
      <c r="BB151" s="442">
        <f t="shared" si="51"/>
        <v>2700</v>
      </c>
      <c r="BC151" s="442">
        <f t="shared" si="51"/>
        <v>112139665</v>
      </c>
      <c r="BD151" s="491"/>
      <c r="BE151" s="442">
        <f t="shared" ref="BE151:BS151" si="52">SUM(BE4:BE150)</f>
        <v>17730216</v>
      </c>
      <c r="BF151" s="442">
        <f t="shared" si="52"/>
        <v>4111918</v>
      </c>
      <c r="BG151" s="442">
        <f t="shared" si="52"/>
        <v>4770516</v>
      </c>
      <c r="BH151" s="442">
        <f t="shared" si="52"/>
        <v>13604163</v>
      </c>
      <c r="BI151" s="442">
        <f t="shared" si="52"/>
        <v>3089045</v>
      </c>
      <c r="BJ151" s="442">
        <f t="shared" si="52"/>
        <v>8641180</v>
      </c>
      <c r="BK151" s="442">
        <f t="shared" si="52"/>
        <v>5030501</v>
      </c>
      <c r="BL151" s="442">
        <f t="shared" si="52"/>
        <v>2121800</v>
      </c>
      <c r="BM151" s="442">
        <f t="shared" si="52"/>
        <v>5955540</v>
      </c>
      <c r="BN151" s="442">
        <f t="shared" si="52"/>
        <v>4557422</v>
      </c>
      <c r="BO151" s="442">
        <f t="shared" si="52"/>
        <v>7398416</v>
      </c>
      <c r="BP151" s="442">
        <f t="shared" si="52"/>
        <v>4449700</v>
      </c>
      <c r="BQ151" s="442">
        <f t="shared" si="52"/>
        <v>10016139</v>
      </c>
      <c r="BR151" s="442">
        <f t="shared" si="52"/>
        <v>6940511</v>
      </c>
      <c r="BS151" s="442">
        <f t="shared" si="52"/>
        <v>13722598</v>
      </c>
      <c r="BT151" s="442"/>
      <c r="BU151" s="442">
        <f>SUM(BU4:BU150)</f>
        <v>182129.4257</v>
      </c>
      <c r="BZ151" s="442">
        <f>SUM(BZ4:BZ150)</f>
        <v>104.1755</v>
      </c>
      <c r="CA151" s="442">
        <f>SUM(CA4:CA150)</f>
        <v>0</v>
      </c>
    </row>
    <row r="152" s="278" customFormat="1" customHeight="1" spans="6:72">
      <c r="F152" s="367"/>
      <c r="J152" s="367"/>
      <c r="N152" s="404"/>
      <c r="O152" s="103"/>
      <c r="P152" s="478"/>
      <c r="Q152" s="478"/>
      <c r="R152" s="478"/>
      <c r="S152" s="478" t="s">
        <v>825</v>
      </c>
      <c r="T152" s="103"/>
      <c r="X152" s="103"/>
      <c r="Z152" s="103"/>
      <c r="AA152" s="311"/>
      <c r="AC152" s="311"/>
      <c r="AL152" s="103"/>
      <c r="AO152" s="478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490"/>
      <c r="BE152" s="103"/>
      <c r="BF152" s="103"/>
      <c r="BG152" s="103"/>
      <c r="BH152" s="103"/>
      <c r="BI152" s="103"/>
      <c r="BJ152" s="103"/>
      <c r="BK152" s="103"/>
      <c r="BL152" s="103"/>
      <c r="BM152" s="103"/>
      <c r="BN152" s="103"/>
      <c r="BO152" s="103"/>
      <c r="BP152" s="103"/>
      <c r="BQ152" s="103"/>
      <c r="BR152" s="103"/>
      <c r="BS152" s="103"/>
      <c r="BT152" s="103"/>
    </row>
    <row r="153" s="278" customFormat="1" customHeight="1" spans="6:72">
      <c r="F153" s="367"/>
      <c r="J153" s="367"/>
      <c r="N153" s="103"/>
      <c r="O153" s="103"/>
      <c r="P153" s="478"/>
      <c r="Q153" s="478"/>
      <c r="R153" s="478"/>
      <c r="S153" s="478" t="s">
        <v>826</v>
      </c>
      <c r="T153" s="103">
        <f>T151-T152</f>
        <v>10456397</v>
      </c>
      <c r="X153" s="103"/>
      <c r="Z153" s="103"/>
      <c r="AA153" s="311"/>
      <c r="AC153" s="311"/>
      <c r="AL153" s="103"/>
      <c r="AO153" s="478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490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</row>
    <row r="154" s="278" customFormat="1" customHeight="1" spans="6:72">
      <c r="F154" s="367"/>
      <c r="J154" s="367"/>
      <c r="K154" s="278" t="s">
        <v>827</v>
      </c>
      <c r="N154" s="103"/>
      <c r="O154" s="103"/>
      <c r="P154" s="478"/>
      <c r="Q154" s="478"/>
      <c r="R154" s="478"/>
      <c r="S154" s="278" t="s">
        <v>34</v>
      </c>
      <c r="T154" s="404"/>
      <c r="X154" s="390"/>
      <c r="Z154" s="103"/>
      <c r="AA154" s="311"/>
      <c r="AC154" s="311"/>
      <c r="AL154" s="103"/>
      <c r="AO154" s="478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490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</row>
    <row r="155" s="278" customFormat="1" customHeight="1" spans="6:72">
      <c r="F155" s="367"/>
      <c r="J155" s="367"/>
      <c r="N155" s="404"/>
      <c r="O155" s="103"/>
      <c r="P155" s="478"/>
      <c r="Q155" s="478"/>
      <c r="R155" s="478"/>
      <c r="S155" s="103"/>
      <c r="T155" s="278">
        <f>T153+T154</f>
        <v>10456397</v>
      </c>
      <c r="X155" s="103"/>
      <c r="Z155" s="103"/>
      <c r="AA155" s="311"/>
      <c r="AB155" s="103"/>
      <c r="AC155" s="311"/>
      <c r="AL155" s="103"/>
      <c r="AO155" s="478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490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</row>
    <row r="156" customHeight="1" spans="19:56">
      <c r="S156" s="103"/>
      <c r="T156" s="278"/>
      <c r="BD156" s="490"/>
    </row>
    <row r="157" customHeight="1" spans="19:56">
      <c r="S157" s="103"/>
      <c r="T157" s="278"/>
      <c r="U157" s="94"/>
      <c r="BD157" s="490"/>
    </row>
    <row r="158" customHeight="1" spans="19:56">
      <c r="S158" s="103"/>
      <c r="T158" s="278"/>
      <c r="BD158" s="490"/>
    </row>
    <row r="159" customHeight="1" spans="19:20">
      <c r="S159" s="103"/>
      <c r="T159" s="278"/>
    </row>
    <row r="160" customHeight="1" spans="19:20">
      <c r="S160" s="103"/>
      <c r="T160" s="278"/>
    </row>
    <row r="161" customHeight="1" spans="19:20">
      <c r="S161" s="103"/>
      <c r="T161" s="278"/>
    </row>
    <row r="162" customHeight="1" spans="19:20">
      <c r="S162" s="103"/>
      <c r="T162" s="278"/>
    </row>
    <row r="163" customHeight="1" spans="19:20">
      <c r="S163" s="103"/>
      <c r="T163" s="278"/>
    </row>
    <row r="164" customHeight="1" spans="19:20">
      <c r="S164" s="103"/>
      <c r="T164" s="278"/>
    </row>
    <row r="165" customHeight="1" spans="19:20">
      <c r="S165" s="103"/>
      <c r="T165" s="278"/>
    </row>
    <row r="166" customHeight="1" spans="19:20">
      <c r="S166" s="103" t="s">
        <v>34</v>
      </c>
      <c r="T166" s="278"/>
    </row>
    <row r="172" customHeight="1" spans="20:20">
      <c r="T172" s="103">
        <f>T151+T166+T167+T168+T169+T170+T171</f>
        <v>10456397</v>
      </c>
    </row>
  </sheetData>
  <autoFilter xmlns:etc="http://www.wps.cn/officeDocument/2017/etCustomData" ref="A3:CB155" etc:filterBottomFollowUsedRange="0">
    <extLst/>
  </autoFilter>
  <mergeCells count="69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U2:BU3"/>
    <mergeCell ref="BW2:BW3"/>
    <mergeCell ref="BX2:BX3"/>
    <mergeCell ref="BY2:BY3"/>
    <mergeCell ref="BZ2:BZ3"/>
    <mergeCell ref="CA2:CA3"/>
    <mergeCell ref="CB2:CB3"/>
  </mergeCells>
  <pageMargins left="0.275" right="0.196527777777778" top="0.156944444444444" bottom="0.0388888888888889" header="0.236111111111111" footer="0.0784722222222222"/>
  <pageSetup paperSize="8" scale="70" orientation="landscape" horizontalDpi="300" verticalDpi="300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 t="e">
        <v>#N/A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 t="e">
        <v>#N/A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828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 t="e">
        <v>#N/A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3" t="s">
        <v>841</v>
      </c>
    </row>
    <row r="2" ht="15" spans="1:1">
      <c r="A2" s="453" t="s">
        <v>829</v>
      </c>
    </row>
    <row r="3" ht="15" spans="1:3">
      <c r="A3" s="454" t="s">
        <v>830</v>
      </c>
      <c r="C3" s="455" t="s">
        <v>831</v>
      </c>
    </row>
    <row r="4" spans="1:1">
      <c r="A4" s="454">
        <v>3</v>
      </c>
    </row>
    <row r="6" ht="15"/>
    <row r="7" spans="1:1">
      <c r="A7" s="456" t="s">
        <v>832</v>
      </c>
    </row>
    <row r="8" spans="1:1">
      <c r="A8" s="457" t="s">
        <v>833</v>
      </c>
    </row>
    <row r="9" spans="1:1">
      <c r="A9" s="458" t="s">
        <v>834</v>
      </c>
    </row>
    <row r="10" spans="1:1">
      <c r="A10" s="457" t="s">
        <v>835</v>
      </c>
    </row>
    <row r="11" ht="15" spans="1:1">
      <c r="A11" s="459" t="s">
        <v>836</v>
      </c>
    </row>
    <row r="13" ht="15"/>
    <row r="14" ht="15" spans="1:1">
      <c r="A14" s="455" t="s">
        <v>837</v>
      </c>
    </row>
    <row r="16" ht="15"/>
    <row r="17" ht="15" spans="3:3">
      <c r="C17" s="455" t="s">
        <v>838</v>
      </c>
    </row>
    <row r="20" spans="1:1">
      <c r="A20" s="460" t="s">
        <v>839</v>
      </c>
    </row>
    <row r="26" ht="15" spans="3:3">
      <c r="C26" s="461" t="s">
        <v>840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355"/>
  <sheetViews>
    <sheetView workbookViewId="0">
      <pane ySplit="3" topLeftCell="A189" activePane="bottomLeft" state="frozen"/>
      <selection/>
      <selection pane="bottomLeft" activeCell="L202" sqref="L202"/>
    </sheetView>
  </sheetViews>
  <sheetFormatPr defaultColWidth="9" defaultRowHeight="34" customHeight="1"/>
  <cols>
    <col min="1" max="2" width="6.55833333333333" style="279" customWidth="1"/>
    <col min="3" max="3" width="16.4083333333333" style="279" customWidth="1"/>
    <col min="4" max="4" width="16.025" style="279" customWidth="1"/>
    <col min="5" max="5" width="13.875" style="279" customWidth="1"/>
    <col min="6" max="6" width="25.6166666666667" style="279" customWidth="1"/>
    <col min="7" max="7" width="26.75" style="279" customWidth="1"/>
    <col min="8" max="8" width="13.25" style="279" customWidth="1"/>
    <col min="9" max="9" width="15.3083333333333" style="279" customWidth="1"/>
    <col min="10" max="10" width="11.3" style="279" customWidth="1"/>
    <col min="11" max="11" width="12.75" style="279" customWidth="1"/>
    <col min="12" max="12" width="10" style="279" customWidth="1"/>
    <col min="13" max="13" width="20.25" style="282" customWidth="1"/>
    <col min="14" max="14" width="13.125" style="282" customWidth="1"/>
    <col min="15" max="15" width="14.625" style="283" customWidth="1"/>
    <col min="16" max="16" width="16" style="284" customWidth="1"/>
    <col min="17" max="17" width="11.125" style="284" customWidth="1"/>
    <col min="18" max="18" width="18.75" style="282" customWidth="1"/>
    <col min="19" max="19" width="14.625" style="285" customWidth="1"/>
    <col min="20" max="20" width="22.1833333333333" style="286" customWidth="1"/>
    <col min="21" max="21" width="24.85" style="285" customWidth="1"/>
    <col min="22" max="22" width="20.1333333333333" style="282" customWidth="1"/>
    <col min="23" max="23" width="13.4333333333333" style="279" customWidth="1"/>
    <col min="24" max="24" width="18.0583333333333" style="282" customWidth="1"/>
    <col min="25" max="25" width="16.5" style="279" customWidth="1"/>
    <col min="26" max="26" width="18.25" style="282" customWidth="1"/>
    <col min="27" max="27" width="15.0166666666667" style="279" customWidth="1"/>
    <col min="28" max="28" width="17.375" style="282" customWidth="1"/>
    <col min="29" max="29" width="14.25" style="279" customWidth="1"/>
    <col min="30" max="30" width="17.5" style="279" customWidth="1"/>
    <col min="31" max="31" width="14.25" style="279" customWidth="1"/>
    <col min="32" max="32" width="17.875" style="279" customWidth="1"/>
    <col min="33" max="33" width="14.25" style="279" customWidth="1"/>
    <col min="34" max="34" width="18.875" style="282" customWidth="1"/>
    <col min="35" max="35" width="15.4" style="279" customWidth="1"/>
    <col min="36" max="36" width="13.6" style="279" customWidth="1"/>
    <col min="37" max="37" width="20.4666666666667" style="287" customWidth="1"/>
    <col min="38" max="38" width="26" style="279" customWidth="1"/>
    <col min="39" max="39" width="11.125" style="279" customWidth="1"/>
    <col min="40" max="42" width="17.9416666666667" style="279" customWidth="1"/>
    <col min="43" max="43" width="16.025" style="288" customWidth="1"/>
    <col min="44" max="44" width="19.25" style="282" customWidth="1"/>
    <col min="45" max="45" width="15.125" style="282" customWidth="1"/>
    <col min="46" max="46" width="15.75" style="282" customWidth="1"/>
    <col min="47" max="47" width="17.75" style="282" customWidth="1"/>
    <col min="48" max="48" width="19.5333333333333" style="282" customWidth="1"/>
    <col min="49" max="49" width="17" style="282" customWidth="1"/>
    <col min="50" max="50" width="16.75" style="282" customWidth="1"/>
    <col min="51" max="51" width="18" style="158" customWidth="1"/>
    <col min="52" max="52" width="18.125" style="131" customWidth="1"/>
    <col min="53" max="57" width="18.125" style="282" customWidth="1"/>
    <col min="58" max="67" width="16.7166666666667" style="279" customWidth="1"/>
    <col min="68" max="68" width="14.125" style="279" customWidth="1"/>
    <col min="69" max="69" width="11.5" style="279" customWidth="1"/>
    <col min="70" max="70" width="9.6" style="279" customWidth="1"/>
    <col min="71" max="72" width="9" style="279" customWidth="1"/>
    <col min="73" max="73" width="7.65833333333333" style="279" customWidth="1"/>
    <col min="74" max="74" width="9" style="279"/>
    <col min="75" max="76" width="9.375" style="279"/>
    <col min="77" max="81" width="9" style="279"/>
    <col min="82" max="83" width="9" style="289"/>
    <col min="84" max="16384" width="9" style="289" hidden="1" customWidth="1"/>
  </cols>
  <sheetData>
    <row r="1" s="276" customFormat="1" customHeight="1" spans="1:66">
      <c r="A1" s="276" t="s">
        <v>842</v>
      </c>
      <c r="H1" s="290"/>
      <c r="J1" s="302"/>
      <c r="M1" s="303"/>
      <c r="N1" s="303"/>
      <c r="O1" s="302"/>
      <c r="P1" s="284"/>
      <c r="Q1" s="284"/>
      <c r="R1" s="303"/>
      <c r="S1" s="322"/>
      <c r="T1" s="323"/>
      <c r="U1" s="322"/>
      <c r="V1" s="303"/>
      <c r="X1" s="303"/>
      <c r="Y1" s="336"/>
      <c r="Z1" s="303"/>
      <c r="AB1" s="303"/>
      <c r="AH1" s="303"/>
      <c r="AI1" s="290"/>
      <c r="AJ1" s="290"/>
      <c r="AK1" s="340"/>
      <c r="AQ1" s="345"/>
      <c r="AR1" s="303"/>
      <c r="AS1" s="303"/>
      <c r="AT1" s="303"/>
      <c r="AU1" s="303"/>
      <c r="AV1" s="303"/>
      <c r="AW1" s="303"/>
      <c r="AX1" s="303"/>
      <c r="AY1" s="350"/>
      <c r="AZ1" s="351"/>
      <c r="BA1" s="303"/>
      <c r="BB1" s="303"/>
      <c r="BC1" s="303"/>
      <c r="BD1" s="303"/>
      <c r="BE1" s="303"/>
      <c r="BG1" s="358"/>
      <c r="BH1" s="358"/>
      <c r="BI1" s="358"/>
      <c r="BJ1" s="358"/>
      <c r="BK1" s="358"/>
      <c r="BL1" s="358"/>
      <c r="BM1" s="358"/>
      <c r="BN1" s="358"/>
    </row>
    <row r="2" s="277" customFormat="1" ht="24" customHeight="1" spans="1:72">
      <c r="A2" s="277" t="s">
        <v>1</v>
      </c>
      <c r="B2" s="277" t="s">
        <v>125</v>
      </c>
      <c r="C2" s="291" t="s">
        <v>126</v>
      </c>
      <c r="D2" s="277" t="s">
        <v>127</v>
      </c>
      <c r="F2" s="277" t="s">
        <v>129</v>
      </c>
      <c r="G2" s="277" t="s">
        <v>130</v>
      </c>
      <c r="H2" s="292" t="s">
        <v>128</v>
      </c>
      <c r="I2" s="277" t="s">
        <v>132</v>
      </c>
      <c r="J2" s="304" t="s">
        <v>843</v>
      </c>
      <c r="K2" s="277" t="s">
        <v>134</v>
      </c>
      <c r="L2" s="277" t="s">
        <v>135</v>
      </c>
      <c r="M2" s="305" t="s">
        <v>136</v>
      </c>
      <c r="N2" s="306" t="s">
        <v>844</v>
      </c>
      <c r="O2" s="307" t="s">
        <v>139</v>
      </c>
      <c r="P2" s="308"/>
      <c r="Q2" s="308"/>
      <c r="R2" s="324" t="s">
        <v>140</v>
      </c>
      <c r="S2" s="325" t="s">
        <v>141</v>
      </c>
      <c r="T2" s="326" t="s">
        <v>142</v>
      </c>
      <c r="U2" s="326" t="s">
        <v>143</v>
      </c>
      <c r="V2" s="327" t="s">
        <v>144</v>
      </c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05" t="s">
        <v>145</v>
      </c>
      <c r="AI2" s="291" t="s">
        <v>19</v>
      </c>
      <c r="AJ2" s="277" t="s">
        <v>147</v>
      </c>
      <c r="AK2" s="341" t="s">
        <v>22</v>
      </c>
      <c r="AL2" s="277" t="s">
        <v>148</v>
      </c>
      <c r="AM2" s="277" t="s">
        <v>10</v>
      </c>
      <c r="AN2" s="277" t="s">
        <v>845</v>
      </c>
      <c r="AQ2" s="346" t="s">
        <v>159</v>
      </c>
      <c r="AR2" s="324" t="s">
        <v>158</v>
      </c>
      <c r="AS2" s="306" t="s">
        <v>846</v>
      </c>
      <c r="AT2" s="306" t="s">
        <v>847</v>
      </c>
      <c r="AU2" s="306" t="s">
        <v>848</v>
      </c>
      <c r="AV2" s="306" t="s">
        <v>849</v>
      </c>
      <c r="AW2" s="306" t="s">
        <v>850</v>
      </c>
      <c r="AX2" s="306" t="s">
        <v>851</v>
      </c>
      <c r="AY2" s="306" t="s">
        <v>852</v>
      </c>
      <c r="AZ2" s="306" t="s">
        <v>853</v>
      </c>
      <c r="BA2" s="306" t="s">
        <v>854</v>
      </c>
      <c r="BB2" s="306" t="s">
        <v>855</v>
      </c>
      <c r="BC2" s="306" t="s">
        <v>856</v>
      </c>
      <c r="BD2" s="306" t="s">
        <v>857</v>
      </c>
      <c r="BE2" s="306" t="s">
        <v>858</v>
      </c>
      <c r="BF2" s="306" t="s">
        <v>859</v>
      </c>
      <c r="BG2" s="359" t="s">
        <v>860</v>
      </c>
      <c r="BH2" s="359" t="s">
        <v>861</v>
      </c>
      <c r="BI2" s="359" t="s">
        <v>862</v>
      </c>
      <c r="BJ2" s="359" t="s">
        <v>863</v>
      </c>
      <c r="BK2" s="359" t="s">
        <v>864</v>
      </c>
      <c r="BL2" s="359" t="s">
        <v>865</v>
      </c>
      <c r="BM2" s="359" t="s">
        <v>866</v>
      </c>
      <c r="BN2" s="359" t="s">
        <v>867</v>
      </c>
      <c r="BO2" s="306"/>
      <c r="BT2" s="277" t="s">
        <v>73</v>
      </c>
    </row>
    <row r="3" s="277" customFormat="1" ht="25" customHeight="1" spans="3:76">
      <c r="C3" s="291"/>
      <c r="E3" s="277" t="s">
        <v>868</v>
      </c>
      <c r="H3" s="292"/>
      <c r="J3" s="309"/>
      <c r="M3" s="305"/>
      <c r="N3" s="306"/>
      <c r="O3" s="309" t="s">
        <v>178</v>
      </c>
      <c r="P3" s="310" t="s">
        <v>869</v>
      </c>
      <c r="Q3" s="310" t="s">
        <v>870</v>
      </c>
      <c r="R3" s="305"/>
      <c r="S3" s="325"/>
      <c r="T3" s="326"/>
      <c r="U3" s="326"/>
      <c r="V3" s="305" t="s">
        <v>180</v>
      </c>
      <c r="W3" s="277" t="s">
        <v>181</v>
      </c>
      <c r="X3" s="305" t="s">
        <v>182</v>
      </c>
      <c r="Y3" s="337" t="s">
        <v>181</v>
      </c>
      <c r="Z3" s="305" t="s">
        <v>183</v>
      </c>
      <c r="AA3" s="309" t="s">
        <v>181</v>
      </c>
      <c r="AB3" s="305" t="s">
        <v>184</v>
      </c>
      <c r="AC3" s="277" t="s">
        <v>181</v>
      </c>
      <c r="AD3" s="277" t="s">
        <v>185</v>
      </c>
      <c r="AE3" s="277" t="s">
        <v>181</v>
      </c>
      <c r="AF3" s="277" t="s">
        <v>186</v>
      </c>
      <c r="AG3" s="277" t="s">
        <v>181</v>
      </c>
      <c r="AH3" s="305"/>
      <c r="AK3" s="341"/>
      <c r="AQ3" s="346"/>
      <c r="AR3" s="324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59"/>
      <c r="BH3" s="359"/>
      <c r="BI3" s="359"/>
      <c r="BJ3" s="359"/>
      <c r="BK3" s="359"/>
      <c r="BL3" s="359"/>
      <c r="BM3" s="359"/>
      <c r="BN3" s="359"/>
      <c r="BO3" s="306"/>
      <c r="BP3" s="277" t="s">
        <v>175</v>
      </c>
      <c r="BQ3" s="360"/>
      <c r="BR3" s="360"/>
      <c r="BS3" s="360"/>
      <c r="BV3" s="364"/>
      <c r="BW3" s="364"/>
      <c r="BX3" s="364"/>
    </row>
    <row r="4" s="278" customFormat="1" customHeight="1" spans="3:82">
      <c r="C4" s="293"/>
      <c r="I4" s="278" t="s">
        <v>871</v>
      </c>
      <c r="J4" s="278">
        <v>4.49</v>
      </c>
      <c r="M4" s="103"/>
      <c r="N4" s="103"/>
      <c r="O4" s="311"/>
      <c r="P4" s="312"/>
      <c r="Q4" s="312"/>
      <c r="R4" s="103"/>
      <c r="S4" s="328"/>
      <c r="T4" s="328"/>
      <c r="U4" s="328"/>
      <c r="V4" s="103"/>
      <c r="X4" s="103"/>
      <c r="Y4" s="338"/>
      <c r="Z4" s="103"/>
      <c r="AA4" s="311"/>
      <c r="AB4" s="103"/>
      <c r="AH4" s="103">
        <f>V4+X4+Z4+AB4+AD4+AF4</f>
        <v>0</v>
      </c>
      <c r="AK4" s="342">
        <f>M4-AH4</f>
        <v>0</v>
      </c>
      <c r="AQ4" s="347"/>
      <c r="AR4" s="348">
        <f>SUM(AU4:BO4)</f>
        <v>0</v>
      </c>
      <c r="AS4" s="103"/>
      <c r="AT4" s="103"/>
      <c r="AU4" s="103"/>
      <c r="AV4" s="103"/>
      <c r="AW4" s="103"/>
      <c r="AX4" s="103"/>
      <c r="AY4" s="168"/>
      <c r="AZ4" s="89"/>
      <c r="BA4" s="103"/>
      <c r="BB4" s="103"/>
      <c r="BC4" s="103"/>
      <c r="BD4" s="103"/>
      <c r="BE4" s="103"/>
      <c r="BQ4" s="361"/>
      <c r="BR4" s="361"/>
      <c r="BS4" s="361"/>
      <c r="CD4" s="365"/>
    </row>
    <row r="5" s="278" customFormat="1" customHeight="1" spans="3:82">
      <c r="C5" s="293"/>
      <c r="G5" s="278" t="s">
        <v>872</v>
      </c>
      <c r="I5" s="278" t="s">
        <v>873</v>
      </c>
      <c r="J5" s="278">
        <v>46.24</v>
      </c>
      <c r="L5" s="278">
        <v>2059.69</v>
      </c>
      <c r="M5" s="103">
        <v>95240</v>
      </c>
      <c r="N5" s="103" t="s">
        <v>874</v>
      </c>
      <c r="O5" s="311"/>
      <c r="P5" s="312"/>
      <c r="Q5" s="312"/>
      <c r="R5" s="103">
        <v>78000</v>
      </c>
      <c r="S5" s="328">
        <v>45573</v>
      </c>
      <c r="T5" s="328"/>
      <c r="U5" s="328"/>
      <c r="V5" s="103">
        <v>2000</v>
      </c>
      <c r="W5" s="328">
        <v>45542</v>
      </c>
      <c r="X5" s="103">
        <v>78000</v>
      </c>
      <c r="Y5" s="328">
        <v>45573</v>
      </c>
      <c r="Z5" s="103"/>
      <c r="AA5" s="311"/>
      <c r="AB5" s="103"/>
      <c r="AH5" s="103">
        <f t="shared" ref="AH5:AH34" si="0">V5+X5+Z5+AB5+AD5+AF5</f>
        <v>80000</v>
      </c>
      <c r="AK5" s="342">
        <f t="shared" ref="AK5:AK23" si="1">M5-AH5</f>
        <v>15240</v>
      </c>
      <c r="AQ5" s="347"/>
      <c r="AR5" s="348">
        <f t="shared" ref="AR5:AR68" si="2">SUM(AU5:BO5)</f>
        <v>0</v>
      </c>
      <c r="AS5" s="103"/>
      <c r="AT5" s="103"/>
      <c r="AU5" s="103"/>
      <c r="AV5" s="103"/>
      <c r="AW5" s="103"/>
      <c r="AX5" s="103"/>
      <c r="AY5" s="168"/>
      <c r="AZ5" s="89"/>
      <c r="BA5" s="103"/>
      <c r="BB5" s="103"/>
      <c r="BC5" s="103"/>
      <c r="BD5" s="103"/>
      <c r="BE5" s="103"/>
      <c r="CD5" s="365"/>
    </row>
    <row r="6" s="278" customFormat="1" customHeight="1" spans="3:82">
      <c r="C6" s="293"/>
      <c r="G6" s="278" t="s">
        <v>875</v>
      </c>
      <c r="I6" s="278" t="s">
        <v>876</v>
      </c>
      <c r="J6" s="278">
        <v>15.03</v>
      </c>
      <c r="L6" s="278">
        <v>2059.88</v>
      </c>
      <c r="M6" s="103">
        <v>30960</v>
      </c>
      <c r="N6" s="103"/>
      <c r="O6" s="311"/>
      <c r="P6" s="312"/>
      <c r="Q6" s="312"/>
      <c r="R6" s="103"/>
      <c r="S6" s="328"/>
      <c r="T6" s="328"/>
      <c r="U6" s="328"/>
      <c r="V6" s="103">
        <v>5000</v>
      </c>
      <c r="W6" s="328">
        <v>45538</v>
      </c>
      <c r="X6" s="103">
        <v>25960</v>
      </c>
      <c r="Y6" s="338" t="s">
        <v>877</v>
      </c>
      <c r="Z6" s="103"/>
      <c r="AA6" s="311"/>
      <c r="AB6" s="103"/>
      <c r="AH6" s="103">
        <f t="shared" si="0"/>
        <v>30960</v>
      </c>
      <c r="AK6" s="342">
        <f t="shared" si="1"/>
        <v>0</v>
      </c>
      <c r="AQ6" s="347"/>
      <c r="AR6" s="348">
        <f t="shared" si="2"/>
        <v>0</v>
      </c>
      <c r="AS6" s="103"/>
      <c r="AT6" s="103"/>
      <c r="AU6" s="103"/>
      <c r="AV6" s="103"/>
      <c r="AW6" s="103"/>
      <c r="AX6" s="103"/>
      <c r="AY6" s="168"/>
      <c r="AZ6" s="89"/>
      <c r="BA6" s="103"/>
      <c r="BB6" s="103"/>
      <c r="BC6" s="103"/>
      <c r="BD6" s="103"/>
      <c r="BE6" s="103"/>
      <c r="CD6" s="365"/>
    </row>
    <row r="7" s="278" customFormat="1" customHeight="1" spans="3:82">
      <c r="C7" s="293"/>
      <c r="G7" s="278" t="s">
        <v>878</v>
      </c>
      <c r="I7" s="278" t="s">
        <v>879</v>
      </c>
      <c r="J7" s="278">
        <v>22.01</v>
      </c>
      <c r="L7" s="278">
        <v>2059.06</v>
      </c>
      <c r="M7" s="103">
        <v>45320</v>
      </c>
      <c r="N7" s="103"/>
      <c r="O7" s="311"/>
      <c r="P7" s="312"/>
      <c r="Q7" s="312"/>
      <c r="R7" s="103"/>
      <c r="S7" s="328"/>
      <c r="T7" s="328"/>
      <c r="U7" s="328"/>
      <c r="V7" s="103">
        <v>2000</v>
      </c>
      <c r="W7" s="328">
        <v>45538</v>
      </c>
      <c r="X7" s="103"/>
      <c r="Y7" s="338"/>
      <c r="Z7" s="103"/>
      <c r="AA7" s="311"/>
      <c r="AB7" s="103"/>
      <c r="AH7" s="103">
        <f t="shared" si="0"/>
        <v>2000</v>
      </c>
      <c r="AK7" s="342">
        <f t="shared" si="1"/>
        <v>43320</v>
      </c>
      <c r="AQ7" s="347"/>
      <c r="AR7" s="348">
        <f t="shared" si="2"/>
        <v>0</v>
      </c>
      <c r="AS7" s="103"/>
      <c r="AT7" s="103"/>
      <c r="AU7" s="103"/>
      <c r="AV7" s="103"/>
      <c r="AW7" s="103"/>
      <c r="AX7" s="103"/>
      <c r="AY7" s="168"/>
      <c r="AZ7" s="89"/>
      <c r="BA7" s="103"/>
      <c r="BB7" s="103"/>
      <c r="BC7" s="103"/>
      <c r="BD7" s="103"/>
      <c r="BE7" s="103"/>
      <c r="CD7" s="365"/>
    </row>
    <row r="8" s="278" customFormat="1" customHeight="1" spans="3:82">
      <c r="C8" s="293"/>
      <c r="I8" s="278" t="s">
        <v>880</v>
      </c>
      <c r="J8" s="278">
        <v>70.72</v>
      </c>
      <c r="M8" s="103"/>
      <c r="N8" s="103"/>
      <c r="O8" s="311"/>
      <c r="P8" s="312"/>
      <c r="Q8" s="312"/>
      <c r="R8" s="103"/>
      <c r="S8" s="328"/>
      <c r="T8" s="328"/>
      <c r="U8" s="328"/>
      <c r="V8" s="103"/>
      <c r="X8" s="103"/>
      <c r="Y8" s="338"/>
      <c r="Z8" s="103"/>
      <c r="AA8" s="311"/>
      <c r="AB8" s="103"/>
      <c r="AH8" s="103">
        <f t="shared" si="0"/>
        <v>0</v>
      </c>
      <c r="AK8" s="342">
        <f t="shared" si="1"/>
        <v>0</v>
      </c>
      <c r="AQ8" s="347"/>
      <c r="AR8" s="348">
        <f t="shared" si="2"/>
        <v>0</v>
      </c>
      <c r="AS8" s="103"/>
      <c r="AT8" s="103"/>
      <c r="AU8" s="103"/>
      <c r="AV8" s="103"/>
      <c r="AW8" s="103"/>
      <c r="AX8" s="103"/>
      <c r="AY8" s="168"/>
      <c r="AZ8" s="89"/>
      <c r="BA8" s="103"/>
      <c r="BB8" s="103"/>
      <c r="BC8" s="103"/>
      <c r="BD8" s="103"/>
      <c r="BE8" s="103"/>
      <c r="CD8" s="365"/>
    </row>
    <row r="9" s="278" customFormat="1" customHeight="1" spans="3:82">
      <c r="C9" s="293"/>
      <c r="I9" s="278" t="s">
        <v>881</v>
      </c>
      <c r="J9" s="278">
        <v>67.3</v>
      </c>
      <c r="M9" s="103"/>
      <c r="N9" s="103"/>
      <c r="O9" s="311"/>
      <c r="P9" s="312"/>
      <c r="Q9" s="312"/>
      <c r="R9" s="103"/>
      <c r="S9" s="328"/>
      <c r="T9" s="328"/>
      <c r="U9" s="328"/>
      <c r="V9" s="103"/>
      <c r="X9" s="103"/>
      <c r="Y9" s="338"/>
      <c r="Z9" s="103"/>
      <c r="AA9" s="311"/>
      <c r="AB9" s="103"/>
      <c r="AH9" s="103">
        <f t="shared" si="0"/>
        <v>0</v>
      </c>
      <c r="AK9" s="342">
        <f t="shared" si="1"/>
        <v>0</v>
      </c>
      <c r="AQ9" s="347"/>
      <c r="AR9" s="348">
        <f t="shared" si="2"/>
        <v>0</v>
      </c>
      <c r="AS9" s="103"/>
      <c r="AT9" s="103"/>
      <c r="AU9" s="103"/>
      <c r="AV9" s="103"/>
      <c r="AW9" s="103"/>
      <c r="AX9" s="103"/>
      <c r="AY9" s="168"/>
      <c r="AZ9" s="89"/>
      <c r="BA9" s="103"/>
      <c r="BB9" s="103"/>
      <c r="BC9" s="103"/>
      <c r="BD9" s="103"/>
      <c r="BE9" s="103"/>
      <c r="CD9" s="365"/>
    </row>
    <row r="10" s="278" customFormat="1" customHeight="1" spans="3:82">
      <c r="C10" s="293"/>
      <c r="G10" s="278" t="s">
        <v>882</v>
      </c>
      <c r="I10" s="278" t="s">
        <v>883</v>
      </c>
      <c r="J10" s="278">
        <v>22.45</v>
      </c>
      <c r="L10" s="278">
        <v>2059.69</v>
      </c>
      <c r="M10" s="103">
        <v>46240</v>
      </c>
      <c r="N10" s="103"/>
      <c r="O10" s="311"/>
      <c r="P10" s="312"/>
      <c r="Q10" s="312"/>
      <c r="R10" s="103"/>
      <c r="S10" s="328"/>
      <c r="T10" s="328"/>
      <c r="U10" s="328"/>
      <c r="V10" s="103">
        <v>5000</v>
      </c>
      <c r="W10" s="328">
        <v>45537</v>
      </c>
      <c r="X10" s="103">
        <v>41240</v>
      </c>
      <c r="Y10" s="338">
        <v>45552</v>
      </c>
      <c r="Z10" s="103"/>
      <c r="AA10" s="311"/>
      <c r="AB10" s="103"/>
      <c r="AH10" s="103">
        <f t="shared" si="0"/>
        <v>46240</v>
      </c>
      <c r="AK10" s="342">
        <f t="shared" si="1"/>
        <v>0</v>
      </c>
      <c r="AQ10" s="347"/>
      <c r="AR10" s="348">
        <f t="shared" si="2"/>
        <v>0</v>
      </c>
      <c r="AS10" s="103"/>
      <c r="AT10" s="103"/>
      <c r="AU10" s="103"/>
      <c r="AV10" s="103"/>
      <c r="AW10" s="103"/>
      <c r="AX10" s="103"/>
      <c r="AY10" s="168"/>
      <c r="AZ10" s="89"/>
      <c r="BA10" s="103"/>
      <c r="BB10" s="103"/>
      <c r="BC10" s="103"/>
      <c r="BD10" s="103"/>
      <c r="BE10" s="103"/>
      <c r="CD10" s="365"/>
    </row>
    <row r="11" s="278" customFormat="1" customHeight="1" spans="3:82">
      <c r="C11" s="293"/>
      <c r="G11" s="278" t="s">
        <v>884</v>
      </c>
      <c r="I11" s="278" t="s">
        <v>885</v>
      </c>
      <c r="J11" s="278">
        <v>11.28</v>
      </c>
      <c r="L11" s="278">
        <v>2060.28</v>
      </c>
      <c r="M11" s="103">
        <v>23240</v>
      </c>
      <c r="N11" s="103"/>
      <c r="O11" s="311"/>
      <c r="P11" s="312"/>
      <c r="Q11" s="312"/>
      <c r="R11" s="103"/>
      <c r="S11" s="328"/>
      <c r="T11" s="328"/>
      <c r="U11" s="328"/>
      <c r="V11" s="103">
        <v>23240</v>
      </c>
      <c r="W11" s="328">
        <v>45540</v>
      </c>
      <c r="X11" s="103"/>
      <c r="Y11" s="338"/>
      <c r="Z11" s="103"/>
      <c r="AA11" s="311"/>
      <c r="AB11" s="103"/>
      <c r="AH11" s="103">
        <f t="shared" si="0"/>
        <v>23240</v>
      </c>
      <c r="AK11" s="342">
        <f t="shared" si="1"/>
        <v>0</v>
      </c>
      <c r="AQ11" s="347"/>
      <c r="AR11" s="348">
        <f t="shared" si="2"/>
        <v>0</v>
      </c>
      <c r="AS11" s="103"/>
      <c r="AT11" s="103"/>
      <c r="AU11" s="103"/>
      <c r="AV11" s="103"/>
      <c r="AW11" s="103"/>
      <c r="AX11" s="103"/>
      <c r="AY11" s="168"/>
      <c r="AZ11" s="89"/>
      <c r="BA11" s="103"/>
      <c r="BB11" s="103"/>
      <c r="BC11" s="103"/>
      <c r="BD11" s="103"/>
      <c r="BE11" s="103"/>
      <c r="CD11" s="365"/>
    </row>
    <row r="12" s="278" customFormat="1" customHeight="1" spans="3:82">
      <c r="C12" s="293"/>
      <c r="I12" s="278" t="s">
        <v>886</v>
      </c>
      <c r="J12" s="278">
        <v>7.57</v>
      </c>
      <c r="L12" s="278">
        <v>2060.77</v>
      </c>
      <c r="M12" s="103">
        <v>15600</v>
      </c>
      <c r="N12" s="103"/>
      <c r="O12" s="311"/>
      <c r="P12" s="312"/>
      <c r="Q12" s="312"/>
      <c r="R12" s="103"/>
      <c r="S12" s="328"/>
      <c r="T12" s="328"/>
      <c r="U12" s="328"/>
      <c r="V12" s="103"/>
      <c r="X12" s="103"/>
      <c r="Y12" s="338"/>
      <c r="Z12" s="103"/>
      <c r="AA12" s="311"/>
      <c r="AB12" s="103"/>
      <c r="AH12" s="103">
        <f t="shared" si="0"/>
        <v>0</v>
      </c>
      <c r="AK12" s="342">
        <f t="shared" si="1"/>
        <v>15600</v>
      </c>
      <c r="AQ12" s="347"/>
      <c r="AR12" s="348">
        <f t="shared" si="2"/>
        <v>0</v>
      </c>
      <c r="AS12" s="103"/>
      <c r="AT12" s="103"/>
      <c r="AU12" s="103"/>
      <c r="AV12" s="103"/>
      <c r="AW12" s="103"/>
      <c r="AX12" s="103"/>
      <c r="AY12" s="168"/>
      <c r="AZ12" s="89"/>
      <c r="BA12" s="103"/>
      <c r="BB12" s="103"/>
      <c r="BC12" s="103"/>
      <c r="BD12" s="103"/>
      <c r="BE12" s="103"/>
      <c r="CD12" s="365"/>
    </row>
    <row r="13" s="278" customFormat="1" customHeight="1" spans="3:82">
      <c r="C13" s="293"/>
      <c r="I13" s="278" t="s">
        <v>887</v>
      </c>
      <c r="J13" s="278">
        <v>23.09</v>
      </c>
      <c r="L13" s="278">
        <v>2059.77</v>
      </c>
      <c r="M13" s="103">
        <v>47560</v>
      </c>
      <c r="N13" s="103"/>
      <c r="O13" s="311"/>
      <c r="P13" s="312"/>
      <c r="Q13" s="312"/>
      <c r="R13" s="103"/>
      <c r="S13" s="328"/>
      <c r="T13" s="328"/>
      <c r="U13" s="328"/>
      <c r="V13" s="103"/>
      <c r="X13" s="103"/>
      <c r="Y13" s="338"/>
      <c r="Z13" s="103"/>
      <c r="AA13" s="311"/>
      <c r="AB13" s="103"/>
      <c r="AH13" s="103">
        <f t="shared" si="0"/>
        <v>0</v>
      </c>
      <c r="AK13" s="342">
        <f t="shared" si="1"/>
        <v>47560</v>
      </c>
      <c r="AQ13" s="347"/>
      <c r="AR13" s="348">
        <f t="shared" si="2"/>
        <v>0</v>
      </c>
      <c r="AS13" s="103"/>
      <c r="AT13" s="103"/>
      <c r="AU13" s="103"/>
      <c r="AV13" s="103"/>
      <c r="AW13" s="103"/>
      <c r="AX13" s="103"/>
      <c r="AY13" s="168"/>
      <c r="AZ13" s="89"/>
      <c r="BA13" s="103"/>
      <c r="BB13" s="103"/>
      <c r="BC13" s="103"/>
      <c r="BD13" s="103"/>
      <c r="BE13" s="103"/>
      <c r="CD13" s="365"/>
    </row>
    <row r="14" s="278" customFormat="1" customHeight="1" spans="3:82">
      <c r="C14" s="293"/>
      <c r="G14" s="278" t="s">
        <v>888</v>
      </c>
      <c r="I14" s="278" t="s">
        <v>889</v>
      </c>
      <c r="J14" s="278">
        <v>19.17</v>
      </c>
      <c r="L14" s="278">
        <v>2059.47</v>
      </c>
      <c r="M14" s="103">
        <v>39480</v>
      </c>
      <c r="N14" s="103"/>
      <c r="O14" s="311"/>
      <c r="P14" s="312"/>
      <c r="Q14" s="312"/>
      <c r="R14" s="103"/>
      <c r="S14" s="328"/>
      <c r="T14" s="328"/>
      <c r="U14" s="328"/>
      <c r="V14" s="103">
        <v>2000</v>
      </c>
      <c r="W14" s="328">
        <v>45542</v>
      </c>
      <c r="X14" s="103">
        <v>37480</v>
      </c>
      <c r="Y14" s="338" t="s">
        <v>890</v>
      </c>
      <c r="Z14" s="103"/>
      <c r="AA14" s="311"/>
      <c r="AB14" s="103"/>
      <c r="AH14" s="103">
        <f t="shared" si="0"/>
        <v>39480</v>
      </c>
      <c r="AK14" s="342">
        <f t="shared" si="1"/>
        <v>0</v>
      </c>
      <c r="AQ14" s="347"/>
      <c r="AR14" s="348">
        <f t="shared" si="2"/>
        <v>0</v>
      </c>
      <c r="AS14" s="103"/>
      <c r="AT14" s="103"/>
      <c r="AU14" s="103"/>
      <c r="AV14" s="103"/>
      <c r="AW14" s="103"/>
      <c r="AX14" s="103"/>
      <c r="AY14" s="168"/>
      <c r="AZ14" s="89"/>
      <c r="BA14" s="103"/>
      <c r="BB14" s="103"/>
      <c r="BC14" s="103"/>
      <c r="BD14" s="103"/>
      <c r="BE14" s="103"/>
      <c r="CD14" s="365"/>
    </row>
    <row r="15" s="278" customFormat="1" customHeight="1" spans="3:82">
      <c r="C15" s="293"/>
      <c r="G15" s="278" t="s">
        <v>891</v>
      </c>
      <c r="I15" s="278" t="s">
        <v>892</v>
      </c>
      <c r="J15" s="278">
        <v>14.41</v>
      </c>
      <c r="L15" s="278">
        <v>2059.68</v>
      </c>
      <c r="M15" s="103">
        <v>29680</v>
      </c>
      <c r="N15" s="103"/>
      <c r="O15" s="311"/>
      <c r="P15" s="312"/>
      <c r="Q15" s="312"/>
      <c r="R15" s="103"/>
      <c r="S15" s="328"/>
      <c r="T15" s="328"/>
      <c r="U15" s="328"/>
      <c r="V15" s="103">
        <v>2000</v>
      </c>
      <c r="W15" s="328">
        <v>45537</v>
      </c>
      <c r="X15" s="103">
        <v>27680</v>
      </c>
      <c r="Y15" s="338">
        <v>45546</v>
      </c>
      <c r="Z15" s="103"/>
      <c r="AA15" s="311"/>
      <c r="AB15" s="103"/>
      <c r="AH15" s="103">
        <f t="shared" si="0"/>
        <v>29680</v>
      </c>
      <c r="AK15" s="342">
        <f t="shared" si="1"/>
        <v>0</v>
      </c>
      <c r="AQ15" s="347"/>
      <c r="AR15" s="348">
        <f t="shared" si="2"/>
        <v>0</v>
      </c>
      <c r="AS15" s="103"/>
      <c r="AT15" s="103"/>
      <c r="AU15" s="103"/>
      <c r="AV15" s="103"/>
      <c r="AW15" s="103"/>
      <c r="AX15" s="103"/>
      <c r="AY15" s="168"/>
      <c r="AZ15" s="89"/>
      <c r="BA15" s="103"/>
      <c r="BB15" s="103"/>
      <c r="BC15" s="103"/>
      <c r="BD15" s="103"/>
      <c r="BE15" s="103"/>
      <c r="CD15" s="365"/>
    </row>
    <row r="16" s="278" customFormat="1" customHeight="1" spans="3:82">
      <c r="C16" s="293"/>
      <c r="G16" s="278" t="s">
        <v>893</v>
      </c>
      <c r="I16" s="278" t="s">
        <v>894</v>
      </c>
      <c r="J16" s="278">
        <v>11.28</v>
      </c>
      <c r="L16" s="278">
        <v>2060.28</v>
      </c>
      <c r="M16" s="103">
        <v>23240</v>
      </c>
      <c r="N16" s="103"/>
      <c r="O16" s="311"/>
      <c r="P16" s="312"/>
      <c r="Q16" s="312"/>
      <c r="R16" s="103"/>
      <c r="S16" s="328"/>
      <c r="T16" s="328"/>
      <c r="U16" s="328"/>
      <c r="V16" s="103">
        <v>23240</v>
      </c>
      <c r="W16" s="328" t="s">
        <v>895</v>
      </c>
      <c r="X16" s="103"/>
      <c r="Y16" s="338"/>
      <c r="Z16" s="103"/>
      <c r="AA16" s="311"/>
      <c r="AB16" s="103"/>
      <c r="AH16" s="103">
        <f t="shared" si="0"/>
        <v>23240</v>
      </c>
      <c r="AK16" s="342">
        <f t="shared" si="1"/>
        <v>0</v>
      </c>
      <c r="AQ16" s="347"/>
      <c r="AR16" s="348">
        <f t="shared" si="2"/>
        <v>0</v>
      </c>
      <c r="AS16" s="103"/>
      <c r="AT16" s="103"/>
      <c r="AU16" s="103"/>
      <c r="AV16" s="103"/>
      <c r="AW16" s="103"/>
      <c r="AX16" s="103"/>
      <c r="AY16" s="168"/>
      <c r="AZ16" s="89"/>
      <c r="BA16" s="103"/>
      <c r="BB16" s="103"/>
      <c r="BC16" s="103"/>
      <c r="BD16" s="103"/>
      <c r="BE16" s="103"/>
      <c r="CD16" s="365"/>
    </row>
    <row r="17" s="278" customFormat="1" customHeight="1" spans="3:82">
      <c r="C17" s="293"/>
      <c r="G17" s="278" t="s">
        <v>896</v>
      </c>
      <c r="I17" s="278" t="s">
        <v>897</v>
      </c>
      <c r="J17" s="278">
        <v>22.45</v>
      </c>
      <c r="L17" s="278">
        <v>2059.69</v>
      </c>
      <c r="M17" s="103">
        <v>46240</v>
      </c>
      <c r="N17" s="103"/>
      <c r="O17" s="311"/>
      <c r="P17" s="312"/>
      <c r="Q17" s="312"/>
      <c r="R17" s="103"/>
      <c r="S17" s="328"/>
      <c r="T17" s="328"/>
      <c r="U17" s="328"/>
      <c r="V17" s="103">
        <v>2000</v>
      </c>
      <c r="W17" s="328">
        <v>45537</v>
      </c>
      <c r="X17" s="103">
        <v>44240</v>
      </c>
      <c r="Y17" s="338">
        <v>45547</v>
      </c>
      <c r="Z17" s="103"/>
      <c r="AA17" s="311"/>
      <c r="AB17" s="103"/>
      <c r="AH17" s="103">
        <f t="shared" si="0"/>
        <v>46240</v>
      </c>
      <c r="AK17" s="342">
        <f t="shared" si="1"/>
        <v>0</v>
      </c>
      <c r="AQ17" s="347"/>
      <c r="AR17" s="348">
        <f t="shared" si="2"/>
        <v>0</v>
      </c>
      <c r="AS17" s="103"/>
      <c r="AT17" s="103"/>
      <c r="AU17" s="103"/>
      <c r="AV17" s="103"/>
      <c r="AW17" s="103"/>
      <c r="AX17" s="103"/>
      <c r="AY17" s="168"/>
      <c r="AZ17" s="89"/>
      <c r="BA17" s="103"/>
      <c r="BB17" s="103"/>
      <c r="BC17" s="103"/>
      <c r="BD17" s="103"/>
      <c r="BE17" s="103"/>
      <c r="CD17" s="365"/>
    </row>
    <row r="18" s="278" customFormat="1" customHeight="1" spans="3:82">
      <c r="C18" s="293"/>
      <c r="I18" s="278" t="s">
        <v>898</v>
      </c>
      <c r="J18" s="278">
        <v>67.3</v>
      </c>
      <c r="M18" s="103"/>
      <c r="N18" s="103"/>
      <c r="O18" s="311"/>
      <c r="P18" s="312"/>
      <c r="Q18" s="312"/>
      <c r="R18" s="103"/>
      <c r="S18" s="328"/>
      <c r="T18" s="328"/>
      <c r="U18" s="328"/>
      <c r="V18" s="103"/>
      <c r="X18" s="103"/>
      <c r="Y18" s="338"/>
      <c r="Z18" s="103"/>
      <c r="AA18" s="311"/>
      <c r="AB18" s="103"/>
      <c r="AH18" s="103">
        <f t="shared" si="0"/>
        <v>0</v>
      </c>
      <c r="AK18" s="342">
        <f t="shared" si="1"/>
        <v>0</v>
      </c>
      <c r="AQ18" s="347"/>
      <c r="AR18" s="348">
        <f t="shared" si="2"/>
        <v>0</v>
      </c>
      <c r="AS18" s="103"/>
      <c r="AT18" s="103"/>
      <c r="AU18" s="103"/>
      <c r="AV18" s="103"/>
      <c r="AW18" s="103"/>
      <c r="AX18" s="103"/>
      <c r="AY18" s="168"/>
      <c r="AZ18" s="89"/>
      <c r="BA18" s="103"/>
      <c r="BB18" s="103"/>
      <c r="BC18" s="103"/>
      <c r="BD18" s="103"/>
      <c r="BE18" s="103"/>
      <c r="CD18" s="365"/>
    </row>
    <row r="19" s="278" customFormat="1" customHeight="1" spans="3:82">
      <c r="C19" s="293"/>
      <c r="I19" s="278" t="s">
        <v>899</v>
      </c>
      <c r="J19" s="278">
        <v>67.3</v>
      </c>
      <c r="M19" s="103"/>
      <c r="N19" s="103"/>
      <c r="O19" s="311"/>
      <c r="P19" s="312"/>
      <c r="Q19" s="312"/>
      <c r="R19" s="103"/>
      <c r="S19" s="328"/>
      <c r="T19" s="328"/>
      <c r="U19" s="328"/>
      <c r="V19" s="103"/>
      <c r="X19" s="103"/>
      <c r="Y19" s="338"/>
      <c r="Z19" s="103"/>
      <c r="AA19" s="311"/>
      <c r="AB19" s="103"/>
      <c r="AH19" s="103">
        <f t="shared" si="0"/>
        <v>0</v>
      </c>
      <c r="AK19" s="342">
        <f t="shared" si="1"/>
        <v>0</v>
      </c>
      <c r="AQ19" s="347"/>
      <c r="AR19" s="348">
        <f t="shared" si="2"/>
        <v>0</v>
      </c>
      <c r="AS19" s="103"/>
      <c r="AT19" s="103"/>
      <c r="AU19" s="103"/>
      <c r="AV19" s="103"/>
      <c r="AW19" s="103"/>
      <c r="AX19" s="103"/>
      <c r="AY19" s="168"/>
      <c r="AZ19" s="89"/>
      <c r="BA19" s="103"/>
      <c r="BB19" s="103"/>
      <c r="BC19" s="103"/>
      <c r="BD19" s="103"/>
      <c r="BE19" s="103"/>
      <c r="CD19" s="365"/>
    </row>
    <row r="20" s="278" customFormat="1" customHeight="1" spans="3:82">
      <c r="C20" s="293"/>
      <c r="I20" s="278" t="s">
        <v>900</v>
      </c>
      <c r="J20" s="278">
        <v>10.47</v>
      </c>
      <c r="L20" s="278">
        <v>2059.22</v>
      </c>
      <c r="M20" s="103">
        <v>21560</v>
      </c>
      <c r="N20" s="103"/>
      <c r="O20" s="311"/>
      <c r="P20" s="312"/>
      <c r="Q20" s="312"/>
      <c r="R20" s="103"/>
      <c r="S20" s="328"/>
      <c r="T20" s="328"/>
      <c r="U20" s="328"/>
      <c r="V20" s="103"/>
      <c r="X20" s="103"/>
      <c r="Y20" s="338"/>
      <c r="Z20" s="103"/>
      <c r="AA20" s="311"/>
      <c r="AB20" s="103"/>
      <c r="AH20" s="103">
        <f t="shared" si="0"/>
        <v>0</v>
      </c>
      <c r="AK20" s="342">
        <f t="shared" si="1"/>
        <v>21560</v>
      </c>
      <c r="AQ20" s="347"/>
      <c r="AR20" s="348">
        <f t="shared" si="2"/>
        <v>0</v>
      </c>
      <c r="AS20" s="103"/>
      <c r="AT20" s="103"/>
      <c r="AU20" s="103"/>
      <c r="AV20" s="103"/>
      <c r="AW20" s="103"/>
      <c r="AX20" s="103"/>
      <c r="AY20" s="168"/>
      <c r="AZ20" s="89"/>
      <c r="BA20" s="103"/>
      <c r="BB20" s="103"/>
      <c r="BC20" s="103"/>
      <c r="BD20" s="103"/>
      <c r="BE20" s="103"/>
      <c r="CD20" s="365"/>
    </row>
    <row r="21" s="278" customFormat="1" customHeight="1" spans="3:82">
      <c r="C21" s="293"/>
      <c r="G21" s="278" t="s">
        <v>901</v>
      </c>
      <c r="I21" s="278" t="s">
        <v>902</v>
      </c>
      <c r="J21" s="278">
        <v>10.8</v>
      </c>
      <c r="L21" s="278">
        <v>2059.26</v>
      </c>
      <c r="M21" s="103">
        <v>22240</v>
      </c>
      <c r="N21" s="103"/>
      <c r="O21" s="311"/>
      <c r="P21" s="312"/>
      <c r="Q21" s="312"/>
      <c r="R21" s="103"/>
      <c r="S21" s="328"/>
      <c r="T21" s="328"/>
      <c r="U21" s="328"/>
      <c r="V21" s="103">
        <v>2000</v>
      </c>
      <c r="W21" s="328">
        <v>45539</v>
      </c>
      <c r="X21" s="103">
        <v>20240</v>
      </c>
      <c r="Y21" s="338">
        <v>45543</v>
      </c>
      <c r="Z21" s="103"/>
      <c r="AA21" s="311"/>
      <c r="AB21" s="103"/>
      <c r="AH21" s="103">
        <f t="shared" si="0"/>
        <v>22240</v>
      </c>
      <c r="AK21" s="342">
        <f t="shared" si="1"/>
        <v>0</v>
      </c>
      <c r="AQ21" s="347"/>
      <c r="AR21" s="348">
        <f t="shared" si="2"/>
        <v>0</v>
      </c>
      <c r="AS21" s="103"/>
      <c r="AT21" s="103"/>
      <c r="AU21" s="103"/>
      <c r="AV21" s="103"/>
      <c r="AW21" s="103"/>
      <c r="AX21" s="103"/>
      <c r="AY21" s="168"/>
      <c r="AZ21" s="89"/>
      <c r="BA21" s="103"/>
      <c r="BB21" s="103"/>
      <c r="BC21" s="103"/>
      <c r="BD21" s="103"/>
      <c r="BE21" s="103"/>
      <c r="CD21" s="365"/>
    </row>
    <row r="22" s="278" customFormat="1" customHeight="1" spans="3:82">
      <c r="C22" s="293"/>
      <c r="G22" s="278" t="s">
        <v>903</v>
      </c>
      <c r="I22" s="278" t="s">
        <v>904</v>
      </c>
      <c r="J22" s="278">
        <v>39.37</v>
      </c>
      <c r="L22" s="278">
        <v>2059.44</v>
      </c>
      <c r="M22" s="103">
        <v>81080</v>
      </c>
      <c r="N22" s="103"/>
      <c r="O22" s="311"/>
      <c r="P22" s="312"/>
      <c r="Q22" s="312"/>
      <c r="R22" s="103"/>
      <c r="S22" s="328"/>
      <c r="T22" s="328"/>
      <c r="U22" s="328"/>
      <c r="V22" s="103">
        <v>5000</v>
      </c>
      <c r="W22" s="328">
        <v>45537</v>
      </c>
      <c r="X22" s="103">
        <v>76080</v>
      </c>
      <c r="Y22" s="338" t="s">
        <v>905</v>
      </c>
      <c r="Z22" s="103"/>
      <c r="AA22" s="311"/>
      <c r="AB22" s="103"/>
      <c r="AH22" s="103">
        <f t="shared" si="0"/>
        <v>81080</v>
      </c>
      <c r="AK22" s="342">
        <f t="shared" si="1"/>
        <v>0</v>
      </c>
      <c r="AQ22" s="347"/>
      <c r="AR22" s="348">
        <f t="shared" si="2"/>
        <v>0</v>
      </c>
      <c r="AS22" s="103"/>
      <c r="AT22" s="103"/>
      <c r="AU22" s="103"/>
      <c r="AV22" s="103"/>
      <c r="AW22" s="103"/>
      <c r="AX22" s="103"/>
      <c r="AY22" s="168"/>
      <c r="AZ22" s="89"/>
      <c r="BA22" s="103"/>
      <c r="BB22" s="103"/>
      <c r="BC22" s="103"/>
      <c r="BD22" s="103"/>
      <c r="BE22" s="103"/>
      <c r="CD22" s="365"/>
    </row>
    <row r="23" s="279" customFormat="1" ht="40" customHeight="1" spans="1:72">
      <c r="A23" s="279">
        <v>1</v>
      </c>
      <c r="C23" s="294"/>
      <c r="G23" s="294" t="s">
        <v>906</v>
      </c>
      <c r="H23" s="294"/>
      <c r="I23" s="313" t="s">
        <v>907</v>
      </c>
      <c r="J23" s="279">
        <v>149.84</v>
      </c>
      <c r="K23" s="279">
        <v>149.84</v>
      </c>
      <c r="M23" s="282">
        <v>1182000</v>
      </c>
      <c r="N23" s="282">
        <v>7873</v>
      </c>
      <c r="O23" s="314"/>
      <c r="P23" s="315"/>
      <c r="Q23" s="315"/>
      <c r="R23" s="282"/>
      <c r="S23" s="329"/>
      <c r="T23" s="329" t="s">
        <v>908</v>
      </c>
      <c r="U23" s="329" t="s">
        <v>279</v>
      </c>
      <c r="V23" s="282">
        <v>20000</v>
      </c>
      <c r="W23" s="283" t="s">
        <v>601</v>
      </c>
      <c r="X23" s="282"/>
      <c r="Y23" s="283"/>
      <c r="Z23" s="282"/>
      <c r="AA23" s="283"/>
      <c r="AB23" s="282"/>
      <c r="AH23" s="282">
        <f t="shared" si="0"/>
        <v>20000</v>
      </c>
      <c r="AK23" s="287">
        <f t="shared" si="1"/>
        <v>1162000</v>
      </c>
      <c r="AN23" s="314"/>
      <c r="AO23" s="314"/>
      <c r="AP23" s="314"/>
      <c r="AQ23" s="288">
        <f>0.6%+0.06%+0.14%</f>
        <v>0.008</v>
      </c>
      <c r="AR23" s="349">
        <f t="shared" si="2"/>
        <v>0</v>
      </c>
      <c r="AS23" s="282">
        <f>100</f>
        <v>100</v>
      </c>
      <c r="AT23" s="282">
        <f>100+100</f>
        <v>200</v>
      </c>
      <c r="AU23" s="282"/>
      <c r="AV23" s="282"/>
      <c r="AW23" s="282"/>
      <c r="AX23" s="282"/>
      <c r="AY23" s="158"/>
      <c r="BA23" s="282"/>
      <c r="BB23" s="282"/>
      <c r="BC23" s="282"/>
      <c r="BD23" s="282"/>
      <c r="BE23" s="282"/>
      <c r="BP23" s="59"/>
      <c r="BT23" s="279" t="s">
        <v>205</v>
      </c>
    </row>
    <row r="24" s="279" customFormat="1" ht="55" customHeight="1" spans="1:73">
      <c r="A24" s="279">
        <v>2</v>
      </c>
      <c r="C24" s="294" t="s">
        <v>909</v>
      </c>
      <c r="D24" s="279">
        <v>20230001464</v>
      </c>
      <c r="F24" s="717" t="s">
        <v>910</v>
      </c>
      <c r="G24" s="294" t="s">
        <v>911</v>
      </c>
      <c r="H24" s="721" t="s">
        <v>912</v>
      </c>
      <c r="I24" s="313" t="s">
        <v>913</v>
      </c>
      <c r="J24" s="279">
        <v>140.29</v>
      </c>
      <c r="K24" s="279">
        <v>140.29</v>
      </c>
      <c r="L24" s="279">
        <v>7863</v>
      </c>
      <c r="M24" s="282">
        <v>1103100</v>
      </c>
      <c r="N24" s="282"/>
      <c r="O24" s="314"/>
      <c r="P24" s="315"/>
      <c r="Q24" s="315"/>
      <c r="R24" s="282"/>
      <c r="S24" s="329"/>
      <c r="T24" s="329" t="s">
        <v>914</v>
      </c>
      <c r="U24" s="329" t="s">
        <v>915</v>
      </c>
      <c r="V24" s="282">
        <f>20000+2000-2000</f>
        <v>20000</v>
      </c>
      <c r="W24" s="330" t="s">
        <v>916</v>
      </c>
      <c r="X24" s="282">
        <v>20000</v>
      </c>
      <c r="Y24" s="283" t="s">
        <v>909</v>
      </c>
      <c r="Z24" s="282">
        <v>793100</v>
      </c>
      <c r="AA24" s="283" t="s">
        <v>917</v>
      </c>
      <c r="AB24" s="282">
        <v>270000</v>
      </c>
      <c r="AC24" s="279" t="s">
        <v>918</v>
      </c>
      <c r="AH24" s="282">
        <f t="shared" si="0"/>
        <v>1103100</v>
      </c>
      <c r="AK24" s="287">
        <f t="shared" ref="AK24:AK87" si="3">M24-AH24</f>
        <v>0</v>
      </c>
      <c r="AL24" s="279">
        <v>13309963919</v>
      </c>
      <c r="AN24" s="314">
        <v>1219541</v>
      </c>
      <c r="AO24" s="314"/>
      <c r="AP24" s="314"/>
      <c r="AQ24" s="288">
        <f>0.4%+0.06%+0.14%</f>
        <v>0.006</v>
      </c>
      <c r="AR24" s="349">
        <f t="shared" si="2"/>
        <v>1103100</v>
      </c>
      <c r="AS24" s="282">
        <f>100+100+100</f>
        <v>300</v>
      </c>
      <c r="AT24" s="282"/>
      <c r="AU24" s="282"/>
      <c r="AV24" s="282">
        <v>833100</v>
      </c>
      <c r="AW24" s="282">
        <v>270000</v>
      </c>
      <c r="AX24" s="282"/>
      <c r="AY24" s="352"/>
      <c r="AZ24" s="353"/>
      <c r="BA24" s="282"/>
      <c r="BB24" s="282"/>
      <c r="BC24" s="282"/>
      <c r="BD24" s="282"/>
      <c r="BE24" s="282"/>
      <c r="BT24" s="279" t="s">
        <v>205</v>
      </c>
      <c r="BU24" s="279" t="s">
        <v>206</v>
      </c>
    </row>
    <row r="25" s="279" customFormat="1" customHeight="1" spans="1:73">
      <c r="A25" s="279">
        <v>3</v>
      </c>
      <c r="C25" s="294" t="s">
        <v>919</v>
      </c>
      <c r="D25" s="279">
        <v>20230004789</v>
      </c>
      <c r="F25" s="717" t="s">
        <v>920</v>
      </c>
      <c r="G25" s="279" t="s">
        <v>884</v>
      </c>
      <c r="H25" s="717" t="s">
        <v>921</v>
      </c>
      <c r="I25" s="316" t="s">
        <v>922</v>
      </c>
      <c r="J25" s="279">
        <v>146.97</v>
      </c>
      <c r="K25" s="279">
        <v>146.97</v>
      </c>
      <c r="L25" s="279">
        <v>5270</v>
      </c>
      <c r="M25" s="282">
        <v>774532</v>
      </c>
      <c r="N25" s="282">
        <v>5259.93</v>
      </c>
      <c r="O25" s="314"/>
      <c r="P25" s="315"/>
      <c r="Q25" s="315"/>
      <c r="R25" s="282"/>
      <c r="U25" s="279" t="s">
        <v>217</v>
      </c>
      <c r="V25" s="282">
        <v>20000</v>
      </c>
      <c r="W25" s="279" t="s">
        <v>601</v>
      </c>
      <c r="X25" s="282">
        <v>255532</v>
      </c>
      <c r="Y25" s="283" t="s">
        <v>919</v>
      </c>
      <c r="Z25" s="282">
        <v>499000</v>
      </c>
      <c r="AA25" s="279" t="s">
        <v>448</v>
      </c>
      <c r="AB25" s="282"/>
      <c r="AH25" s="282">
        <f t="shared" si="0"/>
        <v>774532</v>
      </c>
      <c r="AK25" s="287">
        <f t="shared" si="3"/>
        <v>0</v>
      </c>
      <c r="AL25" s="279">
        <v>18999000976</v>
      </c>
      <c r="AN25" s="314"/>
      <c r="AO25" s="314"/>
      <c r="AP25" s="314"/>
      <c r="AQ25" s="288">
        <f>0.4%+0.04%+0.14%</f>
        <v>0.0058</v>
      </c>
      <c r="AR25" s="349">
        <f t="shared" si="2"/>
        <v>774532</v>
      </c>
      <c r="AS25" s="282"/>
      <c r="AT25" s="282"/>
      <c r="AU25" s="282"/>
      <c r="AV25" s="282"/>
      <c r="AW25" s="282"/>
      <c r="AX25" s="282"/>
      <c r="AY25" s="158"/>
      <c r="AZ25" s="220">
        <v>275532</v>
      </c>
      <c r="BA25" s="282"/>
      <c r="BB25" s="282"/>
      <c r="BC25" s="282"/>
      <c r="BD25" s="282"/>
      <c r="BE25" s="282"/>
      <c r="BH25" s="279">
        <v>499000</v>
      </c>
      <c r="BT25" s="279" t="s">
        <v>205</v>
      </c>
      <c r="BU25" s="279" t="s">
        <v>206</v>
      </c>
    </row>
    <row r="26" s="279" customFormat="1" customHeight="1" spans="1:73">
      <c r="A26" s="279">
        <v>4</v>
      </c>
      <c r="C26" s="294" t="s">
        <v>923</v>
      </c>
      <c r="D26" s="279">
        <v>20230006624</v>
      </c>
      <c r="F26" s="717" t="s">
        <v>924</v>
      </c>
      <c r="G26" s="279" t="s">
        <v>925</v>
      </c>
      <c r="H26" s="717" t="s">
        <v>926</v>
      </c>
      <c r="I26" s="313" t="s">
        <v>927</v>
      </c>
      <c r="J26" s="279">
        <v>137.77</v>
      </c>
      <c r="K26" s="279">
        <v>137.77</v>
      </c>
      <c r="L26" s="279">
        <v>5334.97</v>
      </c>
      <c r="M26" s="282">
        <v>735000</v>
      </c>
      <c r="N26" s="282">
        <v>5273.09</v>
      </c>
      <c r="O26" s="314"/>
      <c r="P26" s="315"/>
      <c r="Q26" s="315"/>
      <c r="R26" s="282"/>
      <c r="S26" s="285"/>
      <c r="T26" s="285"/>
      <c r="U26" s="285" t="s">
        <v>411</v>
      </c>
      <c r="V26" s="282">
        <v>20000</v>
      </c>
      <c r="W26" s="331" t="s">
        <v>601</v>
      </c>
      <c r="X26" s="282">
        <v>7000</v>
      </c>
      <c r="Y26" s="285" t="s">
        <v>923</v>
      </c>
      <c r="Z26" s="282">
        <v>140000</v>
      </c>
      <c r="AA26" s="285" t="s">
        <v>928</v>
      </c>
      <c r="AB26" s="282">
        <v>568000</v>
      </c>
      <c r="AC26" s="285" t="s">
        <v>418</v>
      </c>
      <c r="AH26" s="282">
        <f t="shared" si="0"/>
        <v>735000</v>
      </c>
      <c r="AK26" s="287">
        <f t="shared" si="3"/>
        <v>0</v>
      </c>
      <c r="AL26" s="279">
        <v>15899013512</v>
      </c>
      <c r="AN26" s="314"/>
      <c r="AO26" s="314"/>
      <c r="AP26" s="314"/>
      <c r="AQ26" s="288">
        <f>0.4%+0.08%</f>
        <v>0.0048</v>
      </c>
      <c r="AR26" s="349">
        <f t="shared" si="2"/>
        <v>735000</v>
      </c>
      <c r="AS26" s="282"/>
      <c r="AT26" s="282">
        <v>100</v>
      </c>
      <c r="AU26" s="282"/>
      <c r="AV26" s="282"/>
      <c r="AW26" s="282"/>
      <c r="AX26" s="282"/>
      <c r="AY26" s="158"/>
      <c r="AZ26" s="354"/>
      <c r="BA26" s="282"/>
      <c r="BB26" s="282"/>
      <c r="BC26" s="282"/>
      <c r="BD26" s="282"/>
      <c r="BE26" s="282"/>
      <c r="BJ26" s="279">
        <v>167000</v>
      </c>
      <c r="BK26" s="279">
        <v>568000</v>
      </c>
      <c r="BT26" s="279" t="s">
        <v>205</v>
      </c>
      <c r="BU26" s="279" t="s">
        <v>206</v>
      </c>
    </row>
    <row r="27" s="279" customFormat="1" customHeight="1" spans="1:73">
      <c r="A27" s="279">
        <v>5</v>
      </c>
      <c r="C27" s="294" t="s">
        <v>929</v>
      </c>
      <c r="D27" s="279">
        <v>20230001743</v>
      </c>
      <c r="F27" s="279" t="s">
        <v>930</v>
      </c>
      <c r="G27" s="279" t="s">
        <v>931</v>
      </c>
      <c r="I27" s="316" t="s">
        <v>932</v>
      </c>
      <c r="J27" s="279">
        <v>146.97</v>
      </c>
      <c r="K27" s="279">
        <v>146.97</v>
      </c>
      <c r="L27" s="279">
        <v>5245.55</v>
      </c>
      <c r="M27" s="282">
        <v>770939</v>
      </c>
      <c r="N27" s="282"/>
      <c r="O27" s="314"/>
      <c r="P27" s="315"/>
      <c r="Q27" s="315"/>
      <c r="R27" s="282"/>
      <c r="T27" s="279" t="s">
        <v>931</v>
      </c>
      <c r="U27" s="279" t="s">
        <v>931</v>
      </c>
      <c r="V27" s="282">
        <v>770939</v>
      </c>
      <c r="W27" s="279" t="s">
        <v>929</v>
      </c>
      <c r="X27" s="282"/>
      <c r="Y27" s="283"/>
      <c r="Z27" s="282"/>
      <c r="AA27" s="283"/>
      <c r="AB27" s="282"/>
      <c r="AH27" s="282">
        <f t="shared" si="0"/>
        <v>770939</v>
      </c>
      <c r="AK27" s="287">
        <f t="shared" si="3"/>
        <v>0</v>
      </c>
      <c r="AL27" s="279">
        <v>13667521555</v>
      </c>
      <c r="AN27" s="314"/>
      <c r="AO27" s="314"/>
      <c r="AP27" s="314"/>
      <c r="AQ27" s="288">
        <f>0.5%+0.06%+0.14%</f>
        <v>0.007</v>
      </c>
      <c r="AR27" s="349">
        <f t="shared" si="2"/>
        <v>770939</v>
      </c>
      <c r="AS27" s="282"/>
      <c r="AT27" s="282"/>
      <c r="AU27" s="282"/>
      <c r="AV27" s="282">
        <v>770939</v>
      </c>
      <c r="AW27" s="282"/>
      <c r="AX27" s="282"/>
      <c r="AY27" s="352"/>
      <c r="AZ27" s="353"/>
      <c r="BA27" s="282"/>
      <c r="BB27" s="282"/>
      <c r="BC27" s="282"/>
      <c r="BD27" s="282"/>
      <c r="BE27" s="282"/>
      <c r="BT27" s="279" t="s">
        <v>205</v>
      </c>
      <c r="BU27" s="279" t="s">
        <v>206</v>
      </c>
    </row>
    <row r="28" s="279" customFormat="1" customHeight="1" spans="1:73">
      <c r="A28" s="279">
        <v>6</v>
      </c>
      <c r="C28" s="294" t="s">
        <v>916</v>
      </c>
      <c r="D28" s="279">
        <v>20230001404</v>
      </c>
      <c r="F28" s="717" t="s">
        <v>933</v>
      </c>
      <c r="G28" s="294" t="s">
        <v>934</v>
      </c>
      <c r="H28" s="721" t="s">
        <v>935</v>
      </c>
      <c r="I28" s="313" t="s">
        <v>936</v>
      </c>
      <c r="J28" s="279">
        <v>137.77</v>
      </c>
      <c r="K28" s="279">
        <v>137.77</v>
      </c>
      <c r="L28" s="283">
        <v>5140.96</v>
      </c>
      <c r="M28" s="282">
        <v>708270</v>
      </c>
      <c r="N28" s="282"/>
      <c r="O28" s="314"/>
      <c r="P28" s="315"/>
      <c r="Q28" s="315"/>
      <c r="R28" s="282"/>
      <c r="S28" s="329"/>
      <c r="T28" s="332" t="s">
        <v>937</v>
      </c>
      <c r="U28" s="329" t="s">
        <v>938</v>
      </c>
      <c r="V28" s="282">
        <v>308270</v>
      </c>
      <c r="W28" s="283" t="s">
        <v>916</v>
      </c>
      <c r="X28" s="282">
        <v>400000</v>
      </c>
      <c r="Y28" s="283" t="s">
        <v>631</v>
      </c>
      <c r="Z28" s="282"/>
      <c r="AA28" s="283"/>
      <c r="AB28" s="282"/>
      <c r="AH28" s="282">
        <f t="shared" si="0"/>
        <v>708270</v>
      </c>
      <c r="AK28" s="287">
        <f t="shared" si="3"/>
        <v>0</v>
      </c>
      <c r="AL28" s="279">
        <v>13779646868</v>
      </c>
      <c r="AN28" s="314">
        <v>791598</v>
      </c>
      <c r="AO28" s="314"/>
      <c r="AP28" s="314"/>
      <c r="AQ28" s="288">
        <f>0.6%+0.04%+0.1%</f>
        <v>0.0074</v>
      </c>
      <c r="AR28" s="349">
        <f t="shared" si="2"/>
        <v>708270</v>
      </c>
      <c r="AS28" s="282">
        <f t="shared" ref="AS28:AS34" si="4">100</f>
        <v>100</v>
      </c>
      <c r="AT28" s="282">
        <v>100</v>
      </c>
      <c r="AU28" s="282"/>
      <c r="AV28" s="282">
        <v>308270</v>
      </c>
      <c r="AW28" s="282"/>
      <c r="AX28" s="282">
        <v>400000</v>
      </c>
      <c r="AY28" s="352"/>
      <c r="AZ28" s="353"/>
      <c r="BA28" s="282"/>
      <c r="BB28" s="282"/>
      <c r="BC28" s="282"/>
      <c r="BD28" s="282"/>
      <c r="BE28" s="282"/>
      <c r="BT28" s="279" t="s">
        <v>205</v>
      </c>
      <c r="BU28" s="279" t="s">
        <v>206</v>
      </c>
    </row>
    <row r="29" s="279" customFormat="1" customHeight="1" spans="1:73">
      <c r="A29" s="279">
        <v>7</v>
      </c>
      <c r="C29" s="294" t="s">
        <v>909</v>
      </c>
      <c r="D29" s="279">
        <v>20230001431</v>
      </c>
      <c r="F29" s="717" t="s">
        <v>939</v>
      </c>
      <c r="G29" s="279" t="s">
        <v>893</v>
      </c>
      <c r="H29" s="717" t="s">
        <v>940</v>
      </c>
      <c r="I29" s="316" t="s">
        <v>941</v>
      </c>
      <c r="J29" s="279">
        <v>146.97</v>
      </c>
      <c r="K29" s="279">
        <v>146.97</v>
      </c>
      <c r="L29" s="279">
        <v>5300</v>
      </c>
      <c r="M29" s="282">
        <v>778941</v>
      </c>
      <c r="N29" s="282"/>
      <c r="O29" s="314"/>
      <c r="P29" s="315"/>
      <c r="Q29" s="315"/>
      <c r="R29" s="282"/>
      <c r="T29" s="279" t="s">
        <v>893</v>
      </c>
      <c r="U29" s="279" t="s">
        <v>893</v>
      </c>
      <c r="V29" s="282">
        <v>20000</v>
      </c>
      <c r="W29" s="279" t="s">
        <v>942</v>
      </c>
      <c r="X29" s="282">
        <v>218941</v>
      </c>
      <c r="Y29" s="283" t="s">
        <v>909</v>
      </c>
      <c r="Z29" s="282">
        <v>540000</v>
      </c>
      <c r="AA29" s="279" t="s">
        <v>654</v>
      </c>
      <c r="AB29" s="282"/>
      <c r="AH29" s="282">
        <f t="shared" si="0"/>
        <v>778941</v>
      </c>
      <c r="AK29" s="287">
        <f t="shared" si="3"/>
        <v>0</v>
      </c>
      <c r="AL29" s="279">
        <v>18799823394</v>
      </c>
      <c r="AN29" s="314">
        <v>845883</v>
      </c>
      <c r="AO29" s="314"/>
      <c r="AP29" s="314"/>
      <c r="AQ29" s="288">
        <f>0.6%+0.05%+0.14%+0.06%</f>
        <v>0.0085</v>
      </c>
      <c r="AR29" s="349">
        <f t="shared" si="2"/>
        <v>778941</v>
      </c>
      <c r="AS29" s="282"/>
      <c r="AT29" s="282"/>
      <c r="AU29" s="282"/>
      <c r="AV29" s="282">
        <v>238941</v>
      </c>
      <c r="AW29" s="282"/>
      <c r="AX29" s="282"/>
      <c r="AY29" s="352"/>
      <c r="AZ29" s="353"/>
      <c r="BA29" s="282"/>
      <c r="BB29" s="282"/>
      <c r="BC29" s="282">
        <v>540000</v>
      </c>
      <c r="BD29" s="282"/>
      <c r="BE29" s="282"/>
      <c r="BT29" s="279" t="s">
        <v>205</v>
      </c>
      <c r="BU29" s="279" t="s">
        <v>206</v>
      </c>
    </row>
    <row r="30" s="279" customFormat="1" customHeight="1" spans="1:73">
      <c r="A30" s="279">
        <v>8</v>
      </c>
      <c r="C30" s="294" t="s">
        <v>943</v>
      </c>
      <c r="D30" s="279">
        <v>20230000706</v>
      </c>
      <c r="F30" s="717" t="s">
        <v>944</v>
      </c>
      <c r="G30" s="294" t="s">
        <v>945</v>
      </c>
      <c r="H30" s="294"/>
      <c r="I30" s="313" t="s">
        <v>946</v>
      </c>
      <c r="J30" s="279">
        <v>137.77</v>
      </c>
      <c r="K30" s="279">
        <v>137.77</v>
      </c>
      <c r="L30" s="279">
        <v>5320</v>
      </c>
      <c r="M30" s="282">
        <v>732936</v>
      </c>
      <c r="N30" s="282"/>
      <c r="O30" s="314"/>
      <c r="P30" s="315"/>
      <c r="Q30" s="315"/>
      <c r="R30" s="282"/>
      <c r="S30" s="329"/>
      <c r="T30" s="329" t="s">
        <v>947</v>
      </c>
      <c r="U30" s="329" t="s">
        <v>947</v>
      </c>
      <c r="V30" s="282">
        <v>300936</v>
      </c>
      <c r="W30" s="333" t="s">
        <v>943</v>
      </c>
      <c r="X30" s="282">
        <v>432000</v>
      </c>
      <c r="Y30" s="283" t="s">
        <v>948</v>
      </c>
      <c r="Z30" s="282"/>
      <c r="AA30" s="283"/>
      <c r="AB30" s="282"/>
      <c r="AH30" s="282">
        <f t="shared" si="0"/>
        <v>732936</v>
      </c>
      <c r="AK30" s="287">
        <f t="shared" si="3"/>
        <v>0</v>
      </c>
      <c r="AL30" s="279">
        <v>18139632621</v>
      </c>
      <c r="AN30" s="314"/>
      <c r="AO30" s="314"/>
      <c r="AP30" s="314"/>
      <c r="AQ30" s="288">
        <f>0.5%+0.05%+0.14%</f>
        <v>0.0069</v>
      </c>
      <c r="AR30" s="349">
        <f t="shared" si="2"/>
        <v>732936</v>
      </c>
      <c r="AS30" s="282">
        <v>100</v>
      </c>
      <c r="AT30" s="282">
        <v>100</v>
      </c>
      <c r="AU30" s="282"/>
      <c r="AV30" s="282">
        <v>732936</v>
      </c>
      <c r="AW30" s="282"/>
      <c r="AX30" s="282"/>
      <c r="AY30" s="352"/>
      <c r="AZ30" s="353"/>
      <c r="BA30" s="282"/>
      <c r="BB30" s="282"/>
      <c r="BC30" s="282"/>
      <c r="BD30" s="282"/>
      <c r="BE30" s="282"/>
      <c r="BT30" s="279" t="s">
        <v>205</v>
      </c>
      <c r="BU30" s="279" t="s">
        <v>206</v>
      </c>
    </row>
    <row r="31" s="279" customFormat="1" customHeight="1" spans="1:73">
      <c r="A31" s="279">
        <v>9</v>
      </c>
      <c r="C31" s="294" t="s">
        <v>916</v>
      </c>
      <c r="D31" s="279">
        <v>20230001400</v>
      </c>
      <c r="F31" s="279" t="s">
        <v>949</v>
      </c>
      <c r="G31" s="294" t="s">
        <v>950</v>
      </c>
      <c r="H31" s="721" t="s">
        <v>951</v>
      </c>
      <c r="I31" s="316" t="s">
        <v>952</v>
      </c>
      <c r="J31" s="279">
        <v>146.97</v>
      </c>
      <c r="K31" s="279">
        <v>146.97</v>
      </c>
      <c r="L31" s="279">
        <v>5208.96</v>
      </c>
      <c r="M31" s="282">
        <v>765561</v>
      </c>
      <c r="N31" s="282"/>
      <c r="O31" s="314"/>
      <c r="P31" s="315"/>
      <c r="Q31" s="315"/>
      <c r="R31" s="282"/>
      <c r="S31" s="329"/>
      <c r="T31" s="332" t="s">
        <v>953</v>
      </c>
      <c r="U31" s="329" t="s">
        <v>954</v>
      </c>
      <c r="V31" s="282">
        <v>725561</v>
      </c>
      <c r="W31" s="283" t="s">
        <v>916</v>
      </c>
      <c r="X31" s="282">
        <v>40000</v>
      </c>
      <c r="Y31" s="283" t="s">
        <v>569</v>
      </c>
      <c r="Z31" s="282"/>
      <c r="AA31" s="283"/>
      <c r="AB31" s="282"/>
      <c r="AH31" s="282">
        <f t="shared" si="0"/>
        <v>765561</v>
      </c>
      <c r="AK31" s="287">
        <f t="shared" si="3"/>
        <v>0</v>
      </c>
      <c r="AL31" s="279">
        <v>18167705590</v>
      </c>
      <c r="AN31" s="314">
        <v>853871</v>
      </c>
      <c r="AO31" s="314"/>
      <c r="AP31" s="314"/>
      <c r="AQ31" s="288">
        <f>0.6%+0.04%+0.1%</f>
        <v>0.0074</v>
      </c>
      <c r="AR31" s="349">
        <f t="shared" si="2"/>
        <v>765561</v>
      </c>
      <c r="AS31" s="282">
        <f t="shared" si="4"/>
        <v>100</v>
      </c>
      <c r="AT31" s="282"/>
      <c r="AU31" s="282"/>
      <c r="AV31" s="282">
        <v>725561</v>
      </c>
      <c r="AW31" s="282"/>
      <c r="AX31" s="282">
        <v>40000</v>
      </c>
      <c r="AY31" s="352"/>
      <c r="AZ31" s="355"/>
      <c r="BA31" s="282"/>
      <c r="BB31" s="282"/>
      <c r="BC31" s="282"/>
      <c r="BD31" s="282"/>
      <c r="BE31" s="282"/>
      <c r="BT31" s="279" t="s">
        <v>205</v>
      </c>
      <c r="BU31" s="279" t="s">
        <v>206</v>
      </c>
    </row>
    <row r="32" s="279" customFormat="1" customHeight="1" spans="1:73">
      <c r="A32" s="279">
        <v>10</v>
      </c>
      <c r="C32" s="294" t="s">
        <v>476</v>
      </c>
      <c r="D32" s="279">
        <v>20230003790</v>
      </c>
      <c r="F32" s="717" t="s">
        <v>955</v>
      </c>
      <c r="G32" s="294" t="s">
        <v>956</v>
      </c>
      <c r="H32" s="721" t="s">
        <v>957</v>
      </c>
      <c r="I32" s="313" t="s">
        <v>958</v>
      </c>
      <c r="J32" s="279">
        <v>137.77</v>
      </c>
      <c r="K32" s="279">
        <v>137.77</v>
      </c>
      <c r="L32" s="279">
        <v>5421.94</v>
      </c>
      <c r="M32" s="282">
        <v>746980</v>
      </c>
      <c r="N32" s="282"/>
      <c r="O32" s="314"/>
      <c r="P32" s="315"/>
      <c r="Q32" s="315"/>
      <c r="R32" s="282"/>
      <c r="S32" s="329"/>
      <c r="T32" s="332" t="s">
        <v>956</v>
      </c>
      <c r="U32" s="329" t="s">
        <v>959</v>
      </c>
      <c r="V32" s="282">
        <f>2000-2000</f>
        <v>0</v>
      </c>
      <c r="W32" s="330">
        <v>44761</v>
      </c>
      <c r="X32" s="282">
        <f>18000-18000</f>
        <v>0</v>
      </c>
      <c r="Y32" s="283" t="s">
        <v>960</v>
      </c>
      <c r="Z32" s="282">
        <v>20000</v>
      </c>
      <c r="AA32" s="283" t="s">
        <v>961</v>
      </c>
      <c r="AB32" s="282">
        <v>206980</v>
      </c>
      <c r="AC32" s="279" t="s">
        <v>601</v>
      </c>
      <c r="AD32" s="279">
        <v>520000</v>
      </c>
      <c r="AE32" s="279" t="s">
        <v>962</v>
      </c>
      <c r="AH32" s="282">
        <f t="shared" si="0"/>
        <v>746980</v>
      </c>
      <c r="AK32" s="287">
        <f t="shared" si="3"/>
        <v>0</v>
      </c>
      <c r="AL32" s="279">
        <v>18599180069</v>
      </c>
      <c r="AN32" s="314">
        <v>803578</v>
      </c>
      <c r="AO32" s="314"/>
      <c r="AP32" s="314"/>
      <c r="AQ32" s="288">
        <f>0.4%+0.1%</f>
        <v>0.005</v>
      </c>
      <c r="AR32" s="349">
        <f t="shared" si="2"/>
        <v>746980</v>
      </c>
      <c r="AS32" s="282">
        <f>100+100</f>
        <v>200</v>
      </c>
      <c r="AT32" s="282"/>
      <c r="AU32" s="282"/>
      <c r="AV32" s="282"/>
      <c r="AW32" s="282"/>
      <c r="AX32" s="282"/>
      <c r="AY32" s="352">
        <v>746980</v>
      </c>
      <c r="AZ32" s="353"/>
      <c r="BA32" s="282"/>
      <c r="BB32" s="282"/>
      <c r="BC32" s="282"/>
      <c r="BD32" s="282"/>
      <c r="BE32" s="282"/>
      <c r="BT32" s="279" t="s">
        <v>205</v>
      </c>
      <c r="BU32" s="279" t="s">
        <v>206</v>
      </c>
    </row>
    <row r="33" s="279" customFormat="1" customHeight="1" spans="1:73">
      <c r="A33" s="279">
        <v>11</v>
      </c>
      <c r="C33" s="294">
        <v>2023.6</v>
      </c>
      <c r="D33" s="279">
        <v>20230004864</v>
      </c>
      <c r="F33" s="295" t="s">
        <v>963</v>
      </c>
      <c r="G33" s="279" t="s">
        <v>964</v>
      </c>
      <c r="H33" s="717" t="s">
        <v>965</v>
      </c>
      <c r="I33" s="316" t="s">
        <v>966</v>
      </c>
      <c r="J33" s="279">
        <v>146.97</v>
      </c>
      <c r="K33" s="279">
        <v>146.97</v>
      </c>
      <c r="L33" s="283">
        <f>M33/K33</f>
        <v>5877.22664489352</v>
      </c>
      <c r="M33" s="282">
        <v>863776</v>
      </c>
      <c r="N33" s="282"/>
      <c r="O33" s="314"/>
      <c r="P33" s="315"/>
      <c r="Q33" s="315"/>
      <c r="R33" s="282"/>
      <c r="S33" s="329"/>
      <c r="T33" s="332"/>
      <c r="U33" s="329" t="s">
        <v>291</v>
      </c>
      <c r="V33" s="282">
        <v>20000</v>
      </c>
      <c r="W33" s="285" t="s">
        <v>675</v>
      </c>
      <c r="X33" s="282">
        <v>343776</v>
      </c>
      <c r="Y33" s="283" t="s">
        <v>967</v>
      </c>
      <c r="Z33" s="282">
        <v>500000</v>
      </c>
      <c r="AA33" s="329" t="s">
        <v>243</v>
      </c>
      <c r="AB33" s="282"/>
      <c r="AH33" s="282">
        <f t="shared" si="0"/>
        <v>863776</v>
      </c>
      <c r="AK33" s="287">
        <f t="shared" si="3"/>
        <v>0</v>
      </c>
      <c r="AL33" s="295" t="s">
        <v>968</v>
      </c>
      <c r="AN33" s="314"/>
      <c r="AO33" s="314"/>
      <c r="AP33" s="314"/>
      <c r="AQ33" s="288">
        <f>0.6%+0.06%+0.14%</f>
        <v>0.008</v>
      </c>
      <c r="AR33" s="349">
        <f t="shared" si="2"/>
        <v>863776</v>
      </c>
      <c r="AS33" s="282">
        <f t="shared" si="4"/>
        <v>100</v>
      </c>
      <c r="AT33" s="282">
        <f>100+100</f>
        <v>200</v>
      </c>
      <c r="AU33" s="282"/>
      <c r="AV33" s="282"/>
      <c r="AW33" s="282"/>
      <c r="AX33" s="282"/>
      <c r="AY33" s="352"/>
      <c r="AZ33" s="356">
        <v>363776</v>
      </c>
      <c r="BA33" s="282"/>
      <c r="BB33" s="282"/>
      <c r="BC33" s="282"/>
      <c r="BD33" s="282">
        <v>500000</v>
      </c>
      <c r="BE33" s="282"/>
      <c r="BQ33" s="362" t="s">
        <v>969</v>
      </c>
      <c r="BT33" s="279" t="s">
        <v>205</v>
      </c>
      <c r="BU33" s="279" t="s">
        <v>206</v>
      </c>
    </row>
    <row r="34" s="279" customFormat="1" customHeight="1" spans="1:73">
      <c r="A34" s="279">
        <v>12</v>
      </c>
      <c r="C34" s="294" t="s">
        <v>970</v>
      </c>
      <c r="D34" s="279">
        <v>20230000730</v>
      </c>
      <c r="F34" s="717" t="s">
        <v>971</v>
      </c>
      <c r="G34" s="294" t="s">
        <v>972</v>
      </c>
      <c r="H34" s="721" t="s">
        <v>973</v>
      </c>
      <c r="I34" s="313" t="s">
        <v>974</v>
      </c>
      <c r="J34" s="279">
        <v>137.77</v>
      </c>
      <c r="K34" s="279">
        <v>137.77</v>
      </c>
      <c r="L34" s="279">
        <v>5265.96</v>
      </c>
      <c r="M34" s="282">
        <v>725492</v>
      </c>
      <c r="N34" s="282"/>
      <c r="O34" s="314"/>
      <c r="P34" s="315"/>
      <c r="Q34" s="315"/>
      <c r="R34" s="282"/>
      <c r="S34" s="329"/>
      <c r="T34" s="332" t="s">
        <v>975</v>
      </c>
      <c r="U34" s="329" t="s">
        <v>976</v>
      </c>
      <c r="V34" s="282">
        <v>426492</v>
      </c>
      <c r="W34" s="330" t="s">
        <v>977</v>
      </c>
      <c r="X34" s="282">
        <v>299000</v>
      </c>
      <c r="Y34" s="329" t="s">
        <v>593</v>
      </c>
      <c r="Z34" s="282"/>
      <c r="AA34" s="283"/>
      <c r="AB34" s="282"/>
      <c r="AH34" s="282">
        <f t="shared" si="0"/>
        <v>725492</v>
      </c>
      <c r="AK34" s="287">
        <f t="shared" si="3"/>
        <v>0</v>
      </c>
      <c r="AL34" s="279">
        <v>17717779640</v>
      </c>
      <c r="AN34" s="314">
        <v>810317</v>
      </c>
      <c r="AO34" s="314"/>
      <c r="AP34" s="314"/>
      <c r="AQ34" s="288">
        <f>0.4%+0.04%+0.1%+0.04%</f>
        <v>0.0058</v>
      </c>
      <c r="AR34" s="349">
        <f t="shared" si="2"/>
        <v>725492</v>
      </c>
      <c r="AS34" s="282">
        <f t="shared" si="4"/>
        <v>100</v>
      </c>
      <c r="AT34" s="282">
        <f>100+100</f>
        <v>200</v>
      </c>
      <c r="AU34" s="282"/>
      <c r="AV34" s="282">
        <v>426492</v>
      </c>
      <c r="AW34" s="282"/>
      <c r="AX34" s="282"/>
      <c r="AY34" s="352"/>
      <c r="AZ34" s="353"/>
      <c r="BA34" s="282"/>
      <c r="BB34" s="282">
        <v>299000</v>
      </c>
      <c r="BC34" s="282"/>
      <c r="BD34" s="282"/>
      <c r="BE34" s="282"/>
      <c r="BT34" s="279" t="s">
        <v>205</v>
      </c>
      <c r="BU34" s="279" t="s">
        <v>206</v>
      </c>
    </row>
    <row r="35" s="279" customFormat="1" ht="72" customHeight="1" spans="1:73">
      <c r="A35" s="279">
        <v>13</v>
      </c>
      <c r="C35" s="294" t="s">
        <v>943</v>
      </c>
      <c r="D35" s="279">
        <v>20230000725</v>
      </c>
      <c r="F35" s="717" t="s">
        <v>978</v>
      </c>
      <c r="G35" s="294" t="s">
        <v>979</v>
      </c>
      <c r="H35" s="721" t="s">
        <v>980</v>
      </c>
      <c r="I35" s="316" t="s">
        <v>981</v>
      </c>
      <c r="J35" s="279">
        <v>146.97</v>
      </c>
      <c r="K35" s="279">
        <v>146.97</v>
      </c>
      <c r="L35" s="279">
        <v>5298.97</v>
      </c>
      <c r="M35" s="282">
        <v>778789</v>
      </c>
      <c r="N35" s="282"/>
      <c r="O35" s="314"/>
      <c r="P35" s="315"/>
      <c r="Q35" s="315"/>
      <c r="R35" s="282"/>
      <c r="S35" s="329"/>
      <c r="T35" s="332" t="s">
        <v>982</v>
      </c>
      <c r="U35" s="329" t="s">
        <v>983</v>
      </c>
      <c r="V35" s="282">
        <f>2000-2000</f>
        <v>0</v>
      </c>
      <c r="W35" s="330">
        <v>44753</v>
      </c>
      <c r="X35" s="282">
        <v>102789</v>
      </c>
      <c r="Y35" s="283" t="s">
        <v>943</v>
      </c>
      <c r="Z35" s="282">
        <v>112000</v>
      </c>
      <c r="AA35" s="283" t="s">
        <v>967</v>
      </c>
      <c r="AB35" s="282">
        <v>65000</v>
      </c>
      <c r="AC35" s="279" t="s">
        <v>984</v>
      </c>
      <c r="AD35" s="282">
        <v>499000</v>
      </c>
      <c r="AE35" s="329" t="s">
        <v>562</v>
      </c>
      <c r="AH35" s="282">
        <f t="shared" ref="AH35:AH40" si="5">V35+X35+Z35+AB35+AD35+AF35</f>
        <v>778789</v>
      </c>
      <c r="AK35" s="287">
        <f t="shared" si="3"/>
        <v>0</v>
      </c>
      <c r="AL35" s="279">
        <v>13139737559</v>
      </c>
      <c r="AN35" s="314">
        <v>868248</v>
      </c>
      <c r="AO35" s="314"/>
      <c r="AP35" s="314"/>
      <c r="AQ35" s="288">
        <f>0.6%+0.1%</f>
        <v>0.007</v>
      </c>
      <c r="AR35" s="349">
        <f t="shared" si="2"/>
        <v>778789</v>
      </c>
      <c r="AS35" s="282">
        <f>100+100</f>
        <v>200</v>
      </c>
      <c r="AT35" s="282"/>
      <c r="AU35" s="282"/>
      <c r="AV35" s="282"/>
      <c r="AW35" s="282"/>
      <c r="AX35" s="282"/>
      <c r="AY35" s="352"/>
      <c r="AZ35" s="356">
        <v>167789</v>
      </c>
      <c r="BA35" s="282">
        <v>611000</v>
      </c>
      <c r="BB35" s="282"/>
      <c r="BC35" s="282"/>
      <c r="BD35" s="282"/>
      <c r="BE35" s="282"/>
      <c r="BR35" s="363"/>
      <c r="BT35" s="279" t="s">
        <v>205</v>
      </c>
      <c r="BU35" s="279" t="s">
        <v>206</v>
      </c>
    </row>
    <row r="36" s="279" customFormat="1" customHeight="1" spans="1:73">
      <c r="A36" s="279">
        <v>14</v>
      </c>
      <c r="C36" s="294" t="s">
        <v>985</v>
      </c>
      <c r="D36" s="279">
        <v>20230000142</v>
      </c>
      <c r="F36" s="717" t="s">
        <v>986</v>
      </c>
      <c r="G36" s="294" t="s">
        <v>987</v>
      </c>
      <c r="H36" s="721" t="s">
        <v>988</v>
      </c>
      <c r="I36" s="313" t="s">
        <v>989</v>
      </c>
      <c r="J36" s="279">
        <v>137.77</v>
      </c>
      <c r="K36" s="279">
        <v>137.77</v>
      </c>
      <c r="L36" s="279">
        <v>5310.96</v>
      </c>
      <c r="M36" s="282">
        <v>731691</v>
      </c>
      <c r="N36" s="282"/>
      <c r="O36" s="314"/>
      <c r="P36" s="315"/>
      <c r="Q36" s="315"/>
      <c r="R36" s="282"/>
      <c r="S36" s="285"/>
      <c r="T36" s="332" t="s">
        <v>990</v>
      </c>
      <c r="U36" s="329" t="s">
        <v>991</v>
      </c>
      <c r="V36" s="282">
        <f>2000</f>
        <v>2000</v>
      </c>
      <c r="W36" s="330">
        <v>44760</v>
      </c>
      <c r="X36" s="282">
        <v>18000</v>
      </c>
      <c r="Y36" s="283" t="s">
        <v>960</v>
      </c>
      <c r="Z36" s="282">
        <v>163691</v>
      </c>
      <c r="AA36" s="283" t="s">
        <v>992</v>
      </c>
      <c r="AB36" s="282">
        <v>348000</v>
      </c>
      <c r="AC36" s="279" t="s">
        <v>993</v>
      </c>
      <c r="AD36" s="279">
        <v>200000</v>
      </c>
      <c r="AE36" s="279" t="s">
        <v>994</v>
      </c>
      <c r="AH36" s="282">
        <f t="shared" si="5"/>
        <v>731691</v>
      </c>
      <c r="AK36" s="287">
        <f t="shared" si="3"/>
        <v>0</v>
      </c>
      <c r="AL36" s="279">
        <v>13369967520</v>
      </c>
      <c r="AN36" s="314">
        <v>817056</v>
      </c>
      <c r="AO36" s="314"/>
      <c r="AP36" s="314"/>
      <c r="AQ36" s="288">
        <f t="shared" ref="AQ36:AQ38" si="6">0.6%+0.04%+0.1%</f>
        <v>0.0074</v>
      </c>
      <c r="AR36" s="349">
        <f t="shared" si="2"/>
        <v>731691</v>
      </c>
      <c r="AS36" s="282"/>
      <c r="AT36" s="282">
        <v>100</v>
      </c>
      <c r="AU36" s="282">
        <v>183691</v>
      </c>
      <c r="AV36" s="282">
        <v>348000</v>
      </c>
      <c r="AW36" s="282"/>
      <c r="AX36" s="282"/>
      <c r="AY36" s="352"/>
      <c r="AZ36" s="357">
        <v>200000</v>
      </c>
      <c r="BA36" s="282"/>
      <c r="BB36" s="282"/>
      <c r="BC36" s="282"/>
      <c r="BD36" s="282"/>
      <c r="BE36" s="282"/>
      <c r="BR36" s="363"/>
      <c r="BT36" s="279" t="s">
        <v>205</v>
      </c>
      <c r="BU36" s="279" t="s">
        <v>206</v>
      </c>
    </row>
    <row r="37" s="279" customFormat="1" customHeight="1" spans="1:73">
      <c r="A37" s="279">
        <v>15</v>
      </c>
      <c r="C37" s="294" t="s">
        <v>995</v>
      </c>
      <c r="D37" s="279">
        <v>20230000953</v>
      </c>
      <c r="F37" s="717" t="s">
        <v>996</v>
      </c>
      <c r="G37" s="279" t="s">
        <v>997</v>
      </c>
      <c r="H37" s="717" t="s">
        <v>998</v>
      </c>
      <c r="I37" s="313" t="s">
        <v>999</v>
      </c>
      <c r="J37" s="279">
        <v>146.97</v>
      </c>
      <c r="K37" s="279">
        <v>146.97</v>
      </c>
      <c r="L37" s="279">
        <v>5323.96</v>
      </c>
      <c r="M37" s="282">
        <v>782463</v>
      </c>
      <c r="N37" s="282"/>
      <c r="O37" s="314"/>
      <c r="P37" s="315"/>
      <c r="Q37" s="315"/>
      <c r="R37" s="282"/>
      <c r="T37" s="334" t="s">
        <v>1000</v>
      </c>
      <c r="U37" s="279" t="s">
        <v>1001</v>
      </c>
      <c r="V37" s="282">
        <v>77463</v>
      </c>
      <c r="W37" s="283" t="s">
        <v>1002</v>
      </c>
      <c r="X37" s="282">
        <v>80000</v>
      </c>
      <c r="Y37" s="283" t="s">
        <v>993</v>
      </c>
      <c r="Z37" s="282">
        <v>12000</v>
      </c>
      <c r="AA37" s="279" t="s">
        <v>1003</v>
      </c>
      <c r="AB37" s="282">
        <v>613000</v>
      </c>
      <c r="AC37" s="279" t="s">
        <v>242</v>
      </c>
      <c r="AH37" s="282">
        <f t="shared" si="5"/>
        <v>782463</v>
      </c>
      <c r="AK37" s="287">
        <f t="shared" si="3"/>
        <v>0</v>
      </c>
      <c r="AL37" s="279">
        <v>13999627205</v>
      </c>
      <c r="AN37" s="314">
        <v>872242</v>
      </c>
      <c r="AO37" s="314"/>
      <c r="AP37" s="314"/>
      <c r="AQ37" s="288">
        <f>0.6%+0.04%+0.1%+0.04%</f>
        <v>0.0078</v>
      </c>
      <c r="AR37" s="349">
        <f t="shared" si="2"/>
        <v>782463</v>
      </c>
      <c r="AS37" s="282"/>
      <c r="AT37" s="282"/>
      <c r="AU37" s="282"/>
      <c r="AV37" s="282">
        <v>157463</v>
      </c>
      <c r="AW37" s="282"/>
      <c r="AX37" s="282"/>
      <c r="AY37" s="352"/>
      <c r="AZ37" s="353"/>
      <c r="BA37" s="282"/>
      <c r="BB37" s="282"/>
      <c r="BC37" s="282">
        <v>625000</v>
      </c>
      <c r="BD37" s="282"/>
      <c r="BE37" s="282"/>
      <c r="BR37" s="363"/>
      <c r="BT37" s="279" t="s">
        <v>205</v>
      </c>
      <c r="BU37" s="279" t="s">
        <v>206</v>
      </c>
    </row>
    <row r="38" s="279" customFormat="1" customHeight="1" spans="1:73">
      <c r="A38" s="279">
        <v>16</v>
      </c>
      <c r="C38" s="294" t="s">
        <v>916</v>
      </c>
      <c r="D38" s="279">
        <v>20230001308</v>
      </c>
      <c r="F38" s="279" t="s">
        <v>1004</v>
      </c>
      <c r="G38" s="294" t="s">
        <v>1005</v>
      </c>
      <c r="H38" s="721" t="s">
        <v>1006</v>
      </c>
      <c r="I38" s="313" t="s">
        <v>1007</v>
      </c>
      <c r="J38" s="279">
        <v>137.77</v>
      </c>
      <c r="K38" s="279">
        <v>137.77</v>
      </c>
      <c r="L38" s="279">
        <v>5335.96</v>
      </c>
      <c r="M38" s="282">
        <v>735136</v>
      </c>
      <c r="N38" s="282"/>
      <c r="O38" s="314"/>
      <c r="P38" s="315"/>
      <c r="Q38" s="315"/>
      <c r="R38" s="282"/>
      <c r="S38" s="285"/>
      <c r="T38" s="286" t="s">
        <v>1008</v>
      </c>
      <c r="U38" s="285" t="s">
        <v>1009</v>
      </c>
      <c r="V38" s="282">
        <v>192136</v>
      </c>
      <c r="W38" s="283" t="s">
        <v>916</v>
      </c>
      <c r="X38" s="282">
        <v>43000</v>
      </c>
      <c r="Y38" s="279" t="s">
        <v>992</v>
      </c>
      <c r="Z38" s="282">
        <v>500000</v>
      </c>
      <c r="AA38" s="283" t="s">
        <v>995</v>
      </c>
      <c r="AB38" s="282"/>
      <c r="AH38" s="282">
        <f t="shared" si="5"/>
        <v>735136</v>
      </c>
      <c r="AK38" s="287">
        <f t="shared" si="3"/>
        <v>0</v>
      </c>
      <c r="AL38" s="279">
        <v>18794759920</v>
      </c>
      <c r="AN38" s="314">
        <v>820800</v>
      </c>
      <c r="AO38" s="314"/>
      <c r="AP38" s="314"/>
      <c r="AQ38" s="288">
        <f t="shared" si="6"/>
        <v>0.0074</v>
      </c>
      <c r="AR38" s="349">
        <f t="shared" si="2"/>
        <v>735136</v>
      </c>
      <c r="AS38" s="282">
        <v>100</v>
      </c>
      <c r="AT38" s="282">
        <v>100</v>
      </c>
      <c r="AU38" s="282"/>
      <c r="AV38" s="282">
        <v>235136</v>
      </c>
      <c r="AW38" s="282">
        <v>500000</v>
      </c>
      <c r="AX38" s="282"/>
      <c r="AY38" s="352"/>
      <c r="AZ38" s="353"/>
      <c r="BA38" s="282"/>
      <c r="BB38" s="282"/>
      <c r="BC38" s="282"/>
      <c r="BD38" s="282"/>
      <c r="BE38" s="282"/>
      <c r="BR38" s="363"/>
      <c r="BT38" s="279" t="s">
        <v>205</v>
      </c>
      <c r="BU38" s="279" t="s">
        <v>206</v>
      </c>
    </row>
    <row r="39" s="279" customFormat="1" customHeight="1" spans="1:73">
      <c r="A39" s="279">
        <v>17</v>
      </c>
      <c r="C39" s="294" t="s">
        <v>1010</v>
      </c>
      <c r="D39" s="279">
        <v>20230003229</v>
      </c>
      <c r="F39" s="717" t="s">
        <v>1011</v>
      </c>
      <c r="G39" s="279" t="s">
        <v>1012</v>
      </c>
      <c r="H39" s="717" t="s">
        <v>1013</v>
      </c>
      <c r="I39" s="316" t="s">
        <v>1014</v>
      </c>
      <c r="J39" s="279">
        <v>146.97</v>
      </c>
      <c r="K39" s="279">
        <v>146.97</v>
      </c>
      <c r="L39" s="279">
        <v>5368.96</v>
      </c>
      <c r="M39" s="282">
        <v>789076</v>
      </c>
      <c r="N39" s="282"/>
      <c r="O39" s="314"/>
      <c r="P39" s="315"/>
      <c r="Q39" s="315"/>
      <c r="R39" s="282"/>
      <c r="S39" s="285"/>
      <c r="T39" s="286" t="s">
        <v>1015</v>
      </c>
      <c r="U39" s="285" t="s">
        <v>1016</v>
      </c>
      <c r="V39" s="282">
        <v>2000</v>
      </c>
      <c r="W39" s="331">
        <v>44763</v>
      </c>
      <c r="X39" s="282">
        <v>18000</v>
      </c>
      <c r="Y39" s="283" t="s">
        <v>960</v>
      </c>
      <c r="Z39" s="282">
        <v>239076</v>
      </c>
      <c r="AA39" s="283" t="s">
        <v>1010</v>
      </c>
      <c r="AB39" s="282"/>
      <c r="AH39" s="282">
        <f t="shared" si="5"/>
        <v>259076</v>
      </c>
      <c r="AK39" s="287">
        <f t="shared" si="3"/>
        <v>530000</v>
      </c>
      <c r="AL39" s="279">
        <v>13899055333</v>
      </c>
      <c r="AN39" s="314">
        <v>879431</v>
      </c>
      <c r="AO39" s="314"/>
      <c r="AP39" s="314"/>
      <c r="AQ39" s="288">
        <v>0.0054</v>
      </c>
      <c r="AR39" s="349">
        <f t="shared" si="2"/>
        <v>0</v>
      </c>
      <c r="AS39" s="282">
        <f>100</f>
        <v>100</v>
      </c>
      <c r="AT39" s="282"/>
      <c r="AU39" s="282"/>
      <c r="AV39" s="282"/>
      <c r="AW39" s="282"/>
      <c r="AX39" s="282"/>
      <c r="AY39" s="352"/>
      <c r="AZ39" s="355"/>
      <c r="BA39" s="282"/>
      <c r="BB39" s="282"/>
      <c r="BC39" s="282"/>
      <c r="BD39" s="282"/>
      <c r="BE39" s="282"/>
      <c r="BR39" s="363"/>
      <c r="BT39" s="279" t="s">
        <v>205</v>
      </c>
      <c r="BU39" s="279" t="s">
        <v>206</v>
      </c>
    </row>
    <row r="40" s="279" customFormat="1" customHeight="1" spans="1:73">
      <c r="A40" s="279">
        <v>18</v>
      </c>
      <c r="C40" s="294" t="s">
        <v>942</v>
      </c>
      <c r="D40" s="279">
        <v>20230001243</v>
      </c>
      <c r="F40" s="717" t="s">
        <v>1017</v>
      </c>
      <c r="G40" s="296" t="s">
        <v>1018</v>
      </c>
      <c r="H40" s="721" t="s">
        <v>1019</v>
      </c>
      <c r="I40" s="313" t="s">
        <v>1020</v>
      </c>
      <c r="J40" s="279">
        <v>137.77</v>
      </c>
      <c r="K40" s="279">
        <v>137.77</v>
      </c>
      <c r="L40" s="279">
        <v>5380.96</v>
      </c>
      <c r="M40" s="282">
        <v>741335</v>
      </c>
      <c r="N40" s="282"/>
      <c r="O40" s="314"/>
      <c r="P40" s="315"/>
      <c r="Q40" s="315"/>
      <c r="R40" s="282"/>
      <c r="S40" s="329"/>
      <c r="T40" s="332" t="s">
        <v>1021</v>
      </c>
      <c r="U40" s="329" t="s">
        <v>1022</v>
      </c>
      <c r="V40" s="282">
        <v>242335</v>
      </c>
      <c r="W40" s="283" t="s">
        <v>942</v>
      </c>
      <c r="X40" s="282">
        <v>499000</v>
      </c>
      <c r="Y40" s="283" t="s">
        <v>1023</v>
      </c>
      <c r="Z40" s="282"/>
      <c r="AA40" s="283"/>
      <c r="AB40" s="282"/>
      <c r="AH40" s="282">
        <f t="shared" si="5"/>
        <v>741335</v>
      </c>
      <c r="AK40" s="287">
        <f t="shared" si="3"/>
        <v>0</v>
      </c>
      <c r="AL40" s="279">
        <v>13565026218</v>
      </c>
      <c r="AN40" s="314">
        <v>827538</v>
      </c>
      <c r="AO40" s="314"/>
      <c r="AP40" s="314"/>
      <c r="AQ40" s="288">
        <f>0.6%+0.1%</f>
        <v>0.007</v>
      </c>
      <c r="AR40" s="349">
        <f t="shared" si="2"/>
        <v>741335</v>
      </c>
      <c r="AS40" s="282"/>
      <c r="AT40" s="282">
        <f>100+100</f>
        <v>200</v>
      </c>
      <c r="AU40" s="282"/>
      <c r="AV40" s="282">
        <v>242335</v>
      </c>
      <c r="AW40" s="282"/>
      <c r="AX40" s="282"/>
      <c r="AY40" s="352">
        <v>499000</v>
      </c>
      <c r="AZ40" s="353"/>
      <c r="BA40" s="282"/>
      <c r="BB40" s="282"/>
      <c r="BC40" s="282"/>
      <c r="BD40" s="282"/>
      <c r="BE40" s="282"/>
      <c r="BR40" s="363"/>
      <c r="BT40" s="279" t="s">
        <v>205</v>
      </c>
      <c r="BU40" s="279" t="s">
        <v>206</v>
      </c>
    </row>
    <row r="41" s="279" customFormat="1" customHeight="1" spans="1:73">
      <c r="A41" s="279">
        <v>19</v>
      </c>
      <c r="C41" s="294" t="s">
        <v>942</v>
      </c>
      <c r="D41" s="279">
        <v>20230001161</v>
      </c>
      <c r="F41" s="717" t="s">
        <v>1024</v>
      </c>
      <c r="G41" s="294" t="s">
        <v>1025</v>
      </c>
      <c r="H41" s="721" t="s">
        <v>1026</v>
      </c>
      <c r="I41" s="316" t="s">
        <v>1027</v>
      </c>
      <c r="J41" s="279">
        <v>146.97</v>
      </c>
      <c r="K41" s="279">
        <v>146.97</v>
      </c>
      <c r="L41" s="279">
        <v>5388.96</v>
      </c>
      <c r="M41" s="282">
        <v>792016</v>
      </c>
      <c r="N41" s="282"/>
      <c r="O41" s="314"/>
      <c r="P41" s="315"/>
      <c r="Q41" s="315"/>
      <c r="R41" s="282"/>
      <c r="S41" s="329"/>
      <c r="T41" s="332" t="s">
        <v>1028</v>
      </c>
      <c r="U41" s="329" t="s">
        <v>1029</v>
      </c>
      <c r="V41" s="279">
        <v>542016</v>
      </c>
      <c r="W41" s="283" t="s">
        <v>942</v>
      </c>
      <c r="X41" s="282">
        <v>250000</v>
      </c>
      <c r="Y41" s="329" t="s">
        <v>1003</v>
      </c>
      <c r="Z41" s="282"/>
      <c r="AA41" s="283"/>
      <c r="AB41" s="282"/>
      <c r="AH41" s="282">
        <f t="shared" ref="AH41:AH46" si="7">V41+X41+Z41+AB41+AD41+AF41</f>
        <v>792016</v>
      </c>
      <c r="AK41" s="287">
        <f t="shared" si="3"/>
        <v>0</v>
      </c>
      <c r="AL41" s="279">
        <v>15699251659</v>
      </c>
      <c r="AN41" s="314">
        <v>882626</v>
      </c>
      <c r="AO41" s="314"/>
      <c r="AP41" s="314"/>
      <c r="AQ41" s="288">
        <f>0.4%+0.04%+0.1%</f>
        <v>0.0054</v>
      </c>
      <c r="AR41" s="349">
        <f t="shared" si="2"/>
        <v>792016</v>
      </c>
      <c r="AS41" s="282">
        <f>100</f>
        <v>100</v>
      </c>
      <c r="AT41" s="282"/>
      <c r="AU41" s="282"/>
      <c r="AV41" s="282">
        <v>542016</v>
      </c>
      <c r="AW41" s="282"/>
      <c r="AX41" s="282"/>
      <c r="AY41" s="352"/>
      <c r="AZ41" s="353"/>
      <c r="BA41" s="282">
        <v>250000</v>
      </c>
      <c r="BB41" s="282"/>
      <c r="BC41" s="282"/>
      <c r="BD41" s="282"/>
      <c r="BE41" s="282"/>
      <c r="BR41" s="363"/>
      <c r="BT41" s="279" t="s">
        <v>205</v>
      </c>
      <c r="BU41" s="279" t="s">
        <v>206</v>
      </c>
    </row>
    <row r="42" s="279" customFormat="1" customHeight="1" spans="1:73">
      <c r="A42" s="279">
        <v>20</v>
      </c>
      <c r="C42" s="294" t="s">
        <v>1030</v>
      </c>
      <c r="D42" s="279">
        <v>20230000170</v>
      </c>
      <c r="F42" s="717" t="s">
        <v>1031</v>
      </c>
      <c r="G42" s="294" t="s">
        <v>872</v>
      </c>
      <c r="I42" s="313" t="s">
        <v>1032</v>
      </c>
      <c r="J42" s="279">
        <v>137.77</v>
      </c>
      <c r="K42" s="279">
        <v>137.77</v>
      </c>
      <c r="L42" s="279">
        <v>5351</v>
      </c>
      <c r="M42" s="317">
        <v>737202</v>
      </c>
      <c r="N42" s="317"/>
      <c r="O42" s="314"/>
      <c r="P42" s="315"/>
      <c r="Q42" s="315"/>
      <c r="R42" s="282"/>
      <c r="S42" s="285"/>
      <c r="T42" s="286" t="s">
        <v>1033</v>
      </c>
      <c r="U42" s="285" t="s">
        <v>1034</v>
      </c>
      <c r="V42" s="282">
        <v>2000</v>
      </c>
      <c r="W42" s="331">
        <v>44762</v>
      </c>
      <c r="X42" s="282">
        <v>18000</v>
      </c>
      <c r="Y42" s="339" t="s">
        <v>960</v>
      </c>
      <c r="Z42" s="282">
        <v>73202</v>
      </c>
      <c r="AA42" s="279" t="s">
        <v>1030</v>
      </c>
      <c r="AB42" s="282">
        <v>60000</v>
      </c>
      <c r="AC42" s="279" t="s">
        <v>1035</v>
      </c>
      <c r="AD42" s="279">
        <v>85000</v>
      </c>
      <c r="AE42" s="279" t="s">
        <v>726</v>
      </c>
      <c r="AF42" s="279">
        <v>499000</v>
      </c>
      <c r="AG42" s="279" t="s">
        <v>1036</v>
      </c>
      <c r="AH42" s="282">
        <f t="shared" si="7"/>
        <v>737202</v>
      </c>
      <c r="AK42" s="287">
        <f t="shared" si="3"/>
        <v>0</v>
      </c>
      <c r="AL42" s="295" t="s">
        <v>1037</v>
      </c>
      <c r="AM42" s="295"/>
      <c r="AN42" s="343"/>
      <c r="AO42" s="343"/>
      <c r="AP42" s="343"/>
      <c r="AQ42" s="288">
        <f>0.6%+0.04%+0.1%</f>
        <v>0.0074</v>
      </c>
      <c r="AR42" s="349">
        <f t="shared" si="2"/>
        <v>737202</v>
      </c>
      <c r="AS42" s="282"/>
      <c r="AT42" s="282"/>
      <c r="AU42" s="282"/>
      <c r="AV42" s="282"/>
      <c r="AW42" s="282">
        <v>238202</v>
      </c>
      <c r="AX42" s="282">
        <v>499000</v>
      </c>
      <c r="AY42" s="352"/>
      <c r="AZ42" s="353"/>
      <c r="BA42" s="282"/>
      <c r="BB42" s="282"/>
      <c r="BC42" s="282"/>
      <c r="BD42" s="282"/>
      <c r="BE42" s="282"/>
      <c r="BR42" s="363"/>
      <c r="BT42" s="279" t="s">
        <v>205</v>
      </c>
      <c r="BU42" s="279" t="s">
        <v>206</v>
      </c>
    </row>
    <row r="43" s="279" customFormat="1" ht="60" customHeight="1" spans="1:73">
      <c r="A43" s="279">
        <v>21</v>
      </c>
      <c r="C43" s="294" t="s">
        <v>394</v>
      </c>
      <c r="D43" s="279">
        <v>20230005171</v>
      </c>
      <c r="F43" s="717" t="s">
        <v>1038</v>
      </c>
      <c r="G43" s="294" t="s">
        <v>1039</v>
      </c>
      <c r="H43" s="721" t="s">
        <v>1040</v>
      </c>
      <c r="I43" s="316" t="s">
        <v>1041</v>
      </c>
      <c r="J43" s="279">
        <v>146.97</v>
      </c>
      <c r="K43" s="279">
        <v>146.97</v>
      </c>
      <c r="L43" s="279">
        <v>6443.5</v>
      </c>
      <c r="M43" s="282">
        <v>947000</v>
      </c>
      <c r="N43" s="282"/>
      <c r="O43" s="314"/>
      <c r="P43" s="315"/>
      <c r="Q43" s="315"/>
      <c r="R43" s="282"/>
      <c r="S43" s="329"/>
      <c r="T43" s="332" t="s">
        <v>1042</v>
      </c>
      <c r="U43" s="329" t="s">
        <v>1043</v>
      </c>
      <c r="V43" s="282">
        <f>20000+2000-2000+2000-2000</f>
        <v>20000</v>
      </c>
      <c r="W43" s="330" t="s">
        <v>1044</v>
      </c>
      <c r="X43" s="282">
        <v>80000</v>
      </c>
      <c r="Y43" s="283" t="s">
        <v>1045</v>
      </c>
      <c r="Z43" s="282">
        <v>90000</v>
      </c>
      <c r="AA43" s="283" t="s">
        <v>394</v>
      </c>
      <c r="AB43" s="282">
        <v>47000</v>
      </c>
      <c r="AC43" s="329" t="s">
        <v>654</v>
      </c>
      <c r="AD43" s="282">
        <v>710000</v>
      </c>
      <c r="AE43" s="329" t="s">
        <v>602</v>
      </c>
      <c r="AH43" s="282">
        <f t="shared" si="7"/>
        <v>947000</v>
      </c>
      <c r="AK43" s="287">
        <f t="shared" si="3"/>
        <v>0</v>
      </c>
      <c r="AL43" s="279">
        <v>15739869730</v>
      </c>
      <c r="AN43" s="314">
        <v>1050210</v>
      </c>
      <c r="AO43" s="314"/>
      <c r="AP43" s="314"/>
      <c r="AQ43" s="288">
        <f>0.4%+0.04%+0.1%</f>
        <v>0.0054</v>
      </c>
      <c r="AR43" s="349">
        <f t="shared" si="2"/>
        <v>947000</v>
      </c>
      <c r="AS43" s="282">
        <f>100+100</f>
        <v>200</v>
      </c>
      <c r="AT43" s="282">
        <f>100</f>
        <v>100</v>
      </c>
      <c r="AU43" s="282"/>
      <c r="AV43" s="282"/>
      <c r="AW43" s="282"/>
      <c r="AX43" s="282"/>
      <c r="AY43" s="352"/>
      <c r="AZ43" s="356">
        <v>190000</v>
      </c>
      <c r="BA43" s="282"/>
      <c r="BB43" s="282"/>
      <c r="BC43" s="282"/>
      <c r="BD43" s="282">
        <v>757000</v>
      </c>
      <c r="BE43" s="282"/>
      <c r="BR43" s="363"/>
      <c r="BT43" s="279" t="s">
        <v>205</v>
      </c>
      <c r="BU43" s="279" t="s">
        <v>206</v>
      </c>
    </row>
    <row r="44" s="279" customFormat="1" ht="58" customHeight="1" spans="1:73">
      <c r="A44" s="279">
        <v>22</v>
      </c>
      <c r="C44" s="294" t="s">
        <v>916</v>
      </c>
      <c r="D44" s="279">
        <v>20230001343</v>
      </c>
      <c r="F44" s="717" t="s">
        <v>1046</v>
      </c>
      <c r="G44" s="294" t="s">
        <v>875</v>
      </c>
      <c r="H44" s="721" t="s">
        <v>1047</v>
      </c>
      <c r="I44" s="313" t="s">
        <v>1048</v>
      </c>
      <c r="J44" s="279">
        <v>137.77</v>
      </c>
      <c r="K44" s="279">
        <v>137.77</v>
      </c>
      <c r="L44" s="279">
        <v>6520</v>
      </c>
      <c r="M44" s="282">
        <v>898260</v>
      </c>
      <c r="N44" s="282"/>
      <c r="O44" s="314"/>
      <c r="P44" s="315"/>
      <c r="Q44" s="315"/>
      <c r="R44" s="282"/>
      <c r="S44" s="329"/>
      <c r="T44" s="329" t="s">
        <v>1049</v>
      </c>
      <c r="U44" s="329" t="s">
        <v>1050</v>
      </c>
      <c r="V44" s="279">
        <v>328260</v>
      </c>
      <c r="W44" s="283" t="s">
        <v>916</v>
      </c>
      <c r="X44" s="282">
        <v>370000</v>
      </c>
      <c r="Y44" s="283" t="s">
        <v>1023</v>
      </c>
      <c r="Z44" s="282">
        <v>200000</v>
      </c>
      <c r="AA44" s="329" t="s">
        <v>1051</v>
      </c>
      <c r="AB44" s="282"/>
      <c r="AH44" s="282">
        <f t="shared" si="7"/>
        <v>898260</v>
      </c>
      <c r="AK44" s="287">
        <f t="shared" si="3"/>
        <v>0</v>
      </c>
      <c r="AL44" s="295" t="s">
        <v>1052</v>
      </c>
      <c r="AN44" s="314">
        <v>998109</v>
      </c>
      <c r="AO44" s="314"/>
      <c r="AP44" s="314"/>
      <c r="AQ44" s="288">
        <f>0.4%+0.04%+0.1%+0.04%</f>
        <v>0.0058</v>
      </c>
      <c r="AR44" s="349">
        <f t="shared" si="2"/>
        <v>898260</v>
      </c>
      <c r="AS44" s="282"/>
      <c r="AT44" s="282">
        <f>100+100</f>
        <v>200</v>
      </c>
      <c r="AU44" s="282"/>
      <c r="AV44" s="282"/>
      <c r="AW44" s="282"/>
      <c r="AX44" s="282"/>
      <c r="AY44" s="352">
        <v>698260</v>
      </c>
      <c r="AZ44" s="353"/>
      <c r="BA44" s="282"/>
      <c r="BB44" s="282"/>
      <c r="BC44" s="282"/>
      <c r="BD44" s="282"/>
      <c r="BE44" s="282">
        <v>200000</v>
      </c>
      <c r="BR44" s="363"/>
      <c r="BT44" s="279" t="s">
        <v>205</v>
      </c>
      <c r="BU44" s="279" t="s">
        <v>206</v>
      </c>
    </row>
    <row r="45" s="279" customFormat="1" customHeight="1" spans="1:73">
      <c r="A45" s="279">
        <v>23</v>
      </c>
      <c r="C45" s="294" t="s">
        <v>351</v>
      </c>
      <c r="D45" s="279">
        <v>20230008632</v>
      </c>
      <c r="F45" s="717" t="s">
        <v>1053</v>
      </c>
      <c r="G45" s="294" t="s">
        <v>1054</v>
      </c>
      <c r="H45" s="721" t="s">
        <v>1055</v>
      </c>
      <c r="I45" s="316" t="s">
        <v>1056</v>
      </c>
      <c r="J45" s="279">
        <v>140.29</v>
      </c>
      <c r="K45" s="279">
        <v>140.29</v>
      </c>
      <c r="L45" s="279">
        <v>7860</v>
      </c>
      <c r="M45" s="282">
        <v>1102679</v>
      </c>
      <c r="N45" s="282">
        <v>7855</v>
      </c>
      <c r="O45" s="314"/>
      <c r="P45" s="315"/>
      <c r="Q45" s="315"/>
      <c r="R45" s="282"/>
      <c r="T45" s="279" t="s">
        <v>1054</v>
      </c>
      <c r="U45" s="279" t="s">
        <v>201</v>
      </c>
      <c r="V45" s="282">
        <v>20000</v>
      </c>
      <c r="W45" s="279" t="s">
        <v>1057</v>
      </c>
      <c r="X45" s="282">
        <v>282679</v>
      </c>
      <c r="Y45" s="283" t="s">
        <v>1058</v>
      </c>
      <c r="Z45" s="282">
        <v>800000</v>
      </c>
      <c r="AA45" s="279" t="s">
        <v>1059</v>
      </c>
      <c r="AB45" s="282"/>
      <c r="AH45" s="282">
        <f t="shared" si="7"/>
        <v>1102679</v>
      </c>
      <c r="AK45" s="287">
        <f t="shared" si="3"/>
        <v>0</v>
      </c>
      <c r="AL45" s="279">
        <v>18690985916</v>
      </c>
      <c r="AN45" s="314"/>
      <c r="AO45" s="314"/>
      <c r="AP45" s="314"/>
      <c r="AQ45" s="288">
        <f>0.6%+0.1%+0.05%</f>
        <v>0.0075</v>
      </c>
      <c r="AR45" s="349">
        <f t="shared" si="2"/>
        <v>1102679</v>
      </c>
      <c r="AS45" s="282"/>
      <c r="AT45" s="282"/>
      <c r="AU45" s="282"/>
      <c r="AV45" s="282"/>
      <c r="AW45" s="282"/>
      <c r="AX45" s="282"/>
      <c r="AY45" s="158"/>
      <c r="AZ45" s="354"/>
      <c r="BA45" s="282"/>
      <c r="BB45" s="282"/>
      <c r="BC45" s="282"/>
      <c r="BD45" s="282">
        <v>1102679</v>
      </c>
      <c r="BE45" s="282"/>
      <c r="BR45" s="363"/>
      <c r="BT45" s="279" t="s">
        <v>205</v>
      </c>
      <c r="BU45" s="279" t="s">
        <v>206</v>
      </c>
    </row>
    <row r="46" s="279" customFormat="1" ht="42" customHeight="1" spans="1:73">
      <c r="A46" s="279">
        <v>24</v>
      </c>
      <c r="C46" s="294" t="s">
        <v>1002</v>
      </c>
      <c r="D46" s="279">
        <v>20230000901</v>
      </c>
      <c r="F46" s="717" t="s">
        <v>1060</v>
      </c>
      <c r="G46" s="279" t="s">
        <v>1061</v>
      </c>
      <c r="H46" s="717" t="s">
        <v>1062</v>
      </c>
      <c r="I46" s="313" t="s">
        <v>1063</v>
      </c>
      <c r="J46" s="279">
        <v>140.89</v>
      </c>
      <c r="K46" s="279">
        <v>140.89</v>
      </c>
      <c r="L46" s="279">
        <v>7835</v>
      </c>
      <c r="M46" s="282">
        <v>1103873</v>
      </c>
      <c r="N46" s="282"/>
      <c r="O46" s="314"/>
      <c r="P46" s="315"/>
      <c r="Q46" s="315"/>
      <c r="R46" s="282"/>
      <c r="S46" s="285"/>
      <c r="T46" s="332" t="s">
        <v>1064</v>
      </c>
      <c r="U46" s="329" t="s">
        <v>1065</v>
      </c>
      <c r="V46" s="282">
        <v>28873</v>
      </c>
      <c r="W46" s="283" t="s">
        <v>1002</v>
      </c>
      <c r="X46" s="279">
        <v>375000</v>
      </c>
      <c r="Y46" s="283" t="s">
        <v>992</v>
      </c>
      <c r="Z46" s="282">
        <v>700000</v>
      </c>
      <c r="AA46" s="285" t="s">
        <v>1066</v>
      </c>
      <c r="AB46" s="282"/>
      <c r="AH46" s="282">
        <f t="shared" si="7"/>
        <v>1103873</v>
      </c>
      <c r="AK46" s="287">
        <f t="shared" si="3"/>
        <v>0</v>
      </c>
      <c r="AL46" s="279">
        <v>13999007117</v>
      </c>
      <c r="AN46" s="314">
        <v>1221295</v>
      </c>
      <c r="AO46" s="314"/>
      <c r="AP46" s="314"/>
      <c r="AQ46" s="288">
        <f>0.4%+0.04%+0.1%+0.04%</f>
        <v>0.0058</v>
      </c>
      <c r="AR46" s="349">
        <f t="shared" si="2"/>
        <v>1103873</v>
      </c>
      <c r="AS46" s="282"/>
      <c r="AT46" s="282">
        <v>100</v>
      </c>
      <c r="AU46" s="282"/>
      <c r="AV46" s="282">
        <v>403873</v>
      </c>
      <c r="AW46" s="282"/>
      <c r="AX46" s="282"/>
      <c r="AY46" s="352"/>
      <c r="AZ46" s="353"/>
      <c r="BA46" s="282"/>
      <c r="BB46" s="282"/>
      <c r="BC46" s="282">
        <v>700000</v>
      </c>
      <c r="BD46" s="282"/>
      <c r="BE46" s="282"/>
      <c r="BR46" s="363"/>
      <c r="BT46" s="279" t="s">
        <v>205</v>
      </c>
      <c r="BU46" s="279" t="s">
        <v>206</v>
      </c>
    </row>
    <row r="47" s="279" customFormat="1" customHeight="1" spans="1:73">
      <c r="A47" s="279">
        <v>25</v>
      </c>
      <c r="C47" s="294" t="s">
        <v>578</v>
      </c>
      <c r="D47" s="279">
        <v>20230006450</v>
      </c>
      <c r="F47" s="717" t="s">
        <v>1067</v>
      </c>
      <c r="G47" s="279" t="s">
        <v>1068</v>
      </c>
      <c r="H47" s="717" t="s">
        <v>1069</v>
      </c>
      <c r="I47" s="316" t="s">
        <v>1070</v>
      </c>
      <c r="J47" s="279">
        <v>137.77</v>
      </c>
      <c r="K47" s="279">
        <v>137.77</v>
      </c>
      <c r="L47" s="279">
        <v>5618</v>
      </c>
      <c r="M47" s="318">
        <v>774000</v>
      </c>
      <c r="N47" s="282">
        <v>5266.89</v>
      </c>
      <c r="O47" s="314"/>
      <c r="P47" s="315"/>
      <c r="Q47" s="315"/>
      <c r="R47" s="282"/>
      <c r="S47" s="285"/>
      <c r="T47" s="285"/>
      <c r="U47" s="285" t="s">
        <v>411</v>
      </c>
      <c r="V47" s="282">
        <v>20000</v>
      </c>
      <c r="W47" s="285" t="s">
        <v>744</v>
      </c>
      <c r="X47" s="282">
        <f>85000+50000</f>
        <v>135000</v>
      </c>
      <c r="Y47" s="283" t="s">
        <v>578</v>
      </c>
      <c r="Z47" s="282">
        <v>619000</v>
      </c>
      <c r="AA47" s="285" t="s">
        <v>1071</v>
      </c>
      <c r="AB47" s="282"/>
      <c r="AH47" s="282">
        <f t="shared" ref="AH47:AH86" si="8">V47+X47+Z47+AB47+AD47+AF47</f>
        <v>774000</v>
      </c>
      <c r="AK47" s="287">
        <f t="shared" si="3"/>
        <v>0</v>
      </c>
      <c r="AL47" s="279">
        <v>19999769708</v>
      </c>
      <c r="AN47" s="314"/>
      <c r="AO47" s="314"/>
      <c r="AP47" s="314"/>
      <c r="AQ47" s="288">
        <f>0.7%+0.14%</f>
        <v>0.0084</v>
      </c>
      <c r="AR47" s="349">
        <f t="shared" si="2"/>
        <v>774000</v>
      </c>
      <c r="AS47" s="282"/>
      <c r="AT47" s="282">
        <v>100</v>
      </c>
      <c r="AU47" s="282"/>
      <c r="AV47" s="282"/>
      <c r="AW47" s="282"/>
      <c r="AX47" s="282"/>
      <c r="AY47" s="158"/>
      <c r="AZ47" s="354"/>
      <c r="BA47" s="282">
        <v>155000</v>
      </c>
      <c r="BB47" s="282"/>
      <c r="BC47" s="282">
        <v>619000</v>
      </c>
      <c r="BD47" s="282"/>
      <c r="BE47" s="282"/>
      <c r="BR47" s="363"/>
      <c r="BT47" s="279" t="s">
        <v>205</v>
      </c>
      <c r="BU47" s="279" t="s">
        <v>206</v>
      </c>
    </row>
    <row r="48" s="279" customFormat="1" customHeight="1" spans="1:73">
      <c r="A48" s="279">
        <v>26</v>
      </c>
      <c r="C48" s="294" t="s">
        <v>737</v>
      </c>
      <c r="D48" s="279">
        <v>20230005822</v>
      </c>
      <c r="F48" s="717" t="s">
        <v>1072</v>
      </c>
      <c r="G48" s="279" t="s">
        <v>1073</v>
      </c>
      <c r="I48" s="313" t="s">
        <v>1074</v>
      </c>
      <c r="J48" s="279">
        <v>138.26</v>
      </c>
      <c r="K48" s="279">
        <v>138.26</v>
      </c>
      <c r="L48" s="279">
        <v>5240</v>
      </c>
      <c r="M48" s="282">
        <v>724482</v>
      </c>
      <c r="N48" s="282">
        <v>5246.18</v>
      </c>
      <c r="O48" s="314"/>
      <c r="P48" s="315"/>
      <c r="Q48" s="315"/>
      <c r="R48" s="282"/>
      <c r="U48" s="279" t="s">
        <v>1075</v>
      </c>
      <c r="V48" s="282">
        <v>10000</v>
      </c>
      <c r="W48" s="279" t="s">
        <v>1076</v>
      </c>
      <c r="X48" s="282">
        <v>50000</v>
      </c>
      <c r="Y48" s="283" t="s">
        <v>1077</v>
      </c>
      <c r="Z48" s="282">
        <v>100482</v>
      </c>
      <c r="AA48" s="279" t="s">
        <v>737</v>
      </c>
      <c r="AB48" s="282">
        <v>64000</v>
      </c>
      <c r="AC48" s="279" t="s">
        <v>1078</v>
      </c>
      <c r="AD48" s="279">
        <v>500000</v>
      </c>
      <c r="AE48" s="279" t="s">
        <v>1079</v>
      </c>
      <c r="AH48" s="282">
        <f t="shared" si="8"/>
        <v>724482</v>
      </c>
      <c r="AK48" s="287">
        <f t="shared" si="3"/>
        <v>0</v>
      </c>
      <c r="AL48" s="279">
        <v>13899023889</v>
      </c>
      <c r="AN48" s="314"/>
      <c r="AO48" s="314"/>
      <c r="AP48" s="314"/>
      <c r="AQ48" s="288">
        <f>0.6%+0.04%+0.1%</f>
        <v>0.0074</v>
      </c>
      <c r="AR48" s="349">
        <f t="shared" si="2"/>
        <v>724482</v>
      </c>
      <c r="AS48" s="282"/>
      <c r="AT48" s="282"/>
      <c r="AU48" s="282"/>
      <c r="AV48" s="282"/>
      <c r="AW48" s="282"/>
      <c r="AX48" s="282"/>
      <c r="AY48" s="352"/>
      <c r="AZ48" s="353"/>
      <c r="BA48" s="282">
        <v>160482</v>
      </c>
      <c r="BB48" s="282">
        <v>564000</v>
      </c>
      <c r="BC48" s="282"/>
      <c r="BD48" s="282"/>
      <c r="BE48" s="282"/>
      <c r="BR48" s="363"/>
      <c r="BT48" s="279" t="s">
        <v>205</v>
      </c>
      <c r="BU48" s="279" t="s">
        <v>206</v>
      </c>
    </row>
    <row r="49" s="279" customFormat="1" customHeight="1" spans="1:73">
      <c r="A49" s="279">
        <v>27</v>
      </c>
      <c r="C49" s="294" t="s">
        <v>1035</v>
      </c>
      <c r="D49" s="279">
        <v>20230001075</v>
      </c>
      <c r="F49" s="717" t="s">
        <v>1080</v>
      </c>
      <c r="G49" s="279" t="s">
        <v>1081</v>
      </c>
      <c r="H49" s="717" t="s">
        <v>1082</v>
      </c>
      <c r="I49" s="316" t="s">
        <v>1083</v>
      </c>
      <c r="J49" s="279">
        <v>137.77</v>
      </c>
      <c r="K49" s="279">
        <v>137.77</v>
      </c>
      <c r="L49" s="279">
        <v>5258</v>
      </c>
      <c r="M49" s="282">
        <v>724395</v>
      </c>
      <c r="N49" s="282"/>
      <c r="O49" s="314"/>
      <c r="P49" s="315"/>
      <c r="Q49" s="315"/>
      <c r="R49" s="282"/>
      <c r="T49" s="334" t="s">
        <v>1084</v>
      </c>
      <c r="U49" s="279" t="s">
        <v>1085</v>
      </c>
      <c r="V49" s="282">
        <v>275395</v>
      </c>
      <c r="W49" s="283" t="s">
        <v>1035</v>
      </c>
      <c r="X49" s="282">
        <v>150000</v>
      </c>
      <c r="Y49" s="283" t="s">
        <v>1086</v>
      </c>
      <c r="Z49" s="282">
        <v>299000</v>
      </c>
      <c r="AA49" s="279" t="s">
        <v>1087</v>
      </c>
      <c r="AB49" s="282"/>
      <c r="AH49" s="282">
        <f t="shared" si="8"/>
        <v>724395</v>
      </c>
      <c r="AK49" s="287">
        <f t="shared" si="3"/>
        <v>0</v>
      </c>
      <c r="AL49" s="279">
        <v>15899013555</v>
      </c>
      <c r="AN49" s="314">
        <v>790700</v>
      </c>
      <c r="AO49" s="314"/>
      <c r="AP49" s="314"/>
      <c r="AQ49" s="288">
        <f>0.4%+0.04%+0.1%+0.04%</f>
        <v>0.0058</v>
      </c>
      <c r="AR49" s="349">
        <f t="shared" si="2"/>
        <v>724395</v>
      </c>
      <c r="AS49" s="282"/>
      <c r="AT49" s="282"/>
      <c r="AU49" s="282"/>
      <c r="AV49" s="282">
        <v>275395</v>
      </c>
      <c r="AW49" s="282"/>
      <c r="AX49" s="282"/>
      <c r="AY49" s="352"/>
      <c r="AZ49" s="353"/>
      <c r="BA49" s="282"/>
      <c r="BB49" s="282">
        <v>449000</v>
      </c>
      <c r="BC49" s="282"/>
      <c r="BD49" s="282"/>
      <c r="BE49" s="282"/>
      <c r="BR49" s="363"/>
      <c r="BT49" s="279" t="s">
        <v>205</v>
      </c>
      <c r="BU49" s="279" t="s">
        <v>206</v>
      </c>
    </row>
    <row r="50" s="279" customFormat="1" customHeight="1" spans="1:73">
      <c r="A50" s="279">
        <v>28</v>
      </c>
      <c r="C50" s="294" t="s">
        <v>485</v>
      </c>
      <c r="D50" s="279">
        <v>20230001692</v>
      </c>
      <c r="F50" s="279" t="s">
        <v>1088</v>
      </c>
      <c r="G50" s="294" t="s">
        <v>1089</v>
      </c>
      <c r="H50" s="721" t="s">
        <v>1090</v>
      </c>
      <c r="I50" s="316" t="s">
        <v>1091</v>
      </c>
      <c r="J50" s="279">
        <v>138.26</v>
      </c>
      <c r="K50" s="279">
        <v>138.26</v>
      </c>
      <c r="L50" s="279">
        <v>5114.96</v>
      </c>
      <c r="M50" s="282">
        <v>707195</v>
      </c>
      <c r="N50" s="282"/>
      <c r="O50" s="314"/>
      <c r="P50" s="315"/>
      <c r="Q50" s="315"/>
      <c r="R50" s="282"/>
      <c r="S50" s="285"/>
      <c r="T50" s="286" t="s">
        <v>1092</v>
      </c>
      <c r="U50" s="285" t="s">
        <v>1093</v>
      </c>
      <c r="V50" s="282">
        <v>2000</v>
      </c>
      <c r="W50" s="331">
        <v>44759</v>
      </c>
      <c r="X50" s="282">
        <v>18000</v>
      </c>
      <c r="Y50" s="283" t="s">
        <v>1094</v>
      </c>
      <c r="Z50" s="282">
        <v>687195</v>
      </c>
      <c r="AA50" s="283" t="s">
        <v>485</v>
      </c>
      <c r="AB50" s="282"/>
      <c r="AH50" s="282">
        <f t="shared" si="8"/>
        <v>707195</v>
      </c>
      <c r="AK50" s="287">
        <f t="shared" si="3"/>
        <v>0</v>
      </c>
      <c r="AL50" s="279">
        <v>18109963899</v>
      </c>
      <c r="AN50" s="314">
        <v>790429</v>
      </c>
      <c r="AO50" s="314"/>
      <c r="AP50" s="314"/>
      <c r="AQ50" s="288">
        <f>0.4%+0.04%+0.1%</f>
        <v>0.0054</v>
      </c>
      <c r="AR50" s="349">
        <f t="shared" si="2"/>
        <v>707195</v>
      </c>
      <c r="AS50" s="282"/>
      <c r="AT50" s="282">
        <v>100</v>
      </c>
      <c r="AU50" s="282"/>
      <c r="AV50" s="282">
        <v>707195</v>
      </c>
      <c r="AW50" s="282"/>
      <c r="AX50" s="282"/>
      <c r="AY50" s="352"/>
      <c r="AZ50" s="355"/>
      <c r="BA50" s="282"/>
      <c r="BB50" s="282"/>
      <c r="BC50" s="282"/>
      <c r="BD50" s="282"/>
      <c r="BE50" s="282"/>
      <c r="BR50" s="363"/>
      <c r="BT50" s="279" t="s">
        <v>205</v>
      </c>
      <c r="BU50" s="279" t="s">
        <v>206</v>
      </c>
    </row>
    <row r="51" s="279" customFormat="1" customHeight="1" spans="1:73">
      <c r="A51" s="279">
        <v>29</v>
      </c>
      <c r="C51" s="279" t="s">
        <v>909</v>
      </c>
      <c r="D51" s="279">
        <v>20230001440</v>
      </c>
      <c r="F51" s="295" t="s">
        <v>1095</v>
      </c>
      <c r="G51" s="297" t="s">
        <v>896</v>
      </c>
      <c r="H51" s="297"/>
      <c r="I51" s="316" t="s">
        <v>1096</v>
      </c>
      <c r="J51" s="279">
        <v>137.77</v>
      </c>
      <c r="K51" s="279">
        <v>137.77</v>
      </c>
      <c r="L51" s="279">
        <v>137.77</v>
      </c>
      <c r="M51" s="282">
        <v>728681</v>
      </c>
      <c r="N51" s="282"/>
      <c r="O51" s="283"/>
      <c r="P51" s="315"/>
      <c r="Q51" s="315"/>
      <c r="R51" s="282"/>
      <c r="T51" s="279" t="s">
        <v>896</v>
      </c>
      <c r="U51" s="279" t="s">
        <v>896</v>
      </c>
      <c r="V51" s="282">
        <v>20000</v>
      </c>
      <c r="W51" s="279" t="s">
        <v>942</v>
      </c>
      <c r="X51" s="282">
        <v>601681</v>
      </c>
      <c r="Y51" s="331" t="s">
        <v>909</v>
      </c>
      <c r="Z51" s="282">
        <v>107000</v>
      </c>
      <c r="AA51" s="283" t="s">
        <v>929</v>
      </c>
      <c r="AB51" s="282"/>
      <c r="AH51" s="282">
        <f t="shared" si="8"/>
        <v>728681</v>
      </c>
      <c r="AK51" s="287">
        <f t="shared" si="3"/>
        <v>0</v>
      </c>
      <c r="AL51" s="295" t="s">
        <v>1097</v>
      </c>
      <c r="AM51" s="295"/>
      <c r="AN51" s="318"/>
      <c r="AO51" s="318"/>
      <c r="AP51" s="318"/>
      <c r="AQ51" s="288">
        <f>0.6%+0.06%+0.14%</f>
        <v>0.008</v>
      </c>
      <c r="AR51" s="349">
        <f t="shared" si="2"/>
        <v>728681</v>
      </c>
      <c r="AS51" s="282"/>
      <c r="AT51" s="282"/>
      <c r="AU51" s="282"/>
      <c r="AV51" s="282">
        <v>728681</v>
      </c>
      <c r="AW51" s="282"/>
      <c r="AX51" s="282"/>
      <c r="AY51" s="352"/>
      <c r="AZ51" s="353"/>
      <c r="BA51" s="282"/>
      <c r="BB51" s="282"/>
      <c r="BC51" s="282"/>
      <c r="BD51" s="282"/>
      <c r="BE51" s="282"/>
      <c r="BR51" s="363"/>
      <c r="BT51" s="279" t="s">
        <v>205</v>
      </c>
      <c r="BU51" s="279" t="s">
        <v>206</v>
      </c>
    </row>
    <row r="52" s="279" customFormat="1" customHeight="1" spans="1:73">
      <c r="A52" s="279">
        <v>30</v>
      </c>
      <c r="C52" s="279" t="s">
        <v>909</v>
      </c>
      <c r="D52" s="298" t="s">
        <v>1098</v>
      </c>
      <c r="F52" s="295" t="s">
        <v>1099</v>
      </c>
      <c r="G52" s="297" t="s">
        <v>1100</v>
      </c>
      <c r="H52" s="299"/>
      <c r="I52" s="313" t="s">
        <v>1101</v>
      </c>
      <c r="J52" s="279">
        <v>138.26</v>
      </c>
      <c r="K52" s="279">
        <v>138.26</v>
      </c>
      <c r="L52" s="279">
        <v>5268.63</v>
      </c>
      <c r="M52" s="282">
        <v>728441</v>
      </c>
      <c r="N52" s="282"/>
      <c r="O52" s="283"/>
      <c r="P52" s="319"/>
      <c r="Q52" s="284"/>
      <c r="R52" s="282"/>
      <c r="S52" s="285"/>
      <c r="T52" s="299" t="s">
        <v>1102</v>
      </c>
      <c r="U52" s="299" t="s">
        <v>1102</v>
      </c>
      <c r="V52" s="282">
        <v>18441</v>
      </c>
      <c r="W52" s="331" t="s">
        <v>909</v>
      </c>
      <c r="X52" s="282">
        <v>40000</v>
      </c>
      <c r="Y52" s="331" t="s">
        <v>1103</v>
      </c>
      <c r="Z52" s="282">
        <v>20000</v>
      </c>
      <c r="AA52" s="285" t="s">
        <v>562</v>
      </c>
      <c r="AB52" s="282">
        <v>70000</v>
      </c>
      <c r="AC52" s="279" t="s">
        <v>668</v>
      </c>
      <c r="AD52" s="282">
        <v>580000</v>
      </c>
      <c r="AE52" s="285" t="s">
        <v>1104</v>
      </c>
      <c r="AH52" s="282">
        <f t="shared" si="8"/>
        <v>728441</v>
      </c>
      <c r="AK52" s="287">
        <f t="shared" si="3"/>
        <v>0</v>
      </c>
      <c r="AL52" s="295" t="s">
        <v>1105</v>
      </c>
      <c r="AM52" s="295"/>
      <c r="AN52" s="318"/>
      <c r="AO52" s="318"/>
      <c r="AP52" s="318"/>
      <c r="AQ52" s="288">
        <f>0.6%+0.06%+0.14%+0.06%</f>
        <v>0.0086</v>
      </c>
      <c r="AR52" s="349">
        <f t="shared" si="2"/>
        <v>728441</v>
      </c>
      <c r="AS52" s="282"/>
      <c r="AT52" s="282">
        <v>100</v>
      </c>
      <c r="AU52" s="282"/>
      <c r="AV52" s="282"/>
      <c r="AW52" s="282"/>
      <c r="AX52" s="282"/>
      <c r="AY52" s="352"/>
      <c r="AZ52" s="356"/>
      <c r="BA52" s="282">
        <v>148441</v>
      </c>
      <c r="BB52" s="282"/>
      <c r="BC52" s="282"/>
      <c r="BD52" s="282">
        <v>580000</v>
      </c>
      <c r="BE52" s="282"/>
      <c r="BR52" s="363"/>
      <c r="BT52" s="279" t="s">
        <v>205</v>
      </c>
      <c r="BU52" s="279" t="s">
        <v>206</v>
      </c>
    </row>
    <row r="53" s="279" customFormat="1" customHeight="1" spans="1:73">
      <c r="A53" s="279">
        <v>31</v>
      </c>
      <c r="C53" s="279" t="s">
        <v>942</v>
      </c>
      <c r="D53" s="298" t="s">
        <v>1106</v>
      </c>
      <c r="F53" s="717" t="s">
        <v>1107</v>
      </c>
      <c r="G53" s="294" t="s">
        <v>1108</v>
      </c>
      <c r="H53" s="721" t="s">
        <v>513</v>
      </c>
      <c r="I53" s="313" t="s">
        <v>1109</v>
      </c>
      <c r="J53" s="279">
        <v>137.77</v>
      </c>
      <c r="K53" s="279">
        <v>137.77</v>
      </c>
      <c r="L53" s="279">
        <v>5220</v>
      </c>
      <c r="M53" s="282">
        <v>719159</v>
      </c>
      <c r="N53" s="282"/>
      <c r="O53" s="283"/>
      <c r="P53" s="319"/>
      <c r="Q53" s="284"/>
      <c r="R53" s="282"/>
      <c r="S53" s="329"/>
      <c r="T53" s="332" t="s">
        <v>1110</v>
      </c>
      <c r="U53" s="329" t="s">
        <v>1111</v>
      </c>
      <c r="V53" s="282">
        <v>369159</v>
      </c>
      <c r="W53" s="331" t="s">
        <v>942</v>
      </c>
      <c r="X53" s="279">
        <v>350000</v>
      </c>
      <c r="Y53" s="279" t="s">
        <v>948</v>
      </c>
      <c r="Z53" s="282"/>
      <c r="AB53" s="282"/>
      <c r="AH53" s="282">
        <f t="shared" si="8"/>
        <v>719159</v>
      </c>
      <c r="AK53" s="287">
        <f t="shared" si="3"/>
        <v>0</v>
      </c>
      <c r="AL53" s="295" t="s">
        <v>1112</v>
      </c>
      <c r="AM53" s="295"/>
      <c r="AN53" s="318">
        <v>802680</v>
      </c>
      <c r="AO53" s="318"/>
      <c r="AP53" s="318"/>
      <c r="AQ53" s="288">
        <f>0.4%+0.04%+0.1%</f>
        <v>0.0054</v>
      </c>
      <c r="AR53" s="349">
        <f t="shared" si="2"/>
        <v>719159</v>
      </c>
      <c r="AS53" s="282">
        <f>100</f>
        <v>100</v>
      </c>
      <c r="AT53" s="282">
        <v>100</v>
      </c>
      <c r="AU53" s="282"/>
      <c r="AV53" s="282">
        <v>719159</v>
      </c>
      <c r="AW53" s="282"/>
      <c r="AX53" s="282"/>
      <c r="AY53" s="352"/>
      <c r="AZ53" s="353"/>
      <c r="BA53" s="282"/>
      <c r="BB53" s="282"/>
      <c r="BC53" s="282"/>
      <c r="BD53" s="282"/>
      <c r="BE53" s="282"/>
      <c r="BR53" s="363"/>
      <c r="BT53" s="279" t="s">
        <v>205</v>
      </c>
      <c r="BU53" s="279" t="s">
        <v>206</v>
      </c>
    </row>
    <row r="54" s="279" customFormat="1" customHeight="1" spans="1:73">
      <c r="A54" s="279">
        <v>32</v>
      </c>
      <c r="C54" s="279" t="s">
        <v>1002</v>
      </c>
      <c r="D54" s="298" t="s">
        <v>1113</v>
      </c>
      <c r="F54" s="295" t="s">
        <v>1114</v>
      </c>
      <c r="G54" s="294" t="s">
        <v>1115</v>
      </c>
      <c r="H54" s="721" t="s">
        <v>1116</v>
      </c>
      <c r="I54" s="316" t="s">
        <v>1117</v>
      </c>
      <c r="J54" s="279">
        <v>138.26</v>
      </c>
      <c r="K54" s="279">
        <v>138.26</v>
      </c>
      <c r="L54" s="279">
        <v>5194.96</v>
      </c>
      <c r="M54" s="282">
        <v>718256</v>
      </c>
      <c r="N54" s="282"/>
      <c r="O54" s="283"/>
      <c r="P54" s="284"/>
      <c r="Q54" s="284"/>
      <c r="R54" s="282"/>
      <c r="T54" s="334"/>
      <c r="U54" s="279" t="s">
        <v>1118</v>
      </c>
      <c r="V54" s="282">
        <v>56256</v>
      </c>
      <c r="W54" s="335" t="s">
        <v>977</v>
      </c>
      <c r="X54" s="282">
        <v>160000</v>
      </c>
      <c r="Y54" s="335" t="s">
        <v>1119</v>
      </c>
      <c r="Z54" s="282">
        <v>502000</v>
      </c>
      <c r="AA54" s="279" t="s">
        <v>1120</v>
      </c>
      <c r="AB54" s="282"/>
      <c r="AH54" s="282">
        <f t="shared" si="8"/>
        <v>718256</v>
      </c>
      <c r="AJ54" s="283"/>
      <c r="AK54" s="287">
        <f t="shared" si="3"/>
        <v>0</v>
      </c>
      <c r="AL54" s="295" t="s">
        <v>1121</v>
      </c>
      <c r="AM54" s="295"/>
      <c r="AN54" s="318">
        <v>802452</v>
      </c>
      <c r="AO54" s="318"/>
      <c r="AP54" s="318"/>
      <c r="AQ54" s="288">
        <f>0.6%+0.04%+0.1%</f>
        <v>0.0074</v>
      </c>
      <c r="AR54" s="349">
        <f t="shared" si="2"/>
        <v>718256</v>
      </c>
      <c r="AS54" s="282"/>
      <c r="AT54" s="282"/>
      <c r="AU54" s="282"/>
      <c r="AV54" s="282"/>
      <c r="AW54" s="282">
        <v>216256</v>
      </c>
      <c r="AX54" s="282">
        <v>502000</v>
      </c>
      <c r="AY54" s="352"/>
      <c r="AZ54" s="353"/>
      <c r="BA54" s="282"/>
      <c r="BB54" s="282"/>
      <c r="BC54" s="282"/>
      <c r="BD54" s="282"/>
      <c r="BE54" s="282"/>
      <c r="BR54" s="363"/>
      <c r="BT54" s="279" t="s">
        <v>205</v>
      </c>
      <c r="BU54" s="279" t="s">
        <v>206</v>
      </c>
    </row>
    <row r="55" s="279" customFormat="1" customHeight="1" spans="1:73">
      <c r="A55" s="279">
        <v>33</v>
      </c>
      <c r="C55" s="298" t="s">
        <v>259</v>
      </c>
      <c r="D55" s="298" t="s">
        <v>1122</v>
      </c>
      <c r="F55" s="717" t="s">
        <v>1123</v>
      </c>
      <c r="G55" s="297" t="s">
        <v>1124</v>
      </c>
      <c r="H55" s="719" t="s">
        <v>1125</v>
      </c>
      <c r="I55" s="313" t="s">
        <v>1126</v>
      </c>
      <c r="J55" s="279">
        <v>137.77</v>
      </c>
      <c r="K55" s="279">
        <v>137.77</v>
      </c>
      <c r="L55" s="279">
        <v>5259.96</v>
      </c>
      <c r="M55" s="282">
        <v>724665</v>
      </c>
      <c r="N55" s="282"/>
      <c r="O55" s="283"/>
      <c r="P55" s="284"/>
      <c r="Q55" s="284"/>
      <c r="R55" s="282"/>
      <c r="S55" s="285"/>
      <c r="T55" s="286" t="s">
        <v>1127</v>
      </c>
      <c r="U55" s="285" t="s">
        <v>1128</v>
      </c>
      <c r="V55" s="282">
        <v>2000</v>
      </c>
      <c r="W55" s="335">
        <v>44774</v>
      </c>
      <c r="X55" s="282">
        <v>18000</v>
      </c>
      <c r="Y55" s="283" t="s">
        <v>960</v>
      </c>
      <c r="Z55" s="282">
        <v>205665</v>
      </c>
      <c r="AA55" s="279" t="s">
        <v>259</v>
      </c>
      <c r="AB55" s="282">
        <v>499000</v>
      </c>
      <c r="AC55" s="285" t="s">
        <v>735</v>
      </c>
      <c r="AH55" s="282">
        <f t="shared" si="8"/>
        <v>724665</v>
      </c>
      <c r="AK55" s="287">
        <f t="shared" si="3"/>
        <v>0</v>
      </c>
      <c r="AL55" s="279">
        <v>17709961530</v>
      </c>
      <c r="AM55" s="295"/>
      <c r="AN55" s="318">
        <v>789419</v>
      </c>
      <c r="AO55" s="318"/>
      <c r="AP55" s="318"/>
      <c r="AQ55" s="288">
        <f>0.4%+0.04%+0.1%+0.04%</f>
        <v>0.0058</v>
      </c>
      <c r="AR55" s="349">
        <f t="shared" si="2"/>
        <v>724665</v>
      </c>
      <c r="AS55" s="282"/>
      <c r="AT55" s="282">
        <v>100</v>
      </c>
      <c r="AU55" s="282"/>
      <c r="AV55" s="282"/>
      <c r="AW55" s="282"/>
      <c r="AX55" s="282"/>
      <c r="AY55" s="352">
        <v>225665</v>
      </c>
      <c r="AZ55" s="353"/>
      <c r="BA55" s="282"/>
      <c r="BB55" s="282">
        <v>499000</v>
      </c>
      <c r="BC55" s="282"/>
      <c r="BD55" s="282"/>
      <c r="BE55" s="282"/>
      <c r="BR55" s="363"/>
      <c r="BT55" s="279" t="s">
        <v>205</v>
      </c>
      <c r="BU55" s="279" t="s">
        <v>206</v>
      </c>
    </row>
    <row r="56" s="279" customFormat="1" customHeight="1" spans="1:73">
      <c r="A56" s="279">
        <v>34</v>
      </c>
      <c r="C56" s="279" t="s">
        <v>1119</v>
      </c>
      <c r="D56" s="279">
        <v>20230002636</v>
      </c>
      <c r="F56" s="295" t="s">
        <v>1129</v>
      </c>
      <c r="G56" s="297" t="s">
        <v>882</v>
      </c>
      <c r="H56" s="719" t="s">
        <v>1130</v>
      </c>
      <c r="I56" s="316" t="s">
        <v>1131</v>
      </c>
      <c r="J56" s="279">
        <v>138.26</v>
      </c>
      <c r="K56" s="279">
        <v>138.26</v>
      </c>
      <c r="L56" s="279">
        <v>5238.96</v>
      </c>
      <c r="M56" s="282">
        <v>724477</v>
      </c>
      <c r="N56" s="282"/>
      <c r="O56" s="283"/>
      <c r="P56" s="284"/>
      <c r="Q56" s="284"/>
      <c r="R56" s="282"/>
      <c r="S56" s="285"/>
      <c r="T56" s="332" t="s">
        <v>1132</v>
      </c>
      <c r="U56" s="329" t="s">
        <v>1133</v>
      </c>
      <c r="V56" s="282">
        <f>4000</f>
        <v>4000</v>
      </c>
      <c r="W56" s="330">
        <v>44781</v>
      </c>
      <c r="X56" s="282">
        <v>16000</v>
      </c>
      <c r="Y56" s="331" t="s">
        <v>1134</v>
      </c>
      <c r="Z56" s="282">
        <v>477</v>
      </c>
      <c r="AA56" s="331" t="s">
        <v>1119</v>
      </c>
      <c r="AB56" s="282">
        <v>240000</v>
      </c>
      <c r="AC56" s="279" t="s">
        <v>1135</v>
      </c>
      <c r="AD56" s="279">
        <v>464000</v>
      </c>
      <c r="AE56" s="279" t="s">
        <v>1136</v>
      </c>
      <c r="AH56" s="282">
        <f t="shared" si="8"/>
        <v>724477</v>
      </c>
      <c r="AK56" s="287">
        <f t="shared" si="3"/>
        <v>0</v>
      </c>
      <c r="AL56" s="295" t="s">
        <v>1137</v>
      </c>
      <c r="AM56" s="295"/>
      <c r="AN56" s="318">
        <v>809214</v>
      </c>
      <c r="AO56" s="318"/>
      <c r="AP56" s="318"/>
      <c r="AQ56" s="288">
        <f>0.4%+0.04%+0.1%</f>
        <v>0.0054</v>
      </c>
      <c r="AR56" s="349">
        <f t="shared" si="2"/>
        <v>724477</v>
      </c>
      <c r="AS56" s="282">
        <f t="shared" ref="AS56:AS61" si="9">100</f>
        <v>100</v>
      </c>
      <c r="AT56" s="282"/>
      <c r="AU56" s="282"/>
      <c r="AV56" s="282"/>
      <c r="AW56" s="282"/>
      <c r="AX56" s="282">
        <v>260477</v>
      </c>
      <c r="AY56" s="352">
        <v>464000</v>
      </c>
      <c r="AZ56" s="353"/>
      <c r="BA56" s="282"/>
      <c r="BB56" s="282"/>
      <c r="BC56" s="282"/>
      <c r="BD56" s="282"/>
      <c r="BE56" s="282"/>
      <c r="BR56" s="363"/>
      <c r="BT56" s="279" t="s">
        <v>205</v>
      </c>
      <c r="BU56" s="279" t="s">
        <v>206</v>
      </c>
    </row>
    <row r="57" s="279" customFormat="1" customHeight="1" spans="1:73">
      <c r="A57" s="279">
        <v>35</v>
      </c>
      <c r="C57" s="279" t="s">
        <v>909</v>
      </c>
      <c r="D57" s="279">
        <v>20230001427</v>
      </c>
      <c r="F57" s="295" t="s">
        <v>1138</v>
      </c>
      <c r="G57" s="297" t="s">
        <v>1139</v>
      </c>
      <c r="H57" s="719" t="s">
        <v>1140</v>
      </c>
      <c r="I57" s="313" t="s">
        <v>1141</v>
      </c>
      <c r="J57" s="279">
        <v>137.77</v>
      </c>
      <c r="K57" s="279">
        <v>137.77</v>
      </c>
      <c r="L57" s="279">
        <v>5304.96</v>
      </c>
      <c r="M57" s="282">
        <v>730865</v>
      </c>
      <c r="N57" s="282"/>
      <c r="O57" s="283"/>
      <c r="P57" s="284"/>
      <c r="Q57" s="284"/>
      <c r="R57" s="282"/>
      <c r="S57" s="329"/>
      <c r="T57" s="332" t="s">
        <v>1142</v>
      </c>
      <c r="U57" s="329" t="s">
        <v>1143</v>
      </c>
      <c r="V57" s="282">
        <v>150865</v>
      </c>
      <c r="W57" s="335" t="s">
        <v>909</v>
      </c>
      <c r="X57" s="282">
        <v>580000</v>
      </c>
      <c r="Y57" s="335" t="s">
        <v>1104</v>
      </c>
      <c r="Z57" s="282"/>
      <c r="AA57" s="335"/>
      <c r="AB57" s="282"/>
      <c r="AC57" s="331"/>
      <c r="AD57" s="331"/>
      <c r="AE57" s="331"/>
      <c r="AF57" s="331"/>
      <c r="AG57" s="331"/>
      <c r="AH57" s="282">
        <f t="shared" si="8"/>
        <v>730865</v>
      </c>
      <c r="AK57" s="287">
        <f t="shared" si="3"/>
        <v>0</v>
      </c>
      <c r="AL57" s="295" t="s">
        <v>1144</v>
      </c>
      <c r="AM57" s="295"/>
      <c r="AN57" s="318">
        <v>816157</v>
      </c>
      <c r="AO57" s="318"/>
      <c r="AP57" s="318"/>
      <c r="AQ57" s="288">
        <f>0.6%+0.04%+0.1%+0.04%</f>
        <v>0.0078</v>
      </c>
      <c r="AR57" s="349">
        <f t="shared" si="2"/>
        <v>730865</v>
      </c>
      <c r="AS57" s="282"/>
      <c r="AT57" s="282">
        <v>100</v>
      </c>
      <c r="AU57" s="282"/>
      <c r="AV57" s="282"/>
      <c r="AW57" s="282">
        <v>150865</v>
      </c>
      <c r="AX57" s="282"/>
      <c r="AY57" s="352"/>
      <c r="AZ57" s="353"/>
      <c r="BA57" s="282"/>
      <c r="BB57" s="282"/>
      <c r="BC57" s="282"/>
      <c r="BD57" s="282">
        <v>580000</v>
      </c>
      <c r="BE57" s="282"/>
      <c r="BR57" s="363"/>
      <c r="BT57" s="279" t="s">
        <v>205</v>
      </c>
      <c r="BU57" s="279" t="s">
        <v>206</v>
      </c>
    </row>
    <row r="58" s="279" customFormat="1" ht="39" customHeight="1" spans="1:73">
      <c r="A58" s="279">
        <v>36</v>
      </c>
      <c r="C58" s="279" t="s">
        <v>1035</v>
      </c>
      <c r="D58" s="300" t="s">
        <v>1145</v>
      </c>
      <c r="F58" s="295" t="s">
        <v>1146</v>
      </c>
      <c r="G58" s="297" t="s">
        <v>1147</v>
      </c>
      <c r="H58" s="719" t="s">
        <v>1148</v>
      </c>
      <c r="I58" s="316" t="s">
        <v>1149</v>
      </c>
      <c r="J58" s="279">
        <v>138.26</v>
      </c>
      <c r="K58" s="279">
        <v>138.26</v>
      </c>
      <c r="L58" s="279">
        <v>5284.96</v>
      </c>
      <c r="M58" s="317">
        <v>730699</v>
      </c>
      <c r="N58" s="317"/>
      <c r="O58" s="320"/>
      <c r="P58" s="321"/>
      <c r="Q58" s="321"/>
      <c r="R58" s="282"/>
      <c r="S58" s="285"/>
      <c r="T58" s="332" t="s">
        <v>1150</v>
      </c>
      <c r="U58" s="329" t="s">
        <v>1151</v>
      </c>
      <c r="V58" s="282">
        <f>2000-2000</f>
        <v>0</v>
      </c>
      <c r="W58" s="330">
        <v>44771</v>
      </c>
      <c r="X58" s="279">
        <v>230699</v>
      </c>
      <c r="Y58" s="279" t="s">
        <v>1035</v>
      </c>
      <c r="Z58" s="282">
        <v>80000</v>
      </c>
      <c r="AA58" s="279" t="s">
        <v>1152</v>
      </c>
      <c r="AB58" s="282">
        <v>420000</v>
      </c>
      <c r="AC58" s="279" t="s">
        <v>1153</v>
      </c>
      <c r="AH58" s="282">
        <f t="shared" si="8"/>
        <v>730699</v>
      </c>
      <c r="AK58" s="287">
        <f t="shared" si="3"/>
        <v>0</v>
      </c>
      <c r="AL58" s="295" t="s">
        <v>1154</v>
      </c>
      <c r="AM58" s="295"/>
      <c r="AN58" s="344">
        <v>815977</v>
      </c>
      <c r="AO58" s="344"/>
      <c r="AP58" s="344"/>
      <c r="AQ58" s="288">
        <f t="shared" ref="AQ58:AQ62" si="10">0.4%+0.04%+0.1%</f>
        <v>0.0054</v>
      </c>
      <c r="AR58" s="349">
        <f t="shared" si="2"/>
        <v>730699</v>
      </c>
      <c r="AS58" s="282"/>
      <c r="AT58" s="282">
        <v>100</v>
      </c>
      <c r="AU58" s="282"/>
      <c r="AV58" s="282">
        <v>310699</v>
      </c>
      <c r="AW58" s="282">
        <v>420000</v>
      </c>
      <c r="AX58" s="282"/>
      <c r="AY58" s="352"/>
      <c r="AZ58" s="353"/>
      <c r="BA58" s="282"/>
      <c r="BB58" s="282"/>
      <c r="BC58" s="282"/>
      <c r="BD58" s="282"/>
      <c r="BE58" s="282"/>
      <c r="BR58" s="363"/>
      <c r="BT58" s="279" t="s">
        <v>205</v>
      </c>
      <c r="BU58" s="279" t="s">
        <v>206</v>
      </c>
    </row>
    <row r="59" s="279" customFormat="1" customHeight="1" spans="1:73">
      <c r="A59" s="279">
        <v>37</v>
      </c>
      <c r="C59" s="279" t="s">
        <v>916</v>
      </c>
      <c r="D59" s="300" t="s">
        <v>1155</v>
      </c>
      <c r="F59" s="295" t="s">
        <v>1156</v>
      </c>
      <c r="G59" s="297" t="s">
        <v>1157</v>
      </c>
      <c r="H59" s="719" t="s">
        <v>1158</v>
      </c>
      <c r="I59" s="313" t="s">
        <v>1159</v>
      </c>
      <c r="J59" s="279">
        <v>137.77</v>
      </c>
      <c r="K59" s="279">
        <v>137.77</v>
      </c>
      <c r="L59" s="279">
        <v>5329.96</v>
      </c>
      <c r="M59" s="317">
        <v>734309</v>
      </c>
      <c r="N59" s="317"/>
      <c r="O59" s="320"/>
      <c r="P59" s="321"/>
      <c r="Q59" s="321"/>
      <c r="R59" s="282"/>
      <c r="S59" s="285"/>
      <c r="T59" s="286" t="s">
        <v>1160</v>
      </c>
      <c r="U59" s="285" t="s">
        <v>1161</v>
      </c>
      <c r="V59" s="282">
        <v>211309</v>
      </c>
      <c r="W59" s="331" t="s">
        <v>916</v>
      </c>
      <c r="X59" s="282">
        <v>43000</v>
      </c>
      <c r="Y59" s="279" t="s">
        <v>485</v>
      </c>
      <c r="Z59" s="282">
        <v>480000</v>
      </c>
      <c r="AA59" s="331" t="s">
        <v>1162</v>
      </c>
      <c r="AB59" s="282"/>
      <c r="AH59" s="282">
        <f t="shared" si="8"/>
        <v>734309</v>
      </c>
      <c r="AK59" s="287">
        <f t="shared" si="3"/>
        <v>0</v>
      </c>
      <c r="AL59" s="295" t="s">
        <v>1163</v>
      </c>
      <c r="AM59" s="295"/>
      <c r="AN59" s="344">
        <v>819901</v>
      </c>
      <c r="AO59" s="344"/>
      <c r="AP59" s="344"/>
      <c r="AQ59" s="288">
        <f>0.6%+0.04%+0.1%+0.04%</f>
        <v>0.0078</v>
      </c>
      <c r="AR59" s="349">
        <f t="shared" si="2"/>
        <v>734309</v>
      </c>
      <c r="AS59" s="282">
        <f t="shared" si="9"/>
        <v>100</v>
      </c>
      <c r="AT59" s="282"/>
      <c r="AU59" s="282"/>
      <c r="AV59" s="282">
        <v>254309</v>
      </c>
      <c r="AW59" s="282"/>
      <c r="AX59" s="282"/>
      <c r="AY59" s="352"/>
      <c r="AZ59" s="353"/>
      <c r="BA59" s="282"/>
      <c r="BB59" s="282"/>
      <c r="BC59" s="282"/>
      <c r="BD59" s="282"/>
      <c r="BE59" s="282">
        <v>480000</v>
      </c>
      <c r="BR59" s="363"/>
      <c r="BT59" s="279" t="s">
        <v>205</v>
      </c>
      <c r="BU59" s="279" t="s">
        <v>206</v>
      </c>
    </row>
    <row r="60" s="279" customFormat="1" customHeight="1" spans="1:73">
      <c r="A60" s="279">
        <v>38</v>
      </c>
      <c r="C60" s="279" t="s">
        <v>1164</v>
      </c>
      <c r="D60" s="300" t="s">
        <v>1165</v>
      </c>
      <c r="F60" s="295" t="s">
        <v>1166</v>
      </c>
      <c r="G60" s="297" t="s">
        <v>1167</v>
      </c>
      <c r="H60" s="719" t="s">
        <v>1168</v>
      </c>
      <c r="I60" s="316" t="s">
        <v>1169</v>
      </c>
      <c r="J60" s="279">
        <v>138.26</v>
      </c>
      <c r="K60" s="279">
        <v>138.26</v>
      </c>
      <c r="L60" s="279">
        <v>5309.96</v>
      </c>
      <c r="M60" s="317">
        <v>734155</v>
      </c>
      <c r="N60" s="317"/>
      <c r="O60" s="320"/>
      <c r="P60" s="321"/>
      <c r="Q60" s="321"/>
      <c r="R60" s="282"/>
      <c r="S60" s="285"/>
      <c r="T60" s="286" t="s">
        <v>1170</v>
      </c>
      <c r="U60" s="285" t="s">
        <v>1171</v>
      </c>
      <c r="V60" s="282">
        <v>2000</v>
      </c>
      <c r="W60" s="331">
        <v>44755</v>
      </c>
      <c r="X60" s="282">
        <v>18000</v>
      </c>
      <c r="Y60" s="335" t="s">
        <v>960</v>
      </c>
      <c r="Z60" s="282">
        <v>50000</v>
      </c>
      <c r="AA60" s="279" t="s">
        <v>1172</v>
      </c>
      <c r="AB60" s="282">
        <v>204155</v>
      </c>
      <c r="AC60" s="279" t="s">
        <v>1164</v>
      </c>
      <c r="AD60" s="282">
        <v>460000</v>
      </c>
      <c r="AE60" s="285" t="s">
        <v>333</v>
      </c>
      <c r="AH60" s="282">
        <f t="shared" si="8"/>
        <v>734155</v>
      </c>
      <c r="AK60" s="287">
        <f t="shared" si="3"/>
        <v>0</v>
      </c>
      <c r="AL60" s="295" t="s">
        <v>1173</v>
      </c>
      <c r="AM60" s="295"/>
      <c r="AN60" s="344">
        <v>819734</v>
      </c>
      <c r="AO60" s="344"/>
      <c r="AP60" s="344"/>
      <c r="AQ60" s="288">
        <f>0.6%+0.1%+0.04%</f>
        <v>0.0074</v>
      </c>
      <c r="AR60" s="349">
        <f t="shared" si="2"/>
        <v>734155</v>
      </c>
      <c r="AS60" s="282">
        <f t="shared" si="9"/>
        <v>100</v>
      </c>
      <c r="AT60" s="282"/>
      <c r="AU60" s="282"/>
      <c r="AV60" s="282"/>
      <c r="AW60" s="282"/>
      <c r="AX60" s="282"/>
      <c r="AY60" s="352"/>
      <c r="AZ60" s="356">
        <v>274155</v>
      </c>
      <c r="BA60" s="282"/>
      <c r="BB60" s="282">
        <v>460000</v>
      </c>
      <c r="BC60" s="282"/>
      <c r="BD60" s="282"/>
      <c r="BE60" s="282"/>
      <c r="BR60" s="363"/>
      <c r="BT60" s="279" t="s">
        <v>205</v>
      </c>
      <c r="BU60" s="279" t="s">
        <v>206</v>
      </c>
    </row>
    <row r="61" s="279" customFormat="1" customHeight="1" spans="1:73">
      <c r="A61" s="279">
        <v>39</v>
      </c>
      <c r="C61" s="279" t="s">
        <v>943</v>
      </c>
      <c r="D61" s="279">
        <v>20230000663</v>
      </c>
      <c r="F61" s="295" t="s">
        <v>1174</v>
      </c>
      <c r="G61" s="297" t="s">
        <v>1175</v>
      </c>
      <c r="H61" s="719" t="s">
        <v>1176</v>
      </c>
      <c r="I61" s="313" t="s">
        <v>1177</v>
      </c>
      <c r="J61" s="279">
        <v>137.77</v>
      </c>
      <c r="K61" s="279">
        <v>137.77</v>
      </c>
      <c r="L61" s="279">
        <v>5374.96</v>
      </c>
      <c r="M61" s="317">
        <v>740509</v>
      </c>
      <c r="N61" s="317"/>
      <c r="O61" s="320"/>
      <c r="P61" s="321"/>
      <c r="Q61" s="321"/>
      <c r="R61" s="282"/>
      <c r="S61" s="285"/>
      <c r="T61" s="286" t="s">
        <v>1178</v>
      </c>
      <c r="U61" s="285" t="s">
        <v>1179</v>
      </c>
      <c r="V61" s="282">
        <v>230509</v>
      </c>
      <c r="W61" s="279" t="s">
        <v>943</v>
      </c>
      <c r="X61" s="282">
        <v>510000</v>
      </c>
      <c r="Y61" s="279" t="s">
        <v>948</v>
      </c>
      <c r="Z61" s="282"/>
      <c r="AB61" s="282"/>
      <c r="AH61" s="282">
        <f t="shared" si="8"/>
        <v>740509</v>
      </c>
      <c r="AK61" s="287">
        <f t="shared" si="3"/>
        <v>0</v>
      </c>
      <c r="AL61" s="295" t="s">
        <v>1180</v>
      </c>
      <c r="AM61" s="295"/>
      <c r="AN61" s="344">
        <v>826640</v>
      </c>
      <c r="AO61" s="344"/>
      <c r="AP61" s="344"/>
      <c r="AQ61" s="288">
        <f t="shared" si="10"/>
        <v>0.0054</v>
      </c>
      <c r="AR61" s="349">
        <f t="shared" si="2"/>
        <v>740509</v>
      </c>
      <c r="AS61" s="282">
        <f t="shared" si="9"/>
        <v>100</v>
      </c>
      <c r="AT61" s="282"/>
      <c r="AU61" s="282"/>
      <c r="AV61" s="282">
        <v>740509</v>
      </c>
      <c r="AW61" s="282"/>
      <c r="AX61" s="282"/>
      <c r="AY61" s="352"/>
      <c r="AZ61" s="355"/>
      <c r="BA61" s="282"/>
      <c r="BB61" s="282"/>
      <c r="BC61" s="282"/>
      <c r="BD61" s="282"/>
      <c r="BE61" s="282"/>
      <c r="BR61" s="363"/>
      <c r="BT61" s="279" t="s">
        <v>205</v>
      </c>
      <c r="BU61" s="279" t="s">
        <v>206</v>
      </c>
    </row>
    <row r="62" s="279" customFormat="1" customHeight="1" spans="1:73">
      <c r="A62" s="279">
        <v>40</v>
      </c>
      <c r="C62" s="279" t="s">
        <v>1035</v>
      </c>
      <c r="D62" s="300" t="s">
        <v>1181</v>
      </c>
      <c r="F62" s="295" t="s">
        <v>1182</v>
      </c>
      <c r="G62" s="297" t="s">
        <v>1183</v>
      </c>
      <c r="H62" s="719" t="s">
        <v>1184</v>
      </c>
      <c r="I62" s="316" t="s">
        <v>1185</v>
      </c>
      <c r="J62" s="279">
        <v>138.26</v>
      </c>
      <c r="K62" s="279">
        <v>138.26</v>
      </c>
      <c r="L62" s="279">
        <v>5354.96</v>
      </c>
      <c r="M62" s="317">
        <v>740377</v>
      </c>
      <c r="N62" s="317"/>
      <c r="O62" s="320"/>
      <c r="P62" s="321"/>
      <c r="Q62" s="321"/>
      <c r="R62" s="282"/>
      <c r="T62" s="334" t="s">
        <v>1186</v>
      </c>
      <c r="U62" s="279" t="s">
        <v>1187</v>
      </c>
      <c r="V62" s="282">
        <v>130377</v>
      </c>
      <c r="W62" s="335" t="s">
        <v>1035</v>
      </c>
      <c r="X62" s="282">
        <v>110000</v>
      </c>
      <c r="Y62" s="335" t="s">
        <v>918</v>
      </c>
      <c r="Z62" s="282">
        <v>500000</v>
      </c>
      <c r="AA62" s="279" t="s">
        <v>1188</v>
      </c>
      <c r="AB62" s="282"/>
      <c r="AH62" s="282">
        <f t="shared" si="8"/>
        <v>740377</v>
      </c>
      <c r="AK62" s="287">
        <f t="shared" si="3"/>
        <v>0</v>
      </c>
      <c r="AL62" s="295" t="s">
        <v>1189</v>
      </c>
      <c r="AM62" s="295"/>
      <c r="AN62" s="344">
        <v>826497</v>
      </c>
      <c r="AO62" s="344"/>
      <c r="AP62" s="344"/>
      <c r="AQ62" s="288">
        <f t="shared" si="10"/>
        <v>0.0054</v>
      </c>
      <c r="AR62" s="349">
        <f t="shared" si="2"/>
        <v>740377</v>
      </c>
      <c r="AS62" s="282"/>
      <c r="AT62" s="282"/>
      <c r="AU62" s="282"/>
      <c r="AV62" s="282"/>
      <c r="AW62" s="282">
        <v>740377</v>
      </c>
      <c r="AX62" s="282"/>
      <c r="AY62" s="352"/>
      <c r="AZ62" s="353"/>
      <c r="BA62" s="282"/>
      <c r="BB62" s="282"/>
      <c r="BC62" s="282"/>
      <c r="BD62" s="282"/>
      <c r="BE62" s="282"/>
      <c r="BR62" s="363"/>
      <c r="BT62" s="279" t="s">
        <v>205</v>
      </c>
      <c r="BU62" s="279" t="s">
        <v>206</v>
      </c>
    </row>
    <row r="63" s="279" customFormat="1" customHeight="1" spans="1:73">
      <c r="A63" s="279">
        <v>41</v>
      </c>
      <c r="C63" s="279" t="s">
        <v>1035</v>
      </c>
      <c r="D63" s="300" t="s">
        <v>1190</v>
      </c>
      <c r="F63" s="295" t="s">
        <v>1191</v>
      </c>
      <c r="G63" s="299" t="s">
        <v>1192</v>
      </c>
      <c r="H63" s="299"/>
      <c r="I63" s="313" t="s">
        <v>1193</v>
      </c>
      <c r="J63" s="279">
        <v>137.77</v>
      </c>
      <c r="K63" s="279">
        <v>137.77</v>
      </c>
      <c r="L63" s="279">
        <v>5538.22</v>
      </c>
      <c r="M63" s="317">
        <v>763000</v>
      </c>
      <c r="N63" s="317"/>
      <c r="O63" s="320"/>
      <c r="P63" s="321"/>
      <c r="Q63" s="321"/>
      <c r="R63" s="282"/>
      <c r="S63" s="285"/>
      <c r="T63" s="299" t="s">
        <v>891</v>
      </c>
      <c r="U63" s="299" t="s">
        <v>891</v>
      </c>
      <c r="V63" s="282">
        <v>763000</v>
      </c>
      <c r="W63" s="331" t="s">
        <v>1035</v>
      </c>
      <c r="X63" s="282"/>
      <c r="Y63" s="335"/>
      <c r="Z63" s="282"/>
      <c r="AA63" s="335"/>
      <c r="AB63" s="282"/>
      <c r="AH63" s="282">
        <f t="shared" si="8"/>
        <v>763000</v>
      </c>
      <c r="AK63" s="287">
        <f t="shared" si="3"/>
        <v>0</v>
      </c>
      <c r="AL63" s="295" t="s">
        <v>1194</v>
      </c>
      <c r="AM63" s="295"/>
      <c r="AN63" s="344"/>
      <c r="AO63" s="344"/>
      <c r="AP63" s="344"/>
      <c r="AQ63" s="288">
        <f>0.6%+0.06%+0.14%</f>
        <v>0.008</v>
      </c>
      <c r="AR63" s="349">
        <f t="shared" si="2"/>
        <v>763000</v>
      </c>
      <c r="AS63" s="282"/>
      <c r="AT63" s="282">
        <f>100+100</f>
        <v>200</v>
      </c>
      <c r="AU63" s="282"/>
      <c r="AV63" s="282">
        <v>763000</v>
      </c>
      <c r="AW63" s="282"/>
      <c r="AX63" s="282"/>
      <c r="AY63" s="352"/>
      <c r="AZ63" s="353"/>
      <c r="BA63" s="282"/>
      <c r="BB63" s="282"/>
      <c r="BC63" s="282"/>
      <c r="BD63" s="282"/>
      <c r="BE63" s="282"/>
      <c r="BR63" s="363"/>
      <c r="BT63" s="279" t="s">
        <v>205</v>
      </c>
      <c r="BU63" s="279" t="s">
        <v>206</v>
      </c>
    </row>
    <row r="64" s="279" customFormat="1" customHeight="1" spans="1:73">
      <c r="A64" s="279">
        <v>42</v>
      </c>
      <c r="C64" s="279" t="s">
        <v>909</v>
      </c>
      <c r="D64" s="300" t="s">
        <v>1195</v>
      </c>
      <c r="F64" s="301" t="s">
        <v>1196</v>
      </c>
      <c r="G64" s="299" t="s">
        <v>1197</v>
      </c>
      <c r="H64" s="299"/>
      <c r="I64" s="316" t="s">
        <v>1198</v>
      </c>
      <c r="J64" s="279">
        <v>138.26</v>
      </c>
      <c r="K64" s="279">
        <v>138.26</v>
      </c>
      <c r="L64" s="279">
        <v>5520.02</v>
      </c>
      <c r="M64" s="317">
        <v>763198</v>
      </c>
      <c r="N64" s="317"/>
      <c r="O64" s="320"/>
      <c r="P64" s="321"/>
      <c r="Q64" s="321"/>
      <c r="R64" s="282"/>
      <c r="S64" s="285"/>
      <c r="T64" s="329" t="s">
        <v>1197</v>
      </c>
      <c r="U64" s="329" t="s">
        <v>1199</v>
      </c>
      <c r="V64" s="282">
        <f>2000-2000</f>
        <v>0</v>
      </c>
      <c r="W64" s="331">
        <v>44754</v>
      </c>
      <c r="X64" s="282">
        <v>133198</v>
      </c>
      <c r="Y64" s="335" t="s">
        <v>909</v>
      </c>
      <c r="Z64" s="282">
        <v>100000</v>
      </c>
      <c r="AA64" s="331" t="s">
        <v>631</v>
      </c>
      <c r="AB64" s="282">
        <v>530000</v>
      </c>
      <c r="AC64" s="285" t="s">
        <v>1200</v>
      </c>
      <c r="AD64" s="331"/>
      <c r="AE64" s="331"/>
      <c r="AF64" s="331"/>
      <c r="AG64" s="331"/>
      <c r="AH64" s="282">
        <f t="shared" si="8"/>
        <v>763198</v>
      </c>
      <c r="AK64" s="287">
        <f t="shared" si="3"/>
        <v>0</v>
      </c>
      <c r="AL64" s="295" t="s">
        <v>1201</v>
      </c>
      <c r="AM64" s="295"/>
      <c r="AN64" s="344"/>
      <c r="AO64" s="344"/>
      <c r="AP64" s="344"/>
      <c r="AQ64" s="288">
        <f>0.4%+0.05%+0.14%</f>
        <v>0.0059</v>
      </c>
      <c r="AR64" s="349">
        <f t="shared" si="2"/>
        <v>763198</v>
      </c>
      <c r="AS64" s="282">
        <f>100</f>
        <v>100</v>
      </c>
      <c r="AT64" s="282"/>
      <c r="AU64" s="282"/>
      <c r="AV64" s="282"/>
      <c r="AW64" s="282"/>
      <c r="AX64" s="282">
        <v>233198</v>
      </c>
      <c r="AY64" s="352"/>
      <c r="AZ64" s="353"/>
      <c r="BA64" s="282"/>
      <c r="BB64" s="282"/>
      <c r="BC64" s="282"/>
      <c r="BD64" s="282"/>
      <c r="BE64" s="282"/>
      <c r="BG64" s="279">
        <v>530000</v>
      </c>
      <c r="BR64" s="363"/>
      <c r="BT64" s="279" t="s">
        <v>205</v>
      </c>
      <c r="BU64" s="279" t="s">
        <v>206</v>
      </c>
    </row>
    <row r="65" s="279" customFormat="1" customHeight="1" spans="1:73">
      <c r="A65" s="279">
        <v>43</v>
      </c>
      <c r="C65" s="279" t="s">
        <v>1202</v>
      </c>
      <c r="D65" s="300" t="s">
        <v>1203</v>
      </c>
      <c r="F65" s="295" t="s">
        <v>1204</v>
      </c>
      <c r="G65" s="299" t="s">
        <v>1205</v>
      </c>
      <c r="H65" s="720" t="s">
        <v>1206</v>
      </c>
      <c r="I65" s="313" t="s">
        <v>1207</v>
      </c>
      <c r="J65" s="279">
        <v>137.77</v>
      </c>
      <c r="K65" s="279">
        <v>137.77</v>
      </c>
      <c r="L65" s="279">
        <v>6482</v>
      </c>
      <c r="M65" s="317">
        <v>893025</v>
      </c>
      <c r="N65" s="317"/>
      <c r="O65" s="320"/>
      <c r="P65" s="321"/>
      <c r="Q65" s="321"/>
      <c r="R65" s="282"/>
      <c r="T65" s="374" t="s">
        <v>1208</v>
      </c>
      <c r="U65" s="279" t="s">
        <v>1209</v>
      </c>
      <c r="V65" s="282">
        <f>2000+1000</f>
        <v>3000</v>
      </c>
      <c r="W65" s="331" t="s">
        <v>1210</v>
      </c>
      <c r="X65" s="282">
        <v>17000</v>
      </c>
      <c r="Y65" s="331" t="s">
        <v>960</v>
      </c>
      <c r="Z65" s="282">
        <v>40000</v>
      </c>
      <c r="AA65" s="331" t="s">
        <v>1211</v>
      </c>
      <c r="AB65" s="282">
        <v>100000</v>
      </c>
      <c r="AC65" s="279" t="s">
        <v>1212</v>
      </c>
      <c r="AD65" s="279">
        <v>423025</v>
      </c>
      <c r="AE65" s="279" t="s">
        <v>1202</v>
      </c>
      <c r="AF65" s="279">
        <f>20000+290000</f>
        <v>310000</v>
      </c>
      <c r="AG65" s="294" t="s">
        <v>1213</v>
      </c>
      <c r="AH65" s="282">
        <f t="shared" si="8"/>
        <v>893025</v>
      </c>
      <c r="AK65" s="287">
        <f t="shared" si="3"/>
        <v>0</v>
      </c>
      <c r="AL65" s="295" t="s">
        <v>1214</v>
      </c>
      <c r="AM65" s="295"/>
      <c r="AN65" s="344">
        <v>992419</v>
      </c>
      <c r="AO65" s="344"/>
      <c r="AP65" s="344"/>
      <c r="AQ65" s="288">
        <f>0.6%+0.1%+0.04%</f>
        <v>0.0074</v>
      </c>
      <c r="AR65" s="349">
        <f t="shared" si="2"/>
        <v>893025</v>
      </c>
      <c r="AS65" s="282"/>
      <c r="AT65" s="282"/>
      <c r="AU65" s="282"/>
      <c r="AV65" s="282"/>
      <c r="AW65" s="282"/>
      <c r="AX65" s="282"/>
      <c r="AY65" s="352"/>
      <c r="AZ65" s="353"/>
      <c r="BA65" s="282"/>
      <c r="BB65" s="282"/>
      <c r="BC65" s="282"/>
      <c r="BD65" s="282"/>
      <c r="BE65" s="282">
        <v>603025</v>
      </c>
      <c r="BF65" s="279">
        <v>290000</v>
      </c>
      <c r="BR65" s="363"/>
      <c r="BT65" s="279" t="s">
        <v>205</v>
      </c>
      <c r="BU65" s="279" t="s">
        <v>206</v>
      </c>
    </row>
    <row r="66" s="279" customFormat="1" customHeight="1" spans="1:73">
      <c r="A66" s="279">
        <v>44</v>
      </c>
      <c r="C66" s="279" t="s">
        <v>726</v>
      </c>
      <c r="D66" s="300" t="s">
        <v>1215</v>
      </c>
      <c r="F66" s="295" t="s">
        <v>1216</v>
      </c>
      <c r="G66" s="299" t="s">
        <v>1217</v>
      </c>
      <c r="H66" s="720" t="s">
        <v>1218</v>
      </c>
      <c r="I66" s="313" t="s">
        <v>1219</v>
      </c>
      <c r="J66" s="279">
        <v>138.26</v>
      </c>
      <c r="K66" s="279">
        <v>138.26</v>
      </c>
      <c r="L66" s="279">
        <v>6609</v>
      </c>
      <c r="M66" s="282">
        <v>913760</v>
      </c>
      <c r="N66" s="282">
        <v>6492</v>
      </c>
      <c r="O66" s="320"/>
      <c r="P66" s="321"/>
      <c r="Q66" s="321"/>
      <c r="R66" s="282"/>
      <c r="T66" s="279" t="s">
        <v>1217</v>
      </c>
      <c r="U66" s="279" t="s">
        <v>1075</v>
      </c>
      <c r="V66" s="282">
        <v>20000</v>
      </c>
      <c r="W66" s="331" t="s">
        <v>1220</v>
      </c>
      <c r="X66" s="282">
        <f>60000+133760</f>
        <v>193760</v>
      </c>
      <c r="Y66" s="331" t="s">
        <v>726</v>
      </c>
      <c r="Z66" s="282">
        <f>70000+630000</f>
        <v>700000</v>
      </c>
      <c r="AA66" s="279" t="s">
        <v>661</v>
      </c>
      <c r="AB66" s="282"/>
      <c r="AH66" s="282">
        <f t="shared" si="8"/>
        <v>913760</v>
      </c>
      <c r="AK66" s="287">
        <f t="shared" si="3"/>
        <v>0</v>
      </c>
      <c r="AL66" s="295" t="s">
        <v>1221</v>
      </c>
      <c r="AM66" s="295"/>
      <c r="AN66" s="344"/>
      <c r="AO66" s="344"/>
      <c r="AP66" s="344"/>
      <c r="AQ66" s="288">
        <f>0.6%+0.06%+0.14%</f>
        <v>0.008</v>
      </c>
      <c r="AR66" s="349">
        <f t="shared" si="2"/>
        <v>913760</v>
      </c>
      <c r="AS66" s="282"/>
      <c r="AT66" s="282"/>
      <c r="AU66" s="282"/>
      <c r="AV66" s="282"/>
      <c r="AW66" s="282">
        <v>213760</v>
      </c>
      <c r="AX66" s="282"/>
      <c r="AY66" s="158"/>
      <c r="AZ66" s="354"/>
      <c r="BA66" s="282">
        <v>700000</v>
      </c>
      <c r="BB66" s="282"/>
      <c r="BC66" s="282"/>
      <c r="BD66" s="282"/>
      <c r="BE66" s="282"/>
      <c r="BR66" s="363"/>
      <c r="BT66" s="279" t="s">
        <v>205</v>
      </c>
      <c r="BU66" s="279" t="s">
        <v>206</v>
      </c>
    </row>
    <row r="67" s="278" customFormat="1" customHeight="1" spans="4:82">
      <c r="D67" s="366"/>
      <c r="F67" s="367"/>
      <c r="G67" s="368"/>
      <c r="H67" s="368"/>
      <c r="I67" s="370" t="s">
        <v>1222</v>
      </c>
      <c r="J67" s="278">
        <v>38.67</v>
      </c>
      <c r="L67" s="278">
        <v>2196.02</v>
      </c>
      <c r="M67" s="103">
        <v>84920</v>
      </c>
      <c r="N67" s="103"/>
      <c r="O67" s="371"/>
      <c r="P67" s="372"/>
      <c r="Q67" s="372"/>
      <c r="R67" s="103"/>
      <c r="S67" s="328"/>
      <c r="T67" s="328"/>
      <c r="U67" s="328"/>
      <c r="V67" s="103"/>
      <c r="W67" s="104"/>
      <c r="X67" s="103"/>
      <c r="Y67" s="104"/>
      <c r="Z67" s="103"/>
      <c r="AB67" s="103"/>
      <c r="AH67" s="103">
        <f t="shared" si="8"/>
        <v>0</v>
      </c>
      <c r="AK67" s="342">
        <f t="shared" ref="AK67:AK88" si="11">M67-AH67</f>
        <v>84920</v>
      </c>
      <c r="AL67" s="367"/>
      <c r="AM67" s="367"/>
      <c r="AN67" s="380"/>
      <c r="AO67" s="380"/>
      <c r="AP67" s="380"/>
      <c r="AQ67" s="381"/>
      <c r="AR67" s="348">
        <f t="shared" si="2"/>
        <v>0</v>
      </c>
      <c r="AS67" s="103"/>
      <c r="AT67" s="103"/>
      <c r="AU67" s="103"/>
      <c r="AV67" s="103"/>
      <c r="AW67" s="103"/>
      <c r="AX67" s="103"/>
      <c r="AY67" s="168"/>
      <c r="AZ67" s="382"/>
      <c r="BA67" s="103"/>
      <c r="BB67" s="103"/>
      <c r="BC67" s="103"/>
      <c r="BD67" s="103"/>
      <c r="BE67" s="103"/>
      <c r="BR67" s="84"/>
      <c r="CD67" s="365"/>
    </row>
    <row r="68" s="278" customFormat="1" customHeight="1" spans="4:82">
      <c r="D68" s="366"/>
      <c r="F68" s="367"/>
      <c r="G68" s="368"/>
      <c r="H68" s="368"/>
      <c r="I68" s="370" t="s">
        <v>1223</v>
      </c>
      <c r="J68" s="278">
        <v>65.05</v>
      </c>
      <c r="M68" s="103"/>
      <c r="N68" s="103"/>
      <c r="O68" s="371"/>
      <c r="P68" s="372"/>
      <c r="Q68" s="372"/>
      <c r="R68" s="103"/>
      <c r="S68" s="328"/>
      <c r="T68" s="328"/>
      <c r="U68" s="328"/>
      <c r="V68" s="103"/>
      <c r="W68" s="104"/>
      <c r="X68" s="103"/>
      <c r="Y68" s="104"/>
      <c r="Z68" s="103"/>
      <c r="AB68" s="103"/>
      <c r="AH68" s="103">
        <f t="shared" si="8"/>
        <v>0</v>
      </c>
      <c r="AK68" s="342">
        <f t="shared" si="11"/>
        <v>0</v>
      </c>
      <c r="AL68" s="367"/>
      <c r="AM68" s="367"/>
      <c r="AN68" s="380"/>
      <c r="AO68" s="380"/>
      <c r="AP68" s="380"/>
      <c r="AQ68" s="381"/>
      <c r="AR68" s="348">
        <f t="shared" si="2"/>
        <v>0</v>
      </c>
      <c r="AS68" s="103"/>
      <c r="AT68" s="103"/>
      <c r="AU68" s="103"/>
      <c r="AV68" s="103"/>
      <c r="AW68" s="103"/>
      <c r="AX68" s="103"/>
      <c r="AY68" s="168"/>
      <c r="AZ68" s="382"/>
      <c r="BA68" s="103"/>
      <c r="BB68" s="103"/>
      <c r="BC68" s="103"/>
      <c r="BD68" s="103"/>
      <c r="BE68" s="103"/>
      <c r="BR68" s="84"/>
      <c r="CD68" s="365"/>
    </row>
    <row r="69" s="278" customFormat="1" customHeight="1" spans="4:82">
      <c r="D69" s="366"/>
      <c r="F69" s="367"/>
      <c r="G69" s="368"/>
      <c r="H69" s="368"/>
      <c r="I69" s="370" t="s">
        <v>1224</v>
      </c>
      <c r="J69" s="278">
        <v>64.62</v>
      </c>
      <c r="M69" s="103"/>
      <c r="N69" s="103"/>
      <c r="O69" s="371"/>
      <c r="P69" s="372"/>
      <c r="Q69" s="372"/>
      <c r="R69" s="103"/>
      <c r="S69" s="328"/>
      <c r="T69" s="328"/>
      <c r="U69" s="328"/>
      <c r="V69" s="103"/>
      <c r="W69" s="104"/>
      <c r="X69" s="103"/>
      <c r="Y69" s="104"/>
      <c r="Z69" s="103"/>
      <c r="AB69" s="103"/>
      <c r="AH69" s="103">
        <f t="shared" si="8"/>
        <v>0</v>
      </c>
      <c r="AK69" s="342">
        <f t="shared" si="11"/>
        <v>0</v>
      </c>
      <c r="AL69" s="367"/>
      <c r="AM69" s="367"/>
      <c r="AN69" s="380"/>
      <c r="AO69" s="380"/>
      <c r="AP69" s="380"/>
      <c r="AQ69" s="381"/>
      <c r="AR69" s="348">
        <f t="shared" ref="AR69:AR85" si="12">SUM(AU69:BO69)</f>
        <v>0</v>
      </c>
      <c r="AS69" s="103"/>
      <c r="AT69" s="103"/>
      <c r="AU69" s="103"/>
      <c r="AV69" s="103"/>
      <c r="AW69" s="103"/>
      <c r="AX69" s="103"/>
      <c r="AY69" s="168"/>
      <c r="AZ69" s="382"/>
      <c r="BA69" s="103"/>
      <c r="BB69" s="103"/>
      <c r="BC69" s="103"/>
      <c r="BD69" s="103"/>
      <c r="BE69" s="103"/>
      <c r="BR69" s="84"/>
      <c r="CD69" s="365"/>
    </row>
    <row r="70" s="278" customFormat="1" customHeight="1" spans="4:82">
      <c r="D70" s="366"/>
      <c r="F70" s="367"/>
      <c r="G70" s="368"/>
      <c r="H70" s="368"/>
      <c r="I70" s="370" t="s">
        <v>1225</v>
      </c>
      <c r="J70" s="278">
        <v>39.17</v>
      </c>
      <c r="L70" s="278">
        <v>2195.56</v>
      </c>
      <c r="M70" s="103">
        <v>86000</v>
      </c>
      <c r="N70" s="103"/>
      <c r="O70" s="371"/>
      <c r="P70" s="372"/>
      <c r="Q70" s="372"/>
      <c r="R70" s="103"/>
      <c r="S70" s="328"/>
      <c r="T70" s="328"/>
      <c r="U70" s="328"/>
      <c r="V70" s="103"/>
      <c r="W70" s="104"/>
      <c r="X70" s="103"/>
      <c r="Y70" s="104"/>
      <c r="Z70" s="103"/>
      <c r="AB70" s="103"/>
      <c r="AH70" s="103">
        <f t="shared" si="8"/>
        <v>0</v>
      </c>
      <c r="AK70" s="342">
        <f t="shared" si="11"/>
        <v>86000</v>
      </c>
      <c r="AL70" s="367"/>
      <c r="AM70" s="367"/>
      <c r="AN70" s="380"/>
      <c r="AO70" s="380"/>
      <c r="AP70" s="380"/>
      <c r="AQ70" s="381"/>
      <c r="AR70" s="348">
        <f t="shared" si="12"/>
        <v>0</v>
      </c>
      <c r="AS70" s="103"/>
      <c r="AT70" s="103"/>
      <c r="AU70" s="103"/>
      <c r="AV70" s="103"/>
      <c r="AW70" s="103"/>
      <c r="AX70" s="103"/>
      <c r="AY70" s="168"/>
      <c r="AZ70" s="382"/>
      <c r="BA70" s="103"/>
      <c r="BB70" s="103"/>
      <c r="BC70" s="103"/>
      <c r="BD70" s="103"/>
      <c r="BE70" s="103"/>
      <c r="BR70" s="84"/>
      <c r="CD70" s="365"/>
    </row>
    <row r="71" s="278" customFormat="1" customHeight="1" spans="4:82">
      <c r="D71" s="366"/>
      <c r="F71" s="367"/>
      <c r="G71" s="368" t="s">
        <v>1226</v>
      </c>
      <c r="H71" s="368"/>
      <c r="I71" s="370" t="s">
        <v>1227</v>
      </c>
      <c r="J71" s="278">
        <v>28.18</v>
      </c>
      <c r="L71" s="278">
        <v>2195.88</v>
      </c>
      <c r="M71" s="103">
        <v>61800</v>
      </c>
      <c r="N71" s="103"/>
      <c r="O71" s="371"/>
      <c r="P71" s="372"/>
      <c r="Q71" s="372"/>
      <c r="R71" s="103"/>
      <c r="S71" s="328"/>
      <c r="T71" s="328"/>
      <c r="U71" s="328"/>
      <c r="V71" s="103">
        <v>2000</v>
      </c>
      <c r="W71" s="328">
        <v>45537</v>
      </c>
      <c r="X71" s="103"/>
      <c r="Y71" s="104"/>
      <c r="Z71" s="103"/>
      <c r="AB71" s="103"/>
      <c r="AH71" s="103">
        <f t="shared" si="8"/>
        <v>2000</v>
      </c>
      <c r="AK71" s="342">
        <f t="shared" si="11"/>
        <v>59800</v>
      </c>
      <c r="AL71" s="367"/>
      <c r="AM71" s="367"/>
      <c r="AN71" s="380"/>
      <c r="AO71" s="380"/>
      <c r="AP71" s="380"/>
      <c r="AQ71" s="381"/>
      <c r="AR71" s="348">
        <f t="shared" si="12"/>
        <v>0</v>
      </c>
      <c r="AS71" s="103"/>
      <c r="AT71" s="103"/>
      <c r="AU71" s="103"/>
      <c r="AV71" s="103"/>
      <c r="AW71" s="103"/>
      <c r="AX71" s="103"/>
      <c r="AY71" s="168"/>
      <c r="AZ71" s="382"/>
      <c r="BA71" s="103"/>
      <c r="BB71" s="103"/>
      <c r="BC71" s="103"/>
      <c r="BD71" s="103"/>
      <c r="BE71" s="103"/>
      <c r="BR71" s="84"/>
      <c r="CD71" s="365"/>
    </row>
    <row r="72" s="278" customFormat="1" customHeight="1" spans="4:82">
      <c r="D72" s="366"/>
      <c r="F72" s="367"/>
      <c r="G72" s="368" t="s">
        <v>1228</v>
      </c>
      <c r="H72" s="368"/>
      <c r="I72" s="370" t="s">
        <v>1229</v>
      </c>
      <c r="J72" s="278">
        <v>24.68</v>
      </c>
      <c r="L72" s="278">
        <v>2196.11</v>
      </c>
      <c r="M72" s="103">
        <v>54200</v>
      </c>
      <c r="N72" s="103"/>
      <c r="O72" s="371"/>
      <c r="P72" s="372"/>
      <c r="Q72" s="372"/>
      <c r="R72" s="103">
        <v>51200</v>
      </c>
      <c r="S72" s="328">
        <v>45566</v>
      </c>
      <c r="T72" s="328"/>
      <c r="U72" s="328"/>
      <c r="V72" s="103">
        <v>3000</v>
      </c>
      <c r="W72" s="328">
        <v>45540</v>
      </c>
      <c r="X72" s="103">
        <v>51200</v>
      </c>
      <c r="Y72" s="328">
        <v>45566</v>
      </c>
      <c r="Z72" s="103"/>
      <c r="AB72" s="103"/>
      <c r="AH72" s="103">
        <f t="shared" si="8"/>
        <v>54200</v>
      </c>
      <c r="AK72" s="342">
        <f t="shared" si="11"/>
        <v>0</v>
      </c>
      <c r="AL72" s="367"/>
      <c r="AM72" s="367"/>
      <c r="AN72" s="380"/>
      <c r="AO72" s="380"/>
      <c r="AP72" s="380"/>
      <c r="AQ72" s="381"/>
      <c r="AR72" s="348">
        <f t="shared" si="12"/>
        <v>0</v>
      </c>
      <c r="AS72" s="103"/>
      <c r="AT72" s="103"/>
      <c r="AU72" s="103"/>
      <c r="AV72" s="103"/>
      <c r="AW72" s="103"/>
      <c r="AX72" s="103"/>
      <c r="AY72" s="168"/>
      <c r="AZ72" s="382"/>
      <c r="BA72" s="103"/>
      <c r="BB72" s="103"/>
      <c r="BC72" s="103"/>
      <c r="BD72" s="103"/>
      <c r="BE72" s="103"/>
      <c r="BR72" s="84"/>
      <c r="CD72" s="365"/>
    </row>
    <row r="73" s="278" customFormat="1" customHeight="1" spans="4:82">
      <c r="D73" s="366"/>
      <c r="F73" s="367"/>
      <c r="G73" s="368"/>
      <c r="H73" s="368"/>
      <c r="I73" s="370" t="s">
        <v>1230</v>
      </c>
      <c r="J73" s="278">
        <v>39.17</v>
      </c>
      <c r="L73" s="278">
        <v>2195.56</v>
      </c>
      <c r="M73" s="103">
        <v>86000</v>
      </c>
      <c r="N73" s="103"/>
      <c r="O73" s="371"/>
      <c r="P73" s="372"/>
      <c r="Q73" s="372"/>
      <c r="R73" s="103"/>
      <c r="S73" s="328"/>
      <c r="T73" s="328"/>
      <c r="U73" s="328"/>
      <c r="V73" s="103"/>
      <c r="W73" s="104"/>
      <c r="X73" s="103"/>
      <c r="Y73" s="104"/>
      <c r="Z73" s="103"/>
      <c r="AB73" s="103"/>
      <c r="AH73" s="103">
        <f t="shared" si="8"/>
        <v>0</v>
      </c>
      <c r="AK73" s="342">
        <f t="shared" si="11"/>
        <v>86000</v>
      </c>
      <c r="AL73" s="367"/>
      <c r="AM73" s="367"/>
      <c r="AN73" s="380"/>
      <c r="AO73" s="380"/>
      <c r="AP73" s="380"/>
      <c r="AQ73" s="381"/>
      <c r="AR73" s="348">
        <f t="shared" si="12"/>
        <v>0</v>
      </c>
      <c r="AS73" s="103"/>
      <c r="AT73" s="103"/>
      <c r="AU73" s="103"/>
      <c r="AV73" s="103"/>
      <c r="AW73" s="103"/>
      <c r="AX73" s="103"/>
      <c r="AY73" s="168"/>
      <c r="AZ73" s="382"/>
      <c r="BA73" s="103"/>
      <c r="BB73" s="103"/>
      <c r="BC73" s="103"/>
      <c r="BD73" s="103"/>
      <c r="BE73" s="103"/>
      <c r="BR73" s="84"/>
      <c r="CD73" s="365"/>
    </row>
    <row r="74" s="278" customFormat="1" customHeight="1" spans="4:82">
      <c r="D74" s="366"/>
      <c r="F74" s="367"/>
      <c r="G74" s="368"/>
      <c r="H74" s="368"/>
      <c r="I74" s="370" t="s">
        <v>1231</v>
      </c>
      <c r="J74" s="278">
        <v>64.62</v>
      </c>
      <c r="M74" s="103"/>
      <c r="N74" s="103"/>
      <c r="O74" s="371"/>
      <c r="P74" s="372"/>
      <c r="Q74" s="372"/>
      <c r="R74" s="103"/>
      <c r="S74" s="328"/>
      <c r="T74" s="328"/>
      <c r="U74" s="328"/>
      <c r="V74" s="103"/>
      <c r="W74" s="104"/>
      <c r="X74" s="103"/>
      <c r="Y74" s="104"/>
      <c r="Z74" s="103"/>
      <c r="AB74" s="103"/>
      <c r="AH74" s="103">
        <f t="shared" si="8"/>
        <v>0</v>
      </c>
      <c r="AK74" s="342">
        <f t="shared" si="11"/>
        <v>0</v>
      </c>
      <c r="AL74" s="367"/>
      <c r="AM74" s="367"/>
      <c r="AN74" s="380"/>
      <c r="AO74" s="380"/>
      <c r="AP74" s="380"/>
      <c r="AQ74" s="381"/>
      <c r="AR74" s="348">
        <f t="shared" si="12"/>
        <v>0</v>
      </c>
      <c r="AS74" s="103"/>
      <c r="AT74" s="103"/>
      <c r="AU74" s="103"/>
      <c r="AV74" s="103"/>
      <c r="AW74" s="103"/>
      <c r="AX74" s="103"/>
      <c r="AY74" s="168"/>
      <c r="AZ74" s="382"/>
      <c r="BA74" s="103"/>
      <c r="BB74" s="103"/>
      <c r="BC74" s="103"/>
      <c r="BD74" s="103"/>
      <c r="BE74" s="103"/>
      <c r="BR74" s="84"/>
      <c r="CD74" s="365"/>
    </row>
    <row r="75" s="278" customFormat="1" customHeight="1" spans="4:82">
      <c r="D75" s="366"/>
      <c r="F75" s="367"/>
      <c r="G75" s="368"/>
      <c r="H75" s="368"/>
      <c r="I75" s="370" t="s">
        <v>1232</v>
      </c>
      <c r="J75" s="278">
        <v>64.78</v>
      </c>
      <c r="M75" s="103"/>
      <c r="N75" s="103"/>
      <c r="O75" s="371"/>
      <c r="P75" s="372"/>
      <c r="Q75" s="372"/>
      <c r="R75" s="103"/>
      <c r="S75" s="328"/>
      <c r="T75" s="328"/>
      <c r="U75" s="328"/>
      <c r="V75" s="103"/>
      <c r="W75" s="104"/>
      <c r="X75" s="103"/>
      <c r="Y75" s="104"/>
      <c r="Z75" s="103"/>
      <c r="AB75" s="103"/>
      <c r="AH75" s="103">
        <f t="shared" si="8"/>
        <v>0</v>
      </c>
      <c r="AK75" s="342">
        <f t="shared" si="11"/>
        <v>0</v>
      </c>
      <c r="AL75" s="367"/>
      <c r="AM75" s="367"/>
      <c r="AN75" s="380"/>
      <c r="AO75" s="380"/>
      <c r="AP75" s="380"/>
      <c r="AQ75" s="381"/>
      <c r="AR75" s="348">
        <f t="shared" si="12"/>
        <v>0</v>
      </c>
      <c r="AS75" s="103"/>
      <c r="AT75" s="103"/>
      <c r="AU75" s="103"/>
      <c r="AV75" s="103"/>
      <c r="AW75" s="103"/>
      <c r="AX75" s="103"/>
      <c r="AY75" s="168"/>
      <c r="AZ75" s="382"/>
      <c r="BA75" s="103"/>
      <c r="BB75" s="103"/>
      <c r="BC75" s="103"/>
      <c r="BD75" s="103"/>
      <c r="BE75" s="103"/>
      <c r="BR75" s="84"/>
      <c r="CD75" s="365"/>
    </row>
    <row r="76" s="278" customFormat="1" customHeight="1" spans="4:82">
      <c r="D76" s="366"/>
      <c r="F76" s="367"/>
      <c r="G76" s="368"/>
      <c r="H76" s="368"/>
      <c r="I76" s="370" t="s">
        <v>1233</v>
      </c>
      <c r="J76" s="278">
        <v>38.67</v>
      </c>
      <c r="L76" s="278">
        <v>2196.02</v>
      </c>
      <c r="M76" s="103">
        <v>84920</v>
      </c>
      <c r="N76" s="103"/>
      <c r="O76" s="371"/>
      <c r="P76" s="372"/>
      <c r="Q76" s="372"/>
      <c r="R76" s="103"/>
      <c r="S76" s="328"/>
      <c r="T76" s="328"/>
      <c r="U76" s="328"/>
      <c r="V76" s="103"/>
      <c r="W76" s="104"/>
      <c r="X76" s="103"/>
      <c r="Y76" s="104"/>
      <c r="Z76" s="103"/>
      <c r="AB76" s="103"/>
      <c r="AH76" s="103">
        <f t="shared" si="8"/>
        <v>0</v>
      </c>
      <c r="AK76" s="342">
        <f t="shared" si="11"/>
        <v>84920</v>
      </c>
      <c r="AL76" s="367"/>
      <c r="AM76" s="367"/>
      <c r="AN76" s="380"/>
      <c r="AO76" s="380"/>
      <c r="AP76" s="380"/>
      <c r="AQ76" s="381"/>
      <c r="AR76" s="348">
        <f t="shared" si="12"/>
        <v>0</v>
      </c>
      <c r="AS76" s="103"/>
      <c r="AT76" s="103"/>
      <c r="AU76" s="103"/>
      <c r="AV76" s="103"/>
      <c r="AW76" s="103"/>
      <c r="AX76" s="103"/>
      <c r="AY76" s="168"/>
      <c r="AZ76" s="383"/>
      <c r="BA76" s="103"/>
      <c r="BB76" s="103"/>
      <c r="BC76" s="103"/>
      <c r="BD76" s="103"/>
      <c r="BE76" s="103"/>
      <c r="BR76" s="84"/>
      <c r="CD76" s="365"/>
    </row>
    <row r="77" s="278" customFormat="1" customHeight="1" spans="4:82">
      <c r="D77" s="366"/>
      <c r="F77" s="367"/>
      <c r="G77" s="368" t="s">
        <v>1234</v>
      </c>
      <c r="H77" s="368"/>
      <c r="I77" s="370" t="s">
        <v>1235</v>
      </c>
      <c r="J77" s="278">
        <v>15.5</v>
      </c>
      <c r="L77" s="278">
        <v>2196.13</v>
      </c>
      <c r="M77" s="103">
        <v>34040</v>
      </c>
      <c r="N77" s="103"/>
      <c r="O77" s="371"/>
      <c r="P77" s="372"/>
      <c r="Q77" s="372"/>
      <c r="R77" s="103"/>
      <c r="S77" s="328"/>
      <c r="T77" s="328"/>
      <c r="U77" s="328"/>
      <c r="V77" s="103">
        <v>34040</v>
      </c>
      <c r="W77" s="328">
        <v>45536</v>
      </c>
      <c r="X77" s="103"/>
      <c r="Y77" s="104"/>
      <c r="Z77" s="103"/>
      <c r="AB77" s="103"/>
      <c r="AH77" s="103">
        <f t="shared" si="8"/>
        <v>34040</v>
      </c>
      <c r="AK77" s="342">
        <f t="shared" si="11"/>
        <v>0</v>
      </c>
      <c r="AL77" s="367"/>
      <c r="AM77" s="367"/>
      <c r="AN77" s="380"/>
      <c r="AO77" s="380"/>
      <c r="AP77" s="380"/>
      <c r="AQ77" s="381"/>
      <c r="AR77" s="348">
        <f t="shared" si="12"/>
        <v>0</v>
      </c>
      <c r="AS77" s="103"/>
      <c r="AT77" s="103"/>
      <c r="AU77" s="103"/>
      <c r="AV77" s="103"/>
      <c r="AW77" s="103"/>
      <c r="AX77" s="103"/>
      <c r="AY77" s="168"/>
      <c r="AZ77" s="382"/>
      <c r="BA77" s="103"/>
      <c r="BB77" s="103"/>
      <c r="BC77" s="103"/>
      <c r="BD77" s="103"/>
      <c r="BE77" s="103"/>
      <c r="BR77" s="84"/>
      <c r="CD77" s="365"/>
    </row>
    <row r="78" s="278" customFormat="1" customHeight="1" spans="4:82">
      <c r="D78" s="366"/>
      <c r="F78" s="367"/>
      <c r="G78" s="368" t="s">
        <v>1236</v>
      </c>
      <c r="H78" s="368"/>
      <c r="I78" s="370" t="s">
        <v>1237</v>
      </c>
      <c r="J78" s="278">
        <v>22.57</v>
      </c>
      <c r="L78" s="278">
        <v>2195.84</v>
      </c>
      <c r="M78" s="103">
        <v>49560</v>
      </c>
      <c r="N78" s="103"/>
      <c r="O78" s="371"/>
      <c r="P78" s="372"/>
      <c r="Q78" s="372"/>
      <c r="R78" s="103">
        <v>47560</v>
      </c>
      <c r="S78" s="328">
        <v>45576</v>
      </c>
      <c r="T78" s="328"/>
      <c r="U78" s="328"/>
      <c r="V78" s="103">
        <v>2000</v>
      </c>
      <c r="W78" s="328">
        <v>45538</v>
      </c>
      <c r="X78" s="103">
        <v>47560</v>
      </c>
      <c r="Y78" s="328">
        <v>45576</v>
      </c>
      <c r="Z78" s="103"/>
      <c r="AB78" s="103"/>
      <c r="AH78" s="103">
        <f t="shared" si="8"/>
        <v>49560</v>
      </c>
      <c r="AK78" s="342">
        <f t="shared" si="11"/>
        <v>0</v>
      </c>
      <c r="AL78" s="367"/>
      <c r="AM78" s="367"/>
      <c r="AN78" s="380"/>
      <c r="AO78" s="380"/>
      <c r="AP78" s="380"/>
      <c r="AQ78" s="381"/>
      <c r="AR78" s="348">
        <f t="shared" si="12"/>
        <v>0</v>
      </c>
      <c r="AS78" s="103"/>
      <c r="AT78" s="103"/>
      <c r="AU78" s="103"/>
      <c r="AV78" s="103"/>
      <c r="AW78" s="103"/>
      <c r="AX78" s="103"/>
      <c r="AY78" s="168"/>
      <c r="AZ78" s="382"/>
      <c r="BA78" s="103"/>
      <c r="BB78" s="103"/>
      <c r="BC78" s="103"/>
      <c r="BD78" s="103"/>
      <c r="BE78" s="103"/>
      <c r="BR78" s="84"/>
      <c r="CD78" s="365"/>
    </row>
    <row r="79" s="278" customFormat="1" customHeight="1" spans="4:82">
      <c r="D79" s="366"/>
      <c r="F79" s="367"/>
      <c r="G79" s="368" t="s">
        <v>1238</v>
      </c>
      <c r="H79" s="368"/>
      <c r="I79" s="370" t="s">
        <v>1239</v>
      </c>
      <c r="J79" s="278">
        <v>11.6</v>
      </c>
      <c r="L79" s="278">
        <v>2196.55</v>
      </c>
      <c r="M79" s="103">
        <v>25480</v>
      </c>
      <c r="N79" s="103"/>
      <c r="O79" s="371"/>
      <c r="P79" s="372"/>
      <c r="Q79" s="372"/>
      <c r="R79" s="103"/>
      <c r="S79" s="328"/>
      <c r="T79" s="328"/>
      <c r="U79" s="328"/>
      <c r="V79" s="103">
        <v>5000</v>
      </c>
      <c r="W79" s="328">
        <v>45538</v>
      </c>
      <c r="X79" s="103">
        <v>20480</v>
      </c>
      <c r="Y79" s="104">
        <v>45544</v>
      </c>
      <c r="Z79" s="103"/>
      <c r="AB79" s="103"/>
      <c r="AH79" s="103">
        <f t="shared" si="8"/>
        <v>25480</v>
      </c>
      <c r="AK79" s="342">
        <f t="shared" si="11"/>
        <v>0</v>
      </c>
      <c r="AL79" s="367"/>
      <c r="AM79" s="367"/>
      <c r="AN79" s="380"/>
      <c r="AO79" s="380"/>
      <c r="AP79" s="380"/>
      <c r="AQ79" s="381"/>
      <c r="AR79" s="348">
        <f t="shared" si="12"/>
        <v>0</v>
      </c>
      <c r="AS79" s="103"/>
      <c r="AT79" s="103"/>
      <c r="AU79" s="103"/>
      <c r="AV79" s="103"/>
      <c r="AW79" s="103"/>
      <c r="AX79" s="103"/>
      <c r="AY79" s="168"/>
      <c r="AZ79" s="382"/>
      <c r="BA79" s="103"/>
      <c r="BB79" s="103"/>
      <c r="BC79" s="103"/>
      <c r="BD79" s="103"/>
      <c r="BE79" s="103"/>
      <c r="BR79" s="84"/>
      <c r="CD79" s="365"/>
    </row>
    <row r="80" s="278" customFormat="1" customHeight="1" spans="4:82">
      <c r="D80" s="366"/>
      <c r="F80" s="367"/>
      <c r="G80" s="368"/>
      <c r="H80" s="368"/>
      <c r="I80" s="370" t="s">
        <v>1240</v>
      </c>
      <c r="J80" s="278">
        <v>71.85</v>
      </c>
      <c r="M80" s="103"/>
      <c r="N80" s="103"/>
      <c r="O80" s="371"/>
      <c r="P80" s="372"/>
      <c r="Q80" s="372"/>
      <c r="R80" s="103"/>
      <c r="S80" s="328"/>
      <c r="T80" s="328"/>
      <c r="U80" s="328"/>
      <c r="V80" s="103"/>
      <c r="W80" s="104"/>
      <c r="X80" s="103"/>
      <c r="Y80" s="104"/>
      <c r="Z80" s="103"/>
      <c r="AB80" s="103"/>
      <c r="AH80" s="103">
        <f t="shared" si="8"/>
        <v>0</v>
      </c>
      <c r="AK80" s="342">
        <f t="shared" si="11"/>
        <v>0</v>
      </c>
      <c r="AL80" s="367"/>
      <c r="AM80" s="367"/>
      <c r="AN80" s="380"/>
      <c r="AO80" s="380"/>
      <c r="AP80" s="380"/>
      <c r="AQ80" s="381"/>
      <c r="AR80" s="348">
        <f t="shared" si="12"/>
        <v>0</v>
      </c>
      <c r="AS80" s="103"/>
      <c r="AT80" s="103"/>
      <c r="AU80" s="103"/>
      <c r="AV80" s="103"/>
      <c r="AW80" s="103"/>
      <c r="AX80" s="103"/>
      <c r="AY80" s="168"/>
      <c r="AZ80" s="382"/>
      <c r="BA80" s="103"/>
      <c r="BB80" s="103"/>
      <c r="BC80" s="103"/>
      <c r="BD80" s="103"/>
      <c r="BE80" s="103"/>
      <c r="BR80" s="84"/>
      <c r="CD80" s="365"/>
    </row>
    <row r="81" s="278" customFormat="1" customHeight="1" spans="4:82">
      <c r="D81" s="366"/>
      <c r="F81" s="367"/>
      <c r="G81" s="368" t="s">
        <v>1241</v>
      </c>
      <c r="H81" s="368"/>
      <c r="I81" s="370" t="s">
        <v>1242</v>
      </c>
      <c r="J81" s="278">
        <v>18.65</v>
      </c>
      <c r="L81" s="278">
        <v>2196.25</v>
      </c>
      <c r="M81" s="103">
        <v>40960</v>
      </c>
      <c r="N81" s="103"/>
      <c r="O81" s="371"/>
      <c r="P81" s="372"/>
      <c r="Q81" s="372"/>
      <c r="R81" s="103"/>
      <c r="S81" s="328"/>
      <c r="T81" s="328"/>
      <c r="U81" s="328"/>
      <c r="V81" s="103">
        <v>2000</v>
      </c>
      <c r="W81" s="328">
        <v>45540</v>
      </c>
      <c r="X81" s="103">
        <v>38960</v>
      </c>
      <c r="Y81" s="104">
        <v>45558</v>
      </c>
      <c r="Z81" s="103"/>
      <c r="AB81" s="103"/>
      <c r="AH81" s="103">
        <f t="shared" si="8"/>
        <v>40960</v>
      </c>
      <c r="AK81" s="342">
        <f t="shared" si="11"/>
        <v>0</v>
      </c>
      <c r="AL81" s="367"/>
      <c r="AM81" s="367"/>
      <c r="AN81" s="380"/>
      <c r="AO81" s="380"/>
      <c r="AP81" s="380"/>
      <c r="AQ81" s="381"/>
      <c r="AR81" s="348">
        <f t="shared" si="12"/>
        <v>0</v>
      </c>
      <c r="AS81" s="103"/>
      <c r="AT81" s="103"/>
      <c r="AU81" s="103"/>
      <c r="AV81" s="103"/>
      <c r="AW81" s="103"/>
      <c r="AX81" s="103"/>
      <c r="AY81" s="168"/>
      <c r="AZ81" s="382"/>
      <c r="BA81" s="103"/>
      <c r="BB81" s="103"/>
      <c r="BC81" s="103"/>
      <c r="BD81" s="103"/>
      <c r="BE81" s="103"/>
      <c r="BR81" s="84"/>
      <c r="CD81" s="365"/>
    </row>
    <row r="82" s="278" customFormat="1" customHeight="1" spans="4:82">
      <c r="D82" s="366"/>
      <c r="F82" s="367"/>
      <c r="G82" s="368" t="s">
        <v>1243</v>
      </c>
      <c r="H82" s="368"/>
      <c r="I82" s="370" t="s">
        <v>1244</v>
      </c>
      <c r="J82" s="278">
        <v>18.65</v>
      </c>
      <c r="L82" s="278">
        <v>2196.25</v>
      </c>
      <c r="M82" s="103">
        <v>40960</v>
      </c>
      <c r="N82" s="103"/>
      <c r="O82" s="371"/>
      <c r="P82" s="372"/>
      <c r="Q82" s="372"/>
      <c r="R82" s="103"/>
      <c r="S82" s="328"/>
      <c r="T82" s="328"/>
      <c r="U82" s="328"/>
      <c r="V82" s="103">
        <v>2000</v>
      </c>
      <c r="W82" s="328">
        <v>45537</v>
      </c>
      <c r="X82" s="103">
        <f>5000+33960</f>
        <v>38960</v>
      </c>
      <c r="Y82" s="104">
        <v>45545</v>
      </c>
      <c r="Z82" s="103"/>
      <c r="AB82" s="103"/>
      <c r="AH82" s="103">
        <f t="shared" si="8"/>
        <v>40960</v>
      </c>
      <c r="AK82" s="342">
        <f t="shared" si="11"/>
        <v>0</v>
      </c>
      <c r="AL82" s="367"/>
      <c r="AM82" s="367"/>
      <c r="AN82" s="380"/>
      <c r="AO82" s="380"/>
      <c r="AP82" s="380"/>
      <c r="AQ82" s="381"/>
      <c r="AR82" s="348">
        <f t="shared" si="12"/>
        <v>0</v>
      </c>
      <c r="AS82" s="103"/>
      <c r="AT82" s="103"/>
      <c r="AU82" s="103"/>
      <c r="AV82" s="103"/>
      <c r="AW82" s="103"/>
      <c r="AX82" s="103"/>
      <c r="AY82" s="168"/>
      <c r="AZ82" s="382"/>
      <c r="BA82" s="103"/>
      <c r="BB82" s="103"/>
      <c r="BC82" s="103"/>
      <c r="BD82" s="103"/>
      <c r="BE82" s="103"/>
      <c r="BR82" s="84"/>
      <c r="CD82" s="365"/>
    </row>
    <row r="83" s="278" customFormat="1" customHeight="1" spans="4:82">
      <c r="D83" s="366"/>
      <c r="F83" s="367"/>
      <c r="G83" s="368"/>
      <c r="H83" s="368"/>
      <c r="I83" s="370" t="s">
        <v>1245</v>
      </c>
      <c r="J83" s="278">
        <v>70.14</v>
      </c>
      <c r="M83" s="103"/>
      <c r="N83" s="103"/>
      <c r="O83" s="371"/>
      <c r="P83" s="372"/>
      <c r="Q83" s="372"/>
      <c r="R83" s="103"/>
      <c r="S83" s="328"/>
      <c r="T83" s="328"/>
      <c r="U83" s="328"/>
      <c r="V83" s="103"/>
      <c r="W83" s="104"/>
      <c r="X83" s="103"/>
      <c r="Y83" s="104"/>
      <c r="Z83" s="103"/>
      <c r="AB83" s="103"/>
      <c r="AH83" s="103">
        <f t="shared" si="8"/>
        <v>0</v>
      </c>
      <c r="AK83" s="342">
        <f t="shared" si="11"/>
        <v>0</v>
      </c>
      <c r="AL83" s="367"/>
      <c r="AM83" s="367"/>
      <c r="AN83" s="380"/>
      <c r="AO83" s="380"/>
      <c r="AP83" s="380"/>
      <c r="AQ83" s="381"/>
      <c r="AR83" s="348">
        <f t="shared" si="12"/>
        <v>0</v>
      </c>
      <c r="AS83" s="103"/>
      <c r="AT83" s="103"/>
      <c r="AU83" s="103"/>
      <c r="AV83" s="103"/>
      <c r="AW83" s="103"/>
      <c r="AX83" s="103"/>
      <c r="AY83" s="168"/>
      <c r="AZ83" s="382"/>
      <c r="BA83" s="103"/>
      <c r="BB83" s="103"/>
      <c r="BC83" s="103"/>
      <c r="BD83" s="103"/>
      <c r="BE83" s="103"/>
      <c r="BR83" s="84"/>
      <c r="CD83" s="365"/>
    </row>
    <row r="84" s="278" customFormat="1" customHeight="1" spans="4:82">
      <c r="D84" s="366"/>
      <c r="F84" s="367"/>
      <c r="G84" s="368" t="s">
        <v>1246</v>
      </c>
      <c r="H84" s="368"/>
      <c r="I84" s="370" t="s">
        <v>1247</v>
      </c>
      <c r="J84" s="278">
        <v>11.9</v>
      </c>
      <c r="L84" s="278">
        <v>2194.96</v>
      </c>
      <c r="M84" s="103">
        <v>26120</v>
      </c>
      <c r="N84" s="103"/>
      <c r="O84" s="371"/>
      <c r="P84" s="372"/>
      <c r="Q84" s="372"/>
      <c r="R84" s="103"/>
      <c r="S84" s="328"/>
      <c r="T84" s="328"/>
      <c r="U84" s="328"/>
      <c r="V84" s="103">
        <v>26120</v>
      </c>
      <c r="W84" s="328">
        <v>45536</v>
      </c>
      <c r="X84" s="103"/>
      <c r="Y84" s="104"/>
      <c r="Z84" s="103"/>
      <c r="AB84" s="103"/>
      <c r="AH84" s="103">
        <f t="shared" si="8"/>
        <v>26120</v>
      </c>
      <c r="AK84" s="342">
        <f t="shared" si="11"/>
        <v>0</v>
      </c>
      <c r="AL84" s="367"/>
      <c r="AM84" s="367"/>
      <c r="AN84" s="380"/>
      <c r="AO84" s="380"/>
      <c r="AP84" s="380"/>
      <c r="AQ84" s="381"/>
      <c r="AR84" s="348">
        <f t="shared" si="12"/>
        <v>0</v>
      </c>
      <c r="AS84" s="103"/>
      <c r="AT84" s="103"/>
      <c r="AU84" s="103"/>
      <c r="AV84" s="103"/>
      <c r="AW84" s="103"/>
      <c r="AX84" s="103"/>
      <c r="AY84" s="168"/>
      <c r="AZ84" s="382"/>
      <c r="BA84" s="103"/>
      <c r="BB84" s="103"/>
      <c r="BC84" s="103"/>
      <c r="BD84" s="103"/>
      <c r="BE84" s="103"/>
      <c r="BR84" s="84"/>
      <c r="CD84" s="365"/>
    </row>
    <row r="85" s="278" customFormat="1" customHeight="1" spans="4:82">
      <c r="D85" s="366"/>
      <c r="F85" s="367"/>
      <c r="G85" s="368" t="s">
        <v>1248</v>
      </c>
      <c r="H85" s="368"/>
      <c r="I85" s="370" t="s">
        <v>1249</v>
      </c>
      <c r="J85" s="278">
        <v>14.05</v>
      </c>
      <c r="L85" s="278">
        <v>2195.02</v>
      </c>
      <c r="M85" s="103">
        <v>30840</v>
      </c>
      <c r="N85" s="103"/>
      <c r="O85" s="371"/>
      <c r="P85" s="372"/>
      <c r="Q85" s="372"/>
      <c r="R85" s="103"/>
      <c r="S85" s="328"/>
      <c r="T85" s="328"/>
      <c r="U85" s="328"/>
      <c r="V85" s="103">
        <v>30840</v>
      </c>
      <c r="W85" s="328">
        <v>45536</v>
      </c>
      <c r="X85" s="103"/>
      <c r="Y85" s="104"/>
      <c r="Z85" s="103"/>
      <c r="AB85" s="103"/>
      <c r="AH85" s="103">
        <f t="shared" si="8"/>
        <v>30840</v>
      </c>
      <c r="AK85" s="342">
        <f t="shared" si="11"/>
        <v>0</v>
      </c>
      <c r="AL85" s="367"/>
      <c r="AM85" s="367"/>
      <c r="AN85" s="380"/>
      <c r="AO85" s="380"/>
      <c r="AP85" s="380"/>
      <c r="AQ85" s="381"/>
      <c r="AR85" s="348">
        <f t="shared" si="12"/>
        <v>0</v>
      </c>
      <c r="AS85" s="103"/>
      <c r="AT85" s="103"/>
      <c r="AU85" s="103"/>
      <c r="AV85" s="103"/>
      <c r="AW85" s="103"/>
      <c r="AX85" s="103"/>
      <c r="AY85" s="168"/>
      <c r="AZ85" s="383"/>
      <c r="BA85" s="103"/>
      <c r="BB85" s="103"/>
      <c r="BC85" s="103"/>
      <c r="BD85" s="103"/>
      <c r="BE85" s="103"/>
      <c r="BR85" s="84"/>
      <c r="CD85" s="365"/>
    </row>
    <row r="86" s="278" customFormat="1" customHeight="1" spans="4:82">
      <c r="D86" s="366"/>
      <c r="F86" s="367"/>
      <c r="G86" s="368"/>
      <c r="H86" s="368"/>
      <c r="I86" s="370" t="s">
        <v>1250</v>
      </c>
      <c r="J86" s="278">
        <v>31.42</v>
      </c>
      <c r="L86" s="278">
        <v>2196.05</v>
      </c>
      <c r="M86" s="103">
        <v>69000</v>
      </c>
      <c r="N86" s="103"/>
      <c r="O86" s="371"/>
      <c r="P86" s="372"/>
      <c r="Q86" s="372"/>
      <c r="R86" s="103"/>
      <c r="S86" s="328"/>
      <c r="T86" s="328"/>
      <c r="U86" s="328"/>
      <c r="V86" s="103"/>
      <c r="W86" s="104"/>
      <c r="X86" s="103"/>
      <c r="Y86" s="104"/>
      <c r="Z86" s="103"/>
      <c r="AB86" s="103"/>
      <c r="AH86" s="103">
        <f t="shared" si="8"/>
        <v>0</v>
      </c>
      <c r="AK86" s="342">
        <f t="shared" si="11"/>
        <v>69000</v>
      </c>
      <c r="AL86" s="367"/>
      <c r="AM86" s="367"/>
      <c r="AN86" s="380"/>
      <c r="AO86" s="380"/>
      <c r="AP86" s="380"/>
      <c r="AQ86" s="381"/>
      <c r="AR86" s="348"/>
      <c r="AS86" s="103"/>
      <c r="AT86" s="103"/>
      <c r="AU86" s="103"/>
      <c r="AV86" s="103"/>
      <c r="AW86" s="103"/>
      <c r="AX86" s="103"/>
      <c r="AY86" s="168"/>
      <c r="AZ86" s="383"/>
      <c r="BA86" s="103"/>
      <c r="BB86" s="103"/>
      <c r="BC86" s="103"/>
      <c r="BD86" s="103"/>
      <c r="BE86" s="103"/>
      <c r="BR86" s="84"/>
      <c r="CD86" s="365"/>
    </row>
    <row r="87" s="279" customFormat="1" ht="46" customHeight="1" spans="1:73">
      <c r="A87" s="279">
        <v>45</v>
      </c>
      <c r="C87" s="279" t="s">
        <v>1251</v>
      </c>
      <c r="D87" s="300" t="s">
        <v>1252</v>
      </c>
      <c r="F87" s="295" t="s">
        <v>1253</v>
      </c>
      <c r="G87" s="295" t="s">
        <v>1254</v>
      </c>
      <c r="H87" s="720" t="s">
        <v>1255</v>
      </c>
      <c r="I87" s="313" t="s">
        <v>1256</v>
      </c>
      <c r="J87" s="279">
        <v>117.5</v>
      </c>
      <c r="K87" s="279">
        <v>117.5</v>
      </c>
      <c r="L87" s="279">
        <v>8050</v>
      </c>
      <c r="M87" s="317">
        <f>945956-81</f>
        <v>945875</v>
      </c>
      <c r="N87" s="317">
        <v>8017</v>
      </c>
      <c r="O87" s="320"/>
      <c r="P87" s="321"/>
      <c r="Q87" s="321"/>
      <c r="R87" s="282"/>
      <c r="S87" s="285"/>
      <c r="T87" s="329" t="s">
        <v>1257</v>
      </c>
      <c r="U87" s="329" t="s">
        <v>1258</v>
      </c>
      <c r="V87" s="282">
        <f>2000</f>
        <v>2000</v>
      </c>
      <c r="W87" s="331">
        <v>44755</v>
      </c>
      <c r="X87" s="282">
        <v>20000</v>
      </c>
      <c r="Y87" s="339" t="s">
        <v>1259</v>
      </c>
      <c r="Z87" s="282">
        <v>116956</v>
      </c>
      <c r="AA87" s="331" t="s">
        <v>1251</v>
      </c>
      <c r="AB87" s="282">
        <v>209000</v>
      </c>
      <c r="AC87" s="279" t="s">
        <v>1010</v>
      </c>
      <c r="AD87" s="282">
        <v>600000</v>
      </c>
      <c r="AE87" s="285" t="s">
        <v>721</v>
      </c>
      <c r="AF87" s="279">
        <v>-81</v>
      </c>
      <c r="AH87" s="282">
        <f t="shared" ref="AH87:AH119" si="13">V87+X87+Z87+AB87+AD87+AF87</f>
        <v>947875</v>
      </c>
      <c r="AK87" s="287">
        <f t="shared" si="11"/>
        <v>-2000</v>
      </c>
      <c r="AL87" s="295" t="s">
        <v>1260</v>
      </c>
      <c r="AM87" s="295"/>
      <c r="AN87" s="344"/>
      <c r="AO87" s="344"/>
      <c r="AP87" s="344"/>
      <c r="AQ87" s="288">
        <f>0.6%+0.14%</f>
        <v>0.0074</v>
      </c>
      <c r="AR87" s="349">
        <f t="shared" ref="AR87:AR133" si="14">SUM(AU87:BO87)</f>
        <v>945956</v>
      </c>
      <c r="AS87" s="282">
        <f>100</f>
        <v>100</v>
      </c>
      <c r="AT87" s="282"/>
      <c r="AU87" s="282"/>
      <c r="AV87" s="282"/>
      <c r="AW87" s="282"/>
      <c r="AX87" s="282">
        <v>345956</v>
      </c>
      <c r="AY87" s="158"/>
      <c r="AZ87" s="354"/>
      <c r="BA87" s="282">
        <v>600000</v>
      </c>
      <c r="BB87" s="282"/>
      <c r="BC87" s="282"/>
      <c r="BD87" s="282"/>
      <c r="BE87" s="282"/>
      <c r="BR87" s="363"/>
      <c r="BT87" s="279" t="s">
        <v>205</v>
      </c>
      <c r="BU87" s="279" t="s">
        <v>206</v>
      </c>
    </row>
    <row r="88" s="279" customFormat="1" customHeight="1" spans="1:70">
      <c r="A88" s="279">
        <v>46</v>
      </c>
      <c r="B88" s="279">
        <v>1</v>
      </c>
      <c r="C88" s="300"/>
      <c r="D88" s="279"/>
      <c r="E88" s="300"/>
      <c r="F88" s="295" t="s">
        <v>1261</v>
      </c>
      <c r="G88" s="297" t="s">
        <v>1262</v>
      </c>
      <c r="H88" s="719" t="s">
        <v>1263</v>
      </c>
      <c r="I88" s="316" t="s">
        <v>1264</v>
      </c>
      <c r="J88" s="279">
        <v>116.67</v>
      </c>
      <c r="K88" s="279">
        <v>116.67</v>
      </c>
      <c r="L88" s="279">
        <v>9856.016</v>
      </c>
      <c r="M88" s="317">
        <v>1150000</v>
      </c>
      <c r="N88" s="317">
        <v>8237</v>
      </c>
      <c r="O88" s="320"/>
      <c r="P88" s="321"/>
      <c r="Q88" s="321"/>
      <c r="R88" s="282">
        <v>20000</v>
      </c>
      <c r="S88" s="329" t="s">
        <v>1265</v>
      </c>
      <c r="T88" s="329"/>
      <c r="U88" s="329" t="s">
        <v>226</v>
      </c>
      <c r="V88" s="282">
        <v>20000</v>
      </c>
      <c r="W88" s="329" t="s">
        <v>1265</v>
      </c>
      <c r="X88" s="282"/>
      <c r="Y88" s="335"/>
      <c r="Z88" s="282"/>
      <c r="AA88" s="331"/>
      <c r="AB88" s="282"/>
      <c r="AC88" s="331"/>
      <c r="AD88" s="331"/>
      <c r="AE88" s="331"/>
      <c r="AF88" s="331"/>
      <c r="AG88" s="331"/>
      <c r="AH88" s="282">
        <f t="shared" si="13"/>
        <v>20000</v>
      </c>
      <c r="AK88" s="287">
        <f t="shared" si="11"/>
        <v>1130000</v>
      </c>
      <c r="AL88" s="295" t="s">
        <v>1266</v>
      </c>
      <c r="AM88" s="295"/>
      <c r="AN88" s="344"/>
      <c r="AO88" s="344"/>
      <c r="AP88" s="344"/>
      <c r="AQ88" s="288"/>
      <c r="AR88" s="349">
        <f t="shared" si="14"/>
        <v>0</v>
      </c>
      <c r="AS88" s="282"/>
      <c r="AT88" s="282">
        <f>100+100</f>
        <v>200</v>
      </c>
      <c r="AU88" s="282"/>
      <c r="AV88" s="282"/>
      <c r="AW88" s="282"/>
      <c r="AX88" s="282"/>
      <c r="AY88" s="158"/>
      <c r="AZ88" s="354"/>
      <c r="BA88" s="282"/>
      <c r="BB88" s="282"/>
      <c r="BC88" s="282"/>
      <c r="BD88" s="282"/>
      <c r="BE88" s="282"/>
      <c r="BR88" s="384"/>
    </row>
    <row r="89" s="279" customFormat="1" customHeight="1" spans="1:72">
      <c r="A89" s="279">
        <v>47</v>
      </c>
      <c r="C89" s="331">
        <v>45520</v>
      </c>
      <c r="D89" s="295" t="s">
        <v>1267</v>
      </c>
      <c r="E89" s="279" t="s">
        <v>1268</v>
      </c>
      <c r="F89" s="295" t="s">
        <v>1269</v>
      </c>
      <c r="G89" s="299" t="s">
        <v>1270</v>
      </c>
      <c r="H89" s="299"/>
      <c r="I89" s="313" t="s">
        <v>1271</v>
      </c>
      <c r="J89" s="279">
        <v>115.94</v>
      </c>
      <c r="K89" s="279">
        <v>115.94</v>
      </c>
      <c r="L89" s="279">
        <f>M89/K89</f>
        <v>6190.71071243747</v>
      </c>
      <c r="M89" s="317">
        <f>717813-62</f>
        <v>717751</v>
      </c>
      <c r="N89" s="279">
        <v>6190.71</v>
      </c>
      <c r="O89" s="320"/>
      <c r="P89" s="321"/>
      <c r="Q89" s="321"/>
      <c r="R89" s="282"/>
      <c r="S89" s="285"/>
      <c r="T89" s="285"/>
      <c r="U89" s="285"/>
      <c r="V89" s="282">
        <v>717813</v>
      </c>
      <c r="W89" s="285" t="s">
        <v>553</v>
      </c>
      <c r="X89" s="282">
        <v>-62</v>
      </c>
      <c r="Y89" s="331"/>
      <c r="Z89" s="282"/>
      <c r="AA89" s="331"/>
      <c r="AB89" s="282"/>
      <c r="AC89" s="331"/>
      <c r="AD89" s="331"/>
      <c r="AE89" s="331"/>
      <c r="AF89" s="331"/>
      <c r="AG89" s="331"/>
      <c r="AH89" s="282">
        <f t="shared" si="13"/>
        <v>717751</v>
      </c>
      <c r="AK89" s="287">
        <f t="shared" ref="AK89:AK152" si="15">M89-AH89</f>
        <v>0</v>
      </c>
      <c r="AL89" s="295"/>
      <c r="AM89" s="295"/>
      <c r="AN89" s="344"/>
      <c r="AO89" s="344"/>
      <c r="AP89" s="344"/>
      <c r="AQ89" s="288"/>
      <c r="AR89" s="349">
        <f t="shared" si="14"/>
        <v>0</v>
      </c>
      <c r="AS89" s="282"/>
      <c r="AT89" s="282"/>
      <c r="AU89" s="282"/>
      <c r="AV89" s="282"/>
      <c r="AW89" s="282"/>
      <c r="AX89" s="282"/>
      <c r="AY89" s="352"/>
      <c r="AZ89" s="353"/>
      <c r="BA89" s="282"/>
      <c r="BB89" s="282"/>
      <c r="BC89" s="282"/>
      <c r="BD89" s="282"/>
      <c r="BE89" s="282"/>
      <c r="BR89" s="363"/>
      <c r="BT89" s="279" t="s">
        <v>205</v>
      </c>
    </row>
    <row r="90" s="279" customFormat="1" customHeight="1" spans="1:73">
      <c r="A90" s="279">
        <v>48</v>
      </c>
      <c r="C90" s="279" t="s">
        <v>1272</v>
      </c>
      <c r="D90" s="300" t="s">
        <v>1273</v>
      </c>
      <c r="F90" s="295" t="s">
        <v>1274</v>
      </c>
      <c r="G90" s="299" t="s">
        <v>1275</v>
      </c>
      <c r="H90" s="299"/>
      <c r="I90" s="316" t="s">
        <v>1276</v>
      </c>
      <c r="J90" s="279">
        <v>115.58</v>
      </c>
      <c r="K90" s="279">
        <v>115.58</v>
      </c>
      <c r="L90" s="279">
        <f>M90/K90</f>
        <v>5600</v>
      </c>
      <c r="M90" s="317">
        <f>647304-56</f>
        <v>647248</v>
      </c>
      <c r="N90" s="279">
        <v>5580.99</v>
      </c>
      <c r="O90" s="320"/>
      <c r="P90" s="321"/>
      <c r="Q90" s="321"/>
      <c r="R90" s="282"/>
      <c r="S90" s="285"/>
      <c r="T90" s="285"/>
      <c r="U90" s="285" t="s">
        <v>201</v>
      </c>
      <c r="V90" s="282">
        <v>7304</v>
      </c>
      <c r="W90" s="285" t="s">
        <v>1277</v>
      </c>
      <c r="X90" s="282">
        <v>140000</v>
      </c>
      <c r="Y90" s="285" t="s">
        <v>704</v>
      </c>
      <c r="Z90" s="282">
        <v>50000</v>
      </c>
      <c r="AA90" s="331" t="s">
        <v>252</v>
      </c>
      <c r="AB90" s="282">
        <v>450000</v>
      </c>
      <c r="AC90" s="285" t="s">
        <v>222</v>
      </c>
      <c r="AD90" s="279">
        <v>-56</v>
      </c>
      <c r="AH90" s="282">
        <f t="shared" si="13"/>
        <v>647248</v>
      </c>
      <c r="AK90" s="287">
        <f t="shared" si="15"/>
        <v>0</v>
      </c>
      <c r="AL90" s="295" t="s">
        <v>1278</v>
      </c>
      <c r="AM90" s="295"/>
      <c r="AN90" s="344"/>
      <c r="AO90" s="344"/>
      <c r="AP90" s="344"/>
      <c r="AQ90" s="288">
        <f>0.4%+0.08%</f>
        <v>0.0048</v>
      </c>
      <c r="AR90" s="349">
        <f t="shared" si="14"/>
        <v>647304</v>
      </c>
      <c r="AS90" s="282"/>
      <c r="AT90" s="282">
        <v>100</v>
      </c>
      <c r="AU90" s="282"/>
      <c r="AV90" s="282"/>
      <c r="AW90" s="282"/>
      <c r="AX90" s="282"/>
      <c r="AY90" s="158"/>
      <c r="AZ90" s="220"/>
      <c r="BA90" s="282">
        <v>147304</v>
      </c>
      <c r="BB90" s="282"/>
      <c r="BC90" s="282"/>
      <c r="BD90" s="282"/>
      <c r="BE90" s="282"/>
      <c r="BJ90" s="279">
        <v>500000</v>
      </c>
      <c r="BR90" s="363"/>
      <c r="BT90" s="279" t="s">
        <v>205</v>
      </c>
      <c r="BU90" s="279" t="s">
        <v>206</v>
      </c>
    </row>
    <row r="91" s="279" customFormat="1" customHeight="1" spans="1:73">
      <c r="A91" s="279">
        <v>49</v>
      </c>
      <c r="C91" s="279">
        <v>2023.5</v>
      </c>
      <c r="D91" s="300" t="s">
        <v>1279</v>
      </c>
      <c r="F91" s="295" t="s">
        <v>1280</v>
      </c>
      <c r="G91" s="297" t="s">
        <v>1281</v>
      </c>
      <c r="H91" s="719" t="s">
        <v>1282</v>
      </c>
      <c r="I91" s="313" t="s">
        <v>1283</v>
      </c>
      <c r="J91" s="279">
        <v>115.94</v>
      </c>
      <c r="K91" s="279">
        <v>115.94</v>
      </c>
      <c r="L91" s="279">
        <v>5373.61</v>
      </c>
      <c r="M91" s="317">
        <f>623070-54</f>
        <v>623016</v>
      </c>
      <c r="O91" s="320"/>
      <c r="P91" s="321"/>
      <c r="Q91" s="321"/>
      <c r="R91" s="282"/>
      <c r="S91" s="285"/>
      <c r="T91" s="297" t="s">
        <v>1281</v>
      </c>
      <c r="U91" s="297" t="s">
        <v>1284</v>
      </c>
      <c r="V91" s="282">
        <v>20000</v>
      </c>
      <c r="W91" s="375" t="s">
        <v>970</v>
      </c>
      <c r="X91" s="282">
        <v>23070</v>
      </c>
      <c r="Y91" s="335" t="s">
        <v>1285</v>
      </c>
      <c r="Z91" s="282">
        <v>50000</v>
      </c>
      <c r="AA91" s="285" t="s">
        <v>721</v>
      </c>
      <c r="AB91" s="282">
        <v>70000</v>
      </c>
      <c r="AC91" s="285" t="s">
        <v>1286</v>
      </c>
      <c r="AD91" s="282">
        <v>460000</v>
      </c>
      <c r="AE91" s="285" t="s">
        <v>1287</v>
      </c>
      <c r="AF91" s="299">
        <v>-54</v>
      </c>
      <c r="AG91" s="331"/>
      <c r="AH91" s="282">
        <f t="shared" si="13"/>
        <v>623016</v>
      </c>
      <c r="AK91" s="287">
        <f t="shared" si="15"/>
        <v>0</v>
      </c>
      <c r="AL91" s="295" t="s">
        <v>1288</v>
      </c>
      <c r="AM91" s="295"/>
      <c r="AN91" s="344"/>
      <c r="AO91" s="344"/>
      <c r="AP91" s="344"/>
      <c r="AQ91" s="288">
        <f>0.6%+0.14%+0.06%</f>
        <v>0.008</v>
      </c>
      <c r="AR91" s="349">
        <f t="shared" si="14"/>
        <v>623070</v>
      </c>
      <c r="AS91" s="282"/>
      <c r="AT91" s="282">
        <v>100</v>
      </c>
      <c r="AU91" s="282"/>
      <c r="AV91" s="282"/>
      <c r="AW91" s="282"/>
      <c r="AX91" s="282"/>
      <c r="AY91" s="158"/>
      <c r="AZ91" s="220"/>
      <c r="BA91" s="282"/>
      <c r="BB91" s="282">
        <v>163070</v>
      </c>
      <c r="BC91" s="282"/>
      <c r="BD91" s="282">
        <v>460000</v>
      </c>
      <c r="BE91" s="282"/>
      <c r="BR91" s="363"/>
      <c r="BT91" s="279" t="s">
        <v>205</v>
      </c>
      <c r="BU91" s="279" t="s">
        <v>206</v>
      </c>
    </row>
    <row r="92" s="279" customFormat="1" customHeight="1" spans="1:73">
      <c r="A92" s="279">
        <v>50</v>
      </c>
      <c r="C92" s="279" t="s">
        <v>1289</v>
      </c>
      <c r="D92" s="300" t="s">
        <v>1290</v>
      </c>
      <c r="F92" s="717" t="s">
        <v>1291</v>
      </c>
      <c r="G92" s="297" t="s">
        <v>1292</v>
      </c>
      <c r="H92" s="719" t="s">
        <v>1293</v>
      </c>
      <c r="I92" s="316" t="s">
        <v>1294</v>
      </c>
      <c r="J92" s="279">
        <v>115.58</v>
      </c>
      <c r="K92" s="279">
        <v>115.58</v>
      </c>
      <c r="L92" s="279">
        <v>5382.96</v>
      </c>
      <c r="M92" s="317">
        <f>622216-54</f>
        <v>622162</v>
      </c>
      <c r="O92" s="320"/>
      <c r="P92" s="321"/>
      <c r="Q92" s="321"/>
      <c r="R92" s="282"/>
      <c r="S92" s="285"/>
      <c r="T92" s="297" t="s">
        <v>1292</v>
      </c>
      <c r="U92" s="297" t="s">
        <v>1295</v>
      </c>
      <c r="V92" s="282">
        <v>20000</v>
      </c>
      <c r="W92" s="331" t="s">
        <v>1296</v>
      </c>
      <c r="X92" s="282">
        <v>150000</v>
      </c>
      <c r="Y92" s="331" t="s">
        <v>1023</v>
      </c>
      <c r="Z92" s="282">
        <v>17216</v>
      </c>
      <c r="AA92" s="331" t="s">
        <v>1289</v>
      </c>
      <c r="AB92" s="282">
        <v>435000</v>
      </c>
      <c r="AC92" s="285" t="s">
        <v>661</v>
      </c>
      <c r="AD92" s="279">
        <v>-54</v>
      </c>
      <c r="AH92" s="282">
        <f t="shared" si="13"/>
        <v>622162</v>
      </c>
      <c r="AK92" s="287">
        <f t="shared" si="15"/>
        <v>0</v>
      </c>
      <c r="AL92" s="295" t="s">
        <v>1297</v>
      </c>
      <c r="AM92" s="295"/>
      <c r="AN92" s="344"/>
      <c r="AO92" s="344"/>
      <c r="AP92" s="344"/>
      <c r="AQ92" s="288">
        <f>0.4%+0.05%+0.14%</f>
        <v>0.0059</v>
      </c>
      <c r="AR92" s="349">
        <f t="shared" si="14"/>
        <v>622216</v>
      </c>
      <c r="AS92" s="282"/>
      <c r="AT92" s="282">
        <v>100</v>
      </c>
      <c r="AU92" s="282"/>
      <c r="AV92" s="282"/>
      <c r="AW92" s="282"/>
      <c r="AX92" s="282"/>
      <c r="AY92" s="158">
        <v>187216</v>
      </c>
      <c r="AZ92" s="354"/>
      <c r="BA92" s="282">
        <v>435000</v>
      </c>
      <c r="BB92" s="282"/>
      <c r="BC92" s="282"/>
      <c r="BD92" s="282"/>
      <c r="BE92" s="282"/>
      <c r="BR92" s="363"/>
      <c r="BT92" s="279" t="s">
        <v>205</v>
      </c>
      <c r="BU92" s="279" t="s">
        <v>206</v>
      </c>
    </row>
    <row r="93" s="279" customFormat="1" customHeight="1" spans="1:73">
      <c r="A93" s="279">
        <v>51</v>
      </c>
      <c r="C93" s="279" t="s">
        <v>916</v>
      </c>
      <c r="D93" s="300" t="s">
        <v>1298</v>
      </c>
      <c r="F93" s="295" t="s">
        <v>1299</v>
      </c>
      <c r="G93" s="299" t="s">
        <v>1300</v>
      </c>
      <c r="H93" s="720" t="s">
        <v>1301</v>
      </c>
      <c r="I93" s="313" t="s">
        <v>1302</v>
      </c>
      <c r="J93" s="279">
        <v>115.94</v>
      </c>
      <c r="K93" s="279">
        <v>115.94</v>
      </c>
      <c r="L93" s="279">
        <v>5167.38</v>
      </c>
      <c r="M93" s="317">
        <f>599158-52</f>
        <v>599106</v>
      </c>
      <c r="O93" s="320"/>
      <c r="P93" s="321"/>
      <c r="Q93" s="321"/>
      <c r="R93" s="282"/>
      <c r="S93" s="285"/>
      <c r="T93" s="286" t="s">
        <v>1303</v>
      </c>
      <c r="U93" s="285" t="s">
        <v>1304</v>
      </c>
      <c r="V93" s="282">
        <v>199158</v>
      </c>
      <c r="W93" s="331" t="s">
        <v>916</v>
      </c>
      <c r="X93" s="282">
        <v>200000</v>
      </c>
      <c r="Y93" s="331" t="s">
        <v>1305</v>
      </c>
      <c r="Z93" s="282">
        <v>200000</v>
      </c>
      <c r="AA93" s="331" t="s">
        <v>1306</v>
      </c>
      <c r="AB93" s="282">
        <v>-52</v>
      </c>
      <c r="AH93" s="282">
        <f t="shared" si="13"/>
        <v>599106</v>
      </c>
      <c r="AK93" s="287">
        <f t="shared" si="15"/>
        <v>0</v>
      </c>
      <c r="AL93" s="295" t="s">
        <v>1307</v>
      </c>
      <c r="AM93" s="295"/>
      <c r="AN93" s="344">
        <v>672998</v>
      </c>
      <c r="AO93" s="344"/>
      <c r="AP93" s="344"/>
      <c r="AQ93" s="288">
        <f>0.6%+0.04%+0.1%</f>
        <v>0.0074</v>
      </c>
      <c r="AR93" s="349">
        <f t="shared" si="14"/>
        <v>599158</v>
      </c>
      <c r="AS93" s="282"/>
      <c r="AT93" s="282">
        <v>100</v>
      </c>
      <c r="AU93" s="282"/>
      <c r="AV93" s="282">
        <v>399158</v>
      </c>
      <c r="AW93" s="282"/>
      <c r="AX93" s="282"/>
      <c r="AY93" s="352">
        <v>200000</v>
      </c>
      <c r="AZ93" s="353"/>
      <c r="BA93" s="282"/>
      <c r="BB93" s="282"/>
      <c r="BC93" s="282"/>
      <c r="BD93" s="282"/>
      <c r="BE93" s="282"/>
      <c r="BR93" s="363"/>
      <c r="BT93" s="279" t="s">
        <v>205</v>
      </c>
      <c r="BU93" s="279" t="s">
        <v>206</v>
      </c>
    </row>
    <row r="94" s="279" customFormat="1" customHeight="1" spans="1:73">
      <c r="A94" s="279">
        <v>52</v>
      </c>
      <c r="C94" s="279" t="s">
        <v>942</v>
      </c>
      <c r="D94" s="298" t="s">
        <v>1308</v>
      </c>
      <c r="F94" s="295" t="s">
        <v>1309</v>
      </c>
      <c r="G94" s="299" t="s">
        <v>1310</v>
      </c>
      <c r="H94" s="720" t="s">
        <v>1311</v>
      </c>
      <c r="I94" s="316" t="s">
        <v>1312</v>
      </c>
      <c r="J94" s="279">
        <v>115.58</v>
      </c>
      <c r="K94" s="279">
        <v>115.58</v>
      </c>
      <c r="L94" s="279">
        <v>5176.38</v>
      </c>
      <c r="M94" s="282">
        <f>598338-52</f>
        <v>598286</v>
      </c>
      <c r="O94" s="320"/>
      <c r="P94" s="373"/>
      <c r="Q94" s="373"/>
      <c r="R94" s="282"/>
      <c r="S94" s="376"/>
      <c r="T94" s="377" t="s">
        <v>1313</v>
      </c>
      <c r="U94" s="378" t="s">
        <v>1314</v>
      </c>
      <c r="V94" s="279">
        <v>108338</v>
      </c>
      <c r="W94" s="331" t="s">
        <v>942</v>
      </c>
      <c r="X94" s="282">
        <v>150000</v>
      </c>
      <c r="Y94" s="331" t="s">
        <v>1251</v>
      </c>
      <c r="Z94" s="282">
        <v>340000</v>
      </c>
      <c r="AA94" s="331" t="s">
        <v>1315</v>
      </c>
      <c r="AB94" s="282">
        <v>-52</v>
      </c>
      <c r="AC94" s="375"/>
      <c r="AD94" s="375"/>
      <c r="AE94" s="375"/>
      <c r="AF94" s="375"/>
      <c r="AG94" s="375"/>
      <c r="AH94" s="282">
        <f t="shared" si="13"/>
        <v>598286</v>
      </c>
      <c r="AK94" s="287">
        <f t="shared" si="15"/>
        <v>0</v>
      </c>
      <c r="AL94" s="295" t="s">
        <v>1316</v>
      </c>
      <c r="AM94" s="295"/>
      <c r="AN94" s="318">
        <v>672107</v>
      </c>
      <c r="AO94" s="318"/>
      <c r="AP94" s="318"/>
      <c r="AQ94" s="288">
        <f>0.4%+0.04%+0.1%</f>
        <v>0.0054</v>
      </c>
      <c r="AR94" s="349">
        <f t="shared" si="14"/>
        <v>598338</v>
      </c>
      <c r="AS94" s="282">
        <f>100</f>
        <v>100</v>
      </c>
      <c r="AT94" s="282">
        <v>100</v>
      </c>
      <c r="AU94" s="282"/>
      <c r="AV94" s="282"/>
      <c r="AW94" s="282"/>
      <c r="AX94" s="282">
        <v>258338</v>
      </c>
      <c r="AY94" s="352"/>
      <c r="AZ94" s="357">
        <v>340000</v>
      </c>
      <c r="BA94" s="282"/>
      <c r="BB94" s="282"/>
      <c r="BC94" s="282"/>
      <c r="BD94" s="282"/>
      <c r="BE94" s="282"/>
      <c r="BR94" s="363"/>
      <c r="BT94" s="279" t="s">
        <v>205</v>
      </c>
      <c r="BU94" s="279" t="s">
        <v>206</v>
      </c>
    </row>
    <row r="95" s="279" customFormat="1" ht="50" customHeight="1" spans="1:73">
      <c r="A95" s="279">
        <v>53</v>
      </c>
      <c r="C95" s="279" t="s">
        <v>1002</v>
      </c>
      <c r="D95" s="300" t="s">
        <v>1317</v>
      </c>
      <c r="F95" s="295" t="s">
        <v>1318</v>
      </c>
      <c r="G95" s="297" t="s">
        <v>1319</v>
      </c>
      <c r="H95" s="297"/>
      <c r="I95" s="313" t="s">
        <v>1320</v>
      </c>
      <c r="J95" s="279">
        <v>115.94</v>
      </c>
      <c r="K95" s="279">
        <v>115.94</v>
      </c>
      <c r="L95" s="279">
        <v>5338.51</v>
      </c>
      <c r="M95" s="317">
        <f>-53+619000</f>
        <v>618947</v>
      </c>
      <c r="N95" s="317"/>
      <c r="O95" s="320"/>
      <c r="P95" s="321"/>
      <c r="Q95" s="321"/>
      <c r="R95" s="282"/>
      <c r="S95" s="329"/>
      <c r="T95" s="329" t="s">
        <v>1319</v>
      </c>
      <c r="U95" s="329" t="s">
        <v>1319</v>
      </c>
      <c r="V95" s="282">
        <v>619000</v>
      </c>
      <c r="W95" s="335" t="s">
        <v>1002</v>
      </c>
      <c r="X95" s="282">
        <v>-53</v>
      </c>
      <c r="Y95" s="335"/>
      <c r="Z95" s="282"/>
      <c r="AB95" s="282"/>
      <c r="AH95" s="282">
        <f t="shared" si="13"/>
        <v>618947</v>
      </c>
      <c r="AK95" s="287">
        <f t="shared" si="15"/>
        <v>0</v>
      </c>
      <c r="AL95" s="295" t="s">
        <v>1321</v>
      </c>
      <c r="AM95" s="295"/>
      <c r="AN95" s="344"/>
      <c r="AO95" s="344"/>
      <c r="AP95" s="344"/>
      <c r="AQ95" s="288">
        <f>0.6%+0.06%+0.14%</f>
        <v>0.008</v>
      </c>
      <c r="AR95" s="349">
        <f t="shared" si="14"/>
        <v>619000</v>
      </c>
      <c r="AS95" s="282">
        <f>100+100</f>
        <v>200</v>
      </c>
      <c r="AT95" s="282">
        <v>100</v>
      </c>
      <c r="AU95" s="282"/>
      <c r="AV95" s="282">
        <v>619000</v>
      </c>
      <c r="AW95" s="282"/>
      <c r="AX95" s="282"/>
      <c r="AY95" s="352"/>
      <c r="AZ95" s="353"/>
      <c r="BA95" s="282"/>
      <c r="BB95" s="282"/>
      <c r="BC95" s="282"/>
      <c r="BD95" s="282"/>
      <c r="BE95" s="282"/>
      <c r="BT95" s="279" t="s">
        <v>205</v>
      </c>
      <c r="BU95" s="279" t="s">
        <v>206</v>
      </c>
    </row>
    <row r="96" s="279" customFormat="1" customHeight="1" spans="1:73">
      <c r="A96" s="279">
        <v>54</v>
      </c>
      <c r="C96" s="279" t="s">
        <v>1035</v>
      </c>
      <c r="D96" s="300" t="s">
        <v>1322</v>
      </c>
      <c r="F96" s="295" t="s">
        <v>1323</v>
      </c>
      <c r="G96" s="297" t="s">
        <v>1324</v>
      </c>
      <c r="H96" s="297"/>
      <c r="I96" s="316" t="s">
        <v>1325</v>
      </c>
      <c r="J96" s="279">
        <v>115.58</v>
      </c>
      <c r="K96" s="279">
        <v>115.58</v>
      </c>
      <c r="L96" s="279">
        <v>5226.39</v>
      </c>
      <c r="M96" s="317">
        <f>-52+604118</f>
        <v>604066</v>
      </c>
      <c r="N96" s="317"/>
      <c r="O96" s="320"/>
      <c r="P96" s="321"/>
      <c r="Q96" s="321"/>
      <c r="R96" s="282"/>
      <c r="S96" s="285"/>
      <c r="T96" s="332" t="s">
        <v>1326</v>
      </c>
      <c r="U96" s="329" t="s">
        <v>1327</v>
      </c>
      <c r="V96" s="282">
        <v>124118</v>
      </c>
      <c r="W96" s="331" t="s">
        <v>1035</v>
      </c>
      <c r="X96" s="282">
        <v>480000</v>
      </c>
      <c r="Y96" s="285" t="s">
        <v>1328</v>
      </c>
      <c r="Z96" s="282">
        <v>-52</v>
      </c>
      <c r="AA96" s="331"/>
      <c r="AB96" s="282"/>
      <c r="AC96" s="331"/>
      <c r="AD96" s="331"/>
      <c r="AE96" s="331"/>
      <c r="AF96" s="331"/>
      <c r="AG96" s="331"/>
      <c r="AH96" s="282">
        <f t="shared" si="13"/>
        <v>604066</v>
      </c>
      <c r="AK96" s="287">
        <f t="shared" si="15"/>
        <v>0</v>
      </c>
      <c r="AL96" s="295" t="s">
        <v>1329</v>
      </c>
      <c r="AM96" s="295"/>
      <c r="AN96" s="344"/>
      <c r="AO96" s="344"/>
      <c r="AP96" s="344"/>
      <c r="AQ96" s="288">
        <f>0.6%+0.1%+0.04%</f>
        <v>0.0074</v>
      </c>
      <c r="AR96" s="349">
        <f t="shared" si="14"/>
        <v>604118</v>
      </c>
      <c r="AS96" s="282">
        <f>100</f>
        <v>100</v>
      </c>
      <c r="AT96" s="282"/>
      <c r="AU96" s="282"/>
      <c r="AV96" s="282">
        <v>124118</v>
      </c>
      <c r="AW96" s="282"/>
      <c r="AX96" s="282"/>
      <c r="AY96" s="352"/>
      <c r="AZ96" s="353"/>
      <c r="BA96" s="282"/>
      <c r="BB96" s="282">
        <v>480000</v>
      </c>
      <c r="BC96" s="282"/>
      <c r="BD96" s="282"/>
      <c r="BE96" s="282"/>
      <c r="BT96" s="279" t="s">
        <v>205</v>
      </c>
      <c r="BU96" s="279" t="s">
        <v>206</v>
      </c>
    </row>
    <row r="97" s="279" customFormat="1" customHeight="1" spans="1:73">
      <c r="A97" s="279">
        <v>55</v>
      </c>
      <c r="C97" s="279" t="s">
        <v>1330</v>
      </c>
      <c r="D97" s="300" t="s">
        <v>1331</v>
      </c>
      <c r="F97" s="295" t="s">
        <v>1332</v>
      </c>
      <c r="G97" s="297" t="s">
        <v>1333</v>
      </c>
      <c r="H97" s="297"/>
      <c r="I97" s="313" t="s">
        <v>1334</v>
      </c>
      <c r="J97" s="279">
        <v>115.94</v>
      </c>
      <c r="K97" s="279">
        <v>115.94</v>
      </c>
      <c r="L97" s="279">
        <v>5424.75</v>
      </c>
      <c r="M97" s="317">
        <f>-54+629000</f>
        <v>628946</v>
      </c>
      <c r="N97" s="317"/>
      <c r="O97" s="320"/>
      <c r="P97" s="321"/>
      <c r="Q97" s="321"/>
      <c r="R97" s="282"/>
      <c r="S97" s="285"/>
      <c r="T97" s="297" t="s">
        <v>1333</v>
      </c>
      <c r="U97" s="297" t="s">
        <v>411</v>
      </c>
      <c r="V97" s="282">
        <v>20000</v>
      </c>
      <c r="W97" s="285" t="s">
        <v>1335</v>
      </c>
      <c r="X97" s="282">
        <v>169000</v>
      </c>
      <c r="Y97" s="331" t="s">
        <v>1330</v>
      </c>
      <c r="Z97" s="331">
        <v>440000</v>
      </c>
      <c r="AA97" s="331" t="s">
        <v>734</v>
      </c>
      <c r="AB97" s="299">
        <v>-54</v>
      </c>
      <c r="AC97" s="299"/>
      <c r="AD97" s="331"/>
      <c r="AE97" s="331"/>
      <c r="AF97" s="331"/>
      <c r="AG97" s="331"/>
      <c r="AH97" s="282">
        <f t="shared" si="13"/>
        <v>628946</v>
      </c>
      <c r="AK97" s="287">
        <f t="shared" si="15"/>
        <v>0</v>
      </c>
      <c r="AL97" s="295" t="s">
        <v>1336</v>
      </c>
      <c r="AM97" s="295"/>
      <c r="AN97" s="344"/>
      <c r="AO97" s="344"/>
      <c r="AP97" s="344"/>
      <c r="AQ97" s="288">
        <f>0.5%+0.14%</f>
        <v>0.0064</v>
      </c>
      <c r="AR97" s="349">
        <f t="shared" si="14"/>
        <v>629000</v>
      </c>
      <c r="AS97" s="282">
        <v>100</v>
      </c>
      <c r="AT97" s="282"/>
      <c r="AU97" s="282"/>
      <c r="AV97" s="282"/>
      <c r="AW97" s="282"/>
      <c r="AX97" s="282">
        <v>189000</v>
      </c>
      <c r="AY97" s="352"/>
      <c r="AZ97" s="356">
        <v>440000</v>
      </c>
      <c r="BA97" s="282"/>
      <c r="BB97" s="282"/>
      <c r="BC97" s="282"/>
      <c r="BD97" s="282"/>
      <c r="BE97" s="282"/>
      <c r="BT97" s="279" t="s">
        <v>205</v>
      </c>
      <c r="BU97" s="279" t="s">
        <v>206</v>
      </c>
    </row>
    <row r="98" s="279" customFormat="1" customHeight="1" spans="1:73">
      <c r="A98" s="279">
        <v>56</v>
      </c>
      <c r="C98" s="279" t="s">
        <v>1035</v>
      </c>
      <c r="D98" s="300" t="s">
        <v>1337</v>
      </c>
      <c r="F98" s="295" t="s">
        <v>1338</v>
      </c>
      <c r="G98" s="297" t="s">
        <v>1339</v>
      </c>
      <c r="H98" s="719" t="s">
        <v>1340</v>
      </c>
      <c r="I98" s="316" t="s">
        <v>1341</v>
      </c>
      <c r="J98" s="279">
        <v>115.58</v>
      </c>
      <c r="K98" s="279">
        <v>115.58</v>
      </c>
      <c r="L98" s="279">
        <v>5271.38</v>
      </c>
      <c r="M98" s="317">
        <f>-53+609319</f>
        <v>609266</v>
      </c>
      <c r="N98" s="317"/>
      <c r="O98" s="320"/>
      <c r="P98" s="321"/>
      <c r="Q98" s="321"/>
      <c r="R98" s="282"/>
      <c r="S98" s="285"/>
      <c r="T98" s="332" t="s">
        <v>1342</v>
      </c>
      <c r="U98" s="329" t="s">
        <v>1343</v>
      </c>
      <c r="V98" s="282">
        <v>189319</v>
      </c>
      <c r="W98" s="331" t="s">
        <v>1035</v>
      </c>
      <c r="X98" s="282">
        <v>20000</v>
      </c>
      <c r="Y98" s="279" t="s">
        <v>948</v>
      </c>
      <c r="Z98" s="282">
        <v>400000</v>
      </c>
      <c r="AA98" s="331" t="s">
        <v>995</v>
      </c>
      <c r="AB98" s="282">
        <v>-53</v>
      </c>
      <c r="AH98" s="282">
        <f t="shared" si="13"/>
        <v>609266</v>
      </c>
      <c r="AK98" s="287">
        <f t="shared" si="15"/>
        <v>0</v>
      </c>
      <c r="AL98" s="295" t="s">
        <v>1344</v>
      </c>
      <c r="AM98" s="295"/>
      <c r="AN98" s="344">
        <v>684043</v>
      </c>
      <c r="AO98" s="344"/>
      <c r="AP98" s="344"/>
      <c r="AQ98" s="288">
        <f t="shared" ref="AQ98:AQ103" si="16">0.4%+0.04%+0.1%</f>
        <v>0.0054</v>
      </c>
      <c r="AR98" s="349">
        <f t="shared" si="14"/>
        <v>609319</v>
      </c>
      <c r="AS98" s="282">
        <v>100</v>
      </c>
      <c r="AT98" s="282"/>
      <c r="AU98" s="282"/>
      <c r="AV98" s="282">
        <v>189319</v>
      </c>
      <c r="AW98" s="282">
        <v>420000</v>
      </c>
      <c r="AX98" s="282"/>
      <c r="AY98" s="352"/>
      <c r="AZ98" s="353"/>
      <c r="BA98" s="282"/>
      <c r="BB98" s="282"/>
      <c r="BC98" s="282"/>
      <c r="BD98" s="282"/>
      <c r="BE98" s="282"/>
      <c r="BT98" s="279" t="s">
        <v>205</v>
      </c>
      <c r="BU98" s="279" t="s">
        <v>206</v>
      </c>
    </row>
    <row r="99" s="279" customFormat="1" customHeight="1" spans="1:73">
      <c r="A99" s="279">
        <v>57</v>
      </c>
      <c r="C99" s="279" t="s">
        <v>1345</v>
      </c>
      <c r="D99" s="300" t="s">
        <v>1346</v>
      </c>
      <c r="F99" s="295" t="s">
        <v>1347</v>
      </c>
      <c r="G99" s="294" t="s">
        <v>1348</v>
      </c>
      <c r="H99" s="721" t="s">
        <v>1349</v>
      </c>
      <c r="I99" s="313" t="s">
        <v>1350</v>
      </c>
      <c r="J99" s="279">
        <v>115.94</v>
      </c>
      <c r="K99" s="279">
        <v>115.94</v>
      </c>
      <c r="L99" s="279">
        <v>5285.38</v>
      </c>
      <c r="M99" s="317">
        <f>-53+612840</f>
        <v>612787</v>
      </c>
      <c r="N99" s="317"/>
      <c r="O99" s="344"/>
      <c r="P99" s="321"/>
      <c r="Q99" s="321"/>
      <c r="R99" s="282"/>
      <c r="S99" s="285"/>
      <c r="T99" s="286" t="s">
        <v>1351</v>
      </c>
      <c r="U99" s="285" t="s">
        <v>1352</v>
      </c>
      <c r="V99" s="282">
        <v>2000</v>
      </c>
      <c r="W99" s="331">
        <v>44759</v>
      </c>
      <c r="X99" s="282">
        <v>18000</v>
      </c>
      <c r="Y99" s="339" t="s">
        <v>960</v>
      </c>
      <c r="Z99" s="282">
        <f>8000+164840</f>
        <v>172840</v>
      </c>
      <c r="AA99" s="279" t="s">
        <v>1345</v>
      </c>
      <c r="AB99" s="282">
        <v>420000</v>
      </c>
      <c r="AC99" s="285" t="s">
        <v>1353</v>
      </c>
      <c r="AD99" s="279">
        <v>-53</v>
      </c>
      <c r="AH99" s="282">
        <f t="shared" si="13"/>
        <v>612787</v>
      </c>
      <c r="AK99" s="287">
        <f t="shared" si="15"/>
        <v>0</v>
      </c>
      <c r="AL99" s="295" t="s">
        <v>1354</v>
      </c>
      <c r="AM99" s="295"/>
      <c r="AN99" s="344">
        <v>687869</v>
      </c>
      <c r="AO99" s="344"/>
      <c r="AP99" s="344"/>
      <c r="AQ99" s="288">
        <f>0.6%+0.1%</f>
        <v>0.007</v>
      </c>
      <c r="AR99" s="349">
        <f t="shared" si="14"/>
        <v>612840</v>
      </c>
      <c r="AS99" s="282"/>
      <c r="AT99" s="282">
        <v>100</v>
      </c>
      <c r="AU99" s="282"/>
      <c r="AV99" s="282"/>
      <c r="AW99" s="282"/>
      <c r="AX99" s="282">
        <v>192840</v>
      </c>
      <c r="AY99" s="352"/>
      <c r="AZ99" s="353"/>
      <c r="BA99" s="282">
        <v>420000</v>
      </c>
      <c r="BB99" s="282"/>
      <c r="BC99" s="282"/>
      <c r="BD99" s="282"/>
      <c r="BE99" s="282"/>
      <c r="BT99" s="279" t="s">
        <v>205</v>
      </c>
      <c r="BU99" s="279" t="s">
        <v>206</v>
      </c>
    </row>
    <row r="100" s="279" customFormat="1" customHeight="1" spans="1:73">
      <c r="A100" s="279">
        <v>58</v>
      </c>
      <c r="C100" s="279" t="s">
        <v>1330</v>
      </c>
      <c r="D100" s="300" t="s">
        <v>1355</v>
      </c>
      <c r="F100" s="295" t="s">
        <v>1356</v>
      </c>
      <c r="G100" s="294" t="s">
        <v>1357</v>
      </c>
      <c r="H100" s="721" t="s">
        <v>1358</v>
      </c>
      <c r="I100" s="313" t="s">
        <v>1359</v>
      </c>
      <c r="J100" s="279">
        <v>115.58</v>
      </c>
      <c r="K100" s="279">
        <v>115.58</v>
      </c>
      <c r="L100" s="279">
        <v>5316.38</v>
      </c>
      <c r="M100" s="317">
        <f>-53+614521</f>
        <v>614468</v>
      </c>
      <c r="N100" s="317"/>
      <c r="O100" s="344"/>
      <c r="P100" s="321"/>
      <c r="Q100" s="321"/>
      <c r="R100" s="282"/>
      <c r="S100" s="329"/>
      <c r="T100" s="332" t="s">
        <v>1360</v>
      </c>
      <c r="U100" s="329" t="s">
        <v>1361</v>
      </c>
      <c r="V100" s="282">
        <f>2000</f>
        <v>2000</v>
      </c>
      <c r="W100" s="330">
        <v>44755</v>
      </c>
      <c r="X100" s="282">
        <v>18000</v>
      </c>
      <c r="Y100" s="339" t="s">
        <v>960</v>
      </c>
      <c r="Z100" s="282">
        <v>594521</v>
      </c>
      <c r="AA100" s="279" t="s">
        <v>1330</v>
      </c>
      <c r="AB100" s="282">
        <v>-53</v>
      </c>
      <c r="AH100" s="282">
        <f t="shared" si="13"/>
        <v>614468</v>
      </c>
      <c r="AK100" s="287">
        <f t="shared" si="15"/>
        <v>0</v>
      </c>
      <c r="AL100" s="295" t="s">
        <v>1362</v>
      </c>
      <c r="AM100" s="295"/>
      <c r="AN100" s="344">
        <v>689696</v>
      </c>
      <c r="AO100" s="344"/>
      <c r="AP100" s="344"/>
      <c r="AQ100" s="288">
        <f>0.6%+0.1%</f>
        <v>0.007</v>
      </c>
      <c r="AR100" s="349">
        <f t="shared" si="14"/>
        <v>614521</v>
      </c>
      <c r="AS100" s="282">
        <f t="shared" ref="AS100:AS103" si="17">100</f>
        <v>100</v>
      </c>
      <c r="AT100" s="282">
        <v>100</v>
      </c>
      <c r="AU100" s="282"/>
      <c r="AV100" s="282"/>
      <c r="AW100" s="282"/>
      <c r="AX100" s="282">
        <v>614521</v>
      </c>
      <c r="AY100" s="352"/>
      <c r="AZ100" s="353"/>
      <c r="BA100" s="282"/>
      <c r="BB100" s="282"/>
      <c r="BC100" s="282"/>
      <c r="BD100" s="282"/>
      <c r="BE100" s="282"/>
      <c r="BT100" s="279" t="s">
        <v>205</v>
      </c>
      <c r="BU100" s="279" t="s">
        <v>206</v>
      </c>
    </row>
    <row r="101" s="279" customFormat="1" customHeight="1" spans="1:73">
      <c r="A101" s="279">
        <v>59</v>
      </c>
      <c r="C101" s="279" t="s">
        <v>916</v>
      </c>
      <c r="D101" s="300" t="s">
        <v>1363</v>
      </c>
      <c r="F101" s="295" t="s">
        <v>1364</v>
      </c>
      <c r="G101" s="294" t="s">
        <v>1365</v>
      </c>
      <c r="H101" s="294"/>
      <c r="I101" s="313" t="s">
        <v>1366</v>
      </c>
      <c r="J101" s="279">
        <v>115.94</v>
      </c>
      <c r="K101" s="279">
        <v>115.94</v>
      </c>
      <c r="L101" s="279">
        <v>5412.4</v>
      </c>
      <c r="M101" s="317">
        <f>-54+627568</f>
        <v>627514</v>
      </c>
      <c r="N101" s="317"/>
      <c r="O101" s="344"/>
      <c r="P101" s="321"/>
      <c r="Q101" s="321"/>
      <c r="R101" s="282"/>
      <c r="S101" s="285"/>
      <c r="T101" s="294" t="s">
        <v>1365</v>
      </c>
      <c r="U101" s="294" t="s">
        <v>1365</v>
      </c>
      <c r="V101" s="282">
        <v>20000</v>
      </c>
      <c r="W101" s="331" t="s">
        <v>942</v>
      </c>
      <c r="X101" s="282">
        <v>177568</v>
      </c>
      <c r="Y101" s="339" t="s">
        <v>916</v>
      </c>
      <c r="Z101" s="282">
        <v>430000</v>
      </c>
      <c r="AA101" s="279" t="s">
        <v>994</v>
      </c>
      <c r="AB101" s="282">
        <v>-54</v>
      </c>
      <c r="AH101" s="282">
        <f t="shared" si="13"/>
        <v>627514</v>
      </c>
      <c r="AK101" s="287">
        <f t="shared" si="15"/>
        <v>0</v>
      </c>
      <c r="AL101" s="295" t="s">
        <v>1367</v>
      </c>
      <c r="AM101" s="295"/>
      <c r="AN101" s="344"/>
      <c r="AO101" s="344"/>
      <c r="AP101" s="344"/>
      <c r="AQ101" s="288">
        <f>0.6%+0.06%+0.14%</f>
        <v>0.008</v>
      </c>
      <c r="AR101" s="349">
        <f t="shared" si="14"/>
        <v>627568</v>
      </c>
      <c r="AS101" s="282"/>
      <c r="AT101" s="282"/>
      <c r="AU101" s="282"/>
      <c r="AV101" s="282">
        <v>197568</v>
      </c>
      <c r="AW101" s="282"/>
      <c r="AX101" s="282"/>
      <c r="AY101" s="352"/>
      <c r="AZ101" s="356">
        <v>430000</v>
      </c>
      <c r="BA101" s="282"/>
      <c r="BB101" s="282"/>
      <c r="BC101" s="282"/>
      <c r="BD101" s="282"/>
      <c r="BE101" s="282"/>
      <c r="BT101" s="279" t="s">
        <v>205</v>
      </c>
      <c r="BU101" s="279" t="s">
        <v>206</v>
      </c>
    </row>
    <row r="102" s="279" customFormat="1" customHeight="1" spans="1:73">
      <c r="A102" s="279">
        <v>60</v>
      </c>
      <c r="C102" s="279" t="s">
        <v>977</v>
      </c>
      <c r="D102" s="300" t="s">
        <v>1368</v>
      </c>
      <c r="F102" s="295" t="s">
        <v>1369</v>
      </c>
      <c r="G102" s="294" t="s">
        <v>1370</v>
      </c>
      <c r="H102" s="721" t="s">
        <v>1371</v>
      </c>
      <c r="I102" s="313" t="s">
        <v>1372</v>
      </c>
      <c r="J102" s="279">
        <v>115.58</v>
      </c>
      <c r="K102" s="279">
        <v>115.58</v>
      </c>
      <c r="L102" s="279">
        <v>5341.38</v>
      </c>
      <c r="M102" s="317">
        <f>-53+617410</f>
        <v>617357</v>
      </c>
      <c r="N102" s="317"/>
      <c r="O102" s="344"/>
      <c r="P102" s="321"/>
      <c r="Q102" s="321"/>
      <c r="R102" s="282"/>
      <c r="S102" s="329"/>
      <c r="T102" s="332" t="s">
        <v>1373</v>
      </c>
      <c r="U102" s="329" t="s">
        <v>1374</v>
      </c>
      <c r="V102" s="282">
        <v>187410</v>
      </c>
      <c r="W102" s="279" t="s">
        <v>977</v>
      </c>
      <c r="X102" s="282">
        <v>430000</v>
      </c>
      <c r="Y102" s="339" t="s">
        <v>726</v>
      </c>
      <c r="Z102" s="282">
        <v>-53</v>
      </c>
      <c r="AB102" s="282"/>
      <c r="AH102" s="282">
        <f t="shared" si="13"/>
        <v>617357</v>
      </c>
      <c r="AK102" s="287">
        <f t="shared" si="15"/>
        <v>0</v>
      </c>
      <c r="AL102" s="295" t="s">
        <v>1375</v>
      </c>
      <c r="AM102" s="295"/>
      <c r="AN102" s="344">
        <v>682837</v>
      </c>
      <c r="AO102" s="344"/>
      <c r="AP102" s="344"/>
      <c r="AQ102" s="288">
        <f t="shared" si="16"/>
        <v>0.0054</v>
      </c>
      <c r="AR102" s="349">
        <f t="shared" si="14"/>
        <v>617410</v>
      </c>
      <c r="AS102" s="282">
        <f t="shared" si="17"/>
        <v>100</v>
      </c>
      <c r="AT102" s="282">
        <v>100</v>
      </c>
      <c r="AU102" s="282"/>
      <c r="AV102" s="282">
        <v>187410</v>
      </c>
      <c r="AW102" s="282">
        <v>430000</v>
      </c>
      <c r="AX102" s="282"/>
      <c r="AY102" s="352"/>
      <c r="AZ102" s="353"/>
      <c r="BA102" s="282"/>
      <c r="BB102" s="282"/>
      <c r="BC102" s="282"/>
      <c r="BD102" s="282"/>
      <c r="BE102" s="282"/>
      <c r="BT102" s="279" t="s">
        <v>205</v>
      </c>
      <c r="BU102" s="279" t="s">
        <v>206</v>
      </c>
    </row>
    <row r="103" s="279" customFormat="1" customHeight="1" spans="1:73">
      <c r="A103" s="279">
        <v>61</v>
      </c>
      <c r="C103" s="279" t="s">
        <v>942</v>
      </c>
      <c r="D103" s="300" t="s">
        <v>1376</v>
      </c>
      <c r="F103" s="295" t="s">
        <v>1377</v>
      </c>
      <c r="G103" s="279" t="s">
        <v>1378</v>
      </c>
      <c r="H103" s="717" t="s">
        <v>1379</v>
      </c>
      <c r="I103" s="316" t="s">
        <v>1380</v>
      </c>
      <c r="J103" s="279">
        <v>115.94</v>
      </c>
      <c r="K103" s="279">
        <v>115.94</v>
      </c>
      <c r="L103" s="279">
        <v>5377.38</v>
      </c>
      <c r="M103" s="317">
        <f>-54+623508</f>
        <v>623454</v>
      </c>
      <c r="N103" s="317"/>
      <c r="O103" s="344"/>
      <c r="P103" s="321"/>
      <c r="Q103" s="321"/>
      <c r="R103" s="282"/>
      <c r="S103" s="285"/>
      <c r="T103" s="332" t="s">
        <v>1381</v>
      </c>
      <c r="U103" s="329" t="s">
        <v>1382</v>
      </c>
      <c r="V103" s="282">
        <v>167508</v>
      </c>
      <c r="W103" s="339" t="s">
        <v>942</v>
      </c>
      <c r="X103" s="282">
        <v>20000</v>
      </c>
      <c r="Y103" s="339" t="s">
        <v>1383</v>
      </c>
      <c r="Z103" s="282">
        <v>436000</v>
      </c>
      <c r="AA103" s="279" t="s">
        <v>568</v>
      </c>
      <c r="AB103" s="282">
        <v>-54</v>
      </c>
      <c r="AH103" s="282">
        <f t="shared" si="13"/>
        <v>623454</v>
      </c>
      <c r="AK103" s="287">
        <f t="shared" si="15"/>
        <v>0</v>
      </c>
      <c r="AL103" s="295" t="s">
        <v>1384</v>
      </c>
      <c r="AM103" s="295"/>
      <c r="AN103" s="344">
        <v>699465</v>
      </c>
      <c r="AO103" s="344"/>
      <c r="AP103" s="344"/>
      <c r="AQ103" s="288">
        <f t="shared" si="16"/>
        <v>0.0054</v>
      </c>
      <c r="AR103" s="349">
        <f t="shared" si="14"/>
        <v>623508</v>
      </c>
      <c r="AS103" s="282">
        <f t="shared" si="17"/>
        <v>100</v>
      </c>
      <c r="AT103" s="282"/>
      <c r="AU103" s="282"/>
      <c r="AV103" s="282">
        <v>187508</v>
      </c>
      <c r="AW103" s="282">
        <v>436000</v>
      </c>
      <c r="AX103" s="282"/>
      <c r="AY103" s="352"/>
      <c r="AZ103" s="353"/>
      <c r="BA103" s="282"/>
      <c r="BB103" s="282"/>
      <c r="BC103" s="282"/>
      <c r="BD103" s="282"/>
      <c r="BE103" s="282"/>
      <c r="BT103" s="279" t="s">
        <v>205</v>
      </c>
      <c r="BU103" s="279" t="s">
        <v>206</v>
      </c>
    </row>
    <row r="104" s="279" customFormat="1" customHeight="1" spans="1:73">
      <c r="A104" s="279">
        <v>62</v>
      </c>
      <c r="C104" s="279" t="s">
        <v>942</v>
      </c>
      <c r="D104" s="300" t="s">
        <v>1385</v>
      </c>
      <c r="F104" s="295" t="s">
        <v>1386</v>
      </c>
      <c r="G104" s="294" t="s">
        <v>1228</v>
      </c>
      <c r="H104" s="294"/>
      <c r="I104" s="313" t="s">
        <v>1387</v>
      </c>
      <c r="J104" s="279">
        <v>115.58</v>
      </c>
      <c r="K104" s="279">
        <v>115.58</v>
      </c>
      <c r="L104" s="279">
        <v>5534.04</v>
      </c>
      <c r="M104" s="317">
        <f>-55+639680</f>
        <v>639625</v>
      </c>
      <c r="N104" s="317"/>
      <c r="O104" s="344"/>
      <c r="P104" s="321"/>
      <c r="Q104" s="321"/>
      <c r="R104" s="282"/>
      <c r="S104" s="285"/>
      <c r="T104" s="285" t="s">
        <v>1228</v>
      </c>
      <c r="U104" s="285" t="s">
        <v>1228</v>
      </c>
      <c r="V104" s="282">
        <v>20000</v>
      </c>
      <c r="W104" s="331" t="s">
        <v>1002</v>
      </c>
      <c r="X104" s="282">
        <v>619680</v>
      </c>
      <c r="Y104" s="339" t="s">
        <v>942</v>
      </c>
      <c r="Z104" s="282">
        <v>-55</v>
      </c>
      <c r="AB104" s="282"/>
      <c r="AH104" s="282">
        <f t="shared" si="13"/>
        <v>639625</v>
      </c>
      <c r="AK104" s="287">
        <f t="shared" si="15"/>
        <v>0</v>
      </c>
      <c r="AL104" s="295" t="s">
        <v>1388</v>
      </c>
      <c r="AM104" s="295"/>
      <c r="AN104" s="344"/>
      <c r="AO104" s="344"/>
      <c r="AP104" s="344"/>
      <c r="AQ104" s="288">
        <f>0.5%+0.05%+0.14%</f>
        <v>0.0069</v>
      </c>
      <c r="AR104" s="349">
        <f t="shared" si="14"/>
        <v>639680</v>
      </c>
      <c r="AS104" s="282"/>
      <c r="AT104" s="282">
        <v>100</v>
      </c>
      <c r="AU104" s="282"/>
      <c r="AV104" s="282">
        <v>639680</v>
      </c>
      <c r="AW104" s="282"/>
      <c r="AX104" s="282"/>
      <c r="AY104" s="352"/>
      <c r="AZ104" s="353"/>
      <c r="BA104" s="282"/>
      <c r="BB104" s="282"/>
      <c r="BC104" s="282"/>
      <c r="BD104" s="282"/>
      <c r="BE104" s="282"/>
      <c r="BT104" s="279" t="s">
        <v>205</v>
      </c>
      <c r="BU104" s="279" t="s">
        <v>206</v>
      </c>
    </row>
    <row r="105" s="279" customFormat="1" customHeight="1" spans="1:73">
      <c r="A105" s="279">
        <v>63</v>
      </c>
      <c r="C105" s="279" t="s">
        <v>909</v>
      </c>
      <c r="D105" s="300" t="s">
        <v>1389</v>
      </c>
      <c r="F105" s="295" t="s">
        <v>1390</v>
      </c>
      <c r="G105" s="279" t="s">
        <v>1391</v>
      </c>
      <c r="I105" s="316" t="s">
        <v>1392</v>
      </c>
      <c r="J105" s="279">
        <v>115.94</v>
      </c>
      <c r="K105" s="279">
        <v>115.94</v>
      </c>
      <c r="L105" s="279">
        <v>5528.81</v>
      </c>
      <c r="M105" s="317">
        <f>-55+641066</f>
        <v>641011</v>
      </c>
      <c r="N105" s="317"/>
      <c r="O105" s="344"/>
      <c r="P105" s="321"/>
      <c r="Q105" s="321"/>
      <c r="R105" s="282"/>
      <c r="S105" s="285"/>
      <c r="T105" s="329" t="s">
        <v>1391</v>
      </c>
      <c r="U105" s="329" t="s">
        <v>1391</v>
      </c>
      <c r="V105" s="282">
        <f>52066</f>
        <v>52066</v>
      </c>
      <c r="W105" s="330" t="s">
        <v>916</v>
      </c>
      <c r="X105" s="282">
        <v>90000</v>
      </c>
      <c r="Y105" s="339" t="s">
        <v>917</v>
      </c>
      <c r="Z105" s="282">
        <v>499000</v>
      </c>
      <c r="AA105" s="285" t="s">
        <v>562</v>
      </c>
      <c r="AB105" s="282">
        <v>-55</v>
      </c>
      <c r="AH105" s="282">
        <f t="shared" si="13"/>
        <v>641011</v>
      </c>
      <c r="AK105" s="287">
        <f t="shared" si="15"/>
        <v>0</v>
      </c>
      <c r="AL105" s="295"/>
      <c r="AM105" s="295"/>
      <c r="AN105" s="344"/>
      <c r="AO105" s="344"/>
      <c r="AP105" s="344"/>
      <c r="AQ105" s="288">
        <f>0.5%+0.05%+0.14%</f>
        <v>0.0069</v>
      </c>
      <c r="AR105" s="349">
        <f t="shared" si="14"/>
        <v>641066</v>
      </c>
      <c r="AS105" s="282">
        <f>100</f>
        <v>100</v>
      </c>
      <c r="AT105" s="282"/>
      <c r="AU105" s="282"/>
      <c r="AV105" s="282">
        <v>142066</v>
      </c>
      <c r="AW105" s="282"/>
      <c r="AX105" s="282"/>
      <c r="AY105" s="352"/>
      <c r="AZ105" s="353"/>
      <c r="BA105" s="282">
        <v>499000</v>
      </c>
      <c r="BB105" s="282"/>
      <c r="BC105" s="282"/>
      <c r="BD105" s="282"/>
      <c r="BE105" s="282"/>
      <c r="BT105" s="279" t="s">
        <v>205</v>
      </c>
      <c r="BU105" s="279" t="s">
        <v>206</v>
      </c>
    </row>
    <row r="106" s="279" customFormat="1" customHeight="1" spans="1:73">
      <c r="A106" s="279">
        <v>64</v>
      </c>
      <c r="C106" s="279" t="s">
        <v>977</v>
      </c>
      <c r="D106" s="300" t="s">
        <v>1393</v>
      </c>
      <c r="F106" s="295" t="s">
        <v>1394</v>
      </c>
      <c r="G106" s="279" t="s">
        <v>1395</v>
      </c>
      <c r="H106" s="717" t="s">
        <v>1396</v>
      </c>
      <c r="I106" s="313" t="s">
        <v>1397</v>
      </c>
      <c r="J106" s="279">
        <v>115.58</v>
      </c>
      <c r="K106" s="279">
        <v>115.58</v>
      </c>
      <c r="L106" s="279">
        <v>5406.38</v>
      </c>
      <c r="M106" s="317">
        <f>-54+624924</f>
        <v>624870</v>
      </c>
      <c r="N106" s="317"/>
      <c r="O106" s="344"/>
      <c r="P106" s="321"/>
      <c r="Q106" s="321"/>
      <c r="R106" s="282"/>
      <c r="S106" s="285"/>
      <c r="T106" s="286" t="s">
        <v>1398</v>
      </c>
      <c r="U106" s="285" t="s">
        <v>1399</v>
      </c>
      <c r="V106" s="282">
        <v>187924</v>
      </c>
      <c r="W106" s="339" t="s">
        <v>977</v>
      </c>
      <c r="X106" s="282">
        <v>437000</v>
      </c>
      <c r="Y106" s="339" t="s">
        <v>1400</v>
      </c>
      <c r="Z106" s="282">
        <v>-54</v>
      </c>
      <c r="AB106" s="282"/>
      <c r="AH106" s="282">
        <f t="shared" si="13"/>
        <v>624870</v>
      </c>
      <c r="AK106" s="287">
        <f t="shared" si="15"/>
        <v>0</v>
      </c>
      <c r="AL106" s="295" t="s">
        <v>1401</v>
      </c>
      <c r="AM106" s="295"/>
      <c r="AN106" s="344">
        <v>701004</v>
      </c>
      <c r="AO106" s="344"/>
      <c r="AP106" s="344"/>
      <c r="AQ106" s="288">
        <f>0.4%+0.04%+0.1%</f>
        <v>0.0054</v>
      </c>
      <c r="AR106" s="349">
        <f t="shared" si="14"/>
        <v>624924</v>
      </c>
      <c r="AS106" s="282"/>
      <c r="AT106" s="282">
        <v>100</v>
      </c>
      <c r="AU106" s="282"/>
      <c r="AV106" s="282">
        <v>187924</v>
      </c>
      <c r="AW106" s="282">
        <v>437000</v>
      </c>
      <c r="AX106" s="282"/>
      <c r="AY106" s="352"/>
      <c r="AZ106" s="353"/>
      <c r="BA106" s="282"/>
      <c r="BB106" s="282"/>
      <c r="BC106" s="282"/>
      <c r="BD106" s="282"/>
      <c r="BE106" s="282"/>
      <c r="BT106" s="279" t="s">
        <v>205</v>
      </c>
      <c r="BU106" s="279" t="s">
        <v>206</v>
      </c>
    </row>
    <row r="107" s="279" customFormat="1" customHeight="1" spans="1:73">
      <c r="A107" s="279">
        <v>65</v>
      </c>
      <c r="C107" s="279" t="s">
        <v>1002</v>
      </c>
      <c r="D107" s="300" t="s">
        <v>1402</v>
      </c>
      <c r="F107" s="295" t="s">
        <v>1403</v>
      </c>
      <c r="G107" s="297" t="s">
        <v>1404</v>
      </c>
      <c r="H107" s="721" t="s">
        <v>1405</v>
      </c>
      <c r="I107" s="316" t="s">
        <v>1406</v>
      </c>
      <c r="J107" s="279">
        <v>115.94</v>
      </c>
      <c r="K107" s="279">
        <v>115.94</v>
      </c>
      <c r="L107" s="279">
        <v>6560.42</v>
      </c>
      <c r="M107" s="317">
        <f>-66+760681</f>
        <v>760615</v>
      </c>
      <c r="N107" s="317"/>
      <c r="O107" s="344"/>
      <c r="P107" s="321"/>
      <c r="Q107" s="321"/>
      <c r="R107" s="282"/>
      <c r="S107" s="329"/>
      <c r="T107" s="332" t="s">
        <v>1407</v>
      </c>
      <c r="U107" s="329" t="s">
        <v>1408</v>
      </c>
      <c r="V107" s="282">
        <v>460681</v>
      </c>
      <c r="W107" s="279" t="s">
        <v>1002</v>
      </c>
      <c r="X107" s="282">
        <v>300000</v>
      </c>
      <c r="Y107" s="279" t="s">
        <v>948</v>
      </c>
      <c r="Z107" s="282">
        <v>-66</v>
      </c>
      <c r="AB107" s="282"/>
      <c r="AH107" s="282">
        <f t="shared" si="13"/>
        <v>760615</v>
      </c>
      <c r="AK107" s="287">
        <f t="shared" si="15"/>
        <v>0</v>
      </c>
      <c r="AL107" s="295" t="s">
        <v>1409</v>
      </c>
      <c r="AM107" s="295"/>
      <c r="AN107" s="344">
        <v>848566</v>
      </c>
      <c r="AO107" s="344"/>
      <c r="AP107" s="344"/>
      <c r="AQ107" s="288">
        <f>0.6%+0.1%</f>
        <v>0.007</v>
      </c>
      <c r="AR107" s="349">
        <f t="shared" si="14"/>
        <v>760681</v>
      </c>
      <c r="AS107" s="282"/>
      <c r="AT107" s="282">
        <f>100+100</f>
        <v>200</v>
      </c>
      <c r="AU107" s="282"/>
      <c r="AV107" s="282">
        <v>760681</v>
      </c>
      <c r="AW107" s="282"/>
      <c r="AX107" s="282"/>
      <c r="AY107" s="352"/>
      <c r="AZ107" s="353"/>
      <c r="BA107" s="282"/>
      <c r="BB107" s="282"/>
      <c r="BC107" s="282"/>
      <c r="BD107" s="282"/>
      <c r="BE107" s="282"/>
      <c r="BT107" s="279" t="s">
        <v>205</v>
      </c>
      <c r="BU107" s="279" t="s">
        <v>206</v>
      </c>
    </row>
    <row r="108" s="279" customFormat="1" customHeight="1" spans="1:73">
      <c r="A108" s="279">
        <v>66</v>
      </c>
      <c r="C108" s="279" t="s">
        <v>351</v>
      </c>
      <c r="D108" s="300" t="s">
        <v>1410</v>
      </c>
      <c r="F108" s="295" t="s">
        <v>1411</v>
      </c>
      <c r="G108" s="294" t="s">
        <v>1412</v>
      </c>
      <c r="H108" s="721" t="s">
        <v>1413</v>
      </c>
      <c r="I108" s="313" t="s">
        <v>1414</v>
      </c>
      <c r="J108" s="279">
        <v>115.58</v>
      </c>
      <c r="K108" s="279">
        <v>115.58</v>
      </c>
      <c r="L108" s="279">
        <v>6630</v>
      </c>
      <c r="M108" s="317">
        <f>-66+766362</f>
        <v>766296</v>
      </c>
      <c r="N108" s="317">
        <v>6566.42</v>
      </c>
      <c r="O108" s="344"/>
      <c r="P108" s="321"/>
      <c r="Q108" s="321"/>
      <c r="R108" s="282"/>
      <c r="S108" s="285"/>
      <c r="T108" s="285" t="s">
        <v>1412</v>
      </c>
      <c r="U108" s="285" t="s">
        <v>1075</v>
      </c>
      <c r="V108" s="282">
        <v>20000</v>
      </c>
      <c r="W108" s="331" t="s">
        <v>1415</v>
      </c>
      <c r="X108" s="282">
        <v>100000</v>
      </c>
      <c r="Y108" s="339" t="s">
        <v>919</v>
      </c>
      <c r="Z108" s="282">
        <v>400000</v>
      </c>
      <c r="AA108" s="285" t="s">
        <v>649</v>
      </c>
      <c r="AB108" s="282">
        <v>100000</v>
      </c>
      <c r="AC108" s="285" t="s">
        <v>471</v>
      </c>
      <c r="AD108" s="279">
        <v>146362</v>
      </c>
      <c r="AE108" s="279" t="s">
        <v>642</v>
      </c>
      <c r="AF108" s="279">
        <v>-66</v>
      </c>
      <c r="AH108" s="282">
        <f t="shared" si="13"/>
        <v>766296</v>
      </c>
      <c r="AK108" s="287">
        <f t="shared" si="15"/>
        <v>0</v>
      </c>
      <c r="AL108" s="295" t="s">
        <v>1416</v>
      </c>
      <c r="AM108" s="295"/>
      <c r="AN108" s="344"/>
      <c r="AO108" s="344"/>
      <c r="AP108" s="344"/>
      <c r="AQ108" s="288">
        <f t="shared" ref="AQ108:AQ110" si="18">0.6%+0.06%+0.14%</f>
        <v>0.008</v>
      </c>
      <c r="AR108" s="349">
        <f t="shared" si="14"/>
        <v>766362</v>
      </c>
      <c r="AS108" s="282"/>
      <c r="AT108" s="282"/>
      <c r="AU108" s="282"/>
      <c r="AV108" s="282"/>
      <c r="AW108" s="282"/>
      <c r="AX108" s="282"/>
      <c r="AY108" s="158"/>
      <c r="AZ108" s="220"/>
      <c r="BA108" s="282"/>
      <c r="BB108" s="282"/>
      <c r="BC108" s="282"/>
      <c r="BD108" s="282"/>
      <c r="BE108" s="282"/>
      <c r="BG108" s="279">
        <v>766362</v>
      </c>
      <c r="BT108" s="279" t="s">
        <v>205</v>
      </c>
      <c r="BU108" s="279" t="s">
        <v>206</v>
      </c>
    </row>
    <row r="109" s="279" customFormat="1" ht="45" customHeight="1" spans="1:73">
      <c r="A109" s="279">
        <v>67</v>
      </c>
      <c r="C109" s="279" t="s">
        <v>1417</v>
      </c>
      <c r="D109" s="300" t="s">
        <v>1418</v>
      </c>
      <c r="F109" s="295" t="s">
        <v>1419</v>
      </c>
      <c r="G109" s="294" t="s">
        <v>1420</v>
      </c>
      <c r="H109" s="721" t="s">
        <v>1421</v>
      </c>
      <c r="I109" s="316" t="s">
        <v>1422</v>
      </c>
      <c r="J109" s="279">
        <v>117.14</v>
      </c>
      <c r="K109" s="279">
        <v>117.14</v>
      </c>
      <c r="L109" s="279">
        <v>8050</v>
      </c>
      <c r="M109" s="317">
        <v>942977</v>
      </c>
      <c r="N109" s="317">
        <v>8047</v>
      </c>
      <c r="O109" s="344"/>
      <c r="P109" s="321"/>
      <c r="Q109" s="321"/>
      <c r="R109" s="282"/>
      <c r="S109" s="285"/>
      <c r="T109" s="329" t="s">
        <v>501</v>
      </c>
      <c r="U109" s="329" t="s">
        <v>501</v>
      </c>
      <c r="V109" s="282">
        <f>2000-2000</f>
        <v>0</v>
      </c>
      <c r="W109" s="331">
        <v>44757</v>
      </c>
      <c r="X109" s="282">
        <v>20000</v>
      </c>
      <c r="Y109" s="339" t="s">
        <v>1423</v>
      </c>
      <c r="Z109" s="282">
        <v>400000</v>
      </c>
      <c r="AA109" s="279" t="s">
        <v>1417</v>
      </c>
      <c r="AB109" s="282">
        <v>522977</v>
      </c>
      <c r="AC109" s="285" t="s">
        <v>562</v>
      </c>
      <c r="AH109" s="282">
        <f t="shared" si="13"/>
        <v>942977</v>
      </c>
      <c r="AK109" s="287">
        <f t="shared" si="15"/>
        <v>0</v>
      </c>
      <c r="AL109" s="295" t="s">
        <v>1424</v>
      </c>
      <c r="AM109" s="295"/>
      <c r="AN109" s="344">
        <v>1046332</v>
      </c>
      <c r="AO109" s="344"/>
      <c r="AP109" s="344"/>
      <c r="AQ109" s="288">
        <f>0.6%+0.14%</f>
        <v>0.0074</v>
      </c>
      <c r="AR109" s="349">
        <f t="shared" si="14"/>
        <v>942977</v>
      </c>
      <c r="AS109" s="282">
        <f>100</f>
        <v>100</v>
      </c>
      <c r="AT109" s="282"/>
      <c r="AU109" s="282"/>
      <c r="AV109" s="282"/>
      <c r="AW109" s="282"/>
      <c r="AX109" s="282"/>
      <c r="AY109" s="158"/>
      <c r="AZ109" s="354"/>
      <c r="BA109" s="282">
        <v>942977</v>
      </c>
      <c r="BB109" s="282"/>
      <c r="BC109" s="282"/>
      <c r="BD109" s="282"/>
      <c r="BE109" s="282"/>
      <c r="BT109" s="279" t="s">
        <v>205</v>
      </c>
      <c r="BU109" s="279" t="s">
        <v>206</v>
      </c>
    </row>
    <row r="110" s="279" customFormat="1" customHeight="1" spans="1:73">
      <c r="A110" s="279">
        <v>68</v>
      </c>
      <c r="C110" s="279" t="s">
        <v>909</v>
      </c>
      <c r="D110" s="300" t="s">
        <v>1425</v>
      </c>
      <c r="F110" s="295" t="s">
        <v>1426</v>
      </c>
      <c r="G110" s="279" t="s">
        <v>1427</v>
      </c>
      <c r="H110" s="717" t="s">
        <v>1428</v>
      </c>
      <c r="I110" s="313" t="s">
        <v>1429</v>
      </c>
      <c r="J110" s="279">
        <v>116.67</v>
      </c>
      <c r="K110" s="279">
        <v>116.67</v>
      </c>
      <c r="L110" s="279">
        <v>8057</v>
      </c>
      <c r="M110" s="317">
        <f>940091-81</f>
        <v>940010</v>
      </c>
      <c r="N110" s="317"/>
      <c r="O110" s="344"/>
      <c r="P110" s="321"/>
      <c r="Q110" s="321"/>
      <c r="R110" s="282"/>
      <c r="S110" s="285"/>
      <c r="T110" s="279" t="s">
        <v>1427</v>
      </c>
      <c r="U110" s="279" t="s">
        <v>1430</v>
      </c>
      <c r="V110" s="282">
        <v>20000</v>
      </c>
      <c r="W110" s="331" t="s">
        <v>916</v>
      </c>
      <c r="X110" s="282">
        <v>20000</v>
      </c>
      <c r="Y110" s="339" t="s">
        <v>1431</v>
      </c>
      <c r="Z110" s="282">
        <v>200000</v>
      </c>
      <c r="AA110" s="279" t="s">
        <v>917</v>
      </c>
      <c r="AB110" s="282">
        <v>270000</v>
      </c>
      <c r="AC110" s="279" t="s">
        <v>918</v>
      </c>
      <c r="AD110" s="279">
        <v>140091</v>
      </c>
      <c r="AE110" s="279" t="s">
        <v>1153</v>
      </c>
      <c r="AF110" s="282">
        <f>290000-81</f>
        <v>289919</v>
      </c>
      <c r="AG110" s="285" t="s">
        <v>721</v>
      </c>
      <c r="AH110" s="282">
        <f t="shared" si="13"/>
        <v>940010</v>
      </c>
      <c r="AK110" s="287">
        <f t="shared" si="15"/>
        <v>0</v>
      </c>
      <c r="AL110" s="295" t="s">
        <v>1432</v>
      </c>
      <c r="AM110" s="295"/>
      <c r="AN110" s="344">
        <v>1043577</v>
      </c>
      <c r="AO110" s="344"/>
      <c r="AP110" s="344"/>
      <c r="AQ110" s="288">
        <f t="shared" si="18"/>
        <v>0.008</v>
      </c>
      <c r="AR110" s="349">
        <f t="shared" si="14"/>
        <v>940091</v>
      </c>
      <c r="AS110" s="282"/>
      <c r="AT110" s="282"/>
      <c r="AU110" s="282"/>
      <c r="AV110" s="282">
        <v>240000</v>
      </c>
      <c r="AW110" s="282"/>
      <c r="AX110" s="282"/>
      <c r="AY110" s="352"/>
      <c r="AZ110" s="353"/>
      <c r="BA110" s="282">
        <v>700091</v>
      </c>
      <c r="BB110" s="282"/>
      <c r="BC110" s="282"/>
      <c r="BD110" s="282"/>
      <c r="BE110" s="282"/>
      <c r="BT110" s="279" t="s">
        <v>205</v>
      </c>
      <c r="BU110" s="279" t="s">
        <v>206</v>
      </c>
    </row>
    <row r="111" s="279" customFormat="1" customHeight="1" spans="1:73">
      <c r="A111" s="279">
        <v>69</v>
      </c>
      <c r="C111" s="279" t="s">
        <v>1433</v>
      </c>
      <c r="D111" s="300" t="s">
        <v>1434</v>
      </c>
      <c r="F111" s="295" t="s">
        <v>1435</v>
      </c>
      <c r="G111" s="279" t="s">
        <v>1436</v>
      </c>
      <c r="I111" s="316" t="s">
        <v>1437</v>
      </c>
      <c r="J111" s="279">
        <v>115.58</v>
      </c>
      <c r="K111" s="279">
        <v>115.58</v>
      </c>
      <c r="L111" s="279">
        <v>5680</v>
      </c>
      <c r="M111" s="317">
        <f>-57+656551</f>
        <v>656494</v>
      </c>
      <c r="N111" s="317">
        <v>5587.19</v>
      </c>
      <c r="O111" s="344"/>
      <c r="P111" s="321"/>
      <c r="Q111" s="321"/>
      <c r="R111" s="282"/>
      <c r="S111" s="285"/>
      <c r="T111" s="285"/>
      <c r="U111" s="285" t="s">
        <v>217</v>
      </c>
      <c r="V111" s="282">
        <v>20000</v>
      </c>
      <c r="W111" s="285" t="s">
        <v>649</v>
      </c>
      <c r="X111" s="282">
        <f>120000+56551</f>
        <v>176551</v>
      </c>
      <c r="Y111" s="285" t="s">
        <v>1438</v>
      </c>
      <c r="Z111" s="282">
        <v>460000</v>
      </c>
      <c r="AA111" s="285" t="s">
        <v>654</v>
      </c>
      <c r="AB111" s="282">
        <v>-57</v>
      </c>
      <c r="AH111" s="282">
        <f t="shared" si="13"/>
        <v>656494</v>
      </c>
      <c r="AK111" s="287">
        <f t="shared" si="15"/>
        <v>0</v>
      </c>
      <c r="AL111" s="295" t="s">
        <v>1439</v>
      </c>
      <c r="AM111" s="295"/>
      <c r="AN111" s="344"/>
      <c r="AO111" s="344"/>
      <c r="AP111" s="344"/>
      <c r="AQ111" s="288">
        <f>0.5%+0.03%+0.14%</f>
        <v>0.0067</v>
      </c>
      <c r="AR111" s="349">
        <f t="shared" si="14"/>
        <v>656551</v>
      </c>
      <c r="AS111" s="282"/>
      <c r="AT111" s="282"/>
      <c r="AU111" s="282"/>
      <c r="AV111" s="282"/>
      <c r="AW111" s="282"/>
      <c r="AX111" s="282"/>
      <c r="AY111" s="352"/>
      <c r="AZ111" s="355"/>
      <c r="BA111" s="282"/>
      <c r="BB111" s="282">
        <v>196551</v>
      </c>
      <c r="BC111" s="282">
        <v>460000</v>
      </c>
      <c r="BD111" s="282"/>
      <c r="BE111" s="282"/>
      <c r="BT111" s="279" t="s">
        <v>205</v>
      </c>
      <c r="BU111" s="279" t="s">
        <v>206</v>
      </c>
    </row>
    <row r="112" s="279" customFormat="1" customHeight="1" spans="1:73">
      <c r="A112" s="279">
        <v>70</v>
      </c>
      <c r="C112" s="279">
        <v>2023.6</v>
      </c>
      <c r="D112" s="300" t="s">
        <v>1440</v>
      </c>
      <c r="F112" s="295" t="s">
        <v>1441</v>
      </c>
      <c r="G112" s="279" t="s">
        <v>1442</v>
      </c>
      <c r="H112" s="717" t="s">
        <v>1443</v>
      </c>
      <c r="I112" s="313" t="s">
        <v>1444</v>
      </c>
      <c r="J112" s="279">
        <v>115.58</v>
      </c>
      <c r="K112" s="279">
        <v>115.58</v>
      </c>
      <c r="L112" s="279">
        <v>5623.32</v>
      </c>
      <c r="M112" s="317">
        <f>-56+650000</f>
        <v>649944</v>
      </c>
      <c r="N112" s="317">
        <v>5293.39</v>
      </c>
      <c r="O112" s="344"/>
      <c r="P112" s="321"/>
      <c r="Q112" s="321"/>
      <c r="R112" s="282"/>
      <c r="S112" s="285"/>
      <c r="T112" s="285"/>
      <c r="U112" s="285" t="s">
        <v>298</v>
      </c>
      <c r="V112" s="282">
        <v>20000</v>
      </c>
      <c r="W112" s="285" t="s">
        <v>1211</v>
      </c>
      <c r="X112" s="282">
        <v>80000</v>
      </c>
      <c r="Y112" s="285" t="s">
        <v>260</v>
      </c>
      <c r="Z112" s="282">
        <f>25000+5000</f>
        <v>30000</v>
      </c>
      <c r="AA112" s="285" t="s">
        <v>605</v>
      </c>
      <c r="AB112" s="282">
        <v>520000</v>
      </c>
      <c r="AC112" s="285" t="s">
        <v>1445</v>
      </c>
      <c r="AD112" s="279">
        <v>-56</v>
      </c>
      <c r="AH112" s="282">
        <f t="shared" si="13"/>
        <v>649944</v>
      </c>
      <c r="AK112" s="287">
        <f t="shared" si="15"/>
        <v>0</v>
      </c>
      <c r="AL112" s="295" t="s">
        <v>1446</v>
      </c>
      <c r="AM112" s="295"/>
      <c r="AN112" s="344"/>
      <c r="AO112" s="344"/>
      <c r="AP112" s="344"/>
      <c r="AQ112" s="288">
        <f>0.6%+0.05%+0.14%</f>
        <v>0.0079</v>
      </c>
      <c r="AR112" s="349">
        <f t="shared" si="14"/>
        <v>650000</v>
      </c>
      <c r="AS112" s="282"/>
      <c r="AT112" s="282"/>
      <c r="AU112" s="282"/>
      <c r="AV112" s="282"/>
      <c r="AW112" s="282"/>
      <c r="AX112" s="282"/>
      <c r="AY112" s="158"/>
      <c r="AZ112" s="220"/>
      <c r="BA112" s="282">
        <v>130000</v>
      </c>
      <c r="BB112" s="282">
        <v>520000</v>
      </c>
      <c r="BC112" s="282"/>
      <c r="BD112" s="282"/>
      <c r="BE112" s="282"/>
      <c r="BT112" s="279" t="s">
        <v>205</v>
      </c>
      <c r="BU112" s="279" t="s">
        <v>206</v>
      </c>
    </row>
    <row r="113" s="279" customFormat="1" customHeight="1" spans="1:73">
      <c r="A113" s="279">
        <v>71</v>
      </c>
      <c r="C113" s="279" t="s">
        <v>1447</v>
      </c>
      <c r="D113" s="300" t="s">
        <v>1448</v>
      </c>
      <c r="F113" s="295" t="s">
        <v>1449</v>
      </c>
      <c r="G113" s="294" t="s">
        <v>1234</v>
      </c>
      <c r="H113" s="294"/>
      <c r="I113" s="316" t="s">
        <v>1450</v>
      </c>
      <c r="J113" s="279">
        <v>115.58</v>
      </c>
      <c r="K113" s="279">
        <v>115.58</v>
      </c>
      <c r="L113" s="279">
        <v>5363.79</v>
      </c>
      <c r="M113" s="317">
        <f>-54+620000</f>
        <v>619946</v>
      </c>
      <c r="N113" s="317">
        <v>5339.16</v>
      </c>
      <c r="O113" s="344"/>
      <c r="P113" s="321"/>
      <c r="Q113" s="321"/>
      <c r="R113" s="282"/>
      <c r="S113" s="329"/>
      <c r="T113" s="329" t="s">
        <v>1234</v>
      </c>
      <c r="U113" s="329" t="s">
        <v>1234</v>
      </c>
      <c r="V113" s="282">
        <f>2000</f>
        <v>2000</v>
      </c>
      <c r="W113" s="330">
        <v>44753</v>
      </c>
      <c r="X113" s="282">
        <v>20000</v>
      </c>
      <c r="Y113" s="339" t="s">
        <v>617</v>
      </c>
      <c r="Z113" s="282">
        <v>330000</v>
      </c>
      <c r="AA113" s="279" t="s">
        <v>675</v>
      </c>
      <c r="AB113" s="282">
        <v>270000</v>
      </c>
      <c r="AC113" s="329" t="s">
        <v>1451</v>
      </c>
      <c r="AD113" s="279">
        <v>-54</v>
      </c>
      <c r="AH113" s="282">
        <f t="shared" si="13"/>
        <v>621946</v>
      </c>
      <c r="AK113" s="287">
        <f t="shared" si="15"/>
        <v>-2000</v>
      </c>
      <c r="AL113" s="295" t="s">
        <v>1452</v>
      </c>
      <c r="AM113" s="295"/>
      <c r="AN113" s="344"/>
      <c r="AO113" s="344"/>
      <c r="AP113" s="344"/>
      <c r="AQ113" s="288">
        <f>0.6%+0.05%+0.14%+0.06%</f>
        <v>0.0085</v>
      </c>
      <c r="AR113" s="349">
        <f t="shared" si="14"/>
        <v>620000</v>
      </c>
      <c r="AS113" s="282">
        <f>100+100+100</f>
        <v>300</v>
      </c>
      <c r="AT113" s="282">
        <f>100+100</f>
        <v>200</v>
      </c>
      <c r="AU113" s="282"/>
      <c r="AV113" s="282"/>
      <c r="AW113" s="282"/>
      <c r="AX113" s="282"/>
      <c r="AY113" s="158">
        <v>350000</v>
      </c>
      <c r="AZ113" s="354"/>
      <c r="BA113" s="282"/>
      <c r="BB113" s="282">
        <v>270000</v>
      </c>
      <c r="BC113" s="282"/>
      <c r="BD113" s="282"/>
      <c r="BE113" s="282"/>
      <c r="BT113" s="279" t="s">
        <v>205</v>
      </c>
      <c r="BU113" s="279" t="s">
        <v>206</v>
      </c>
    </row>
    <row r="114" s="279" customFormat="1" customHeight="1" spans="1:73">
      <c r="A114" s="279">
        <v>72</v>
      </c>
      <c r="C114" s="279" t="s">
        <v>977</v>
      </c>
      <c r="D114" s="300" t="s">
        <v>1453</v>
      </c>
      <c r="F114" s="295" t="s">
        <v>1454</v>
      </c>
      <c r="G114" s="294" t="s">
        <v>1455</v>
      </c>
      <c r="H114" s="294"/>
      <c r="I114" s="313" t="s">
        <v>1456</v>
      </c>
      <c r="J114" s="279">
        <v>115.58</v>
      </c>
      <c r="K114" s="279">
        <v>115.58</v>
      </c>
      <c r="L114" s="279">
        <v>5284.66</v>
      </c>
      <c r="M114" s="317">
        <f>-53+610854</f>
        <v>610801</v>
      </c>
      <c r="N114" s="317"/>
      <c r="O114" s="344"/>
      <c r="P114" s="321"/>
      <c r="Q114" s="321"/>
      <c r="R114" s="282"/>
      <c r="S114" s="329"/>
      <c r="T114" s="329" t="s">
        <v>1457</v>
      </c>
      <c r="U114" s="329" t="s">
        <v>1457</v>
      </c>
      <c r="V114" s="282">
        <v>310854</v>
      </c>
      <c r="W114" s="339" t="s">
        <v>977</v>
      </c>
      <c r="X114" s="279">
        <v>300000</v>
      </c>
      <c r="Y114" s="279" t="s">
        <v>948</v>
      </c>
      <c r="Z114" s="282">
        <v>-53</v>
      </c>
      <c r="AB114" s="282"/>
      <c r="AH114" s="282">
        <f t="shared" si="13"/>
        <v>610801</v>
      </c>
      <c r="AK114" s="287">
        <f t="shared" si="15"/>
        <v>0</v>
      </c>
      <c r="AL114" s="295" t="s">
        <v>1458</v>
      </c>
      <c r="AM114" s="295"/>
      <c r="AN114" s="344"/>
      <c r="AO114" s="344"/>
      <c r="AP114" s="344"/>
      <c r="AQ114" s="288">
        <f>0.6%+0.05%+0.14%</f>
        <v>0.0079</v>
      </c>
      <c r="AR114" s="349">
        <f t="shared" si="14"/>
        <v>610854</v>
      </c>
      <c r="AS114" s="282">
        <f t="shared" ref="AS114:AS119" si="19">100</f>
        <v>100</v>
      </c>
      <c r="AT114" s="282">
        <v>100</v>
      </c>
      <c r="AU114" s="282"/>
      <c r="AV114" s="282">
        <v>610854</v>
      </c>
      <c r="AW114" s="282"/>
      <c r="AX114" s="282"/>
      <c r="AY114" s="352"/>
      <c r="AZ114" s="353"/>
      <c r="BA114" s="282"/>
      <c r="BB114" s="282"/>
      <c r="BC114" s="282"/>
      <c r="BD114" s="282"/>
      <c r="BE114" s="282"/>
      <c r="BT114" s="279" t="s">
        <v>205</v>
      </c>
      <c r="BU114" s="279" t="s">
        <v>206</v>
      </c>
    </row>
    <row r="115" s="279" customFormat="1" customHeight="1" spans="1:73">
      <c r="A115" s="279">
        <v>73</v>
      </c>
      <c r="C115" s="279" t="s">
        <v>943</v>
      </c>
      <c r="D115" s="300" t="s">
        <v>1459</v>
      </c>
      <c r="F115" s="295" t="s">
        <v>1460</v>
      </c>
      <c r="G115" s="294" t="s">
        <v>1461</v>
      </c>
      <c r="H115" s="721" t="s">
        <v>1462</v>
      </c>
      <c r="I115" s="313" t="s">
        <v>1463</v>
      </c>
      <c r="J115" s="279">
        <v>115.58</v>
      </c>
      <c r="K115" s="279">
        <v>115.58</v>
      </c>
      <c r="L115" s="279">
        <v>5182.38</v>
      </c>
      <c r="M115" s="317">
        <f>-52+599032</f>
        <v>598980</v>
      </c>
      <c r="N115" s="317"/>
      <c r="O115" s="344"/>
      <c r="P115" s="321"/>
      <c r="Q115" s="321"/>
      <c r="R115" s="282"/>
      <c r="S115" s="285"/>
      <c r="T115" s="286" t="s">
        <v>1464</v>
      </c>
      <c r="U115" s="285" t="s">
        <v>1465</v>
      </c>
      <c r="V115" s="282">
        <v>120032</v>
      </c>
      <c r="W115" s="279" t="s">
        <v>943</v>
      </c>
      <c r="X115" s="282">
        <v>130000</v>
      </c>
      <c r="Y115" s="339" t="s">
        <v>1466</v>
      </c>
      <c r="Z115" s="282">
        <v>349000</v>
      </c>
      <c r="AA115" s="279" t="s">
        <v>1036</v>
      </c>
      <c r="AB115" s="282">
        <v>-52</v>
      </c>
      <c r="AH115" s="282">
        <f t="shared" si="13"/>
        <v>598980</v>
      </c>
      <c r="AK115" s="287">
        <f t="shared" si="15"/>
        <v>0</v>
      </c>
      <c r="AL115" s="295" t="s">
        <v>1467</v>
      </c>
      <c r="AM115" s="295"/>
      <c r="AN115" s="344">
        <v>672860</v>
      </c>
      <c r="AO115" s="344"/>
      <c r="AP115" s="344"/>
      <c r="AQ115" s="288">
        <f>0.6%+0.04%+0.1%</f>
        <v>0.0074</v>
      </c>
      <c r="AR115" s="349">
        <f t="shared" si="14"/>
        <v>599032</v>
      </c>
      <c r="AS115" s="282">
        <v>100</v>
      </c>
      <c r="AT115" s="282"/>
      <c r="AU115" s="282"/>
      <c r="AV115" s="282"/>
      <c r="AW115" s="282"/>
      <c r="AX115" s="282">
        <v>599032</v>
      </c>
      <c r="AY115" s="352"/>
      <c r="AZ115" s="353"/>
      <c r="BA115" s="282"/>
      <c r="BB115" s="282"/>
      <c r="BC115" s="282"/>
      <c r="BD115" s="282"/>
      <c r="BE115" s="282"/>
      <c r="BT115" s="279" t="s">
        <v>205</v>
      </c>
      <c r="BU115" s="279" t="s">
        <v>206</v>
      </c>
    </row>
    <row r="116" s="279" customFormat="1" customHeight="1" spans="1:73">
      <c r="A116" s="279">
        <v>74</v>
      </c>
      <c r="C116" s="279" t="s">
        <v>1468</v>
      </c>
      <c r="D116" s="300" t="s">
        <v>1469</v>
      </c>
      <c r="F116" s="295" t="s">
        <v>1470</v>
      </c>
      <c r="G116" s="294" t="s">
        <v>1238</v>
      </c>
      <c r="H116" s="721" t="s">
        <v>1471</v>
      </c>
      <c r="I116" s="313" t="s">
        <v>1472</v>
      </c>
      <c r="J116" s="279">
        <v>115.58</v>
      </c>
      <c r="K116" s="279">
        <v>115.58</v>
      </c>
      <c r="L116" s="279">
        <v>5380</v>
      </c>
      <c r="M116" s="317">
        <f>621874-54</f>
        <v>621820</v>
      </c>
      <c r="N116" s="317">
        <v>5376.36</v>
      </c>
      <c r="O116" s="344"/>
      <c r="P116" s="321"/>
      <c r="Q116" s="321"/>
      <c r="R116" s="282"/>
      <c r="S116" s="285"/>
      <c r="T116" s="294" t="s">
        <v>1238</v>
      </c>
      <c r="U116" s="294" t="s">
        <v>1473</v>
      </c>
      <c r="V116" s="282">
        <v>20000</v>
      </c>
      <c r="W116" s="331" t="s">
        <v>917</v>
      </c>
      <c r="X116" s="282">
        <v>501874</v>
      </c>
      <c r="Y116" s="339" t="s">
        <v>1423</v>
      </c>
      <c r="Z116" s="282">
        <v>100000</v>
      </c>
      <c r="AA116" s="279" t="s">
        <v>1474</v>
      </c>
      <c r="AB116" s="282">
        <v>-54</v>
      </c>
      <c r="AH116" s="282">
        <f t="shared" si="13"/>
        <v>621820</v>
      </c>
      <c r="AK116" s="287">
        <f t="shared" si="15"/>
        <v>0</v>
      </c>
      <c r="AL116" s="295" t="s">
        <v>1475</v>
      </c>
      <c r="AM116" s="295"/>
      <c r="AN116" s="344"/>
      <c r="AO116" s="344"/>
      <c r="AP116" s="344"/>
      <c r="AQ116" s="288">
        <f>0.4%+0.14%</f>
        <v>0.0054</v>
      </c>
      <c r="AR116" s="349">
        <f t="shared" si="14"/>
        <v>621874</v>
      </c>
      <c r="AS116" s="282"/>
      <c r="AT116" s="282">
        <v>100</v>
      </c>
      <c r="AU116" s="282"/>
      <c r="AV116" s="279">
        <v>521874</v>
      </c>
      <c r="AW116" s="282"/>
      <c r="AX116" s="282">
        <v>100000</v>
      </c>
      <c r="AY116" s="352"/>
      <c r="AZ116" s="353"/>
      <c r="BA116" s="282"/>
      <c r="BB116" s="282"/>
      <c r="BC116" s="282"/>
      <c r="BD116" s="282"/>
      <c r="BE116" s="282"/>
      <c r="BT116" s="279" t="s">
        <v>205</v>
      </c>
      <c r="BU116" s="279" t="s">
        <v>206</v>
      </c>
    </row>
    <row r="117" s="279" customFormat="1" customHeight="1" spans="1:73">
      <c r="A117" s="279">
        <v>75</v>
      </c>
      <c r="C117" s="279" t="s">
        <v>942</v>
      </c>
      <c r="D117" s="300" t="s">
        <v>1476</v>
      </c>
      <c r="F117" s="295" t="s">
        <v>1477</v>
      </c>
      <c r="G117" s="294" t="s">
        <v>1478</v>
      </c>
      <c r="H117" s="721" t="s">
        <v>1479</v>
      </c>
      <c r="I117" s="316" t="s">
        <v>1480</v>
      </c>
      <c r="J117" s="279">
        <v>115.58</v>
      </c>
      <c r="K117" s="279">
        <v>115.58</v>
      </c>
      <c r="L117" s="279">
        <v>5232.38</v>
      </c>
      <c r="M117" s="317">
        <f>-52+604811</f>
        <v>604759</v>
      </c>
      <c r="N117" s="317"/>
      <c r="O117" s="344"/>
      <c r="P117" s="321"/>
      <c r="Q117" s="321"/>
      <c r="R117" s="282"/>
      <c r="S117" s="285"/>
      <c r="T117" s="332" t="s">
        <v>1481</v>
      </c>
      <c r="U117" s="329" t="s">
        <v>1482</v>
      </c>
      <c r="V117" s="282">
        <v>6411</v>
      </c>
      <c r="W117" s="339" t="s">
        <v>942</v>
      </c>
      <c r="X117" s="282">
        <v>20000</v>
      </c>
      <c r="Y117" s="339" t="s">
        <v>1383</v>
      </c>
      <c r="Z117" s="282">
        <v>95400</v>
      </c>
      <c r="AA117" s="279" t="s">
        <v>1330</v>
      </c>
      <c r="AB117" s="282">
        <v>483000</v>
      </c>
      <c r="AC117" s="279" t="s">
        <v>1136</v>
      </c>
      <c r="AD117" s="279">
        <v>-52</v>
      </c>
      <c r="AH117" s="282">
        <f t="shared" si="13"/>
        <v>604759</v>
      </c>
      <c r="AK117" s="287">
        <f t="shared" si="15"/>
        <v>0</v>
      </c>
      <c r="AL117" s="295" t="s">
        <v>1483</v>
      </c>
      <c r="AM117" s="295"/>
      <c r="AN117" s="344">
        <v>679142</v>
      </c>
      <c r="AO117" s="344"/>
      <c r="AP117" s="344"/>
      <c r="AQ117" s="288">
        <f>0.6%+0.1%</f>
        <v>0.007</v>
      </c>
      <c r="AR117" s="349">
        <f t="shared" si="14"/>
        <v>604811</v>
      </c>
      <c r="AS117" s="282">
        <f t="shared" si="19"/>
        <v>100</v>
      </c>
      <c r="AT117" s="282"/>
      <c r="AU117" s="282"/>
      <c r="AV117" s="282"/>
      <c r="AW117" s="282"/>
      <c r="AX117" s="282">
        <v>121811</v>
      </c>
      <c r="AY117" s="352">
        <v>483000</v>
      </c>
      <c r="AZ117" s="353"/>
      <c r="BA117" s="282"/>
      <c r="BB117" s="282"/>
      <c r="BC117" s="282"/>
      <c r="BD117" s="282"/>
      <c r="BE117" s="282"/>
      <c r="BT117" s="279" t="s">
        <v>205</v>
      </c>
      <c r="BU117" s="279" t="s">
        <v>206</v>
      </c>
    </row>
    <row r="118" s="279" customFormat="1" customHeight="1" spans="1:73">
      <c r="A118" s="279">
        <v>76</v>
      </c>
      <c r="C118" s="279" t="s">
        <v>1057</v>
      </c>
      <c r="D118" s="300" t="s">
        <v>1484</v>
      </c>
      <c r="F118" s="369" t="s">
        <v>1485</v>
      </c>
      <c r="G118" s="294" t="s">
        <v>1486</v>
      </c>
      <c r="H118" s="721" t="s">
        <v>361</v>
      </c>
      <c r="I118" s="313" t="s">
        <v>1487</v>
      </c>
      <c r="J118" s="279">
        <v>115.58</v>
      </c>
      <c r="K118" s="279">
        <v>115.58</v>
      </c>
      <c r="L118" s="279">
        <v>5238.39</v>
      </c>
      <c r="M118" s="317">
        <f>-52+605505</f>
        <v>605453</v>
      </c>
      <c r="N118" s="317"/>
      <c r="O118" s="344"/>
      <c r="P118" s="321"/>
      <c r="Q118" s="321"/>
      <c r="R118" s="282"/>
      <c r="S118" s="329"/>
      <c r="T118" s="332" t="s">
        <v>1488</v>
      </c>
      <c r="U118" s="329" t="s">
        <v>1489</v>
      </c>
      <c r="V118" s="282">
        <f>2000</f>
        <v>2000</v>
      </c>
      <c r="W118" s="330">
        <v>44773</v>
      </c>
      <c r="X118" s="282">
        <v>18000</v>
      </c>
      <c r="Y118" s="339" t="s">
        <v>960</v>
      </c>
      <c r="Z118" s="282">
        <v>45505</v>
      </c>
      <c r="AA118" s="279" t="s">
        <v>1057</v>
      </c>
      <c r="AB118" s="282">
        <v>60000</v>
      </c>
      <c r="AC118" s="279" t="s">
        <v>373</v>
      </c>
      <c r="AD118" s="282">
        <v>30000</v>
      </c>
      <c r="AE118" s="329" t="s">
        <v>477</v>
      </c>
      <c r="AF118" s="279">
        <f>-52+450000</f>
        <v>449948</v>
      </c>
      <c r="AG118" s="279" t="s">
        <v>1490</v>
      </c>
      <c r="AH118" s="282">
        <f t="shared" si="13"/>
        <v>605453</v>
      </c>
      <c r="AK118" s="287">
        <f t="shared" si="15"/>
        <v>0</v>
      </c>
      <c r="AL118" s="295" t="s">
        <v>1491</v>
      </c>
      <c r="AM118" s="295"/>
      <c r="AN118" s="344">
        <v>679896</v>
      </c>
      <c r="AO118" s="344"/>
      <c r="AP118" s="344"/>
      <c r="AQ118" s="288">
        <f>0.4%+0.04%+0.1%+0.04%</f>
        <v>0.0058</v>
      </c>
      <c r="AR118" s="349">
        <f t="shared" si="14"/>
        <v>605505</v>
      </c>
      <c r="AS118" s="282">
        <f>100+100+100</f>
        <v>300</v>
      </c>
      <c r="AT118" s="282">
        <v>100</v>
      </c>
      <c r="AU118" s="282"/>
      <c r="AV118" s="282"/>
      <c r="AW118" s="282"/>
      <c r="AX118" s="282"/>
      <c r="AY118" s="352"/>
      <c r="AZ118" s="356">
        <v>125505</v>
      </c>
      <c r="BA118" s="282"/>
      <c r="BB118" s="282"/>
      <c r="BC118" s="282"/>
      <c r="BD118" s="282"/>
      <c r="BE118" s="282"/>
      <c r="BM118" s="279">
        <v>480000</v>
      </c>
      <c r="BT118" s="279" t="s">
        <v>205</v>
      </c>
      <c r="BU118" s="279" t="s">
        <v>206</v>
      </c>
    </row>
    <row r="119" s="279" customFormat="1" customHeight="1" spans="1:73">
      <c r="A119" s="279">
        <v>77</v>
      </c>
      <c r="C119" s="279" t="s">
        <v>1002</v>
      </c>
      <c r="D119" s="300" t="s">
        <v>1492</v>
      </c>
      <c r="F119" s="295" t="s">
        <v>1493</v>
      </c>
      <c r="G119" s="294" t="s">
        <v>1246</v>
      </c>
      <c r="H119" s="721" t="s">
        <v>1494</v>
      </c>
      <c r="I119" s="316" t="s">
        <v>1495</v>
      </c>
      <c r="J119" s="279">
        <v>115.58</v>
      </c>
      <c r="K119" s="279">
        <v>115.58</v>
      </c>
      <c r="L119" s="279">
        <v>5277.38</v>
      </c>
      <c r="M119" s="317">
        <f>-53+610013</f>
        <v>609960</v>
      </c>
      <c r="N119" s="317"/>
      <c r="O119" s="344"/>
      <c r="P119" s="321"/>
      <c r="Q119" s="321"/>
      <c r="R119" s="282"/>
      <c r="S119" s="329"/>
      <c r="T119" s="332" t="s">
        <v>1496</v>
      </c>
      <c r="U119" s="329" t="s">
        <v>1497</v>
      </c>
      <c r="V119" s="282">
        <v>122013</v>
      </c>
      <c r="W119" s="279" t="s">
        <v>1002</v>
      </c>
      <c r="X119" s="282">
        <v>488000</v>
      </c>
      <c r="Y119" s="339" t="s">
        <v>1153</v>
      </c>
      <c r="Z119" s="282">
        <v>-53</v>
      </c>
      <c r="AB119" s="282"/>
      <c r="AH119" s="282">
        <f t="shared" si="13"/>
        <v>609960</v>
      </c>
      <c r="AK119" s="287">
        <f t="shared" si="15"/>
        <v>0</v>
      </c>
      <c r="AL119" s="295" t="s">
        <v>1498</v>
      </c>
      <c r="AM119" s="295"/>
      <c r="AN119" s="344">
        <v>684796</v>
      </c>
      <c r="AO119" s="344"/>
      <c r="AP119" s="344"/>
      <c r="AQ119" s="288">
        <f t="shared" ref="AQ119:AQ122" si="20">0.6%+0.04%+0.1%</f>
        <v>0.0074</v>
      </c>
      <c r="AR119" s="349">
        <f t="shared" si="14"/>
        <v>610013</v>
      </c>
      <c r="AS119" s="282">
        <f t="shared" si="19"/>
        <v>100</v>
      </c>
      <c r="AT119" s="282">
        <v>100</v>
      </c>
      <c r="AU119" s="282"/>
      <c r="AV119" s="282"/>
      <c r="AW119" s="282">
        <v>610013</v>
      </c>
      <c r="AX119" s="282"/>
      <c r="AY119" s="352"/>
      <c r="AZ119" s="355"/>
      <c r="BA119" s="282"/>
      <c r="BB119" s="282"/>
      <c r="BC119" s="282"/>
      <c r="BD119" s="282"/>
      <c r="BE119" s="282"/>
      <c r="BT119" s="279" t="s">
        <v>205</v>
      </c>
      <c r="BU119" s="279" t="s">
        <v>206</v>
      </c>
    </row>
    <row r="120" s="279" customFormat="1" customHeight="1" spans="1:73">
      <c r="A120" s="279">
        <v>78</v>
      </c>
      <c r="C120" s="279" t="s">
        <v>977</v>
      </c>
      <c r="D120" s="300" t="s">
        <v>1499</v>
      </c>
      <c r="F120" s="295" t="s">
        <v>1500</v>
      </c>
      <c r="G120" s="297" t="s">
        <v>1248</v>
      </c>
      <c r="H120" s="719" t="s">
        <v>1501</v>
      </c>
      <c r="I120" s="313" t="s">
        <v>1502</v>
      </c>
      <c r="J120" s="279">
        <v>115.58</v>
      </c>
      <c r="K120" s="279">
        <v>115.58</v>
      </c>
      <c r="L120" s="279">
        <v>5283.38</v>
      </c>
      <c r="M120" s="317">
        <f>-53+610706</f>
        <v>610653</v>
      </c>
      <c r="N120" s="317"/>
      <c r="O120" s="344"/>
      <c r="P120" s="321"/>
      <c r="Q120" s="321"/>
      <c r="R120" s="282"/>
      <c r="S120" s="329"/>
      <c r="T120" s="332" t="s">
        <v>1503</v>
      </c>
      <c r="U120" s="329" t="s">
        <v>1504</v>
      </c>
      <c r="V120" s="282">
        <v>150706</v>
      </c>
      <c r="W120" s="279" t="s">
        <v>977</v>
      </c>
      <c r="X120" s="282">
        <v>460000</v>
      </c>
      <c r="Y120" s="339" t="s">
        <v>1315</v>
      </c>
      <c r="Z120" s="282">
        <v>-53</v>
      </c>
      <c r="AB120" s="282"/>
      <c r="AH120" s="282">
        <f t="shared" ref="AH120:AH128" si="21">V120+X120+Z120+AB120+AD120+AF120</f>
        <v>610653</v>
      </c>
      <c r="AK120" s="287">
        <f t="shared" si="15"/>
        <v>0</v>
      </c>
      <c r="AL120" s="295" t="s">
        <v>1505</v>
      </c>
      <c r="AM120" s="295"/>
      <c r="AN120" s="344">
        <v>685550</v>
      </c>
      <c r="AO120" s="344"/>
      <c r="AP120" s="344"/>
      <c r="AQ120" s="288">
        <f t="shared" si="20"/>
        <v>0.0074</v>
      </c>
      <c r="AR120" s="349">
        <f t="shared" si="14"/>
        <v>610706</v>
      </c>
      <c r="AS120" s="282">
        <f>100+100</f>
        <v>200</v>
      </c>
      <c r="AT120" s="282"/>
      <c r="AU120" s="282"/>
      <c r="AV120" s="282">
        <v>150706</v>
      </c>
      <c r="AW120" s="282"/>
      <c r="AX120" s="282"/>
      <c r="AY120" s="352"/>
      <c r="AZ120" s="356">
        <v>460000</v>
      </c>
      <c r="BA120" s="282"/>
      <c r="BB120" s="282"/>
      <c r="BC120" s="282"/>
      <c r="BD120" s="282"/>
      <c r="BE120" s="282"/>
      <c r="BT120" s="279" t="s">
        <v>205</v>
      </c>
      <c r="BU120" s="279" t="s">
        <v>206</v>
      </c>
    </row>
    <row r="121" s="279" customFormat="1" customHeight="1" spans="1:73">
      <c r="A121" s="279">
        <v>79</v>
      </c>
      <c r="C121" s="279" t="s">
        <v>909</v>
      </c>
      <c r="D121" s="300" t="s">
        <v>1506</v>
      </c>
      <c r="F121" s="295" t="s">
        <v>1507</v>
      </c>
      <c r="G121" s="294" t="s">
        <v>1508</v>
      </c>
      <c r="H121" s="721" t="s">
        <v>1509</v>
      </c>
      <c r="I121" s="316" t="s">
        <v>1510</v>
      </c>
      <c r="J121" s="279">
        <v>115.58</v>
      </c>
      <c r="K121" s="279">
        <v>115.58</v>
      </c>
      <c r="L121" s="279">
        <v>5452.23</v>
      </c>
      <c r="M121" s="317">
        <f>630223-55</f>
        <v>630168</v>
      </c>
      <c r="N121" s="317"/>
      <c r="O121" s="344"/>
      <c r="P121" s="321"/>
      <c r="Q121" s="321"/>
      <c r="R121" s="282"/>
      <c r="S121" s="285"/>
      <c r="T121" s="294" t="s">
        <v>1508</v>
      </c>
      <c r="U121" s="294" t="s">
        <v>1508</v>
      </c>
      <c r="V121" s="282">
        <v>20000</v>
      </c>
      <c r="W121" s="331" t="s">
        <v>1035</v>
      </c>
      <c r="X121" s="282">
        <v>61223</v>
      </c>
      <c r="Y121" s="339" t="s">
        <v>909</v>
      </c>
      <c r="Z121" s="282">
        <v>50000</v>
      </c>
      <c r="AA121" s="279" t="s">
        <v>1511</v>
      </c>
      <c r="AB121" s="282">
        <v>499000</v>
      </c>
      <c r="AC121" s="285" t="s">
        <v>502</v>
      </c>
      <c r="AD121" s="279">
        <v>-55</v>
      </c>
      <c r="AH121" s="282">
        <f t="shared" si="21"/>
        <v>630168</v>
      </c>
      <c r="AK121" s="287">
        <f t="shared" si="15"/>
        <v>0</v>
      </c>
      <c r="AL121" s="295" t="s">
        <v>1512</v>
      </c>
      <c r="AM121" s="295"/>
      <c r="AN121" s="344">
        <v>690450</v>
      </c>
      <c r="AO121" s="344"/>
      <c r="AP121" s="344"/>
      <c r="AQ121" s="288">
        <f>0.5%+0.05%+0.14%+0.06%</f>
        <v>0.0075</v>
      </c>
      <c r="AR121" s="349">
        <f t="shared" si="14"/>
        <v>630223</v>
      </c>
      <c r="AS121" s="282"/>
      <c r="AT121" s="282"/>
      <c r="AU121" s="282"/>
      <c r="AV121" s="282"/>
      <c r="AW121" s="282">
        <v>131223</v>
      </c>
      <c r="AX121" s="282"/>
      <c r="AY121" s="352"/>
      <c r="AZ121" s="353"/>
      <c r="BA121" s="282"/>
      <c r="BB121" s="282"/>
      <c r="BC121" s="282"/>
      <c r="BD121" s="282">
        <v>499000</v>
      </c>
      <c r="BE121" s="282"/>
      <c r="BT121" s="279" t="s">
        <v>205</v>
      </c>
      <c r="BU121" s="279" t="s">
        <v>206</v>
      </c>
    </row>
    <row r="122" s="279" customFormat="1" customHeight="1" spans="1:73">
      <c r="A122" s="279">
        <v>80</v>
      </c>
      <c r="C122" s="279" t="s">
        <v>977</v>
      </c>
      <c r="D122" s="300" t="s">
        <v>1513</v>
      </c>
      <c r="F122" s="369" t="s">
        <v>1514</v>
      </c>
      <c r="G122" s="294" t="s">
        <v>1515</v>
      </c>
      <c r="H122" s="721" t="s">
        <v>1516</v>
      </c>
      <c r="I122" s="313" t="s">
        <v>1517</v>
      </c>
      <c r="J122" s="279">
        <v>115.58</v>
      </c>
      <c r="K122" s="279">
        <v>115.58</v>
      </c>
      <c r="L122" s="279">
        <v>5328.38</v>
      </c>
      <c r="M122" s="317">
        <f>615908-53</f>
        <v>615855</v>
      </c>
      <c r="N122" s="317"/>
      <c r="O122" s="344"/>
      <c r="P122" s="321"/>
      <c r="Q122" s="321"/>
      <c r="R122" s="282"/>
      <c r="S122" s="329"/>
      <c r="T122" s="332" t="s">
        <v>1518</v>
      </c>
      <c r="U122" s="329" t="s">
        <v>1519</v>
      </c>
      <c r="V122" s="282">
        <v>184908</v>
      </c>
      <c r="W122" s="279" t="s">
        <v>977</v>
      </c>
      <c r="X122" s="282">
        <v>431000</v>
      </c>
      <c r="Y122" s="339" t="s">
        <v>1400</v>
      </c>
      <c r="Z122" s="282">
        <v>-53</v>
      </c>
      <c r="AB122" s="282"/>
      <c r="AH122" s="282">
        <f t="shared" si="21"/>
        <v>615855</v>
      </c>
      <c r="AK122" s="287">
        <f t="shared" si="15"/>
        <v>0</v>
      </c>
      <c r="AL122" s="295" t="s">
        <v>1520</v>
      </c>
      <c r="AM122" s="295"/>
      <c r="AN122" s="344">
        <v>691204</v>
      </c>
      <c r="AO122" s="344"/>
      <c r="AP122" s="344"/>
      <c r="AQ122" s="288">
        <f t="shared" si="20"/>
        <v>0.0074</v>
      </c>
      <c r="AR122" s="349">
        <f t="shared" si="14"/>
        <v>615908</v>
      </c>
      <c r="AS122" s="282">
        <f>100</f>
        <v>100</v>
      </c>
      <c r="AT122" s="282">
        <v>100</v>
      </c>
      <c r="AU122" s="282"/>
      <c r="AV122" s="282">
        <v>184908</v>
      </c>
      <c r="AW122" s="282">
        <v>431000</v>
      </c>
      <c r="AX122" s="282"/>
      <c r="AY122" s="352"/>
      <c r="AZ122" s="353"/>
      <c r="BA122" s="282"/>
      <c r="BB122" s="282"/>
      <c r="BC122" s="282"/>
      <c r="BD122" s="282"/>
      <c r="BE122" s="282"/>
      <c r="BT122" s="279" t="s">
        <v>205</v>
      </c>
      <c r="BU122" s="279" t="s">
        <v>206</v>
      </c>
    </row>
    <row r="123" s="279" customFormat="1" customHeight="1" spans="1:73">
      <c r="A123" s="279">
        <v>81</v>
      </c>
      <c r="C123" s="279">
        <v>2023.3</v>
      </c>
      <c r="D123" s="300" t="s">
        <v>1521</v>
      </c>
      <c r="F123" s="295" t="s">
        <v>1522</v>
      </c>
      <c r="G123" s="294" t="s">
        <v>1523</v>
      </c>
      <c r="H123" s="721" t="s">
        <v>1524</v>
      </c>
      <c r="I123" s="316" t="s">
        <v>1525</v>
      </c>
      <c r="J123" s="279">
        <v>115.58</v>
      </c>
      <c r="K123" s="279">
        <v>115.58</v>
      </c>
      <c r="L123" s="279">
        <v>5347.38</v>
      </c>
      <c r="M123" s="317">
        <f>-53+618104</f>
        <v>618051</v>
      </c>
      <c r="N123" s="317"/>
      <c r="O123" s="344"/>
      <c r="P123" s="321"/>
      <c r="Q123" s="321"/>
      <c r="R123" s="282"/>
      <c r="S123" s="329"/>
      <c r="T123" s="722" t="s">
        <v>1526</v>
      </c>
      <c r="U123" s="285" t="s">
        <v>1527</v>
      </c>
      <c r="V123" s="282">
        <v>2000</v>
      </c>
      <c r="W123" s="331">
        <v>44752</v>
      </c>
      <c r="X123" s="282">
        <v>18000</v>
      </c>
      <c r="Y123" s="339" t="s">
        <v>960</v>
      </c>
      <c r="Z123" s="282">
        <v>18104</v>
      </c>
      <c r="AA123" s="279" t="s">
        <v>485</v>
      </c>
      <c r="AB123" s="282">
        <v>20000</v>
      </c>
      <c r="AC123" s="329" t="s">
        <v>1353</v>
      </c>
      <c r="AD123" s="282">
        <v>70000</v>
      </c>
      <c r="AE123" s="329" t="s">
        <v>1079</v>
      </c>
      <c r="AF123" s="282">
        <f>-53+490000</f>
        <v>489947</v>
      </c>
      <c r="AG123" s="329" t="s">
        <v>1528</v>
      </c>
      <c r="AH123" s="282">
        <f t="shared" si="21"/>
        <v>618051</v>
      </c>
      <c r="AK123" s="287">
        <f t="shared" si="15"/>
        <v>0</v>
      </c>
      <c r="AL123" s="295" t="s">
        <v>1529</v>
      </c>
      <c r="AM123" s="295"/>
      <c r="AN123" s="344">
        <v>693591</v>
      </c>
      <c r="AO123" s="344"/>
      <c r="AP123" s="344"/>
      <c r="AQ123" s="288">
        <f>0.4%+0.04%+0.1%+0.04%</f>
        <v>0.0058</v>
      </c>
      <c r="AR123" s="349">
        <f t="shared" si="14"/>
        <v>618104</v>
      </c>
      <c r="AS123" s="282"/>
      <c r="AT123" s="282">
        <v>100</v>
      </c>
      <c r="AU123" s="282"/>
      <c r="AV123" s="282"/>
      <c r="AW123" s="282"/>
      <c r="AX123" s="282"/>
      <c r="AY123" s="352"/>
      <c r="AZ123" s="353"/>
      <c r="BA123" s="282"/>
      <c r="BB123" s="282">
        <v>128104</v>
      </c>
      <c r="BC123" s="282"/>
      <c r="BD123" s="282">
        <v>490000</v>
      </c>
      <c r="BE123" s="282"/>
      <c r="BT123" s="279" t="s">
        <v>205</v>
      </c>
      <c r="BU123" s="279" t="s">
        <v>206</v>
      </c>
    </row>
    <row r="124" s="279" customFormat="1" customHeight="1" spans="1:73">
      <c r="A124" s="279">
        <v>82</v>
      </c>
      <c r="C124" s="279" t="s">
        <v>942</v>
      </c>
      <c r="D124" s="300" t="s">
        <v>1530</v>
      </c>
      <c r="F124" s="295" t="s">
        <v>1531</v>
      </c>
      <c r="G124" s="294" t="s">
        <v>1532</v>
      </c>
      <c r="H124" s="721" t="s">
        <v>1533</v>
      </c>
      <c r="I124" s="313" t="s">
        <v>1534</v>
      </c>
      <c r="J124" s="279">
        <v>115.58</v>
      </c>
      <c r="K124" s="279">
        <v>115.58</v>
      </c>
      <c r="L124" s="279">
        <v>5353.38</v>
      </c>
      <c r="M124" s="317">
        <f>-54+618797</f>
        <v>618743</v>
      </c>
      <c r="N124" s="317"/>
      <c r="O124" s="344"/>
      <c r="P124" s="321"/>
      <c r="Q124" s="321"/>
      <c r="R124" s="282"/>
      <c r="S124" s="285"/>
      <c r="T124" s="332" t="s">
        <v>1535</v>
      </c>
      <c r="U124" s="329" t="s">
        <v>1536</v>
      </c>
      <c r="V124" s="282">
        <v>289797</v>
      </c>
      <c r="W124" s="339" t="s">
        <v>942</v>
      </c>
      <c r="X124" s="279">
        <v>30000</v>
      </c>
      <c r="Y124" s="279" t="s">
        <v>916</v>
      </c>
      <c r="Z124" s="282">
        <v>299000</v>
      </c>
      <c r="AA124" s="285" t="s">
        <v>769</v>
      </c>
      <c r="AB124" s="282">
        <v>-54</v>
      </c>
      <c r="AH124" s="282">
        <f t="shared" si="21"/>
        <v>618743</v>
      </c>
      <c r="AK124" s="287">
        <f t="shared" si="15"/>
        <v>0</v>
      </c>
      <c r="AL124" s="295" t="s">
        <v>1537</v>
      </c>
      <c r="AM124" s="295"/>
      <c r="AN124" s="344">
        <v>694345</v>
      </c>
      <c r="AO124" s="344"/>
      <c r="AP124" s="344"/>
      <c r="AQ124" s="288">
        <f>0.4%+0.04%+0.1%</f>
        <v>0.0054</v>
      </c>
      <c r="AR124" s="349">
        <f t="shared" si="14"/>
        <v>618797</v>
      </c>
      <c r="AS124" s="282"/>
      <c r="AT124" s="282">
        <v>100</v>
      </c>
      <c r="AU124" s="282"/>
      <c r="AV124" s="282">
        <v>319797</v>
      </c>
      <c r="AW124" s="282"/>
      <c r="AX124" s="282"/>
      <c r="AY124" s="352"/>
      <c r="AZ124" s="353"/>
      <c r="BA124" s="282">
        <v>299000</v>
      </c>
      <c r="BB124" s="282"/>
      <c r="BC124" s="282"/>
      <c r="BD124" s="282"/>
      <c r="BE124" s="282"/>
      <c r="BT124" s="279" t="s">
        <v>205</v>
      </c>
      <c r="BU124" s="279" t="s">
        <v>206</v>
      </c>
    </row>
    <row r="125" s="279" customFormat="1" customHeight="1" spans="1:73">
      <c r="A125" s="279">
        <v>83</v>
      </c>
      <c r="C125" s="279" t="s">
        <v>916</v>
      </c>
      <c r="D125" s="300" t="s">
        <v>1538</v>
      </c>
      <c r="F125" s="295" t="s">
        <v>1539</v>
      </c>
      <c r="G125" s="294" t="s">
        <v>1540</v>
      </c>
      <c r="H125" s="721" t="s">
        <v>1541</v>
      </c>
      <c r="I125" s="316" t="s">
        <v>1542</v>
      </c>
      <c r="J125" s="279">
        <v>115.58</v>
      </c>
      <c r="K125" s="279">
        <v>115.58</v>
      </c>
      <c r="L125" s="279">
        <v>5392.38</v>
      </c>
      <c r="M125" s="317">
        <f>-54+623305</f>
        <v>623251</v>
      </c>
      <c r="N125" s="317"/>
      <c r="O125" s="344"/>
      <c r="P125" s="321"/>
      <c r="Q125" s="321"/>
      <c r="R125" s="282"/>
      <c r="S125" s="285"/>
      <c r="T125" s="286" t="s">
        <v>1543</v>
      </c>
      <c r="U125" s="285" t="s">
        <v>1544</v>
      </c>
      <c r="V125" s="282">
        <v>233305</v>
      </c>
      <c r="W125" s="279" t="s">
        <v>916</v>
      </c>
      <c r="X125" s="282">
        <f>72000+18000</f>
        <v>90000</v>
      </c>
      <c r="Y125" s="285" t="s">
        <v>1545</v>
      </c>
      <c r="Z125" s="282">
        <v>300000</v>
      </c>
      <c r="AA125" s="285" t="s">
        <v>1546</v>
      </c>
      <c r="AB125" s="282">
        <v>-54</v>
      </c>
      <c r="AH125" s="282">
        <f t="shared" si="21"/>
        <v>623251</v>
      </c>
      <c r="AK125" s="287">
        <f t="shared" si="15"/>
        <v>0</v>
      </c>
      <c r="AL125" s="295" t="s">
        <v>1547</v>
      </c>
      <c r="AM125" s="295"/>
      <c r="AN125" s="344">
        <v>699245</v>
      </c>
      <c r="AO125" s="344"/>
      <c r="AP125" s="344"/>
      <c r="AQ125" s="288">
        <f>0.6%+0.1%+0.04%</f>
        <v>0.0074</v>
      </c>
      <c r="AR125" s="349">
        <f t="shared" si="14"/>
        <v>623305</v>
      </c>
      <c r="AS125" s="282"/>
      <c r="AT125" s="282">
        <v>100</v>
      </c>
      <c r="AU125" s="282"/>
      <c r="AV125" s="282"/>
      <c r="AW125" s="282"/>
      <c r="AX125" s="282"/>
      <c r="AY125" s="352"/>
      <c r="AZ125" s="353"/>
      <c r="BA125" s="282">
        <v>323305</v>
      </c>
      <c r="BB125" s="282"/>
      <c r="BC125" s="282">
        <v>300000</v>
      </c>
      <c r="BD125" s="282"/>
      <c r="BE125" s="282"/>
      <c r="BT125" s="279" t="s">
        <v>205</v>
      </c>
      <c r="BU125" s="279" t="s">
        <v>206</v>
      </c>
    </row>
    <row r="126" s="279" customFormat="1" customHeight="1" spans="1:73">
      <c r="A126" s="279">
        <v>84</v>
      </c>
      <c r="C126" s="279" t="s">
        <v>1035</v>
      </c>
      <c r="D126" s="300" t="s">
        <v>1548</v>
      </c>
      <c r="F126" s="295" t="s">
        <v>1549</v>
      </c>
      <c r="G126" s="294" t="s">
        <v>1550</v>
      </c>
      <c r="H126" s="721" t="s">
        <v>1551</v>
      </c>
      <c r="I126" s="313" t="s">
        <v>1552</v>
      </c>
      <c r="J126" s="279">
        <v>115.58</v>
      </c>
      <c r="K126" s="279">
        <v>115.58</v>
      </c>
      <c r="L126" s="279">
        <v>5398.38</v>
      </c>
      <c r="M126" s="317">
        <f>-54+623999</f>
        <v>623945</v>
      </c>
      <c r="N126" s="317"/>
      <c r="O126" s="344" t="s">
        <v>572</v>
      </c>
      <c r="P126" s="321"/>
      <c r="Q126" s="321"/>
      <c r="R126" s="282"/>
      <c r="S126" s="285"/>
      <c r="T126" s="286" t="s">
        <v>1553</v>
      </c>
      <c r="U126" s="285" t="s">
        <v>1554</v>
      </c>
      <c r="V126" s="282">
        <v>2000</v>
      </c>
      <c r="W126" s="331">
        <v>44775</v>
      </c>
      <c r="X126" s="282">
        <v>18000</v>
      </c>
      <c r="Y126" s="339" t="s">
        <v>960</v>
      </c>
      <c r="Z126" s="282">
        <v>179999</v>
      </c>
      <c r="AA126" s="279" t="s">
        <v>1035</v>
      </c>
      <c r="AB126" s="282">
        <v>374000</v>
      </c>
      <c r="AC126" s="279" t="s">
        <v>1555</v>
      </c>
      <c r="AD126" s="282">
        <v>50000</v>
      </c>
      <c r="AE126" s="285" t="s">
        <v>769</v>
      </c>
      <c r="AF126" s="279">
        <v>-54</v>
      </c>
      <c r="AH126" s="282">
        <f t="shared" si="21"/>
        <v>623945</v>
      </c>
      <c r="AK126" s="287">
        <f t="shared" si="15"/>
        <v>0</v>
      </c>
      <c r="AL126" s="295" t="s">
        <v>1556</v>
      </c>
      <c r="AM126" s="295"/>
      <c r="AN126" s="344">
        <v>699999</v>
      </c>
      <c r="AO126" s="344"/>
      <c r="AP126" s="344"/>
      <c r="AQ126" s="288">
        <f>0.4%+0.04%+0.1%</f>
        <v>0.0054</v>
      </c>
      <c r="AR126" s="349">
        <f t="shared" si="14"/>
        <v>623999</v>
      </c>
      <c r="AS126" s="282"/>
      <c r="AT126" s="282"/>
      <c r="AU126" s="282"/>
      <c r="AV126" s="282"/>
      <c r="AW126" s="282"/>
      <c r="AX126" s="282"/>
      <c r="AY126" s="352"/>
      <c r="AZ126" s="355"/>
      <c r="BA126" s="282">
        <v>623999</v>
      </c>
      <c r="BB126" s="282"/>
      <c r="BC126" s="282"/>
      <c r="BD126" s="282"/>
      <c r="BE126" s="282"/>
      <c r="BT126" s="279" t="s">
        <v>205</v>
      </c>
      <c r="BU126" s="279" t="s">
        <v>206</v>
      </c>
    </row>
    <row r="127" s="279" customFormat="1" customHeight="1" spans="1:73">
      <c r="A127" s="279">
        <v>85</v>
      </c>
      <c r="C127" s="279" t="s">
        <v>942</v>
      </c>
      <c r="D127" s="300" t="s">
        <v>1557</v>
      </c>
      <c r="F127" s="295" t="s">
        <v>1558</v>
      </c>
      <c r="G127" s="299" t="s">
        <v>1559</v>
      </c>
      <c r="H127" s="720" t="s">
        <v>1560</v>
      </c>
      <c r="I127" s="316" t="s">
        <v>1561</v>
      </c>
      <c r="J127" s="279">
        <v>115.58</v>
      </c>
      <c r="K127" s="279">
        <v>115.58</v>
      </c>
      <c r="L127" s="279">
        <v>5549.78</v>
      </c>
      <c r="M127" s="317">
        <f>-55+641500</f>
        <v>641445</v>
      </c>
      <c r="N127" s="317"/>
      <c r="O127" s="320"/>
      <c r="P127" s="321"/>
      <c r="Q127" s="321"/>
      <c r="R127" s="282"/>
      <c r="S127" s="285"/>
      <c r="T127" s="299" t="s">
        <v>1559</v>
      </c>
      <c r="U127" s="299" t="s">
        <v>1559</v>
      </c>
      <c r="V127" s="282">
        <v>10000</v>
      </c>
      <c r="W127" s="331" t="s">
        <v>1035</v>
      </c>
      <c r="X127" s="282">
        <v>122500</v>
      </c>
      <c r="Y127" s="331" t="s">
        <v>942</v>
      </c>
      <c r="Z127" s="282">
        <v>10000</v>
      </c>
      <c r="AA127" s="331" t="s">
        <v>1562</v>
      </c>
      <c r="AB127" s="282">
        <v>499000</v>
      </c>
      <c r="AC127" s="285" t="s">
        <v>1563</v>
      </c>
      <c r="AD127" s="279">
        <v>-55</v>
      </c>
      <c r="AH127" s="282">
        <f t="shared" si="21"/>
        <v>641445</v>
      </c>
      <c r="AK127" s="287">
        <f t="shared" si="15"/>
        <v>0</v>
      </c>
      <c r="AL127" s="295" t="s">
        <v>1564</v>
      </c>
      <c r="AM127" s="295"/>
      <c r="AN127" s="344">
        <v>701758</v>
      </c>
      <c r="AO127" s="344"/>
      <c r="AP127" s="344"/>
      <c r="AQ127" s="288">
        <f>0.4%+0.04%+0.14%</f>
        <v>0.0058</v>
      </c>
      <c r="AR127" s="349">
        <f t="shared" si="14"/>
        <v>641500</v>
      </c>
      <c r="AS127" s="282"/>
      <c r="AT127" s="282"/>
      <c r="AU127" s="282"/>
      <c r="AV127" s="282">
        <v>132500</v>
      </c>
      <c r="AW127" s="282"/>
      <c r="AX127" s="282"/>
      <c r="AY127" s="352"/>
      <c r="AZ127" s="353"/>
      <c r="BA127" s="282">
        <v>509000</v>
      </c>
      <c r="BB127" s="282"/>
      <c r="BC127" s="282"/>
      <c r="BD127" s="282"/>
      <c r="BE127" s="282"/>
      <c r="BT127" s="279" t="s">
        <v>205</v>
      </c>
      <c r="BU127" s="279" t="s">
        <v>206</v>
      </c>
    </row>
    <row r="128" s="279" customFormat="1" customHeight="1" spans="1:73">
      <c r="A128" s="279">
        <v>86</v>
      </c>
      <c r="C128" s="279" t="s">
        <v>1036</v>
      </c>
      <c r="D128" s="300" t="s">
        <v>1565</v>
      </c>
      <c r="F128" s="295" t="s">
        <v>1566</v>
      </c>
      <c r="G128" s="299" t="s">
        <v>1567</v>
      </c>
      <c r="H128" s="720" t="s">
        <v>1568</v>
      </c>
      <c r="I128" s="313" t="s">
        <v>1569</v>
      </c>
      <c r="J128" s="279">
        <v>115.58</v>
      </c>
      <c r="K128" s="279">
        <v>115.58</v>
      </c>
      <c r="L128" s="279">
        <v>5500</v>
      </c>
      <c r="M128" s="317">
        <f>-55+635745</f>
        <v>635690</v>
      </c>
      <c r="N128" s="317"/>
      <c r="O128" s="320"/>
      <c r="P128" s="321"/>
      <c r="Q128" s="321"/>
      <c r="R128" s="282"/>
      <c r="S128" s="285"/>
      <c r="T128" s="285" t="s">
        <v>1570</v>
      </c>
      <c r="U128" s="285" t="s">
        <v>1571</v>
      </c>
      <c r="V128" s="282">
        <f>2000</f>
        <v>2000</v>
      </c>
      <c r="W128" s="331">
        <v>44751</v>
      </c>
      <c r="X128" s="282">
        <v>18000</v>
      </c>
      <c r="Y128" s="335" t="s">
        <v>909</v>
      </c>
      <c r="Z128" s="282">
        <v>100000</v>
      </c>
      <c r="AA128" s="279" t="s">
        <v>1572</v>
      </c>
      <c r="AB128" s="282">
        <v>185745</v>
      </c>
      <c r="AC128" s="279" t="s">
        <v>1036</v>
      </c>
      <c r="AD128" s="279">
        <v>330000</v>
      </c>
      <c r="AE128" s="279" t="s">
        <v>962</v>
      </c>
      <c r="AF128" s="279">
        <v>-55</v>
      </c>
      <c r="AH128" s="282">
        <f t="shared" si="21"/>
        <v>635690</v>
      </c>
      <c r="AK128" s="287">
        <f t="shared" si="15"/>
        <v>0</v>
      </c>
      <c r="AL128" s="295" t="s">
        <v>1573</v>
      </c>
      <c r="AM128" s="295"/>
      <c r="AN128" s="344">
        <v>702512</v>
      </c>
      <c r="AO128" s="344"/>
      <c r="AP128" s="344"/>
      <c r="AQ128" s="288">
        <f>0.6%+0.06%+0.14%</f>
        <v>0.008</v>
      </c>
      <c r="AR128" s="349">
        <f t="shared" si="14"/>
        <v>635754</v>
      </c>
      <c r="AS128" s="282"/>
      <c r="AT128" s="282"/>
      <c r="AU128" s="282"/>
      <c r="AV128" s="282"/>
      <c r="AW128" s="282"/>
      <c r="AX128" s="282">
        <v>305754</v>
      </c>
      <c r="AY128" s="352">
        <v>330000</v>
      </c>
      <c r="AZ128" s="353"/>
      <c r="BA128" s="282"/>
      <c r="BB128" s="282"/>
      <c r="BC128" s="282"/>
      <c r="BD128" s="282"/>
      <c r="BE128" s="282"/>
      <c r="BT128" s="279" t="s">
        <v>205</v>
      </c>
      <c r="BU128" s="279" t="s">
        <v>206</v>
      </c>
    </row>
    <row r="129" s="279" customFormat="1" customHeight="1" spans="1:73">
      <c r="A129" s="279">
        <v>87</v>
      </c>
      <c r="C129" s="279" t="s">
        <v>1035</v>
      </c>
      <c r="D129" s="300" t="s">
        <v>1574</v>
      </c>
      <c r="F129" s="295" t="s">
        <v>1575</v>
      </c>
      <c r="G129" s="297" t="s">
        <v>1576</v>
      </c>
      <c r="H129" s="719" t="s">
        <v>1577</v>
      </c>
      <c r="I129" s="313" t="s">
        <v>1578</v>
      </c>
      <c r="J129" s="279">
        <v>115.58</v>
      </c>
      <c r="K129" s="279">
        <v>115.58</v>
      </c>
      <c r="L129" s="279">
        <v>6572.42</v>
      </c>
      <c r="M129" s="317">
        <f>-66+759706</f>
        <v>759640</v>
      </c>
      <c r="N129" s="317"/>
      <c r="O129" s="320"/>
      <c r="P129" s="321"/>
      <c r="Q129" s="321"/>
      <c r="R129" s="282"/>
      <c r="S129" s="285"/>
      <c r="T129" s="332" t="s">
        <v>1579</v>
      </c>
      <c r="U129" s="329" t="s">
        <v>1580</v>
      </c>
      <c r="V129" s="282">
        <v>39706</v>
      </c>
      <c r="W129" s="279" t="s">
        <v>943</v>
      </c>
      <c r="X129" s="282">
        <v>390000</v>
      </c>
      <c r="Y129" s="279" t="s">
        <v>569</v>
      </c>
      <c r="Z129" s="282">
        <v>330000</v>
      </c>
      <c r="AA129" s="279" t="s">
        <v>1172</v>
      </c>
      <c r="AB129" s="282">
        <v>-66</v>
      </c>
      <c r="AH129" s="282">
        <f t="shared" ref="AH129:AH160" si="22">V129+X129+Z129+AB129+AD129+AF129</f>
        <v>759640</v>
      </c>
      <c r="AK129" s="287">
        <f t="shared" si="15"/>
        <v>0</v>
      </c>
      <c r="AL129" s="295" t="s">
        <v>1581</v>
      </c>
      <c r="AM129" s="295"/>
      <c r="AN129" s="344">
        <v>847507</v>
      </c>
      <c r="AO129" s="344"/>
      <c r="AP129" s="344"/>
      <c r="AQ129" s="288">
        <f>0.6%+0.1%</f>
        <v>0.007</v>
      </c>
      <c r="AR129" s="349">
        <f t="shared" si="14"/>
        <v>759706</v>
      </c>
      <c r="AS129" s="282"/>
      <c r="AT129" s="282">
        <f>100+100</f>
        <v>200</v>
      </c>
      <c r="AU129" s="282"/>
      <c r="AV129" s="282"/>
      <c r="AW129" s="282"/>
      <c r="AX129" s="282">
        <v>429706</v>
      </c>
      <c r="AY129" s="352">
        <v>330000</v>
      </c>
      <c r="AZ129" s="353"/>
      <c r="BA129" s="282"/>
      <c r="BB129" s="282"/>
      <c r="BC129" s="282"/>
      <c r="BD129" s="282"/>
      <c r="BE129" s="282"/>
      <c r="BT129" s="279" t="s">
        <v>205</v>
      </c>
      <c r="BU129" s="279" t="s">
        <v>206</v>
      </c>
    </row>
    <row r="130" s="279" customFormat="1" customHeight="1" spans="1:73">
      <c r="A130" s="279">
        <v>88</v>
      </c>
      <c r="C130" s="279" t="s">
        <v>1002</v>
      </c>
      <c r="D130" s="295" t="s">
        <v>1582</v>
      </c>
      <c r="F130" s="385" t="s">
        <v>1583</v>
      </c>
      <c r="G130" s="297" t="s">
        <v>1584</v>
      </c>
      <c r="H130" s="719" t="s">
        <v>1585</v>
      </c>
      <c r="I130" s="313" t="s">
        <v>1586</v>
      </c>
      <c r="J130" s="279">
        <v>115.58</v>
      </c>
      <c r="K130" s="279">
        <v>115.58</v>
      </c>
      <c r="L130" s="279">
        <v>6630.42</v>
      </c>
      <c r="M130" s="317">
        <f>-66+766410</f>
        <v>766344</v>
      </c>
      <c r="N130" s="317"/>
      <c r="O130" s="320"/>
      <c r="P130" s="321"/>
      <c r="Q130" s="321"/>
      <c r="R130" s="282"/>
      <c r="S130" s="285"/>
      <c r="T130" s="332" t="s">
        <v>1587</v>
      </c>
      <c r="U130" s="329" t="s">
        <v>1588</v>
      </c>
      <c r="V130" s="282">
        <v>26410</v>
      </c>
      <c r="W130" s="335" t="s">
        <v>1002</v>
      </c>
      <c r="X130" s="282">
        <v>479000</v>
      </c>
      <c r="Y130" s="279" t="s">
        <v>1035</v>
      </c>
      <c r="Z130" s="282">
        <v>140000</v>
      </c>
      <c r="AA130" s="279" t="s">
        <v>1589</v>
      </c>
      <c r="AB130" s="282">
        <v>121000</v>
      </c>
      <c r="AC130" s="285" t="s">
        <v>1590</v>
      </c>
      <c r="AD130" s="279">
        <v>-66</v>
      </c>
      <c r="AH130" s="282">
        <f t="shared" si="22"/>
        <v>766344</v>
      </c>
      <c r="AK130" s="287">
        <f t="shared" si="15"/>
        <v>0</v>
      </c>
      <c r="AL130" s="295" t="s">
        <v>1591</v>
      </c>
      <c r="AM130" s="295"/>
      <c r="AN130" s="344">
        <v>848512</v>
      </c>
      <c r="AO130" s="344"/>
      <c r="AP130" s="344"/>
      <c r="AQ130" s="288">
        <f>0.6%+0.04%+0.1%</f>
        <v>0.0074</v>
      </c>
      <c r="AR130" s="349">
        <f t="shared" si="14"/>
        <v>766410</v>
      </c>
      <c r="AS130" s="282"/>
      <c r="AT130" s="282">
        <v>100</v>
      </c>
      <c r="AU130" s="282"/>
      <c r="AV130" s="282">
        <v>505410</v>
      </c>
      <c r="AW130" s="282"/>
      <c r="AX130" s="282"/>
      <c r="AY130" s="352"/>
      <c r="AZ130" s="353"/>
      <c r="BA130" s="282">
        <v>261000</v>
      </c>
      <c r="BB130" s="282"/>
      <c r="BC130" s="282"/>
      <c r="BD130" s="282"/>
      <c r="BE130" s="282"/>
      <c r="BT130" s="279" t="s">
        <v>205</v>
      </c>
      <c r="BU130" s="279" t="s">
        <v>206</v>
      </c>
    </row>
    <row r="131" s="279" customFormat="1" ht="65" customHeight="1" spans="1:73">
      <c r="A131" s="279">
        <v>89</v>
      </c>
      <c r="C131" s="279" t="s">
        <v>977</v>
      </c>
      <c r="D131" s="717" t="s">
        <v>1592</v>
      </c>
      <c r="F131" s="295" t="s">
        <v>1593</v>
      </c>
      <c r="G131" s="297" t="s">
        <v>1594</v>
      </c>
      <c r="H131" s="719" t="s">
        <v>1595</v>
      </c>
      <c r="I131" s="313" t="s">
        <v>1596</v>
      </c>
      <c r="J131" s="279">
        <v>143.33</v>
      </c>
      <c r="K131" s="279">
        <v>143.33</v>
      </c>
      <c r="L131" s="279">
        <v>7857</v>
      </c>
      <c r="M131" s="282">
        <v>1126144</v>
      </c>
      <c r="N131" s="282"/>
      <c r="O131" s="283"/>
      <c r="P131" s="284"/>
      <c r="Q131" s="284"/>
      <c r="R131" s="282"/>
      <c r="S131" s="329"/>
      <c r="T131" s="332" t="s">
        <v>1597</v>
      </c>
      <c r="U131" s="329" t="s">
        <v>1598</v>
      </c>
      <c r="V131" s="282">
        <f>4000-4000</f>
        <v>0</v>
      </c>
      <c r="W131" s="330" t="s">
        <v>1599</v>
      </c>
      <c r="X131" s="282">
        <v>487144</v>
      </c>
      <c r="Y131" s="335" t="s">
        <v>977</v>
      </c>
      <c r="Z131" s="282">
        <v>140000</v>
      </c>
      <c r="AA131" s="331" t="s">
        <v>1555</v>
      </c>
      <c r="AB131" s="282">
        <v>499000</v>
      </c>
      <c r="AC131" s="329" t="s">
        <v>1600</v>
      </c>
      <c r="AH131" s="282">
        <f t="shared" si="22"/>
        <v>1126144</v>
      </c>
      <c r="AK131" s="287">
        <f t="shared" si="15"/>
        <v>0</v>
      </c>
      <c r="AL131" s="295" t="s">
        <v>1601</v>
      </c>
      <c r="AM131" s="295"/>
      <c r="AN131" s="318">
        <v>1245808</v>
      </c>
      <c r="AO131" s="318"/>
      <c r="AP131" s="318"/>
      <c r="AQ131" s="288">
        <f>0.6%+0.04%+0.1%+0.04%</f>
        <v>0.0078</v>
      </c>
      <c r="AR131" s="349">
        <f t="shared" si="14"/>
        <v>1126144</v>
      </c>
      <c r="AS131" s="282">
        <f t="shared" ref="AS131:AS133" si="23">100</f>
        <v>100</v>
      </c>
      <c r="AT131" s="282">
        <f>100+100+100+100</f>
        <v>400</v>
      </c>
      <c r="AU131" s="282"/>
      <c r="AV131" s="282"/>
      <c r="AW131" s="282">
        <v>627144</v>
      </c>
      <c r="AX131" s="282"/>
      <c r="AY131" s="352"/>
      <c r="AZ131" s="355"/>
      <c r="BA131" s="282"/>
      <c r="BB131" s="282">
        <v>499000</v>
      </c>
      <c r="BC131" s="282"/>
      <c r="BD131" s="282"/>
      <c r="BE131" s="282"/>
      <c r="BT131" s="279" t="s">
        <v>205</v>
      </c>
      <c r="BU131" s="279" t="s">
        <v>206</v>
      </c>
    </row>
    <row r="132" s="59" customFormat="1" customHeight="1" spans="1:57">
      <c r="A132" s="386">
        <v>90</v>
      </c>
      <c r="B132" s="278"/>
      <c r="C132" s="278"/>
      <c r="D132" s="367"/>
      <c r="E132" s="278"/>
      <c r="F132" s="367"/>
      <c r="G132" s="387"/>
      <c r="H132" s="388"/>
      <c r="I132" s="389" t="s">
        <v>1602</v>
      </c>
      <c r="J132" s="278">
        <v>152.79</v>
      </c>
      <c r="K132" s="278"/>
      <c r="L132" s="278"/>
      <c r="M132" s="390"/>
      <c r="N132" s="390">
        <v>8079.72</v>
      </c>
      <c r="O132" s="371"/>
      <c r="P132" s="372"/>
      <c r="Q132" s="372"/>
      <c r="R132" s="394"/>
      <c r="S132" s="395"/>
      <c r="T132" s="396"/>
      <c r="U132" s="396"/>
      <c r="V132" s="103"/>
      <c r="W132" s="397"/>
      <c r="X132" s="103"/>
      <c r="Y132" s="338"/>
      <c r="Z132" s="103"/>
      <c r="AA132" s="104"/>
      <c r="AB132" s="103"/>
      <c r="AC132" s="278"/>
      <c r="AD132" s="278"/>
      <c r="AE132" s="278"/>
      <c r="AF132" s="278"/>
      <c r="AG132" s="278"/>
      <c r="AH132" s="282">
        <f t="shared" si="22"/>
        <v>0</v>
      </c>
      <c r="AI132" s="278"/>
      <c r="AJ132" s="278"/>
      <c r="AK132" s="342">
        <f t="shared" si="15"/>
        <v>0</v>
      </c>
      <c r="AL132" s="367"/>
      <c r="AM132" s="367"/>
      <c r="AN132" s="380"/>
      <c r="AO132" s="380"/>
      <c r="AP132" s="380"/>
      <c r="AQ132" s="405"/>
      <c r="AR132" s="348">
        <f t="shared" si="14"/>
        <v>0</v>
      </c>
      <c r="AS132" s="406">
        <f t="shared" si="23"/>
        <v>100</v>
      </c>
      <c r="AT132" s="406">
        <f>100+100+100</f>
        <v>300</v>
      </c>
      <c r="AU132" s="406"/>
      <c r="AV132" s="406"/>
      <c r="AW132" s="406"/>
      <c r="AX132" s="406"/>
      <c r="AY132" s="408"/>
      <c r="AZ132" s="409"/>
      <c r="BA132" s="406"/>
      <c r="BB132" s="406"/>
      <c r="BC132" s="406"/>
      <c r="BD132" s="406"/>
      <c r="BE132" s="406"/>
    </row>
    <row r="133" s="279" customFormat="1" customHeight="1" spans="1:73">
      <c r="A133" s="279">
        <v>91</v>
      </c>
      <c r="C133" s="279" t="s">
        <v>1035</v>
      </c>
      <c r="D133" s="300" t="s">
        <v>1603</v>
      </c>
      <c r="F133" s="295" t="s">
        <v>1604</v>
      </c>
      <c r="G133" s="299" t="s">
        <v>1605</v>
      </c>
      <c r="H133" s="720" t="s">
        <v>1606</v>
      </c>
      <c r="I133" s="313" t="s">
        <v>1607</v>
      </c>
      <c r="J133" s="279">
        <v>142.14</v>
      </c>
      <c r="K133" s="279">
        <v>142.14</v>
      </c>
      <c r="L133" s="279">
        <v>5086.1</v>
      </c>
      <c r="M133" s="317">
        <v>722938</v>
      </c>
      <c r="N133" s="317"/>
      <c r="O133" s="320"/>
      <c r="P133" s="321"/>
      <c r="Q133" s="321"/>
      <c r="R133" s="282"/>
      <c r="S133" s="285"/>
      <c r="T133" s="286" t="s">
        <v>1608</v>
      </c>
      <c r="U133" s="285" t="s">
        <v>1609</v>
      </c>
      <c r="V133" s="282">
        <v>122938</v>
      </c>
      <c r="W133" s="279" t="s">
        <v>1035</v>
      </c>
      <c r="X133" s="282">
        <v>110000</v>
      </c>
      <c r="Y133" s="279" t="s">
        <v>1152</v>
      </c>
      <c r="Z133" s="282">
        <v>490000</v>
      </c>
      <c r="AA133" s="285" t="s">
        <v>776</v>
      </c>
      <c r="AB133" s="282"/>
      <c r="AH133" s="282">
        <f t="shared" si="22"/>
        <v>722938</v>
      </c>
      <c r="AK133" s="287">
        <f t="shared" si="15"/>
        <v>0</v>
      </c>
      <c r="AL133" s="295" t="s">
        <v>1610</v>
      </c>
      <c r="AM133" s="295"/>
      <c r="AN133" s="344">
        <v>807541</v>
      </c>
      <c r="AO133" s="344"/>
      <c r="AP133" s="344"/>
      <c r="AQ133" s="288">
        <f>0.6%+0.1%</f>
        <v>0.007</v>
      </c>
      <c r="AR133" s="349">
        <f t="shared" si="14"/>
        <v>722938</v>
      </c>
      <c r="AS133" s="282">
        <f t="shared" si="23"/>
        <v>100</v>
      </c>
      <c r="AT133" s="282"/>
      <c r="AU133" s="282"/>
      <c r="AV133" s="282">
        <v>232938</v>
      </c>
      <c r="AW133" s="282"/>
      <c r="AX133" s="282"/>
      <c r="AY133" s="352"/>
      <c r="AZ133" s="353"/>
      <c r="BA133" s="282">
        <v>490000</v>
      </c>
      <c r="BB133" s="282"/>
      <c r="BC133" s="282"/>
      <c r="BD133" s="282"/>
      <c r="BE133" s="282"/>
      <c r="BT133" s="279" t="s">
        <v>205</v>
      </c>
      <c r="BU133" s="279" t="s">
        <v>206</v>
      </c>
    </row>
    <row r="134" s="279" customFormat="1" customHeight="1" spans="1:73">
      <c r="A134" s="279">
        <v>92</v>
      </c>
      <c r="C134" s="331" t="s">
        <v>1611</v>
      </c>
      <c r="D134" s="300" t="s">
        <v>1612</v>
      </c>
      <c r="F134" s="295" t="s">
        <v>1613</v>
      </c>
      <c r="G134" s="299" t="s">
        <v>1614</v>
      </c>
      <c r="H134" s="720" t="s">
        <v>1615</v>
      </c>
      <c r="I134" s="316" t="s">
        <v>1616</v>
      </c>
      <c r="J134" s="279">
        <v>151.48</v>
      </c>
      <c r="K134" s="279">
        <v>151.48</v>
      </c>
      <c r="L134" s="279">
        <v>5319.74</v>
      </c>
      <c r="M134" s="317">
        <f>805888-10000-53</f>
        <v>795835</v>
      </c>
      <c r="N134" s="317">
        <v>5246.59</v>
      </c>
      <c r="O134" s="320"/>
      <c r="P134" s="321"/>
      <c r="Q134" s="321"/>
      <c r="R134" s="282"/>
      <c r="S134" s="285"/>
      <c r="T134" s="285"/>
      <c r="U134" s="285" t="s">
        <v>1617</v>
      </c>
      <c r="V134" s="282">
        <v>20000</v>
      </c>
      <c r="W134" s="285" t="s">
        <v>592</v>
      </c>
      <c r="X134" s="282">
        <v>225888</v>
      </c>
      <c r="Y134" s="331" t="s">
        <v>1611</v>
      </c>
      <c r="Z134" s="282">
        <v>550000</v>
      </c>
      <c r="AA134" s="331" t="s">
        <v>1315</v>
      </c>
      <c r="AB134" s="282">
        <v>-53</v>
      </c>
      <c r="AC134" s="331"/>
      <c r="AD134" s="331"/>
      <c r="AE134" s="331"/>
      <c r="AF134" s="331"/>
      <c r="AG134" s="331"/>
      <c r="AH134" s="282">
        <f t="shared" si="22"/>
        <v>795835</v>
      </c>
      <c r="AK134" s="287">
        <f t="shared" si="15"/>
        <v>0</v>
      </c>
      <c r="AL134" s="295" t="s">
        <v>1618</v>
      </c>
      <c r="AM134" s="295"/>
      <c r="AN134" s="344"/>
      <c r="AO134" s="344"/>
      <c r="AP134" s="344"/>
      <c r="AQ134" s="288">
        <f>0.6%+0.06%+0.14%</f>
        <v>0.008</v>
      </c>
      <c r="AR134" s="349">
        <f t="shared" ref="AR134:AR197" si="24">SUM(AU134:BO134)</f>
        <v>795888</v>
      </c>
      <c r="AS134" s="282"/>
      <c r="AT134" s="282"/>
      <c r="AU134" s="282"/>
      <c r="AV134" s="282"/>
      <c r="AW134" s="282"/>
      <c r="AX134" s="282"/>
      <c r="AY134" s="158">
        <v>245888</v>
      </c>
      <c r="AZ134" s="220">
        <v>550000</v>
      </c>
      <c r="BA134" s="282"/>
      <c r="BB134" s="282"/>
      <c r="BC134" s="282"/>
      <c r="BD134" s="282"/>
      <c r="BE134" s="282"/>
      <c r="BT134" s="279" t="s">
        <v>205</v>
      </c>
      <c r="BU134" s="279" t="s">
        <v>206</v>
      </c>
    </row>
    <row r="135" s="279" customFormat="1" customHeight="1" spans="1:73">
      <c r="A135" s="279">
        <v>93</v>
      </c>
      <c r="C135" s="279" t="s">
        <v>909</v>
      </c>
      <c r="D135" s="279">
        <v>20230001471</v>
      </c>
      <c r="F135" s="298" t="s">
        <v>1619</v>
      </c>
      <c r="G135" s="297" t="s">
        <v>1620</v>
      </c>
      <c r="H135" s="719" t="s">
        <v>1621</v>
      </c>
      <c r="I135" s="313" t="s">
        <v>1622</v>
      </c>
      <c r="J135" s="279">
        <v>142.14</v>
      </c>
      <c r="K135" s="279">
        <v>142.14</v>
      </c>
      <c r="L135" s="279">
        <v>5136.38</v>
      </c>
      <c r="M135" s="317">
        <v>730085</v>
      </c>
      <c r="N135" s="317"/>
      <c r="O135" s="320"/>
      <c r="P135" s="321"/>
      <c r="Q135" s="321"/>
      <c r="R135" s="282"/>
      <c r="S135" s="329"/>
      <c r="T135" s="332" t="s">
        <v>1623</v>
      </c>
      <c r="U135" s="329" t="s">
        <v>1624</v>
      </c>
      <c r="V135" s="282">
        <v>400085</v>
      </c>
      <c r="W135" s="335" t="s">
        <v>909</v>
      </c>
      <c r="X135" s="282">
        <v>330000</v>
      </c>
      <c r="Y135" s="335" t="s">
        <v>995</v>
      </c>
      <c r="Z135" s="282"/>
      <c r="AA135" s="335"/>
      <c r="AB135" s="282"/>
      <c r="AH135" s="282">
        <f t="shared" si="22"/>
        <v>730085</v>
      </c>
      <c r="AK135" s="287">
        <f t="shared" si="15"/>
        <v>0</v>
      </c>
      <c r="AL135" s="295" t="s">
        <v>1625</v>
      </c>
      <c r="AM135" s="295"/>
      <c r="AN135" s="344">
        <v>815310</v>
      </c>
      <c r="AO135" s="344"/>
      <c r="AP135" s="344"/>
      <c r="AQ135" s="288">
        <f>0.6%+0.04%+0.1%</f>
        <v>0.0074</v>
      </c>
      <c r="AR135" s="349">
        <f t="shared" si="24"/>
        <v>730085</v>
      </c>
      <c r="AS135" s="282">
        <f>100</f>
        <v>100</v>
      </c>
      <c r="AT135" s="282">
        <f>100+100+100</f>
        <v>300</v>
      </c>
      <c r="AU135" s="282"/>
      <c r="AV135" s="282">
        <v>400085</v>
      </c>
      <c r="AW135" s="282">
        <v>330000</v>
      </c>
      <c r="AX135" s="282"/>
      <c r="AY135" s="352"/>
      <c r="AZ135" s="353"/>
      <c r="BA135" s="282"/>
      <c r="BB135" s="282"/>
      <c r="BC135" s="282"/>
      <c r="BD135" s="282"/>
      <c r="BE135" s="282"/>
      <c r="BT135" s="279" t="s">
        <v>205</v>
      </c>
      <c r="BU135" s="279" t="s">
        <v>206</v>
      </c>
    </row>
    <row r="136" s="279" customFormat="1" ht="71" customHeight="1" spans="1:73">
      <c r="A136" s="279">
        <v>94</v>
      </c>
      <c r="C136" s="279" t="s">
        <v>1626</v>
      </c>
      <c r="D136" s="279">
        <v>20230003708</v>
      </c>
      <c r="F136" s="295" t="s">
        <v>1627</v>
      </c>
      <c r="G136" s="297" t="s">
        <v>1628</v>
      </c>
      <c r="H136" s="719" t="s">
        <v>1629</v>
      </c>
      <c r="I136" s="316" t="s">
        <v>1630</v>
      </c>
      <c r="J136" s="279">
        <v>151.48</v>
      </c>
      <c r="K136" s="279">
        <v>151.48</v>
      </c>
      <c r="L136" s="279">
        <v>5313.88</v>
      </c>
      <c r="M136" s="282">
        <f>-53+805000</f>
        <v>804947</v>
      </c>
      <c r="N136" s="282">
        <v>5298.56</v>
      </c>
      <c r="O136" s="283"/>
      <c r="P136" s="391"/>
      <c r="Q136" s="319"/>
      <c r="R136" s="282"/>
      <c r="S136" s="285"/>
      <c r="T136" s="329" t="s">
        <v>1631</v>
      </c>
      <c r="U136" s="329" t="s">
        <v>1632</v>
      </c>
      <c r="V136" s="282">
        <f>1000-1000+20000</f>
        <v>20000</v>
      </c>
      <c r="W136" s="398" t="s">
        <v>1633</v>
      </c>
      <c r="X136" s="282">
        <v>175000</v>
      </c>
      <c r="Y136" s="331" t="s">
        <v>1634</v>
      </c>
      <c r="Z136" s="282">
        <v>610000</v>
      </c>
      <c r="AA136" s="285" t="s">
        <v>1635</v>
      </c>
      <c r="AB136" s="282">
        <v>-53</v>
      </c>
      <c r="AC136" s="403"/>
      <c r="AD136" s="403"/>
      <c r="AE136" s="403"/>
      <c r="AF136" s="403"/>
      <c r="AG136" s="403"/>
      <c r="AH136" s="282">
        <f t="shared" si="22"/>
        <v>804947</v>
      </c>
      <c r="AK136" s="287">
        <f t="shared" si="15"/>
        <v>0</v>
      </c>
      <c r="AL136" s="295" t="s">
        <v>1636</v>
      </c>
      <c r="AM136" s="295"/>
      <c r="AN136" s="318"/>
      <c r="AO136" s="318"/>
      <c r="AP136" s="318"/>
      <c r="AQ136" s="288">
        <f>0.4%+0.05%+0.14%+0.06%</f>
        <v>0.0065</v>
      </c>
      <c r="AR136" s="349">
        <f t="shared" si="24"/>
        <v>805000</v>
      </c>
      <c r="AS136" s="282"/>
      <c r="AT136" s="282">
        <v>100</v>
      </c>
      <c r="AU136" s="282"/>
      <c r="AV136" s="282"/>
      <c r="AW136" s="282"/>
      <c r="AX136" s="282">
        <v>195000</v>
      </c>
      <c r="AY136" s="158"/>
      <c r="AZ136" s="354"/>
      <c r="BA136" s="282"/>
      <c r="BB136" s="282"/>
      <c r="BC136" s="282">
        <v>610000</v>
      </c>
      <c r="BD136" s="282"/>
      <c r="BE136" s="282"/>
      <c r="BT136" s="279" t="s">
        <v>205</v>
      </c>
      <c r="BU136" s="279" t="s">
        <v>206</v>
      </c>
    </row>
    <row r="137" s="279" customFormat="1" ht="62" customHeight="1" spans="1:73">
      <c r="A137" s="279">
        <v>95</v>
      </c>
      <c r="C137" s="279" t="s">
        <v>977</v>
      </c>
      <c r="D137" s="300" t="s">
        <v>1637</v>
      </c>
      <c r="F137" s="295" t="s">
        <v>1638</v>
      </c>
      <c r="G137" s="297" t="s">
        <v>1639</v>
      </c>
      <c r="H137" s="719" t="s">
        <v>1640</v>
      </c>
      <c r="I137" s="313" t="s">
        <v>1641</v>
      </c>
      <c r="J137" s="279">
        <v>142.14</v>
      </c>
      <c r="K137" s="279">
        <v>142.14</v>
      </c>
      <c r="L137" s="279">
        <v>5166.38</v>
      </c>
      <c r="M137" s="317">
        <v>734350</v>
      </c>
      <c r="N137" s="317"/>
      <c r="O137" s="320"/>
      <c r="P137" s="321"/>
      <c r="Q137" s="321"/>
      <c r="R137" s="282"/>
      <c r="S137" s="329"/>
      <c r="T137" s="332" t="s">
        <v>1642</v>
      </c>
      <c r="U137" s="329" t="s">
        <v>1643</v>
      </c>
      <c r="V137" s="279">
        <v>3350</v>
      </c>
      <c r="W137" s="331" t="s">
        <v>977</v>
      </c>
      <c r="X137" s="282">
        <v>281000</v>
      </c>
      <c r="Y137" s="331" t="s">
        <v>569</v>
      </c>
      <c r="Z137" s="282">
        <v>450000</v>
      </c>
      <c r="AA137" s="329" t="s">
        <v>721</v>
      </c>
      <c r="AB137" s="282"/>
      <c r="AH137" s="282">
        <f t="shared" si="22"/>
        <v>734350</v>
      </c>
      <c r="AK137" s="287">
        <f t="shared" si="15"/>
        <v>0</v>
      </c>
      <c r="AL137" s="295" t="s">
        <v>1644</v>
      </c>
      <c r="AM137" s="295"/>
      <c r="AN137" s="344">
        <v>819945</v>
      </c>
      <c r="AO137" s="344"/>
      <c r="AP137" s="344"/>
      <c r="AQ137" s="288">
        <f>0.4%+0.05%+0.14%</f>
        <v>0.0059</v>
      </c>
      <c r="AR137" s="349">
        <f t="shared" si="24"/>
        <v>734350</v>
      </c>
      <c r="AS137" s="282"/>
      <c r="AT137" s="282">
        <f>100+100</f>
        <v>200</v>
      </c>
      <c r="AU137" s="282"/>
      <c r="AV137" s="282"/>
      <c r="AW137" s="282"/>
      <c r="AX137" s="282">
        <v>284350</v>
      </c>
      <c r="AY137" s="352"/>
      <c r="AZ137" s="353"/>
      <c r="BA137" s="282">
        <v>450000</v>
      </c>
      <c r="BB137" s="282"/>
      <c r="BC137" s="282"/>
      <c r="BD137" s="282"/>
      <c r="BE137" s="282"/>
      <c r="BT137" s="279" t="s">
        <v>205</v>
      </c>
      <c r="BU137" s="279" t="s">
        <v>206</v>
      </c>
    </row>
    <row r="138" s="279" customFormat="1" ht="47" customHeight="1" spans="1:73">
      <c r="A138" s="279">
        <v>96</v>
      </c>
      <c r="C138" s="279" t="s">
        <v>568</v>
      </c>
      <c r="D138" s="300" t="s">
        <v>1645</v>
      </c>
      <c r="F138" s="295" t="s">
        <v>1646</v>
      </c>
      <c r="G138" s="297" t="s">
        <v>1647</v>
      </c>
      <c r="H138" s="297"/>
      <c r="I138" s="316" t="s">
        <v>1648</v>
      </c>
      <c r="J138" s="279">
        <v>151.48</v>
      </c>
      <c r="K138" s="279">
        <v>151.48</v>
      </c>
      <c r="L138" s="279">
        <v>5329.57</v>
      </c>
      <c r="M138" s="317">
        <f>-53+802897</f>
        <v>802844</v>
      </c>
      <c r="N138" s="317">
        <v>5329.57</v>
      </c>
      <c r="O138" s="320"/>
      <c r="P138" s="321"/>
      <c r="Q138" s="321"/>
      <c r="R138" s="282"/>
      <c r="S138" s="285"/>
      <c r="T138" s="329" t="s">
        <v>1647</v>
      </c>
      <c r="U138" s="329" t="s">
        <v>1647</v>
      </c>
      <c r="V138" s="282">
        <v>302897</v>
      </c>
      <c r="W138" s="335" t="s">
        <v>568</v>
      </c>
      <c r="X138" s="282">
        <v>500000</v>
      </c>
      <c r="Y138" s="285" t="s">
        <v>1649</v>
      </c>
      <c r="Z138" s="282">
        <v>-53</v>
      </c>
      <c r="AB138" s="282"/>
      <c r="AH138" s="282">
        <f t="shared" si="22"/>
        <v>802844</v>
      </c>
      <c r="AK138" s="287">
        <f t="shared" si="15"/>
        <v>0</v>
      </c>
      <c r="AL138" s="295" t="s">
        <v>1650</v>
      </c>
      <c r="AM138" s="295"/>
      <c r="AN138" s="344"/>
      <c r="AO138" s="344"/>
      <c r="AP138" s="344"/>
      <c r="AQ138" s="288">
        <f>0.6%+0.06%+0.14%+0.06%</f>
        <v>0.0086</v>
      </c>
      <c r="AR138" s="349">
        <f t="shared" si="24"/>
        <v>802897</v>
      </c>
      <c r="AS138" s="282">
        <v>100</v>
      </c>
      <c r="AT138" s="282"/>
      <c r="AU138" s="282"/>
      <c r="AV138" s="282"/>
      <c r="AW138" s="282"/>
      <c r="AX138" s="282"/>
      <c r="AY138" s="158">
        <v>302897</v>
      </c>
      <c r="AZ138" s="354"/>
      <c r="BA138" s="282"/>
      <c r="BB138" s="282"/>
      <c r="BC138" s="282">
        <v>500000</v>
      </c>
      <c r="BD138" s="282"/>
      <c r="BE138" s="282"/>
      <c r="BT138" s="279" t="s">
        <v>205</v>
      </c>
      <c r="BU138" s="279" t="s">
        <v>206</v>
      </c>
    </row>
    <row r="139" s="279" customFormat="1" ht="60" customHeight="1" spans="1:73">
      <c r="A139" s="279">
        <v>97</v>
      </c>
      <c r="C139" s="279" t="s">
        <v>1651</v>
      </c>
      <c r="D139" s="300" t="s">
        <v>1652</v>
      </c>
      <c r="F139" s="295" t="s">
        <v>1653</v>
      </c>
      <c r="G139" s="297" t="s">
        <v>1654</v>
      </c>
      <c r="H139" s="297" t="s">
        <v>1655</v>
      </c>
      <c r="I139" s="313" t="s">
        <v>1656</v>
      </c>
      <c r="J139" s="279">
        <v>142.14</v>
      </c>
      <c r="K139" s="279">
        <v>142.14</v>
      </c>
      <c r="L139" s="279">
        <v>5944.84</v>
      </c>
      <c r="M139" s="317">
        <v>845000</v>
      </c>
      <c r="N139" s="317"/>
      <c r="O139" s="320"/>
      <c r="P139" s="321"/>
      <c r="Q139" s="321"/>
      <c r="R139" s="282"/>
      <c r="S139" s="329"/>
      <c r="T139" s="332" t="s">
        <v>1657</v>
      </c>
      <c r="U139" s="329" t="s">
        <v>1658</v>
      </c>
      <c r="V139" s="282">
        <v>255000</v>
      </c>
      <c r="W139" s="329" t="s">
        <v>1651</v>
      </c>
      <c r="X139" s="282">
        <v>590000</v>
      </c>
      <c r="Y139" s="329" t="s">
        <v>270</v>
      </c>
      <c r="Z139" s="282"/>
      <c r="AA139" s="329"/>
      <c r="AB139" s="282"/>
      <c r="AC139" s="329"/>
      <c r="AH139" s="282">
        <f t="shared" si="22"/>
        <v>845000</v>
      </c>
      <c r="AK139" s="287">
        <f t="shared" si="15"/>
        <v>0</v>
      </c>
      <c r="AL139" s="295" t="s">
        <v>1659</v>
      </c>
      <c r="AM139" s="295"/>
      <c r="AN139" s="344">
        <v>827670</v>
      </c>
      <c r="AO139" s="344"/>
      <c r="AP139" s="344"/>
      <c r="AQ139" s="288">
        <f>0.4%+0.02%+0.08%</f>
        <v>0.005</v>
      </c>
      <c r="AR139" s="349">
        <f t="shared" si="24"/>
        <v>845000</v>
      </c>
      <c r="AS139" s="282">
        <v>100</v>
      </c>
      <c r="AT139" s="282">
        <v>100</v>
      </c>
      <c r="AU139" s="282"/>
      <c r="AV139" s="282"/>
      <c r="AW139" s="282"/>
      <c r="AX139" s="282"/>
      <c r="AY139" s="352"/>
      <c r="AZ139" s="353"/>
      <c r="BA139" s="282"/>
      <c r="BB139" s="282"/>
      <c r="BC139" s="282"/>
      <c r="BD139" s="282"/>
      <c r="BE139" s="282">
        <v>255000</v>
      </c>
      <c r="BF139" s="279">
        <v>590000</v>
      </c>
      <c r="BR139" s="279" t="s">
        <v>1660</v>
      </c>
      <c r="BT139" s="279" t="s">
        <v>205</v>
      </c>
      <c r="BU139" s="279" t="s">
        <v>206</v>
      </c>
    </row>
    <row r="140" s="279" customFormat="1" customHeight="1" spans="1:73">
      <c r="A140" s="279">
        <v>98</v>
      </c>
      <c r="C140" s="279" t="s">
        <v>1259</v>
      </c>
      <c r="D140" s="300" t="s">
        <v>1661</v>
      </c>
      <c r="F140" s="295" t="s">
        <v>1662</v>
      </c>
      <c r="G140" s="297" t="s">
        <v>1663</v>
      </c>
      <c r="H140" s="719" t="s">
        <v>1664</v>
      </c>
      <c r="I140" s="316" t="s">
        <v>1665</v>
      </c>
      <c r="J140" s="279">
        <v>151.48</v>
      </c>
      <c r="K140" s="279">
        <v>151.48</v>
      </c>
      <c r="L140" s="279">
        <v>5360</v>
      </c>
      <c r="M140" s="317">
        <f>-54+811986</f>
        <v>811932</v>
      </c>
      <c r="N140" s="317"/>
      <c r="O140" s="320"/>
      <c r="P140" s="321"/>
      <c r="Q140" s="321"/>
      <c r="R140" s="282"/>
      <c r="S140" s="285"/>
      <c r="T140" s="297" t="s">
        <v>1663</v>
      </c>
      <c r="U140" s="297" t="s">
        <v>1663</v>
      </c>
      <c r="V140" s="282">
        <v>20000</v>
      </c>
      <c r="W140" s="285" t="s">
        <v>1666</v>
      </c>
      <c r="X140" s="282">
        <v>272986</v>
      </c>
      <c r="Y140" s="331" t="s">
        <v>1259</v>
      </c>
      <c r="Z140" s="282">
        <v>20000</v>
      </c>
      <c r="AA140" s="331" t="s">
        <v>1667</v>
      </c>
      <c r="AB140" s="282">
        <v>499000</v>
      </c>
      <c r="AC140" s="285" t="s">
        <v>1668</v>
      </c>
      <c r="AD140" s="299">
        <v>-54</v>
      </c>
      <c r="AE140" s="331"/>
      <c r="AF140" s="331"/>
      <c r="AG140" s="331"/>
      <c r="AH140" s="282">
        <f t="shared" si="22"/>
        <v>811932</v>
      </c>
      <c r="AK140" s="287">
        <f t="shared" si="15"/>
        <v>0</v>
      </c>
      <c r="AL140" s="295" t="s">
        <v>1669</v>
      </c>
      <c r="AM140" s="295"/>
      <c r="AN140" s="344">
        <v>877391</v>
      </c>
      <c r="AO140" s="344"/>
      <c r="AP140" s="344"/>
      <c r="AQ140" s="288">
        <f>0.6%+0.06%+0.14%+0.06%</f>
        <v>0.0086</v>
      </c>
      <c r="AR140" s="349">
        <f t="shared" si="24"/>
        <v>811986</v>
      </c>
      <c r="AS140" s="282"/>
      <c r="AT140" s="282"/>
      <c r="AU140" s="282"/>
      <c r="AV140" s="282"/>
      <c r="AW140" s="282"/>
      <c r="AX140" s="282">
        <v>312986</v>
      </c>
      <c r="AY140" s="352"/>
      <c r="AZ140" s="355"/>
      <c r="BA140" s="282"/>
      <c r="BB140" s="282">
        <v>499000</v>
      </c>
      <c r="BC140" s="282"/>
      <c r="BD140" s="282"/>
      <c r="BE140" s="282"/>
      <c r="BT140" s="279" t="s">
        <v>205</v>
      </c>
      <c r="BU140" s="279" t="s">
        <v>206</v>
      </c>
    </row>
    <row r="141" s="279" customFormat="1" ht="52" customHeight="1" spans="1:73">
      <c r="A141" s="279">
        <v>99</v>
      </c>
      <c r="C141" s="279" t="s">
        <v>1035</v>
      </c>
      <c r="D141" s="300" t="s">
        <v>1670</v>
      </c>
      <c r="F141" s="369" t="s">
        <v>1671</v>
      </c>
      <c r="G141" s="297" t="s">
        <v>1672</v>
      </c>
      <c r="H141" s="719" t="s">
        <v>1673</v>
      </c>
      <c r="I141" s="313" t="s">
        <v>1674</v>
      </c>
      <c r="J141" s="279">
        <v>142.14</v>
      </c>
      <c r="K141" s="279">
        <v>142.14</v>
      </c>
      <c r="L141" s="279">
        <v>5261.38</v>
      </c>
      <c r="M141" s="282">
        <v>747853</v>
      </c>
      <c r="N141" s="282"/>
      <c r="O141" s="283"/>
      <c r="P141" s="321"/>
      <c r="Q141" s="321"/>
      <c r="R141" s="282"/>
      <c r="S141" s="329"/>
      <c r="T141" s="332" t="s">
        <v>1675</v>
      </c>
      <c r="U141" s="329" t="s">
        <v>1676</v>
      </c>
      <c r="V141" s="282">
        <v>47853</v>
      </c>
      <c r="W141" s="279" t="s">
        <v>1035</v>
      </c>
      <c r="X141" s="282">
        <v>110000</v>
      </c>
      <c r="Y141" s="329" t="s">
        <v>593</v>
      </c>
      <c r="Z141" s="282">
        <v>590000</v>
      </c>
      <c r="AA141" s="279" t="s">
        <v>252</v>
      </c>
      <c r="AB141" s="282"/>
      <c r="AH141" s="282">
        <f t="shared" si="22"/>
        <v>747853</v>
      </c>
      <c r="AK141" s="287">
        <f t="shared" si="15"/>
        <v>0</v>
      </c>
      <c r="AL141" s="295" t="s">
        <v>1677</v>
      </c>
      <c r="AM141" s="295"/>
      <c r="AN141" s="318">
        <v>834623</v>
      </c>
      <c r="AO141" s="318"/>
      <c r="AP141" s="318"/>
      <c r="AQ141" s="288">
        <f>0.4%+0.04%+0.1%+0.04%</f>
        <v>0.0058</v>
      </c>
      <c r="AR141" s="349">
        <f t="shared" si="24"/>
        <v>747853</v>
      </c>
      <c r="AS141" s="282">
        <f>100+100+100+100</f>
        <v>400</v>
      </c>
      <c r="AT141" s="282">
        <f>100+100+100</f>
        <v>300</v>
      </c>
      <c r="AU141" s="282"/>
      <c r="AV141" s="282"/>
      <c r="AW141" s="282"/>
      <c r="AX141" s="282"/>
      <c r="AY141" s="352"/>
      <c r="AZ141" s="353"/>
      <c r="BA141" s="282"/>
      <c r="BB141" s="282">
        <v>157853</v>
      </c>
      <c r="BC141" s="282"/>
      <c r="BD141" s="282"/>
      <c r="BE141" s="282"/>
      <c r="BI141" s="279">
        <v>590000</v>
      </c>
      <c r="BT141" s="279" t="s">
        <v>205</v>
      </c>
      <c r="BU141" s="279" t="s">
        <v>206</v>
      </c>
    </row>
    <row r="142" s="279" customFormat="1" customHeight="1" spans="1:73">
      <c r="A142" s="279">
        <v>100</v>
      </c>
      <c r="C142" s="279" t="s">
        <v>916</v>
      </c>
      <c r="D142" s="300" t="s">
        <v>1678</v>
      </c>
      <c r="F142" s="295" t="s">
        <v>1679</v>
      </c>
      <c r="G142" s="297" t="s">
        <v>1680</v>
      </c>
      <c r="H142" s="719" t="s">
        <v>339</v>
      </c>
      <c r="I142" s="316" t="s">
        <v>1681</v>
      </c>
      <c r="J142" s="279">
        <v>151.48</v>
      </c>
      <c r="K142" s="279">
        <v>151.48</v>
      </c>
      <c r="L142" s="279">
        <v>5175.37</v>
      </c>
      <c r="M142" s="317">
        <f>-52+784017</f>
        <v>783965</v>
      </c>
      <c r="N142" s="317"/>
      <c r="O142" s="320"/>
      <c r="P142" s="321"/>
      <c r="Q142" s="321"/>
      <c r="R142" s="282"/>
      <c r="S142" s="329"/>
      <c r="T142" s="332" t="s">
        <v>1682</v>
      </c>
      <c r="U142" s="329" t="s">
        <v>1683</v>
      </c>
      <c r="V142" s="282">
        <v>384017</v>
      </c>
      <c r="W142" s="331" t="s">
        <v>916</v>
      </c>
      <c r="X142" s="282">
        <v>400000</v>
      </c>
      <c r="Y142" s="331" t="s">
        <v>1023</v>
      </c>
      <c r="Z142" s="282">
        <v>-52</v>
      </c>
      <c r="AA142" s="331"/>
      <c r="AB142" s="282"/>
      <c r="AH142" s="282">
        <f t="shared" si="22"/>
        <v>783965</v>
      </c>
      <c r="AK142" s="287">
        <f t="shared" si="15"/>
        <v>0</v>
      </c>
      <c r="AL142" s="295" t="s">
        <v>1684</v>
      </c>
      <c r="AM142" s="295"/>
      <c r="AN142" s="344">
        <v>884801</v>
      </c>
      <c r="AO142" s="344"/>
      <c r="AP142" s="344"/>
      <c r="AQ142" s="288">
        <f t="shared" ref="AQ142:AQ145" si="25">0.6%+0.04%+0.1%</f>
        <v>0.0074</v>
      </c>
      <c r="AR142" s="349">
        <f t="shared" si="24"/>
        <v>784017</v>
      </c>
      <c r="AS142" s="282"/>
      <c r="AT142" s="282">
        <f>100+100</f>
        <v>200</v>
      </c>
      <c r="AU142" s="282"/>
      <c r="AV142" s="282">
        <v>384017</v>
      </c>
      <c r="AW142" s="282"/>
      <c r="AX142" s="282"/>
      <c r="AY142" s="352">
        <v>400000</v>
      </c>
      <c r="AZ142" s="353"/>
      <c r="BA142" s="282"/>
      <c r="BB142" s="282"/>
      <c r="BC142" s="282"/>
      <c r="BD142" s="282"/>
      <c r="BE142" s="282"/>
      <c r="BT142" s="279" t="s">
        <v>205</v>
      </c>
      <c r="BU142" s="279" t="s">
        <v>206</v>
      </c>
    </row>
    <row r="143" s="279" customFormat="1" ht="41" customHeight="1" spans="1:73">
      <c r="A143" s="279">
        <v>101</v>
      </c>
      <c r="C143" s="279" t="s">
        <v>942</v>
      </c>
      <c r="D143" s="295" t="s">
        <v>1685</v>
      </c>
      <c r="F143" s="369" t="s">
        <v>1686</v>
      </c>
      <c r="G143" s="297" t="s">
        <v>1687</v>
      </c>
      <c r="H143" s="719" t="s">
        <v>1688</v>
      </c>
      <c r="I143" s="313" t="s">
        <v>1689</v>
      </c>
      <c r="J143" s="279">
        <v>142.14</v>
      </c>
      <c r="K143" s="279">
        <v>142.14</v>
      </c>
      <c r="L143" s="279">
        <v>5306.38</v>
      </c>
      <c r="M143" s="317">
        <v>754249</v>
      </c>
      <c r="N143" s="317"/>
      <c r="O143" s="320"/>
      <c r="P143" s="321"/>
      <c r="Q143" s="321"/>
      <c r="R143" s="282"/>
      <c r="S143" s="329"/>
      <c r="T143" s="332" t="s">
        <v>1690</v>
      </c>
      <c r="U143" s="329" t="s">
        <v>1691</v>
      </c>
      <c r="V143" s="282">
        <f>2000-2000</f>
        <v>0</v>
      </c>
      <c r="W143" s="333">
        <v>44766</v>
      </c>
      <c r="X143" s="399">
        <v>154249</v>
      </c>
      <c r="Y143" s="331" t="s">
        <v>942</v>
      </c>
      <c r="Z143" s="282">
        <v>600000</v>
      </c>
      <c r="AA143" s="331" t="s">
        <v>962</v>
      </c>
      <c r="AB143" s="282"/>
      <c r="AH143" s="282">
        <f t="shared" si="22"/>
        <v>754249</v>
      </c>
      <c r="AK143" s="287">
        <f t="shared" si="15"/>
        <v>0</v>
      </c>
      <c r="AL143" s="369" t="s">
        <v>1692</v>
      </c>
      <c r="AM143" s="295"/>
      <c r="AN143" s="344">
        <v>841575</v>
      </c>
      <c r="AO143" s="344"/>
      <c r="AP143" s="344"/>
      <c r="AQ143" s="288">
        <f t="shared" si="25"/>
        <v>0.0074</v>
      </c>
      <c r="AR143" s="349">
        <f t="shared" si="24"/>
        <v>754249</v>
      </c>
      <c r="AS143" s="282">
        <f>100+100</f>
        <v>200</v>
      </c>
      <c r="AT143" s="282">
        <v>100</v>
      </c>
      <c r="AU143" s="282"/>
      <c r="AV143" s="282">
        <v>154249</v>
      </c>
      <c r="AW143" s="282"/>
      <c r="AX143" s="282"/>
      <c r="AY143" s="352">
        <v>600000</v>
      </c>
      <c r="AZ143" s="353"/>
      <c r="BA143" s="282"/>
      <c r="BB143" s="282"/>
      <c r="BC143" s="282"/>
      <c r="BD143" s="282"/>
      <c r="BE143" s="282"/>
      <c r="BT143" s="279" t="s">
        <v>205</v>
      </c>
      <c r="BU143" s="279" t="s">
        <v>206</v>
      </c>
    </row>
    <row r="144" s="279" customFormat="1" customHeight="1" spans="1:73">
      <c r="A144" s="279">
        <v>102</v>
      </c>
      <c r="C144" s="279" t="s">
        <v>909</v>
      </c>
      <c r="D144" s="300" t="s">
        <v>1693</v>
      </c>
      <c r="F144" s="385" t="s">
        <v>1694</v>
      </c>
      <c r="G144" s="299" t="s">
        <v>1695</v>
      </c>
      <c r="H144" s="299"/>
      <c r="I144" s="313" t="s">
        <v>1696</v>
      </c>
      <c r="J144" s="279">
        <v>151.48</v>
      </c>
      <c r="K144" s="279">
        <v>151.48</v>
      </c>
      <c r="L144" s="279">
        <v>5412.09</v>
      </c>
      <c r="M144" s="317">
        <f>-54+819879</f>
        <v>819825</v>
      </c>
      <c r="N144" s="317"/>
      <c r="O144" s="320"/>
      <c r="P144" s="321"/>
      <c r="Q144" s="321"/>
      <c r="R144" s="282"/>
      <c r="S144" s="285"/>
      <c r="T144" s="285" t="s">
        <v>1697</v>
      </c>
      <c r="U144" s="285" t="s">
        <v>1697</v>
      </c>
      <c r="V144" s="282">
        <v>20000</v>
      </c>
      <c r="W144" s="331" t="s">
        <v>943</v>
      </c>
      <c r="X144" s="282">
        <v>229878</v>
      </c>
      <c r="Y144" s="331" t="s">
        <v>1431</v>
      </c>
      <c r="Z144" s="282">
        <v>370001</v>
      </c>
      <c r="AA144" s="279" t="s">
        <v>1611</v>
      </c>
      <c r="AB144" s="282">
        <v>200000</v>
      </c>
      <c r="AC144" s="279" t="s">
        <v>605</v>
      </c>
      <c r="AD144" s="279">
        <v>-54</v>
      </c>
      <c r="AH144" s="282">
        <f t="shared" si="22"/>
        <v>819825</v>
      </c>
      <c r="AK144" s="287">
        <f t="shared" si="15"/>
        <v>0</v>
      </c>
      <c r="AL144" s="295" t="s">
        <v>1698</v>
      </c>
      <c r="AM144" s="295"/>
      <c r="AN144" s="344"/>
      <c r="AO144" s="344"/>
      <c r="AP144" s="344"/>
      <c r="AQ144" s="288">
        <f>0.4%+0.05%+0.14%</f>
        <v>0.0059</v>
      </c>
      <c r="AR144" s="349">
        <f t="shared" si="24"/>
        <v>819878</v>
      </c>
      <c r="AS144" s="282"/>
      <c r="AT144" s="282"/>
      <c r="AU144" s="282"/>
      <c r="AV144" s="282">
        <v>249878</v>
      </c>
      <c r="AW144" s="282"/>
      <c r="AX144" s="282"/>
      <c r="AY144" s="352"/>
      <c r="AZ144" s="353"/>
      <c r="BA144" s="282">
        <v>570000</v>
      </c>
      <c r="BB144" s="282"/>
      <c r="BC144" s="282"/>
      <c r="BD144" s="282"/>
      <c r="BE144" s="282"/>
      <c r="BT144" s="279" t="s">
        <v>205</v>
      </c>
      <c r="BU144" s="279" t="s">
        <v>206</v>
      </c>
    </row>
    <row r="145" s="279" customFormat="1" ht="61" customHeight="1" spans="1:73">
      <c r="A145" s="279">
        <v>103</v>
      </c>
      <c r="C145" s="279" t="s">
        <v>916</v>
      </c>
      <c r="D145" s="300" t="s">
        <v>1699</v>
      </c>
      <c r="F145" s="295" t="s">
        <v>1700</v>
      </c>
      <c r="G145" s="297" t="s">
        <v>1701</v>
      </c>
      <c r="H145" s="719" t="s">
        <v>557</v>
      </c>
      <c r="I145" s="313" t="s">
        <v>1702</v>
      </c>
      <c r="J145" s="279">
        <v>142.14</v>
      </c>
      <c r="K145" s="279">
        <v>142.14</v>
      </c>
      <c r="L145" s="279">
        <v>5331.38</v>
      </c>
      <c r="M145" s="317">
        <v>757803</v>
      </c>
      <c r="N145" s="317"/>
      <c r="O145" s="320"/>
      <c r="P145" s="321"/>
      <c r="Q145" s="400"/>
      <c r="R145" s="282"/>
      <c r="S145" s="329"/>
      <c r="T145" s="332" t="s">
        <v>1703</v>
      </c>
      <c r="U145" s="329" t="s">
        <v>1704</v>
      </c>
      <c r="V145" s="279">
        <v>757803</v>
      </c>
      <c r="W145" s="279" t="s">
        <v>916</v>
      </c>
      <c r="Z145" s="282"/>
      <c r="AB145" s="282"/>
      <c r="AH145" s="282">
        <f t="shared" si="22"/>
        <v>757803</v>
      </c>
      <c r="AK145" s="287">
        <f t="shared" si="15"/>
        <v>0</v>
      </c>
      <c r="AL145" s="295" t="s">
        <v>1705</v>
      </c>
      <c r="AM145" s="295"/>
      <c r="AN145" s="344">
        <v>845438</v>
      </c>
      <c r="AO145" s="344"/>
      <c r="AP145" s="344"/>
      <c r="AQ145" s="288">
        <f t="shared" si="25"/>
        <v>0.0074</v>
      </c>
      <c r="AR145" s="349">
        <f t="shared" si="24"/>
        <v>757803</v>
      </c>
      <c r="AS145" s="282">
        <f>100</f>
        <v>100</v>
      </c>
      <c r="AT145" s="282">
        <v>100</v>
      </c>
      <c r="AU145" s="282"/>
      <c r="AV145" s="282">
        <v>757803</v>
      </c>
      <c r="AW145" s="282"/>
      <c r="AX145" s="282"/>
      <c r="AY145" s="352"/>
      <c r="AZ145" s="353"/>
      <c r="BA145" s="282"/>
      <c r="BB145" s="282"/>
      <c r="BC145" s="282"/>
      <c r="BD145" s="282"/>
      <c r="BE145" s="282"/>
      <c r="BT145" s="279" t="s">
        <v>205</v>
      </c>
      <c r="BU145" s="279" t="s">
        <v>206</v>
      </c>
    </row>
    <row r="146" s="279" customFormat="1" customHeight="1" spans="1:73">
      <c r="A146" s="279">
        <v>104</v>
      </c>
      <c r="C146" s="279" t="s">
        <v>1305</v>
      </c>
      <c r="D146" s="279">
        <v>20230001886</v>
      </c>
      <c r="F146" s="295" t="s">
        <v>1706</v>
      </c>
      <c r="G146" s="299" t="s">
        <v>1707</v>
      </c>
      <c r="H146" s="720" t="s">
        <v>1708</v>
      </c>
      <c r="I146" s="316" t="s">
        <v>1709</v>
      </c>
      <c r="J146" s="279">
        <v>151.48</v>
      </c>
      <c r="K146" s="279">
        <v>151.48</v>
      </c>
      <c r="L146" s="279">
        <v>5460</v>
      </c>
      <c r="M146" s="282">
        <f>-55+827135</f>
        <v>827080</v>
      </c>
      <c r="N146" s="282"/>
      <c r="O146" s="283"/>
      <c r="P146" s="284"/>
      <c r="Q146" s="284"/>
      <c r="R146" s="282"/>
      <c r="S146" s="285"/>
      <c r="T146" s="299" t="s">
        <v>1707</v>
      </c>
      <c r="U146" s="299" t="s">
        <v>1707</v>
      </c>
      <c r="V146" s="282">
        <v>20000</v>
      </c>
      <c r="W146" s="285" t="s">
        <v>1666</v>
      </c>
      <c r="X146" s="282">
        <v>268135</v>
      </c>
      <c r="Y146" s="335" t="s">
        <v>1305</v>
      </c>
      <c r="Z146" s="282">
        <v>40000</v>
      </c>
      <c r="AA146" s="279" t="s">
        <v>1710</v>
      </c>
      <c r="AB146" s="282">
        <v>499000</v>
      </c>
      <c r="AC146" s="285" t="s">
        <v>562</v>
      </c>
      <c r="AD146" s="279">
        <v>-55</v>
      </c>
      <c r="AH146" s="282">
        <f t="shared" si="22"/>
        <v>827080</v>
      </c>
      <c r="AK146" s="287">
        <f t="shared" si="15"/>
        <v>0</v>
      </c>
      <c r="AL146" s="295" t="s">
        <v>1711</v>
      </c>
      <c r="AM146" s="295"/>
      <c r="AN146" s="318">
        <v>896328</v>
      </c>
      <c r="AO146" s="318"/>
      <c r="AP146" s="318"/>
      <c r="AQ146" s="288">
        <f>0.6%+0.06%+0.14%</f>
        <v>0.008</v>
      </c>
      <c r="AR146" s="349">
        <f t="shared" si="24"/>
        <v>827135</v>
      </c>
      <c r="AS146" s="282"/>
      <c r="AT146" s="282"/>
      <c r="AU146" s="282"/>
      <c r="AV146" s="282"/>
      <c r="AW146" s="282"/>
      <c r="AX146" s="282"/>
      <c r="AY146" s="352"/>
      <c r="AZ146" s="357">
        <v>328135</v>
      </c>
      <c r="BA146" s="282">
        <v>499000</v>
      </c>
      <c r="BB146" s="282"/>
      <c r="BC146" s="282"/>
      <c r="BD146" s="282"/>
      <c r="BE146" s="282"/>
      <c r="BT146" s="279" t="s">
        <v>205</v>
      </c>
      <c r="BU146" s="279" t="s">
        <v>206</v>
      </c>
    </row>
    <row r="147" s="279" customFormat="1" customHeight="1" spans="1:73">
      <c r="A147" s="279">
        <v>105</v>
      </c>
      <c r="C147" s="279" t="s">
        <v>568</v>
      </c>
      <c r="D147" s="300" t="s">
        <v>1712</v>
      </c>
      <c r="F147" s="369" t="s">
        <v>1713</v>
      </c>
      <c r="G147" s="297" t="s">
        <v>1714</v>
      </c>
      <c r="H147" s="719" t="s">
        <v>1715</v>
      </c>
      <c r="I147" s="313" t="s">
        <v>1716</v>
      </c>
      <c r="J147" s="279">
        <v>142.14</v>
      </c>
      <c r="K147" s="279">
        <v>142.14</v>
      </c>
      <c r="L147" s="279">
        <v>5376.38</v>
      </c>
      <c r="M147" s="317">
        <v>764199</v>
      </c>
      <c r="N147" s="317"/>
      <c r="O147" s="320"/>
      <c r="P147" s="321"/>
      <c r="Q147" s="321"/>
      <c r="R147" s="282"/>
      <c r="S147" s="329"/>
      <c r="T147" s="332" t="s">
        <v>1717</v>
      </c>
      <c r="U147" s="329" t="s">
        <v>1718</v>
      </c>
      <c r="V147" s="282">
        <f>4000+20000</f>
        <v>24000</v>
      </c>
      <c r="W147" s="398" t="s">
        <v>960</v>
      </c>
      <c r="X147" s="282">
        <v>480199</v>
      </c>
      <c r="Y147" s="335" t="s">
        <v>568</v>
      </c>
      <c r="Z147" s="282">
        <v>260000</v>
      </c>
      <c r="AA147" s="279" t="s">
        <v>568</v>
      </c>
      <c r="AB147" s="282"/>
      <c r="AH147" s="282">
        <f t="shared" si="22"/>
        <v>764199</v>
      </c>
      <c r="AK147" s="287">
        <f t="shared" si="15"/>
        <v>0</v>
      </c>
      <c r="AL147" s="369" t="s">
        <v>1719</v>
      </c>
      <c r="AM147" s="295"/>
      <c r="AN147" s="344">
        <v>852390</v>
      </c>
      <c r="AO147" s="344"/>
      <c r="AP147" s="344"/>
      <c r="AQ147" s="288">
        <f>0.4%+0.04%+0.1%</f>
        <v>0.0054</v>
      </c>
      <c r="AR147" s="349">
        <f t="shared" si="24"/>
        <v>764199</v>
      </c>
      <c r="AS147" s="282">
        <f>100+100</f>
        <v>200</v>
      </c>
      <c r="AT147" s="282"/>
      <c r="AU147" s="282"/>
      <c r="AV147" s="282"/>
      <c r="AW147" s="282">
        <v>764199</v>
      </c>
      <c r="AX147" s="282"/>
      <c r="AY147" s="352"/>
      <c r="AZ147" s="353"/>
      <c r="BA147" s="282"/>
      <c r="BB147" s="282"/>
      <c r="BC147" s="282"/>
      <c r="BD147" s="282"/>
      <c r="BE147" s="282"/>
      <c r="BT147" s="279" t="s">
        <v>205</v>
      </c>
      <c r="BU147" s="279" t="s">
        <v>206</v>
      </c>
    </row>
    <row r="148" s="279" customFormat="1" customHeight="1" spans="1:73">
      <c r="A148" s="279">
        <v>106</v>
      </c>
      <c r="C148" s="279" t="s">
        <v>1305</v>
      </c>
      <c r="D148" s="295" t="s">
        <v>1720</v>
      </c>
      <c r="F148" s="295" t="s">
        <v>1721</v>
      </c>
      <c r="G148" s="297" t="s">
        <v>1722</v>
      </c>
      <c r="H148" s="297"/>
      <c r="I148" s="316" t="s">
        <v>1723</v>
      </c>
      <c r="J148" s="279">
        <v>151.48</v>
      </c>
      <c r="K148" s="279">
        <v>151.48</v>
      </c>
      <c r="L148" s="279">
        <v>5550</v>
      </c>
      <c r="M148" s="317">
        <f>-56+840770</f>
        <v>840714</v>
      </c>
      <c r="N148" s="317"/>
      <c r="O148" s="320"/>
      <c r="P148" s="321"/>
      <c r="Q148" s="321"/>
      <c r="R148" s="282"/>
      <c r="S148" s="285"/>
      <c r="T148" s="329" t="s">
        <v>1722</v>
      </c>
      <c r="U148" s="329" t="s">
        <v>1722</v>
      </c>
      <c r="V148" s="282">
        <v>20000</v>
      </c>
      <c r="W148" s="335" t="s">
        <v>1152</v>
      </c>
      <c r="X148" s="279">
        <v>420770</v>
      </c>
      <c r="Y148" s="279" t="s">
        <v>993</v>
      </c>
      <c r="Z148" s="282">
        <v>400000</v>
      </c>
      <c r="AA148" s="279" t="s">
        <v>1415</v>
      </c>
      <c r="AB148" s="282">
        <v>-56</v>
      </c>
      <c r="AH148" s="282">
        <f t="shared" si="22"/>
        <v>840714</v>
      </c>
      <c r="AK148" s="287">
        <f t="shared" si="15"/>
        <v>0</v>
      </c>
      <c r="AL148" s="295" t="s">
        <v>1724</v>
      </c>
      <c r="AM148" s="295"/>
      <c r="AN148" s="344"/>
      <c r="AO148" s="344"/>
      <c r="AP148" s="344"/>
      <c r="AQ148" s="288">
        <f>0.6%+0.06%+0.14%</f>
        <v>0.008</v>
      </c>
      <c r="AR148" s="349">
        <f t="shared" si="24"/>
        <v>840770</v>
      </c>
      <c r="AS148" s="282"/>
      <c r="AT148" s="282">
        <v>100</v>
      </c>
      <c r="AU148" s="282"/>
      <c r="AV148" s="282">
        <v>440770</v>
      </c>
      <c r="AW148" s="282">
        <v>400000</v>
      </c>
      <c r="AX148" s="282"/>
      <c r="AY148" s="352"/>
      <c r="AZ148" s="355"/>
      <c r="BA148" s="282"/>
      <c r="BB148" s="282"/>
      <c r="BC148" s="282"/>
      <c r="BD148" s="282"/>
      <c r="BE148" s="282"/>
      <c r="BT148" s="279" t="s">
        <v>205</v>
      </c>
      <c r="BU148" s="279" t="s">
        <v>206</v>
      </c>
    </row>
    <row r="149" s="279" customFormat="1" customHeight="1" spans="1:73">
      <c r="A149" s="279">
        <v>107</v>
      </c>
      <c r="C149" s="279" t="s">
        <v>943</v>
      </c>
      <c r="D149" s="279">
        <v>20230000675</v>
      </c>
      <c r="F149" s="295" t="s">
        <v>223</v>
      </c>
      <c r="G149" s="297" t="s">
        <v>224</v>
      </c>
      <c r="H149" s="719" t="s">
        <v>1725</v>
      </c>
      <c r="I149" s="313" t="s">
        <v>1726</v>
      </c>
      <c r="J149" s="279">
        <v>142.14</v>
      </c>
      <c r="K149" s="279">
        <v>142.14</v>
      </c>
      <c r="L149" s="279">
        <v>5396.38</v>
      </c>
      <c r="M149" s="282">
        <v>767042</v>
      </c>
      <c r="N149" s="282"/>
      <c r="O149" s="283"/>
      <c r="P149" s="284"/>
      <c r="Q149" s="284"/>
      <c r="R149" s="282"/>
      <c r="S149" s="285"/>
      <c r="T149" s="286" t="s">
        <v>1727</v>
      </c>
      <c r="U149" s="285" t="s">
        <v>1728</v>
      </c>
      <c r="V149" s="282">
        <v>115042</v>
      </c>
      <c r="W149" s="279" t="s">
        <v>943</v>
      </c>
      <c r="X149" s="282">
        <v>129000</v>
      </c>
      <c r="Y149" s="335" t="s">
        <v>1729</v>
      </c>
      <c r="Z149" s="282">
        <v>610000</v>
      </c>
      <c r="AA149" s="279" t="s">
        <v>1730</v>
      </c>
      <c r="AB149" s="282">
        <v>-87000</v>
      </c>
      <c r="AC149" s="285" t="s">
        <v>1286</v>
      </c>
      <c r="AH149" s="282">
        <f t="shared" si="22"/>
        <v>767042</v>
      </c>
      <c r="AK149" s="287">
        <f t="shared" si="15"/>
        <v>0</v>
      </c>
      <c r="AL149" s="295" t="s">
        <v>1731</v>
      </c>
      <c r="AM149" s="295"/>
      <c r="AN149" s="318">
        <v>855480</v>
      </c>
      <c r="AO149" s="318"/>
      <c r="AP149" s="318"/>
      <c r="AQ149" s="288">
        <f>0.6%+0.04%+0.1%</f>
        <v>0.0074</v>
      </c>
      <c r="AR149" s="349">
        <f t="shared" si="24"/>
        <v>767042</v>
      </c>
      <c r="AS149" s="282">
        <v>100</v>
      </c>
      <c r="AT149" s="282"/>
      <c r="AU149" s="282"/>
      <c r="AV149" s="282"/>
      <c r="AW149" s="282"/>
      <c r="AX149" s="282"/>
      <c r="AY149" s="352"/>
      <c r="AZ149" s="356">
        <v>157042</v>
      </c>
      <c r="BA149" s="282">
        <v>610000</v>
      </c>
      <c r="BB149" s="282"/>
      <c r="BC149" s="282"/>
      <c r="BD149" s="282"/>
      <c r="BE149" s="282"/>
      <c r="BT149" s="279" t="s">
        <v>205</v>
      </c>
      <c r="BU149" s="279" t="s">
        <v>206</v>
      </c>
    </row>
    <row r="150" s="279" customFormat="1" customHeight="1" spans="1:73">
      <c r="A150" s="279">
        <v>108</v>
      </c>
      <c r="C150" s="279" t="s">
        <v>994</v>
      </c>
      <c r="D150" s="300" t="s">
        <v>1732</v>
      </c>
      <c r="F150" s="717" t="s">
        <v>1733</v>
      </c>
      <c r="G150" s="279" t="s">
        <v>1734</v>
      </c>
      <c r="H150" s="717" t="s">
        <v>1735</v>
      </c>
      <c r="I150" s="316" t="s">
        <v>1736</v>
      </c>
      <c r="J150" s="279">
        <v>151.48</v>
      </c>
      <c r="K150" s="279">
        <v>151.48</v>
      </c>
      <c r="L150" s="279">
        <v>5617.27</v>
      </c>
      <c r="M150" s="317">
        <f>-56+850960</f>
        <v>850904</v>
      </c>
      <c r="N150" s="317">
        <v>5567.27</v>
      </c>
      <c r="O150" s="320"/>
      <c r="P150" s="321"/>
      <c r="Q150" s="321"/>
      <c r="R150" s="282"/>
      <c r="S150" s="285"/>
      <c r="T150" s="279" t="s">
        <v>1734</v>
      </c>
      <c r="U150" s="279" t="s">
        <v>1737</v>
      </c>
      <c r="V150" s="282">
        <v>20000</v>
      </c>
      <c r="W150" s="331" t="s">
        <v>970</v>
      </c>
      <c r="X150" s="282">
        <v>81960</v>
      </c>
      <c r="Y150" s="331" t="s">
        <v>1738</v>
      </c>
      <c r="Z150" s="282">
        <v>250000</v>
      </c>
      <c r="AA150" s="279" t="s">
        <v>994</v>
      </c>
      <c r="AB150" s="282">
        <v>499000</v>
      </c>
      <c r="AC150" s="285" t="s">
        <v>668</v>
      </c>
      <c r="AD150" s="279">
        <v>-56</v>
      </c>
      <c r="AH150" s="282">
        <f t="shared" si="22"/>
        <v>850904</v>
      </c>
      <c r="AK150" s="287">
        <f t="shared" si="15"/>
        <v>0</v>
      </c>
      <c r="AL150" s="295" t="s">
        <v>1739</v>
      </c>
      <c r="AM150" s="295"/>
      <c r="AN150" s="344"/>
      <c r="AO150" s="344"/>
      <c r="AP150" s="344"/>
      <c r="AQ150" s="288">
        <f>0.6%+0.06%+0.14%</f>
        <v>0.008</v>
      </c>
      <c r="AR150" s="349">
        <f t="shared" si="24"/>
        <v>850960</v>
      </c>
      <c r="AS150" s="282"/>
      <c r="AT150" s="282"/>
      <c r="AU150" s="282"/>
      <c r="AV150" s="282"/>
      <c r="AW150" s="282"/>
      <c r="AX150" s="282"/>
      <c r="AY150" s="352"/>
      <c r="AZ150" s="356">
        <v>351960</v>
      </c>
      <c r="BA150" s="282">
        <v>499000</v>
      </c>
      <c r="BB150" s="282"/>
      <c r="BC150" s="282"/>
      <c r="BD150" s="282"/>
      <c r="BE150" s="282"/>
      <c r="BT150" s="279" t="s">
        <v>205</v>
      </c>
      <c r="BU150" s="279" t="s">
        <v>206</v>
      </c>
    </row>
    <row r="151" s="279" customFormat="1" customHeight="1" spans="1:73">
      <c r="A151" s="279">
        <v>109</v>
      </c>
      <c r="C151" s="279" t="s">
        <v>1002</v>
      </c>
      <c r="D151" s="300" t="s">
        <v>1740</v>
      </c>
      <c r="F151" s="385" t="s">
        <v>1741</v>
      </c>
      <c r="G151" s="297" t="s">
        <v>1742</v>
      </c>
      <c r="H151" s="719" t="s">
        <v>1743</v>
      </c>
      <c r="I151" s="313" t="s">
        <v>1744</v>
      </c>
      <c r="J151" s="279">
        <v>142.14</v>
      </c>
      <c r="K151" s="279">
        <v>142.14</v>
      </c>
      <c r="L151" s="279">
        <v>6246.42</v>
      </c>
      <c r="M151" s="317">
        <v>887866</v>
      </c>
      <c r="N151" s="317"/>
      <c r="O151" s="320"/>
      <c r="P151" s="321"/>
      <c r="Q151" s="321"/>
      <c r="R151" s="282"/>
      <c r="S151" s="329"/>
      <c r="T151" s="332" t="s">
        <v>1745</v>
      </c>
      <c r="U151" s="329" t="s">
        <v>1746</v>
      </c>
      <c r="V151" s="282">
        <v>167866</v>
      </c>
      <c r="W151" s="335" t="s">
        <v>1002</v>
      </c>
      <c r="X151" s="282">
        <v>270000</v>
      </c>
      <c r="Y151" s="335" t="s">
        <v>1119</v>
      </c>
      <c r="Z151" s="282">
        <v>450000</v>
      </c>
      <c r="AA151" s="329" t="s">
        <v>1353</v>
      </c>
      <c r="AB151" s="282"/>
      <c r="AH151" s="282">
        <f t="shared" si="22"/>
        <v>887866</v>
      </c>
      <c r="AK151" s="287">
        <f t="shared" si="15"/>
        <v>0</v>
      </c>
      <c r="AL151" s="295" t="s">
        <v>1747</v>
      </c>
      <c r="AM151" s="295"/>
      <c r="AN151" s="344">
        <v>986811</v>
      </c>
      <c r="AO151" s="344"/>
      <c r="AP151" s="344"/>
      <c r="AQ151" s="288">
        <f>0.4%+0.04%+0.1%</f>
        <v>0.0054</v>
      </c>
      <c r="AR151" s="349">
        <f t="shared" si="24"/>
        <v>887866</v>
      </c>
      <c r="AS151" s="282">
        <f>100</f>
        <v>100</v>
      </c>
      <c r="AT151" s="282">
        <v>100</v>
      </c>
      <c r="AU151" s="282"/>
      <c r="AV151" s="282"/>
      <c r="AW151" s="282">
        <v>437866</v>
      </c>
      <c r="AX151" s="282"/>
      <c r="AY151" s="352"/>
      <c r="AZ151" s="353"/>
      <c r="BA151" s="282">
        <v>450000</v>
      </c>
      <c r="BB151" s="282"/>
      <c r="BC151" s="282"/>
      <c r="BD151" s="282"/>
      <c r="BE151" s="282"/>
      <c r="BT151" s="279" t="s">
        <v>205</v>
      </c>
      <c r="BU151" s="279" t="s">
        <v>206</v>
      </c>
    </row>
    <row r="152" s="279" customFormat="1" customHeight="1" spans="1:73">
      <c r="A152" s="279">
        <v>110</v>
      </c>
      <c r="C152" s="279" t="s">
        <v>1748</v>
      </c>
      <c r="D152" s="279">
        <v>20230004274</v>
      </c>
      <c r="F152" s="295" t="s">
        <v>1749</v>
      </c>
      <c r="G152" s="297" t="s">
        <v>1750</v>
      </c>
      <c r="H152" s="720" t="s">
        <v>1751</v>
      </c>
      <c r="I152" s="316" t="s">
        <v>1752</v>
      </c>
      <c r="J152" s="279">
        <v>151.48</v>
      </c>
      <c r="K152" s="279">
        <v>151.48</v>
      </c>
      <c r="L152" s="279">
        <v>6230</v>
      </c>
      <c r="M152" s="282">
        <f>-62+943783</f>
        <v>943721</v>
      </c>
      <c r="N152" s="282">
        <v>6168.42</v>
      </c>
      <c r="O152" s="283"/>
      <c r="P152" s="319"/>
      <c r="Q152" s="284"/>
      <c r="R152" s="282"/>
      <c r="S152" s="285"/>
      <c r="T152" s="299" t="s">
        <v>1753</v>
      </c>
      <c r="U152" s="299" t="s">
        <v>1753</v>
      </c>
      <c r="V152" s="282">
        <v>20000</v>
      </c>
      <c r="W152" s="331" t="s">
        <v>1468</v>
      </c>
      <c r="X152" s="282">
        <v>93783</v>
      </c>
      <c r="Y152" s="335" t="s">
        <v>1748</v>
      </c>
      <c r="Z152" s="282">
        <v>80000</v>
      </c>
      <c r="AA152" s="335" t="s">
        <v>919</v>
      </c>
      <c r="AB152" s="282">
        <v>33000</v>
      </c>
      <c r="AC152" s="331" t="s">
        <v>919</v>
      </c>
      <c r="AD152" s="282">
        <v>717000</v>
      </c>
      <c r="AE152" s="285" t="s">
        <v>1668</v>
      </c>
      <c r="AF152" s="299">
        <v>-62</v>
      </c>
      <c r="AG152" s="331"/>
      <c r="AH152" s="282">
        <f t="shared" si="22"/>
        <v>943721</v>
      </c>
      <c r="AK152" s="287">
        <f t="shared" si="15"/>
        <v>0</v>
      </c>
      <c r="AL152" s="295" t="s">
        <v>1754</v>
      </c>
      <c r="AM152" s="295"/>
      <c r="AN152" s="318"/>
      <c r="AO152" s="318"/>
      <c r="AP152" s="318"/>
      <c r="AQ152" s="288">
        <f>0.6%+0.05%+0.14%+0.06%</f>
        <v>0.0085</v>
      </c>
      <c r="AR152" s="349">
        <f t="shared" si="24"/>
        <v>943783</v>
      </c>
      <c r="AS152" s="282"/>
      <c r="AT152" s="282"/>
      <c r="AU152" s="282"/>
      <c r="AV152" s="282"/>
      <c r="AW152" s="282"/>
      <c r="AX152" s="282"/>
      <c r="AY152" s="352"/>
      <c r="AZ152" s="356">
        <v>226783</v>
      </c>
      <c r="BA152" s="282"/>
      <c r="BB152" s="282">
        <v>717000</v>
      </c>
      <c r="BC152" s="282"/>
      <c r="BD152" s="282"/>
      <c r="BE152" s="282"/>
      <c r="BT152" s="279" t="s">
        <v>205</v>
      </c>
      <c r="BU152" s="279" t="s">
        <v>206</v>
      </c>
    </row>
    <row r="153" s="278" customFormat="1" customHeight="1" spans="6:82">
      <c r="F153" s="367"/>
      <c r="G153" s="368"/>
      <c r="H153" s="368"/>
      <c r="I153" s="392" t="s">
        <v>1755</v>
      </c>
      <c r="J153" s="278">
        <v>22.24</v>
      </c>
      <c r="M153" s="103"/>
      <c r="N153" s="103"/>
      <c r="O153" s="311"/>
      <c r="P153" s="393"/>
      <c r="Q153" s="401"/>
      <c r="R153" s="103"/>
      <c r="S153" s="328"/>
      <c r="T153" s="328"/>
      <c r="U153" s="328"/>
      <c r="V153" s="103"/>
      <c r="W153" s="104"/>
      <c r="X153" s="103"/>
      <c r="Y153" s="338"/>
      <c r="Z153" s="103"/>
      <c r="AA153" s="338"/>
      <c r="AB153" s="103"/>
      <c r="AC153" s="104"/>
      <c r="AD153" s="104"/>
      <c r="AE153" s="104"/>
      <c r="AF153" s="104"/>
      <c r="AG153" s="104"/>
      <c r="AH153" s="103">
        <f t="shared" si="22"/>
        <v>0</v>
      </c>
      <c r="AK153" s="342">
        <f t="shared" ref="AK153:AK177" si="26">M153-AH153</f>
        <v>0</v>
      </c>
      <c r="AL153" s="367"/>
      <c r="AM153" s="367"/>
      <c r="AN153" s="404"/>
      <c r="AO153" s="404"/>
      <c r="AP153" s="404"/>
      <c r="AQ153" s="381"/>
      <c r="AR153" s="348">
        <f t="shared" si="24"/>
        <v>0</v>
      </c>
      <c r="AS153" s="103"/>
      <c r="AT153" s="103"/>
      <c r="AU153" s="103"/>
      <c r="AV153" s="103"/>
      <c r="AW153" s="103"/>
      <c r="AX153" s="103"/>
      <c r="AY153" s="168"/>
      <c r="AZ153" s="382"/>
      <c r="BA153" s="103"/>
      <c r="BB153" s="103"/>
      <c r="BC153" s="103"/>
      <c r="BD153" s="103"/>
      <c r="BE153" s="103"/>
      <c r="CD153" s="365"/>
    </row>
    <row r="154" s="278" customFormat="1" customHeight="1" spans="6:82">
      <c r="F154" s="367"/>
      <c r="G154" s="368"/>
      <c r="H154" s="368"/>
      <c r="I154" s="392" t="s">
        <v>1756</v>
      </c>
      <c r="J154" s="278">
        <v>19.83</v>
      </c>
      <c r="M154" s="103"/>
      <c r="N154" s="103"/>
      <c r="O154" s="311"/>
      <c r="P154" s="393"/>
      <c r="Q154" s="401"/>
      <c r="R154" s="103"/>
      <c r="S154" s="328"/>
      <c r="T154" s="328"/>
      <c r="U154" s="328"/>
      <c r="V154" s="103"/>
      <c r="W154" s="104"/>
      <c r="X154" s="103"/>
      <c r="Y154" s="338"/>
      <c r="Z154" s="103"/>
      <c r="AA154" s="338"/>
      <c r="AB154" s="103"/>
      <c r="AC154" s="104"/>
      <c r="AD154" s="104"/>
      <c r="AE154" s="104"/>
      <c r="AF154" s="104"/>
      <c r="AG154" s="104"/>
      <c r="AH154" s="103">
        <f t="shared" si="22"/>
        <v>0</v>
      </c>
      <c r="AK154" s="342">
        <f t="shared" si="26"/>
        <v>0</v>
      </c>
      <c r="AL154" s="367"/>
      <c r="AM154" s="367"/>
      <c r="AN154" s="404"/>
      <c r="AO154" s="404"/>
      <c r="AP154" s="404"/>
      <c r="AQ154" s="381"/>
      <c r="AR154" s="348">
        <f t="shared" si="24"/>
        <v>0</v>
      </c>
      <c r="AS154" s="103"/>
      <c r="AT154" s="103"/>
      <c r="AU154" s="103"/>
      <c r="AV154" s="103"/>
      <c r="AW154" s="103"/>
      <c r="AX154" s="103"/>
      <c r="AY154" s="168"/>
      <c r="AZ154" s="382"/>
      <c r="BA154" s="103"/>
      <c r="BB154" s="103"/>
      <c r="BC154" s="103"/>
      <c r="BD154" s="103"/>
      <c r="BE154" s="103"/>
      <c r="CD154" s="365"/>
    </row>
    <row r="155" s="278" customFormat="1" customHeight="1" spans="6:82">
      <c r="F155" s="367"/>
      <c r="G155" s="368"/>
      <c r="H155" s="368"/>
      <c r="I155" s="392" t="s">
        <v>1757</v>
      </c>
      <c r="J155" s="278">
        <v>4.39</v>
      </c>
      <c r="M155" s="103"/>
      <c r="N155" s="103"/>
      <c r="O155" s="311"/>
      <c r="P155" s="393"/>
      <c r="Q155" s="401"/>
      <c r="R155" s="103"/>
      <c r="S155" s="328"/>
      <c r="T155" s="328"/>
      <c r="U155" s="328"/>
      <c r="V155" s="103"/>
      <c r="W155" s="104"/>
      <c r="X155" s="103"/>
      <c r="Y155" s="338"/>
      <c r="Z155" s="103"/>
      <c r="AA155" s="338"/>
      <c r="AB155" s="103"/>
      <c r="AC155" s="104"/>
      <c r="AD155" s="104"/>
      <c r="AE155" s="104"/>
      <c r="AF155" s="104"/>
      <c r="AG155" s="104"/>
      <c r="AH155" s="103">
        <f t="shared" si="22"/>
        <v>0</v>
      </c>
      <c r="AK155" s="342">
        <f t="shared" si="26"/>
        <v>0</v>
      </c>
      <c r="AL155" s="367"/>
      <c r="AM155" s="367"/>
      <c r="AN155" s="404"/>
      <c r="AO155" s="404"/>
      <c r="AP155" s="404"/>
      <c r="AQ155" s="381"/>
      <c r="AR155" s="348">
        <f t="shared" si="24"/>
        <v>0</v>
      </c>
      <c r="AS155" s="103"/>
      <c r="AT155" s="103"/>
      <c r="AU155" s="103"/>
      <c r="AV155" s="103"/>
      <c r="AW155" s="103"/>
      <c r="AX155" s="103"/>
      <c r="AY155" s="168"/>
      <c r="AZ155" s="382"/>
      <c r="BA155" s="103"/>
      <c r="BB155" s="103"/>
      <c r="BC155" s="103"/>
      <c r="BD155" s="103"/>
      <c r="BE155" s="103"/>
      <c r="CD155" s="365"/>
    </row>
    <row r="156" s="278" customFormat="1" customHeight="1" spans="6:82">
      <c r="F156" s="367"/>
      <c r="G156" s="368"/>
      <c r="H156" s="368"/>
      <c r="I156" s="392" t="s">
        <v>1758</v>
      </c>
      <c r="J156" s="278">
        <v>14.85</v>
      </c>
      <c r="L156" s="278">
        <v>2281.48</v>
      </c>
      <c r="M156" s="103">
        <v>33880</v>
      </c>
      <c r="N156" s="103"/>
      <c r="O156" s="311"/>
      <c r="P156" s="393"/>
      <c r="Q156" s="401"/>
      <c r="R156" s="103"/>
      <c r="S156" s="328"/>
      <c r="T156" s="328"/>
      <c r="U156" s="328"/>
      <c r="V156" s="103"/>
      <c r="W156" s="104"/>
      <c r="X156" s="103"/>
      <c r="Y156" s="338"/>
      <c r="Z156" s="103"/>
      <c r="AA156" s="338"/>
      <c r="AB156" s="103"/>
      <c r="AC156" s="104"/>
      <c r="AD156" s="104"/>
      <c r="AE156" s="104"/>
      <c r="AF156" s="104"/>
      <c r="AG156" s="104"/>
      <c r="AH156" s="103">
        <f t="shared" si="22"/>
        <v>0</v>
      </c>
      <c r="AK156" s="342">
        <f t="shared" si="26"/>
        <v>33880</v>
      </c>
      <c r="AL156" s="367"/>
      <c r="AM156" s="367"/>
      <c r="AN156" s="404"/>
      <c r="AO156" s="404"/>
      <c r="AP156" s="404"/>
      <c r="AQ156" s="381"/>
      <c r="AR156" s="348">
        <f t="shared" si="24"/>
        <v>0</v>
      </c>
      <c r="AS156" s="103"/>
      <c r="AT156" s="103"/>
      <c r="AU156" s="103"/>
      <c r="AV156" s="103"/>
      <c r="AW156" s="103"/>
      <c r="AX156" s="103"/>
      <c r="AY156" s="168"/>
      <c r="AZ156" s="382"/>
      <c r="BA156" s="103"/>
      <c r="BB156" s="103"/>
      <c r="BC156" s="103"/>
      <c r="BD156" s="103"/>
      <c r="BE156" s="103"/>
      <c r="CD156" s="365"/>
    </row>
    <row r="157" s="278" customFormat="1" customHeight="1" spans="6:82">
      <c r="F157" s="367"/>
      <c r="G157" s="368" t="s">
        <v>1759</v>
      </c>
      <c r="H157" s="368"/>
      <c r="I157" s="392" t="s">
        <v>1760</v>
      </c>
      <c r="J157" s="278">
        <v>14.5</v>
      </c>
      <c r="L157" s="278">
        <v>2281.38</v>
      </c>
      <c r="M157" s="103">
        <v>33080</v>
      </c>
      <c r="N157" s="103"/>
      <c r="O157" s="311"/>
      <c r="P157" s="393"/>
      <c r="Q157" s="401"/>
      <c r="R157" s="103"/>
      <c r="S157" s="328"/>
      <c r="T157" s="328"/>
      <c r="U157" s="328"/>
      <c r="V157" s="103">
        <v>2000</v>
      </c>
      <c r="W157" s="328">
        <v>45540</v>
      </c>
      <c r="X157" s="103">
        <v>31080</v>
      </c>
      <c r="Y157" s="338">
        <v>45542</v>
      </c>
      <c r="Z157" s="103"/>
      <c r="AA157" s="338"/>
      <c r="AB157" s="103"/>
      <c r="AC157" s="104"/>
      <c r="AD157" s="104"/>
      <c r="AE157" s="104"/>
      <c r="AF157" s="104"/>
      <c r="AG157" s="104"/>
      <c r="AH157" s="103">
        <f t="shared" si="22"/>
        <v>33080</v>
      </c>
      <c r="AK157" s="342">
        <f t="shared" si="26"/>
        <v>0</v>
      </c>
      <c r="AL157" s="367"/>
      <c r="AM157" s="367"/>
      <c r="AN157" s="404"/>
      <c r="AO157" s="404"/>
      <c r="AP157" s="404"/>
      <c r="AQ157" s="381"/>
      <c r="AR157" s="348">
        <f t="shared" si="24"/>
        <v>0</v>
      </c>
      <c r="AS157" s="103"/>
      <c r="AT157" s="103"/>
      <c r="AU157" s="103"/>
      <c r="AV157" s="103"/>
      <c r="AW157" s="103"/>
      <c r="AX157" s="103"/>
      <c r="AY157" s="168"/>
      <c r="AZ157" s="383"/>
      <c r="BA157" s="103"/>
      <c r="BB157" s="103"/>
      <c r="BC157" s="103"/>
      <c r="BD157" s="103"/>
      <c r="BE157" s="103"/>
      <c r="CD157" s="365"/>
    </row>
    <row r="158" s="278" customFormat="1" customHeight="1" spans="6:82">
      <c r="F158" s="367"/>
      <c r="G158" s="368" t="s">
        <v>1761</v>
      </c>
      <c r="H158" s="368"/>
      <c r="I158" s="392" t="s">
        <v>1762</v>
      </c>
      <c r="J158" s="278">
        <v>23.61</v>
      </c>
      <c r="L158" s="278">
        <v>2282.08</v>
      </c>
      <c r="M158" s="103">
        <v>53880</v>
      </c>
      <c r="N158" s="103"/>
      <c r="O158" s="311"/>
      <c r="P158" s="393"/>
      <c r="Q158" s="401"/>
      <c r="R158" s="103"/>
      <c r="S158" s="328"/>
      <c r="T158" s="328"/>
      <c r="U158" s="328"/>
      <c r="V158" s="103">
        <v>2000</v>
      </c>
      <c r="W158" s="328">
        <v>45537</v>
      </c>
      <c r="X158" s="103">
        <v>51880</v>
      </c>
      <c r="Y158" s="338">
        <v>45548</v>
      </c>
      <c r="Z158" s="103"/>
      <c r="AA158" s="338"/>
      <c r="AB158" s="103"/>
      <c r="AC158" s="104"/>
      <c r="AD158" s="104"/>
      <c r="AE158" s="104"/>
      <c r="AF158" s="104"/>
      <c r="AG158" s="104"/>
      <c r="AH158" s="103">
        <f t="shared" si="22"/>
        <v>53880</v>
      </c>
      <c r="AK158" s="342">
        <f t="shared" si="26"/>
        <v>0</v>
      </c>
      <c r="AL158" s="367"/>
      <c r="AM158" s="367"/>
      <c r="AN158" s="404"/>
      <c r="AO158" s="404"/>
      <c r="AP158" s="404"/>
      <c r="AQ158" s="381"/>
      <c r="AR158" s="348">
        <f t="shared" si="24"/>
        <v>0</v>
      </c>
      <c r="AS158" s="103"/>
      <c r="AT158" s="103"/>
      <c r="AU158" s="103"/>
      <c r="AV158" s="103"/>
      <c r="AW158" s="103"/>
      <c r="AX158" s="103"/>
      <c r="AY158" s="168"/>
      <c r="AZ158" s="382"/>
      <c r="BA158" s="103"/>
      <c r="BB158" s="103"/>
      <c r="BC158" s="103"/>
      <c r="BD158" s="103"/>
      <c r="BE158" s="103"/>
      <c r="CD158" s="365"/>
    </row>
    <row r="159" s="278" customFormat="1" customHeight="1" spans="6:82">
      <c r="F159" s="367"/>
      <c r="G159" s="368"/>
      <c r="H159" s="368"/>
      <c r="I159" s="392" t="s">
        <v>1763</v>
      </c>
      <c r="J159" s="278">
        <v>59.62</v>
      </c>
      <c r="M159" s="103"/>
      <c r="N159" s="103"/>
      <c r="O159" s="311"/>
      <c r="P159" s="393"/>
      <c r="Q159" s="401"/>
      <c r="R159" s="103"/>
      <c r="S159" s="328"/>
      <c r="T159" s="328"/>
      <c r="U159" s="328"/>
      <c r="V159" s="103"/>
      <c r="W159" s="104"/>
      <c r="X159" s="103"/>
      <c r="Y159" s="338"/>
      <c r="Z159" s="103"/>
      <c r="AA159" s="338"/>
      <c r="AB159" s="103"/>
      <c r="AC159" s="104"/>
      <c r="AD159" s="104"/>
      <c r="AE159" s="104"/>
      <c r="AF159" s="104"/>
      <c r="AG159" s="104"/>
      <c r="AH159" s="103">
        <f t="shared" si="22"/>
        <v>0</v>
      </c>
      <c r="AK159" s="342">
        <f t="shared" si="26"/>
        <v>0</v>
      </c>
      <c r="AL159" s="367"/>
      <c r="AM159" s="367"/>
      <c r="AN159" s="404"/>
      <c r="AO159" s="404"/>
      <c r="AP159" s="404"/>
      <c r="AQ159" s="381"/>
      <c r="AR159" s="348">
        <f t="shared" si="24"/>
        <v>0</v>
      </c>
      <c r="AS159" s="103"/>
      <c r="AT159" s="103"/>
      <c r="AU159" s="103"/>
      <c r="AV159" s="103"/>
      <c r="AW159" s="103"/>
      <c r="AX159" s="103"/>
      <c r="AY159" s="168"/>
      <c r="AZ159" s="382"/>
      <c r="BA159" s="103"/>
      <c r="BB159" s="103"/>
      <c r="BC159" s="103"/>
      <c r="BD159" s="103"/>
      <c r="BE159" s="103"/>
      <c r="CD159" s="365"/>
    </row>
    <row r="160" s="278" customFormat="1" customHeight="1" spans="6:82">
      <c r="F160" s="367"/>
      <c r="G160" s="368"/>
      <c r="H160" s="368"/>
      <c r="I160" s="392" t="s">
        <v>1764</v>
      </c>
      <c r="J160" s="278">
        <v>57.73</v>
      </c>
      <c r="M160" s="103"/>
      <c r="N160" s="103"/>
      <c r="O160" s="311"/>
      <c r="P160" s="393"/>
      <c r="Q160" s="401"/>
      <c r="R160" s="103"/>
      <c r="S160" s="328"/>
      <c r="T160" s="328"/>
      <c r="U160" s="328"/>
      <c r="V160" s="103"/>
      <c r="W160" s="104"/>
      <c r="X160" s="103"/>
      <c r="Y160" s="338"/>
      <c r="Z160" s="103"/>
      <c r="AA160" s="338"/>
      <c r="AB160" s="103"/>
      <c r="AC160" s="104"/>
      <c r="AD160" s="104"/>
      <c r="AE160" s="104"/>
      <c r="AF160" s="104"/>
      <c r="AG160" s="104"/>
      <c r="AH160" s="103">
        <f t="shared" si="22"/>
        <v>0</v>
      </c>
      <c r="AK160" s="342">
        <f t="shared" si="26"/>
        <v>0</v>
      </c>
      <c r="AL160" s="367"/>
      <c r="AM160" s="367"/>
      <c r="AN160" s="404"/>
      <c r="AO160" s="404"/>
      <c r="AP160" s="404"/>
      <c r="AQ160" s="381"/>
      <c r="AR160" s="348">
        <f t="shared" si="24"/>
        <v>0</v>
      </c>
      <c r="AS160" s="103"/>
      <c r="AT160" s="103"/>
      <c r="AU160" s="103"/>
      <c r="AV160" s="103"/>
      <c r="AW160" s="103"/>
      <c r="AX160" s="103"/>
      <c r="AY160" s="168"/>
      <c r="AZ160" s="383"/>
      <c r="BA160" s="103"/>
      <c r="BB160" s="103"/>
      <c r="BC160" s="103"/>
      <c r="BD160" s="103"/>
      <c r="BE160" s="103"/>
      <c r="CD160" s="365"/>
    </row>
    <row r="161" s="278" customFormat="1" customHeight="1" spans="6:82">
      <c r="F161" s="367"/>
      <c r="G161" s="368"/>
      <c r="H161" s="368"/>
      <c r="I161" s="392" t="s">
        <v>1765</v>
      </c>
      <c r="J161" s="278">
        <v>14.5</v>
      </c>
      <c r="L161" s="278">
        <v>2281.38</v>
      </c>
      <c r="M161" s="103">
        <v>33080</v>
      </c>
      <c r="N161" s="103"/>
      <c r="O161" s="311"/>
      <c r="P161" s="393"/>
      <c r="Q161" s="401"/>
      <c r="R161" s="103"/>
      <c r="S161" s="328"/>
      <c r="T161" s="328"/>
      <c r="U161" s="328"/>
      <c r="V161" s="103"/>
      <c r="W161" s="104"/>
      <c r="X161" s="103"/>
      <c r="Y161" s="338"/>
      <c r="Z161" s="103"/>
      <c r="AA161" s="338"/>
      <c r="AB161" s="103"/>
      <c r="AC161" s="104"/>
      <c r="AD161" s="104"/>
      <c r="AE161" s="104"/>
      <c r="AF161" s="104"/>
      <c r="AG161" s="104"/>
      <c r="AH161" s="103">
        <f t="shared" ref="AH161:AH192" si="27">V161+X161+Z161+AB161+AD161+AF161</f>
        <v>0</v>
      </c>
      <c r="AK161" s="342">
        <f t="shared" si="26"/>
        <v>33080</v>
      </c>
      <c r="AL161" s="367"/>
      <c r="AM161" s="367"/>
      <c r="AN161" s="404"/>
      <c r="AO161" s="404"/>
      <c r="AP161" s="404"/>
      <c r="AQ161" s="381"/>
      <c r="AR161" s="348">
        <f t="shared" si="24"/>
        <v>0</v>
      </c>
      <c r="AS161" s="103"/>
      <c r="AT161" s="103"/>
      <c r="AU161" s="103"/>
      <c r="AV161" s="103"/>
      <c r="AW161" s="103"/>
      <c r="AX161" s="103"/>
      <c r="AY161" s="168"/>
      <c r="AZ161" s="382"/>
      <c r="BA161" s="103"/>
      <c r="BB161" s="103"/>
      <c r="BC161" s="103"/>
      <c r="BD161" s="103"/>
      <c r="BE161" s="103"/>
      <c r="CD161" s="365"/>
    </row>
    <row r="162" s="278" customFormat="1" customHeight="1" spans="6:82">
      <c r="F162" s="367"/>
      <c r="G162" s="368" t="s">
        <v>1680</v>
      </c>
      <c r="H162" s="368"/>
      <c r="I162" s="392" t="s">
        <v>1766</v>
      </c>
      <c r="J162" s="278">
        <v>14.87</v>
      </c>
      <c r="L162" s="278">
        <v>2281.1</v>
      </c>
      <c r="M162" s="103">
        <v>33920</v>
      </c>
      <c r="N162" s="103"/>
      <c r="O162" s="311"/>
      <c r="P162" s="393"/>
      <c r="Q162" s="401"/>
      <c r="R162" s="103"/>
      <c r="S162" s="328"/>
      <c r="T162" s="328"/>
      <c r="U162" s="328"/>
      <c r="V162" s="103">
        <v>5000</v>
      </c>
      <c r="W162" s="328">
        <v>45537</v>
      </c>
      <c r="X162" s="103">
        <v>28920</v>
      </c>
      <c r="Y162" s="338">
        <v>45541</v>
      </c>
      <c r="Z162" s="103"/>
      <c r="AA162" s="338"/>
      <c r="AB162" s="103"/>
      <c r="AC162" s="104"/>
      <c r="AD162" s="104"/>
      <c r="AE162" s="104"/>
      <c r="AF162" s="104"/>
      <c r="AG162" s="104"/>
      <c r="AH162" s="103">
        <f t="shared" si="27"/>
        <v>33920</v>
      </c>
      <c r="AK162" s="342">
        <f t="shared" si="26"/>
        <v>0</v>
      </c>
      <c r="AL162" s="367"/>
      <c r="AM162" s="367"/>
      <c r="AN162" s="404"/>
      <c r="AO162" s="404"/>
      <c r="AP162" s="404"/>
      <c r="AQ162" s="381"/>
      <c r="AR162" s="348">
        <f t="shared" si="24"/>
        <v>0</v>
      </c>
      <c r="AS162" s="103"/>
      <c r="AT162" s="103"/>
      <c r="AU162" s="103"/>
      <c r="AV162" s="103"/>
      <c r="AW162" s="103"/>
      <c r="AX162" s="103"/>
      <c r="AY162" s="168"/>
      <c r="AZ162" s="382"/>
      <c r="BA162" s="103"/>
      <c r="BB162" s="103"/>
      <c r="BC162" s="103"/>
      <c r="BD162" s="103"/>
      <c r="BE162" s="103"/>
      <c r="CD162" s="365"/>
    </row>
    <row r="163" s="278" customFormat="1" customHeight="1" spans="6:82">
      <c r="F163" s="367"/>
      <c r="G163" s="368" t="s">
        <v>1767</v>
      </c>
      <c r="H163" s="368"/>
      <c r="I163" s="392" t="s">
        <v>1768</v>
      </c>
      <c r="J163" s="278">
        <v>15.11</v>
      </c>
      <c r="L163" s="278">
        <v>2281.93</v>
      </c>
      <c r="M163" s="103">
        <v>34480</v>
      </c>
      <c r="N163" s="103"/>
      <c r="O163" s="311"/>
      <c r="P163" s="393"/>
      <c r="Q163" s="401"/>
      <c r="R163" s="103"/>
      <c r="S163" s="328"/>
      <c r="T163" s="328"/>
      <c r="U163" s="328"/>
      <c r="V163" s="103">
        <v>3000</v>
      </c>
      <c r="W163" s="328">
        <v>45538</v>
      </c>
      <c r="X163" s="103">
        <v>31480</v>
      </c>
      <c r="Y163" s="338">
        <v>45563</v>
      </c>
      <c r="Z163" s="103"/>
      <c r="AA163" s="338"/>
      <c r="AB163" s="103"/>
      <c r="AC163" s="104"/>
      <c r="AD163" s="104"/>
      <c r="AE163" s="104"/>
      <c r="AF163" s="104"/>
      <c r="AG163" s="104"/>
      <c r="AH163" s="103">
        <f t="shared" si="27"/>
        <v>34480</v>
      </c>
      <c r="AK163" s="342">
        <f t="shared" si="26"/>
        <v>0</v>
      </c>
      <c r="AL163" s="367"/>
      <c r="AM163" s="367"/>
      <c r="AN163" s="404"/>
      <c r="AO163" s="404"/>
      <c r="AP163" s="404"/>
      <c r="AQ163" s="381"/>
      <c r="AR163" s="348">
        <f t="shared" si="24"/>
        <v>0</v>
      </c>
      <c r="AS163" s="103"/>
      <c r="AT163" s="103"/>
      <c r="AU163" s="103"/>
      <c r="AV163" s="103"/>
      <c r="AW163" s="103"/>
      <c r="AX163" s="103"/>
      <c r="AY163" s="168"/>
      <c r="AZ163" s="382"/>
      <c r="BA163" s="103"/>
      <c r="BB163" s="103"/>
      <c r="BC163" s="103"/>
      <c r="BD163" s="103"/>
      <c r="BE163" s="103"/>
      <c r="CD163" s="365"/>
    </row>
    <row r="164" s="278" customFormat="1" customHeight="1" spans="6:82">
      <c r="F164" s="367"/>
      <c r="G164" s="368" t="s">
        <v>1769</v>
      </c>
      <c r="H164" s="368"/>
      <c r="I164" s="392" t="s">
        <v>1770</v>
      </c>
      <c r="J164" s="278">
        <v>14.5</v>
      </c>
      <c r="L164" s="278">
        <v>2281.38</v>
      </c>
      <c r="M164" s="103">
        <v>33080</v>
      </c>
      <c r="N164" s="103"/>
      <c r="O164" s="311"/>
      <c r="P164" s="393"/>
      <c r="Q164" s="401"/>
      <c r="R164" s="103"/>
      <c r="S164" s="328"/>
      <c r="T164" s="328"/>
      <c r="U164" s="328"/>
      <c r="V164" s="103">
        <f>3000-3000</f>
        <v>0</v>
      </c>
      <c r="W164" s="328" t="s">
        <v>547</v>
      </c>
      <c r="X164" s="103"/>
      <c r="Y164" s="338"/>
      <c r="Z164" s="103"/>
      <c r="AA164" s="338"/>
      <c r="AB164" s="103"/>
      <c r="AC164" s="104"/>
      <c r="AD164" s="104"/>
      <c r="AE164" s="104"/>
      <c r="AF164" s="104"/>
      <c r="AG164" s="104"/>
      <c r="AH164" s="103">
        <f t="shared" si="27"/>
        <v>0</v>
      </c>
      <c r="AK164" s="342">
        <f t="shared" si="26"/>
        <v>33080</v>
      </c>
      <c r="AL164" s="367"/>
      <c r="AM164" s="367"/>
      <c r="AN164" s="404"/>
      <c r="AO164" s="404"/>
      <c r="AP164" s="404"/>
      <c r="AQ164" s="381"/>
      <c r="AR164" s="348">
        <f t="shared" si="24"/>
        <v>0</v>
      </c>
      <c r="AS164" s="103"/>
      <c r="AT164" s="103"/>
      <c r="AU164" s="103"/>
      <c r="AV164" s="103"/>
      <c r="AW164" s="103"/>
      <c r="AX164" s="103"/>
      <c r="AY164" s="168"/>
      <c r="AZ164" s="382"/>
      <c r="BA164" s="103"/>
      <c r="BB164" s="103"/>
      <c r="BC164" s="103"/>
      <c r="BD164" s="103"/>
      <c r="BE164" s="103"/>
      <c r="CD164" s="365"/>
    </row>
    <row r="165" s="278" customFormat="1" customHeight="1" spans="6:82">
      <c r="F165" s="367"/>
      <c r="G165" s="368"/>
      <c r="H165" s="368"/>
      <c r="I165" s="392" t="s">
        <v>1771</v>
      </c>
      <c r="J165" s="278">
        <v>57.73</v>
      </c>
      <c r="M165" s="103"/>
      <c r="N165" s="103"/>
      <c r="O165" s="311"/>
      <c r="P165" s="393"/>
      <c r="Q165" s="401"/>
      <c r="R165" s="103"/>
      <c r="S165" s="328"/>
      <c r="T165" s="328"/>
      <c r="U165" s="328"/>
      <c r="V165" s="103"/>
      <c r="W165" s="104"/>
      <c r="X165" s="103"/>
      <c r="Y165" s="338"/>
      <c r="Z165" s="103"/>
      <c r="AA165" s="338"/>
      <c r="AB165" s="103"/>
      <c r="AC165" s="104"/>
      <c r="AD165" s="104"/>
      <c r="AE165" s="104"/>
      <c r="AF165" s="104"/>
      <c r="AG165" s="104"/>
      <c r="AH165" s="103">
        <f t="shared" si="27"/>
        <v>0</v>
      </c>
      <c r="AK165" s="342">
        <f t="shared" si="26"/>
        <v>0</v>
      </c>
      <c r="AL165" s="367"/>
      <c r="AM165" s="367"/>
      <c r="AN165" s="404"/>
      <c r="AO165" s="404"/>
      <c r="AP165" s="404"/>
      <c r="AQ165" s="381"/>
      <c r="AR165" s="348">
        <f t="shared" si="24"/>
        <v>0</v>
      </c>
      <c r="AS165" s="103"/>
      <c r="AT165" s="103"/>
      <c r="AU165" s="103"/>
      <c r="AV165" s="103"/>
      <c r="AW165" s="103"/>
      <c r="AX165" s="103"/>
      <c r="AY165" s="168"/>
      <c r="AZ165" s="382"/>
      <c r="BA165" s="103"/>
      <c r="BB165" s="103"/>
      <c r="BC165" s="103"/>
      <c r="BD165" s="103"/>
      <c r="BE165" s="103"/>
      <c r="CD165" s="365"/>
    </row>
    <row r="166" s="278" customFormat="1" customHeight="1" spans="6:82">
      <c r="F166" s="367"/>
      <c r="G166" s="368"/>
      <c r="H166" s="368"/>
      <c r="I166" s="392" t="s">
        <v>1772</v>
      </c>
      <c r="J166" s="278">
        <v>59.86</v>
      </c>
      <c r="M166" s="103"/>
      <c r="N166" s="103"/>
      <c r="O166" s="311"/>
      <c r="P166" s="393"/>
      <c r="Q166" s="401"/>
      <c r="R166" s="103"/>
      <c r="S166" s="328"/>
      <c r="T166" s="328"/>
      <c r="U166" s="328"/>
      <c r="V166" s="103"/>
      <c r="W166" s="104"/>
      <c r="X166" s="103"/>
      <c r="Y166" s="338"/>
      <c r="Z166" s="103"/>
      <c r="AA166" s="338"/>
      <c r="AB166" s="103"/>
      <c r="AC166" s="104"/>
      <c r="AD166" s="104"/>
      <c r="AE166" s="104"/>
      <c r="AF166" s="104"/>
      <c r="AG166" s="104"/>
      <c r="AH166" s="103">
        <f t="shared" si="27"/>
        <v>0</v>
      </c>
      <c r="AK166" s="342">
        <f t="shared" si="26"/>
        <v>0</v>
      </c>
      <c r="AL166" s="367"/>
      <c r="AM166" s="367"/>
      <c r="AN166" s="404"/>
      <c r="AO166" s="404"/>
      <c r="AP166" s="404"/>
      <c r="AQ166" s="381"/>
      <c r="AR166" s="348">
        <f t="shared" si="24"/>
        <v>0</v>
      </c>
      <c r="AS166" s="103"/>
      <c r="AT166" s="103"/>
      <c r="AU166" s="103"/>
      <c r="AV166" s="103"/>
      <c r="AW166" s="103"/>
      <c r="AX166" s="103"/>
      <c r="AY166" s="168"/>
      <c r="AZ166" s="382"/>
      <c r="BA166" s="103"/>
      <c r="BB166" s="103"/>
      <c r="BC166" s="103"/>
      <c r="BD166" s="103"/>
      <c r="BE166" s="103"/>
      <c r="CD166" s="365"/>
    </row>
    <row r="167" s="278" customFormat="1" customHeight="1" spans="6:82">
      <c r="F167" s="367"/>
      <c r="G167" s="368" t="s">
        <v>1773</v>
      </c>
      <c r="H167" s="368"/>
      <c r="I167" s="392" t="s">
        <v>1774</v>
      </c>
      <c r="J167" s="278">
        <v>23.61</v>
      </c>
      <c r="L167" s="278">
        <v>2282.08</v>
      </c>
      <c r="M167" s="103">
        <v>53880</v>
      </c>
      <c r="N167" s="103"/>
      <c r="O167" s="311"/>
      <c r="P167" s="393"/>
      <c r="Q167" s="401"/>
      <c r="R167" s="103"/>
      <c r="S167" s="328"/>
      <c r="T167" s="328"/>
      <c r="U167" s="328"/>
      <c r="V167" s="103">
        <v>2000</v>
      </c>
      <c r="W167" s="328">
        <v>45537</v>
      </c>
      <c r="X167" s="103">
        <v>51880</v>
      </c>
      <c r="Y167" s="338">
        <v>45548</v>
      </c>
      <c r="Z167" s="103"/>
      <c r="AA167" s="338"/>
      <c r="AB167" s="103"/>
      <c r="AC167" s="104"/>
      <c r="AD167" s="104"/>
      <c r="AE167" s="104"/>
      <c r="AF167" s="104"/>
      <c r="AG167" s="104"/>
      <c r="AH167" s="103">
        <f t="shared" si="27"/>
        <v>53880</v>
      </c>
      <c r="AK167" s="342">
        <f t="shared" si="26"/>
        <v>0</v>
      </c>
      <c r="AL167" s="367"/>
      <c r="AM167" s="367"/>
      <c r="AN167" s="404"/>
      <c r="AO167" s="404"/>
      <c r="AP167" s="404"/>
      <c r="AQ167" s="381"/>
      <c r="AR167" s="348">
        <f t="shared" si="24"/>
        <v>0</v>
      </c>
      <c r="AS167" s="103"/>
      <c r="AT167" s="103"/>
      <c r="AU167" s="103"/>
      <c r="AV167" s="103"/>
      <c r="AW167" s="103"/>
      <c r="AX167" s="103"/>
      <c r="AY167" s="168"/>
      <c r="AZ167" s="382"/>
      <c r="BA167" s="103"/>
      <c r="BB167" s="103"/>
      <c r="BC167" s="103"/>
      <c r="BD167" s="103"/>
      <c r="BE167" s="103"/>
      <c r="CD167" s="365"/>
    </row>
    <row r="168" s="278" customFormat="1" customHeight="1" spans="6:82">
      <c r="F168" s="367"/>
      <c r="G168" s="388" t="s">
        <v>1515</v>
      </c>
      <c r="H168" s="368"/>
      <c r="I168" s="392" t="s">
        <v>1775</v>
      </c>
      <c r="J168" s="278">
        <v>14.5</v>
      </c>
      <c r="L168" s="278">
        <v>2281.38</v>
      </c>
      <c r="M168" s="103">
        <v>33080</v>
      </c>
      <c r="N168" s="103"/>
      <c r="O168" s="311"/>
      <c r="P168" s="393"/>
      <c r="Q168" s="401"/>
      <c r="R168" s="103"/>
      <c r="S168" s="328"/>
      <c r="T168" s="328"/>
      <c r="U168" s="328"/>
      <c r="V168" s="103">
        <v>2000</v>
      </c>
      <c r="W168" s="338">
        <v>45543</v>
      </c>
      <c r="X168" s="103">
        <v>31080</v>
      </c>
      <c r="Y168" s="338">
        <v>45562</v>
      </c>
      <c r="Z168" s="103"/>
      <c r="AA168" s="338"/>
      <c r="AB168" s="103"/>
      <c r="AC168" s="104"/>
      <c r="AD168" s="104"/>
      <c r="AE168" s="104"/>
      <c r="AF168" s="104"/>
      <c r="AG168" s="104"/>
      <c r="AH168" s="103">
        <f t="shared" si="27"/>
        <v>33080</v>
      </c>
      <c r="AK168" s="342">
        <f t="shared" si="26"/>
        <v>0</v>
      </c>
      <c r="AL168" s="367"/>
      <c r="AM168" s="367"/>
      <c r="AN168" s="404"/>
      <c r="AO168" s="404"/>
      <c r="AP168" s="404"/>
      <c r="AQ168" s="381"/>
      <c r="AR168" s="348">
        <f t="shared" si="24"/>
        <v>0</v>
      </c>
      <c r="AS168" s="103"/>
      <c r="AT168" s="103"/>
      <c r="AU168" s="103"/>
      <c r="AV168" s="103"/>
      <c r="AW168" s="103"/>
      <c r="AX168" s="103"/>
      <c r="AY168" s="168"/>
      <c r="AZ168" s="89"/>
      <c r="BA168" s="103"/>
      <c r="BB168" s="103"/>
      <c r="BC168" s="103"/>
      <c r="BD168" s="103"/>
      <c r="BE168" s="103"/>
      <c r="CD168" s="365"/>
    </row>
    <row r="169" s="278" customFormat="1" customHeight="1" spans="6:82">
      <c r="F169" s="367"/>
      <c r="G169" s="368"/>
      <c r="H169" s="368"/>
      <c r="I169" s="392" t="s">
        <v>1776</v>
      </c>
      <c r="J169" s="278">
        <v>14.85</v>
      </c>
      <c r="L169" s="278">
        <v>2281.48</v>
      </c>
      <c r="M169" s="103">
        <v>33880</v>
      </c>
      <c r="N169" s="103"/>
      <c r="O169" s="311"/>
      <c r="P169" s="393"/>
      <c r="Q169" s="401"/>
      <c r="R169" s="103"/>
      <c r="S169" s="328"/>
      <c r="T169" s="328"/>
      <c r="U169" s="328"/>
      <c r="V169" s="103"/>
      <c r="W169" s="104"/>
      <c r="X169" s="103"/>
      <c r="Y169" s="338"/>
      <c r="Z169" s="103"/>
      <c r="AA169" s="338"/>
      <c r="AB169" s="103"/>
      <c r="AC169" s="104"/>
      <c r="AD169" s="104"/>
      <c r="AE169" s="104"/>
      <c r="AF169" s="104"/>
      <c r="AG169" s="104"/>
      <c r="AH169" s="103">
        <f t="shared" si="27"/>
        <v>0</v>
      </c>
      <c r="AK169" s="342">
        <f t="shared" si="26"/>
        <v>33880</v>
      </c>
      <c r="AL169" s="367"/>
      <c r="AM169" s="367"/>
      <c r="AN169" s="404"/>
      <c r="AO169" s="404"/>
      <c r="AP169" s="404"/>
      <c r="AQ169" s="381"/>
      <c r="AR169" s="348">
        <f t="shared" si="24"/>
        <v>0</v>
      </c>
      <c r="AS169" s="103"/>
      <c r="AT169" s="103"/>
      <c r="AU169" s="103"/>
      <c r="AV169" s="103"/>
      <c r="AW169" s="103"/>
      <c r="AX169" s="103"/>
      <c r="AY169" s="168"/>
      <c r="AZ169" s="89"/>
      <c r="BA169" s="103"/>
      <c r="BB169" s="103"/>
      <c r="BC169" s="103"/>
      <c r="BD169" s="103"/>
      <c r="BE169" s="103"/>
      <c r="CD169" s="365"/>
    </row>
    <row r="170" s="278" customFormat="1" customHeight="1" spans="6:82">
      <c r="F170" s="367"/>
      <c r="G170" s="368" t="s">
        <v>1777</v>
      </c>
      <c r="H170" s="368"/>
      <c r="I170" s="392" t="s">
        <v>1778</v>
      </c>
      <c r="J170" s="278">
        <v>14.85</v>
      </c>
      <c r="L170" s="278">
        <v>2281.48</v>
      </c>
      <c r="M170" s="103">
        <v>33880</v>
      </c>
      <c r="N170" s="103"/>
      <c r="O170" s="311"/>
      <c r="P170" s="393"/>
      <c r="Q170" s="401"/>
      <c r="R170" s="103"/>
      <c r="S170" s="328"/>
      <c r="T170" s="328"/>
      <c r="U170" s="328"/>
      <c r="V170" s="103">
        <v>5000</v>
      </c>
      <c r="W170" s="328">
        <v>45537</v>
      </c>
      <c r="X170" s="103"/>
      <c r="Y170" s="338"/>
      <c r="Z170" s="103"/>
      <c r="AA170" s="338"/>
      <c r="AB170" s="103"/>
      <c r="AC170" s="104"/>
      <c r="AD170" s="104"/>
      <c r="AE170" s="104"/>
      <c r="AF170" s="104"/>
      <c r="AG170" s="104"/>
      <c r="AH170" s="103">
        <f t="shared" si="27"/>
        <v>5000</v>
      </c>
      <c r="AK170" s="342">
        <f t="shared" si="26"/>
        <v>28880</v>
      </c>
      <c r="AL170" s="367"/>
      <c r="AM170" s="367"/>
      <c r="AN170" s="404"/>
      <c r="AO170" s="404"/>
      <c r="AP170" s="404"/>
      <c r="AQ170" s="381"/>
      <c r="AR170" s="348">
        <f t="shared" si="24"/>
        <v>0</v>
      </c>
      <c r="AS170" s="103"/>
      <c r="AT170" s="103"/>
      <c r="AU170" s="103"/>
      <c r="AV170" s="103"/>
      <c r="AW170" s="103"/>
      <c r="AX170" s="103"/>
      <c r="AY170" s="168"/>
      <c r="AZ170" s="89"/>
      <c r="BA170" s="103"/>
      <c r="BB170" s="103"/>
      <c r="BC170" s="103"/>
      <c r="BD170" s="103"/>
      <c r="BE170" s="103"/>
      <c r="CD170" s="365"/>
    </row>
    <row r="171" s="278" customFormat="1" customHeight="1" spans="6:82">
      <c r="F171" s="367"/>
      <c r="G171" s="368"/>
      <c r="H171" s="368"/>
      <c r="I171" s="392" t="s">
        <v>1779</v>
      </c>
      <c r="J171" s="278">
        <v>14.5</v>
      </c>
      <c r="L171" s="278">
        <v>2281.38</v>
      </c>
      <c r="M171" s="103">
        <v>33080</v>
      </c>
      <c r="N171" s="103"/>
      <c r="O171" s="311"/>
      <c r="P171" s="393"/>
      <c r="Q171" s="401"/>
      <c r="R171" s="103"/>
      <c r="S171" s="328"/>
      <c r="T171" s="328"/>
      <c r="U171" s="328"/>
      <c r="V171" s="103"/>
      <c r="W171" s="104"/>
      <c r="X171" s="103"/>
      <c r="Y171" s="338"/>
      <c r="Z171" s="103"/>
      <c r="AA171" s="338"/>
      <c r="AB171" s="103"/>
      <c r="AC171" s="104"/>
      <c r="AD171" s="104"/>
      <c r="AE171" s="104"/>
      <c r="AF171" s="104"/>
      <c r="AG171" s="104"/>
      <c r="AH171" s="103">
        <f t="shared" si="27"/>
        <v>0</v>
      </c>
      <c r="AK171" s="342">
        <f t="shared" si="26"/>
        <v>33080</v>
      </c>
      <c r="AL171" s="367"/>
      <c r="AM171" s="367"/>
      <c r="AN171" s="404"/>
      <c r="AO171" s="404"/>
      <c r="AP171" s="404"/>
      <c r="AQ171" s="381"/>
      <c r="AR171" s="348">
        <f t="shared" si="24"/>
        <v>0</v>
      </c>
      <c r="AS171" s="103"/>
      <c r="AT171" s="103"/>
      <c r="AU171" s="103"/>
      <c r="AV171" s="103"/>
      <c r="AW171" s="103"/>
      <c r="AX171" s="103"/>
      <c r="AY171" s="168"/>
      <c r="AZ171" s="89"/>
      <c r="BA171" s="103"/>
      <c r="BB171" s="103"/>
      <c r="BC171" s="103"/>
      <c r="BD171" s="103"/>
      <c r="BE171" s="103"/>
      <c r="CD171" s="365"/>
    </row>
    <row r="172" s="278" customFormat="1" customHeight="1" spans="6:82">
      <c r="F172" s="367"/>
      <c r="G172" s="368" t="s">
        <v>1780</v>
      </c>
      <c r="H172" s="368"/>
      <c r="I172" s="392" t="s">
        <v>1781</v>
      </c>
      <c r="J172" s="278">
        <v>23.61</v>
      </c>
      <c r="L172" s="278">
        <v>2282.08</v>
      </c>
      <c r="M172" s="103">
        <v>53880</v>
      </c>
      <c r="N172" s="103"/>
      <c r="O172" s="311"/>
      <c r="P172" s="393"/>
      <c r="Q172" s="401"/>
      <c r="R172" s="103"/>
      <c r="S172" s="328"/>
      <c r="T172" s="328"/>
      <c r="U172" s="328"/>
      <c r="V172" s="103">
        <v>2000</v>
      </c>
      <c r="W172" s="328">
        <v>45537</v>
      </c>
      <c r="X172" s="103">
        <v>51880</v>
      </c>
      <c r="Y172" s="338">
        <v>45544</v>
      </c>
      <c r="Z172" s="103"/>
      <c r="AA172" s="338"/>
      <c r="AB172" s="103"/>
      <c r="AC172" s="104"/>
      <c r="AD172" s="104"/>
      <c r="AE172" s="104"/>
      <c r="AF172" s="104"/>
      <c r="AG172" s="104"/>
      <c r="AH172" s="103">
        <f t="shared" si="27"/>
        <v>53880</v>
      </c>
      <c r="AK172" s="342">
        <f t="shared" si="26"/>
        <v>0</v>
      </c>
      <c r="AL172" s="367"/>
      <c r="AM172" s="367"/>
      <c r="AN172" s="404"/>
      <c r="AO172" s="404"/>
      <c r="AP172" s="404"/>
      <c r="AQ172" s="381"/>
      <c r="AR172" s="348">
        <f t="shared" si="24"/>
        <v>0</v>
      </c>
      <c r="AS172" s="103"/>
      <c r="AT172" s="103"/>
      <c r="AU172" s="103"/>
      <c r="AV172" s="103"/>
      <c r="AW172" s="103"/>
      <c r="AX172" s="103"/>
      <c r="AY172" s="168"/>
      <c r="AZ172" s="89"/>
      <c r="BA172" s="103"/>
      <c r="BB172" s="103"/>
      <c r="BC172" s="103"/>
      <c r="BD172" s="103"/>
      <c r="BE172" s="103"/>
      <c r="CD172" s="365"/>
    </row>
    <row r="173" s="278" customFormat="1" customHeight="1" spans="6:82">
      <c r="F173" s="367"/>
      <c r="G173" s="368"/>
      <c r="H173" s="368"/>
      <c r="I173" s="392" t="s">
        <v>1782</v>
      </c>
      <c r="J173" s="278">
        <v>59.86</v>
      </c>
      <c r="M173" s="103"/>
      <c r="N173" s="103"/>
      <c r="O173" s="311"/>
      <c r="P173" s="393"/>
      <c r="Q173" s="401"/>
      <c r="R173" s="103"/>
      <c r="S173" s="328"/>
      <c r="T173" s="328"/>
      <c r="U173" s="328"/>
      <c r="V173" s="103"/>
      <c r="W173" s="104"/>
      <c r="X173" s="103"/>
      <c r="Y173" s="338"/>
      <c r="Z173" s="103"/>
      <c r="AA173" s="338"/>
      <c r="AB173" s="103"/>
      <c r="AC173" s="104"/>
      <c r="AD173" s="104"/>
      <c r="AE173" s="104"/>
      <c r="AF173" s="104"/>
      <c r="AG173" s="104"/>
      <c r="AH173" s="103">
        <f t="shared" si="27"/>
        <v>0</v>
      </c>
      <c r="AK173" s="342">
        <f t="shared" si="26"/>
        <v>0</v>
      </c>
      <c r="AL173" s="367"/>
      <c r="AM173" s="367"/>
      <c r="AN173" s="404"/>
      <c r="AO173" s="404"/>
      <c r="AP173" s="404"/>
      <c r="AQ173" s="381"/>
      <c r="AR173" s="348">
        <f t="shared" si="24"/>
        <v>0</v>
      </c>
      <c r="AS173" s="103"/>
      <c r="AT173" s="103"/>
      <c r="AU173" s="103"/>
      <c r="AV173" s="103"/>
      <c r="AW173" s="103"/>
      <c r="AX173" s="103"/>
      <c r="AY173" s="168"/>
      <c r="AZ173" s="89"/>
      <c r="BA173" s="103"/>
      <c r="BB173" s="103"/>
      <c r="BC173" s="103"/>
      <c r="BD173" s="103"/>
      <c r="BE173" s="103"/>
      <c r="CD173" s="365"/>
    </row>
    <row r="174" s="278" customFormat="1" customHeight="1" spans="6:82">
      <c r="F174" s="367"/>
      <c r="G174" s="368"/>
      <c r="H174" s="368"/>
      <c r="I174" s="392" t="s">
        <v>1783</v>
      </c>
      <c r="J174" s="278">
        <v>60.13</v>
      </c>
      <c r="M174" s="103"/>
      <c r="N174" s="103"/>
      <c r="O174" s="311"/>
      <c r="P174" s="393"/>
      <c r="Q174" s="401"/>
      <c r="R174" s="103"/>
      <c r="S174" s="328"/>
      <c r="T174" s="328"/>
      <c r="U174" s="328"/>
      <c r="V174" s="103"/>
      <c r="W174" s="104"/>
      <c r="X174" s="103"/>
      <c r="Y174" s="338"/>
      <c r="Z174" s="103"/>
      <c r="AA174" s="338"/>
      <c r="AB174" s="103"/>
      <c r="AC174" s="104"/>
      <c r="AD174" s="104"/>
      <c r="AE174" s="104"/>
      <c r="AF174" s="104"/>
      <c r="AG174" s="104"/>
      <c r="AH174" s="103">
        <f t="shared" si="27"/>
        <v>0</v>
      </c>
      <c r="AK174" s="342">
        <f t="shared" si="26"/>
        <v>0</v>
      </c>
      <c r="AL174" s="367"/>
      <c r="AM174" s="367"/>
      <c r="AN174" s="404"/>
      <c r="AO174" s="404"/>
      <c r="AP174" s="404"/>
      <c r="AQ174" s="381"/>
      <c r="AR174" s="348">
        <f t="shared" si="24"/>
        <v>0</v>
      </c>
      <c r="AS174" s="103"/>
      <c r="AT174" s="103"/>
      <c r="AU174" s="103"/>
      <c r="AV174" s="103"/>
      <c r="AW174" s="103"/>
      <c r="AX174" s="103"/>
      <c r="AY174" s="168"/>
      <c r="AZ174" s="89"/>
      <c r="BA174" s="103"/>
      <c r="BB174" s="103"/>
      <c r="BC174" s="103"/>
      <c r="BD174" s="103"/>
      <c r="BE174" s="103"/>
      <c r="CD174" s="365"/>
    </row>
    <row r="175" s="278" customFormat="1" customHeight="1" spans="6:82">
      <c r="F175" s="367"/>
      <c r="G175" s="368" t="s">
        <v>1784</v>
      </c>
      <c r="H175" s="368"/>
      <c r="I175" s="392" t="s">
        <v>1785</v>
      </c>
      <c r="J175" s="278">
        <v>23.61</v>
      </c>
      <c r="L175" s="278">
        <v>2282.08</v>
      </c>
      <c r="M175" s="103">
        <v>53880</v>
      </c>
      <c r="N175" s="103"/>
      <c r="O175" s="311"/>
      <c r="P175" s="393"/>
      <c r="Q175" s="401"/>
      <c r="R175" s="103"/>
      <c r="S175" s="328"/>
      <c r="T175" s="328"/>
      <c r="U175" s="328"/>
      <c r="V175" s="103">
        <v>53880</v>
      </c>
      <c r="W175" s="328">
        <v>45537</v>
      </c>
      <c r="X175" s="103"/>
      <c r="Y175" s="338"/>
      <c r="Z175" s="103"/>
      <c r="AA175" s="338"/>
      <c r="AB175" s="103"/>
      <c r="AC175" s="104"/>
      <c r="AD175" s="104"/>
      <c r="AE175" s="104"/>
      <c r="AF175" s="104"/>
      <c r="AG175" s="104"/>
      <c r="AH175" s="103">
        <f t="shared" si="27"/>
        <v>53880</v>
      </c>
      <c r="AK175" s="342">
        <f t="shared" si="26"/>
        <v>0</v>
      </c>
      <c r="AL175" s="367"/>
      <c r="AM175" s="367"/>
      <c r="AN175" s="404"/>
      <c r="AO175" s="404"/>
      <c r="AP175" s="404"/>
      <c r="AQ175" s="381"/>
      <c r="AR175" s="348">
        <f t="shared" si="24"/>
        <v>0</v>
      </c>
      <c r="AS175" s="103"/>
      <c r="AT175" s="103"/>
      <c r="AU175" s="103"/>
      <c r="AV175" s="103"/>
      <c r="AW175" s="103"/>
      <c r="AX175" s="103"/>
      <c r="AY175" s="168"/>
      <c r="AZ175" s="89"/>
      <c r="BA175" s="103"/>
      <c r="BB175" s="103"/>
      <c r="BC175" s="103"/>
      <c r="BD175" s="103"/>
      <c r="BE175" s="103"/>
      <c r="CD175" s="365"/>
    </row>
    <row r="176" s="278" customFormat="1" customHeight="1" spans="6:82">
      <c r="F176" s="367"/>
      <c r="G176" s="368" t="s">
        <v>1786</v>
      </c>
      <c r="H176" s="368"/>
      <c r="I176" s="392" t="s">
        <v>1787</v>
      </c>
      <c r="J176" s="278">
        <v>14.5</v>
      </c>
      <c r="L176" s="278">
        <v>2281.38</v>
      </c>
      <c r="M176" s="103">
        <v>33080</v>
      </c>
      <c r="N176" s="103"/>
      <c r="O176" s="311"/>
      <c r="P176" s="393"/>
      <c r="Q176" s="401"/>
      <c r="R176" s="103">
        <v>30080</v>
      </c>
      <c r="S176" s="328">
        <v>45575</v>
      </c>
      <c r="T176" s="328"/>
      <c r="U176" s="328"/>
      <c r="V176" s="103">
        <v>3000</v>
      </c>
      <c r="W176" s="328">
        <v>45538</v>
      </c>
      <c r="X176" s="103">
        <v>30080</v>
      </c>
      <c r="Y176" s="328">
        <v>45575</v>
      </c>
      <c r="Z176" s="103"/>
      <c r="AA176" s="338"/>
      <c r="AB176" s="103"/>
      <c r="AC176" s="104"/>
      <c r="AD176" s="104"/>
      <c r="AE176" s="104"/>
      <c r="AF176" s="104"/>
      <c r="AG176" s="104"/>
      <c r="AH176" s="103">
        <f t="shared" si="27"/>
        <v>33080</v>
      </c>
      <c r="AK176" s="342">
        <f t="shared" si="26"/>
        <v>0</v>
      </c>
      <c r="AL176" s="367"/>
      <c r="AM176" s="367"/>
      <c r="AN176" s="404"/>
      <c r="AO176" s="404"/>
      <c r="AP176" s="404"/>
      <c r="AQ176" s="381"/>
      <c r="AR176" s="348">
        <f t="shared" si="24"/>
        <v>0</v>
      </c>
      <c r="AS176" s="103"/>
      <c r="AT176" s="103"/>
      <c r="AU176" s="103"/>
      <c r="AV176" s="103"/>
      <c r="AW176" s="103"/>
      <c r="AX176" s="103"/>
      <c r="AY176" s="168"/>
      <c r="AZ176" s="89"/>
      <c r="BA176" s="103"/>
      <c r="BB176" s="103"/>
      <c r="BC176" s="103"/>
      <c r="BD176" s="103"/>
      <c r="BE176" s="103"/>
      <c r="CD176" s="365"/>
    </row>
    <row r="177" s="278" customFormat="1" customHeight="1" spans="6:82">
      <c r="F177" s="367"/>
      <c r="G177" s="368" t="s">
        <v>1788</v>
      </c>
      <c r="H177" s="368"/>
      <c r="I177" s="392" t="s">
        <v>1789</v>
      </c>
      <c r="J177" s="278">
        <v>14.97</v>
      </c>
      <c r="L177" s="278">
        <v>2281.9</v>
      </c>
      <c r="M177" s="103">
        <v>34160</v>
      </c>
      <c r="N177" s="103"/>
      <c r="O177" s="311"/>
      <c r="P177" s="393"/>
      <c r="Q177" s="401"/>
      <c r="R177" s="103">
        <v>32160</v>
      </c>
      <c r="S177" s="328" t="s">
        <v>1790</v>
      </c>
      <c r="T177" s="328"/>
      <c r="U177" s="328"/>
      <c r="V177" s="103">
        <v>2000</v>
      </c>
      <c r="W177" s="328">
        <v>45537</v>
      </c>
      <c r="X177" s="103">
        <v>32160</v>
      </c>
      <c r="Y177" s="328" t="s">
        <v>1790</v>
      </c>
      <c r="Z177" s="103"/>
      <c r="AA177" s="338"/>
      <c r="AB177" s="103"/>
      <c r="AC177" s="104"/>
      <c r="AD177" s="104"/>
      <c r="AE177" s="104"/>
      <c r="AF177" s="104"/>
      <c r="AG177" s="104"/>
      <c r="AH177" s="103">
        <f t="shared" si="27"/>
        <v>34160</v>
      </c>
      <c r="AK177" s="342">
        <f t="shared" si="26"/>
        <v>0</v>
      </c>
      <c r="AL177" s="367"/>
      <c r="AM177" s="367"/>
      <c r="AN177" s="404"/>
      <c r="AO177" s="404"/>
      <c r="AP177" s="404"/>
      <c r="AQ177" s="381"/>
      <c r="AR177" s="348">
        <f t="shared" si="24"/>
        <v>0</v>
      </c>
      <c r="AS177" s="103"/>
      <c r="AT177" s="103"/>
      <c r="AU177" s="103"/>
      <c r="AV177" s="103"/>
      <c r="AW177" s="103"/>
      <c r="AX177" s="103"/>
      <c r="AY177" s="168"/>
      <c r="AZ177" s="89"/>
      <c r="BA177" s="103"/>
      <c r="BB177" s="103"/>
      <c r="BC177" s="103"/>
      <c r="BD177" s="103"/>
      <c r="BE177" s="103"/>
      <c r="CD177" s="365"/>
    </row>
    <row r="178" s="279" customFormat="1" customHeight="1" spans="1:73">
      <c r="A178" s="279">
        <v>111</v>
      </c>
      <c r="C178" s="279" t="s">
        <v>942</v>
      </c>
      <c r="D178" s="300" t="s">
        <v>1791</v>
      </c>
      <c r="F178" s="295" t="s">
        <v>1792</v>
      </c>
      <c r="G178" s="297" t="s">
        <v>1793</v>
      </c>
      <c r="H178" s="719" t="s">
        <v>1794</v>
      </c>
      <c r="I178" s="313" t="s">
        <v>1795</v>
      </c>
      <c r="J178" s="279">
        <v>107.8</v>
      </c>
      <c r="K178" s="279">
        <v>107.8</v>
      </c>
      <c r="L178" s="279">
        <v>7961</v>
      </c>
      <c r="M178" s="317">
        <v>858196</v>
      </c>
      <c r="N178" s="317"/>
      <c r="O178" s="320"/>
      <c r="P178" s="321"/>
      <c r="Q178" s="321"/>
      <c r="R178" s="282"/>
      <c r="S178" s="329"/>
      <c r="T178" s="332" t="s">
        <v>1796</v>
      </c>
      <c r="U178" s="329" t="s">
        <v>1797</v>
      </c>
      <c r="V178" s="282">
        <v>298196</v>
      </c>
      <c r="W178" s="279" t="s">
        <v>942</v>
      </c>
      <c r="X178" s="282">
        <v>130000</v>
      </c>
      <c r="Y178" s="331" t="s">
        <v>1798</v>
      </c>
      <c r="Z178" s="282">
        <v>430000</v>
      </c>
      <c r="AA178" s="279" t="s">
        <v>1729</v>
      </c>
      <c r="AB178" s="282"/>
      <c r="AH178" s="282">
        <f t="shared" si="27"/>
        <v>858196</v>
      </c>
      <c r="AK178" s="287">
        <f t="shared" ref="AK153:AK216" si="28">M178-AH178</f>
        <v>0</v>
      </c>
      <c r="AL178" s="295" t="s">
        <v>1799</v>
      </c>
      <c r="AM178" s="295"/>
      <c r="AN178" s="344">
        <v>954561</v>
      </c>
      <c r="AO178" s="344"/>
      <c r="AP178" s="344"/>
      <c r="AQ178" s="288">
        <f>0.6%+0.04%+0.1%</f>
        <v>0.0074</v>
      </c>
      <c r="AR178" s="349">
        <f t="shared" si="24"/>
        <v>858196</v>
      </c>
      <c r="AS178" s="282">
        <v>100</v>
      </c>
      <c r="AT178" s="282">
        <f>100+100</f>
        <v>200</v>
      </c>
      <c r="AU178" s="282"/>
      <c r="AV178" s="282"/>
      <c r="AW178" s="282"/>
      <c r="AX178" s="282">
        <v>428196</v>
      </c>
      <c r="AY178" s="158"/>
      <c r="AZ178" s="131">
        <v>430000</v>
      </c>
      <c r="BA178" s="282"/>
      <c r="BB178" s="282"/>
      <c r="BC178" s="282"/>
      <c r="BD178" s="282"/>
      <c r="BE178" s="282"/>
      <c r="BT178" s="279" t="s">
        <v>205</v>
      </c>
      <c r="BU178" s="279" t="s">
        <v>206</v>
      </c>
    </row>
    <row r="179" s="279" customFormat="1" customHeight="1" spans="1:73">
      <c r="A179" s="279">
        <v>112</v>
      </c>
      <c r="C179" s="279" t="s">
        <v>1136</v>
      </c>
      <c r="D179" s="279">
        <v>20230004510</v>
      </c>
      <c r="F179" s="295" t="s">
        <v>790</v>
      </c>
      <c r="G179" s="297" t="s">
        <v>1800</v>
      </c>
      <c r="H179" s="719" t="s">
        <v>1801</v>
      </c>
      <c r="I179" s="316" t="s">
        <v>1802</v>
      </c>
      <c r="J179" s="279">
        <v>107.62</v>
      </c>
      <c r="K179" s="279">
        <v>107.62</v>
      </c>
      <c r="L179" s="279">
        <v>8000</v>
      </c>
      <c r="M179" s="317">
        <v>860960</v>
      </c>
      <c r="N179" s="317">
        <v>5549.98</v>
      </c>
      <c r="O179" s="320"/>
      <c r="P179" s="321"/>
      <c r="Q179" s="321"/>
      <c r="R179" s="282"/>
      <c r="S179" s="329"/>
      <c r="T179" s="329"/>
      <c r="U179" s="329" t="s">
        <v>1803</v>
      </c>
      <c r="V179" s="282">
        <v>20000</v>
      </c>
      <c r="W179" s="335" t="s">
        <v>601</v>
      </c>
      <c r="X179" s="282">
        <v>152192</v>
      </c>
      <c r="Y179" s="335" t="s">
        <v>1289</v>
      </c>
      <c r="Z179" s="282">
        <v>370000</v>
      </c>
      <c r="AA179" s="331" t="s">
        <v>373</v>
      </c>
      <c r="AB179" s="282">
        <v>318768</v>
      </c>
      <c r="AC179" s="329" t="s">
        <v>640</v>
      </c>
      <c r="AD179" s="331"/>
      <c r="AE179" s="331"/>
      <c r="AF179" s="331"/>
      <c r="AG179" s="331"/>
      <c r="AH179" s="282">
        <f t="shared" si="27"/>
        <v>860960</v>
      </c>
      <c r="AK179" s="287">
        <f t="shared" si="28"/>
        <v>0</v>
      </c>
      <c r="AL179" s="295" t="s">
        <v>1804</v>
      </c>
      <c r="AM179" s="295"/>
      <c r="AN179" s="344"/>
      <c r="AO179" s="344"/>
      <c r="AP179" s="344"/>
      <c r="AQ179" s="288">
        <f>0.4%+0.04%+0.1%</f>
        <v>0.0054</v>
      </c>
      <c r="AR179" s="349">
        <f t="shared" si="24"/>
        <v>860960</v>
      </c>
      <c r="AS179" s="282">
        <f>100+100+100</f>
        <v>300</v>
      </c>
      <c r="AT179" s="282"/>
      <c r="AU179" s="282"/>
      <c r="AV179" s="282"/>
      <c r="AW179" s="282"/>
      <c r="AX179" s="282"/>
      <c r="AY179" s="158"/>
      <c r="AZ179" s="131"/>
      <c r="BA179" s="282"/>
      <c r="BB179" s="282"/>
      <c r="BC179" s="282">
        <v>860960</v>
      </c>
      <c r="BD179" s="282"/>
      <c r="BE179" s="282"/>
      <c r="BT179" s="279" t="s">
        <v>205</v>
      </c>
      <c r="BU179" s="279" t="s">
        <v>206</v>
      </c>
    </row>
    <row r="180" s="279" customFormat="1" ht="42" customHeight="1" spans="1:73">
      <c r="A180" s="279">
        <v>113</v>
      </c>
      <c r="C180" s="279" t="s">
        <v>1805</v>
      </c>
      <c r="D180" s="300" t="s">
        <v>1806</v>
      </c>
      <c r="F180" s="295" t="s">
        <v>1807</v>
      </c>
      <c r="G180" s="279" t="s">
        <v>1808</v>
      </c>
      <c r="H180" s="717" t="s">
        <v>1809</v>
      </c>
      <c r="I180" s="313" t="s">
        <v>1810</v>
      </c>
      <c r="J180" s="279">
        <v>107.98</v>
      </c>
      <c r="K180" s="279">
        <v>107.98</v>
      </c>
      <c r="L180" s="279">
        <v>5606.13</v>
      </c>
      <c r="M180" s="317">
        <v>605350</v>
      </c>
      <c r="N180" s="317">
        <v>5556.13</v>
      </c>
      <c r="O180" s="343"/>
      <c r="P180" s="321"/>
      <c r="Q180" s="321"/>
      <c r="R180" s="282"/>
      <c r="S180" s="285"/>
      <c r="T180" s="285"/>
      <c r="U180" s="285" t="s">
        <v>1811</v>
      </c>
      <c r="V180" s="282">
        <v>10000</v>
      </c>
      <c r="W180" s="285" t="s">
        <v>384</v>
      </c>
      <c r="X180" s="282">
        <v>10000</v>
      </c>
      <c r="Y180" s="285" t="s">
        <v>1812</v>
      </c>
      <c r="Z180" s="282">
        <v>100000</v>
      </c>
      <c r="AA180" s="285" t="s">
        <v>342</v>
      </c>
      <c r="AB180" s="282">
        <v>80000</v>
      </c>
      <c r="AC180" s="285" t="s">
        <v>1813</v>
      </c>
      <c r="AD180" s="282">
        <v>200350</v>
      </c>
      <c r="AE180" s="285" t="s">
        <v>1805</v>
      </c>
      <c r="AF180" s="279">
        <v>205000</v>
      </c>
      <c r="AG180" s="279" t="s">
        <v>252</v>
      </c>
      <c r="AH180" s="282">
        <f t="shared" si="27"/>
        <v>605350</v>
      </c>
      <c r="AK180" s="287">
        <f t="shared" si="28"/>
        <v>0</v>
      </c>
      <c r="AL180" s="295" t="s">
        <v>1814</v>
      </c>
      <c r="AM180" s="295"/>
      <c r="AN180" s="343"/>
      <c r="AO180" s="343"/>
      <c r="AP180" s="343"/>
      <c r="AQ180" s="288">
        <f>0.7%+0.02%+0.12%</f>
        <v>0.0084</v>
      </c>
      <c r="AR180" s="349">
        <f t="shared" si="24"/>
        <v>605350</v>
      </c>
      <c r="AS180" s="282"/>
      <c r="AT180" s="282"/>
      <c r="AU180" s="282"/>
      <c r="AV180" s="282"/>
      <c r="AW180" s="282"/>
      <c r="AX180" s="282"/>
      <c r="AY180" s="158"/>
      <c r="BA180" s="282"/>
      <c r="BB180" s="282"/>
      <c r="BC180" s="282"/>
      <c r="BD180" s="282"/>
      <c r="BE180" s="282"/>
      <c r="BH180" s="279">
        <v>400350</v>
      </c>
      <c r="BI180" s="279">
        <v>205000</v>
      </c>
      <c r="BT180" s="279" t="s">
        <v>205</v>
      </c>
      <c r="BU180" s="279" t="s">
        <v>206</v>
      </c>
    </row>
    <row r="181" s="279" customFormat="1" customHeight="1" spans="1:73">
      <c r="A181" s="279">
        <v>114</v>
      </c>
      <c r="C181" s="331">
        <v>45284</v>
      </c>
      <c r="D181" s="300" t="s">
        <v>1815</v>
      </c>
      <c r="F181" s="295" t="s">
        <v>1807</v>
      </c>
      <c r="G181" s="279" t="s">
        <v>1816</v>
      </c>
      <c r="I181" s="316" t="s">
        <v>1817</v>
      </c>
      <c r="J181" s="279">
        <v>107.62</v>
      </c>
      <c r="K181" s="279">
        <v>107.62</v>
      </c>
      <c r="L181" s="279">
        <f>M181/K181</f>
        <v>5600</v>
      </c>
      <c r="M181" s="317">
        <v>602672</v>
      </c>
      <c r="N181" s="317">
        <v>5549.98</v>
      </c>
      <c r="O181" s="343"/>
      <c r="P181" s="321"/>
      <c r="Q181" s="321"/>
      <c r="R181" s="282"/>
      <c r="S181" s="285"/>
      <c r="T181" s="723" t="s">
        <v>1818</v>
      </c>
      <c r="U181" s="329" t="s">
        <v>529</v>
      </c>
      <c r="V181" s="282">
        <v>2000</v>
      </c>
      <c r="W181" s="329" t="s">
        <v>357</v>
      </c>
      <c r="X181" s="282">
        <v>96672</v>
      </c>
      <c r="Y181" s="285" t="s">
        <v>506</v>
      </c>
      <c r="Z181" s="282">
        <v>24000</v>
      </c>
      <c r="AA181" s="285" t="s">
        <v>1819</v>
      </c>
      <c r="AB181" s="282">
        <v>480000</v>
      </c>
      <c r="AC181" s="279" t="s">
        <v>343</v>
      </c>
      <c r="AH181" s="282">
        <f t="shared" si="27"/>
        <v>602672</v>
      </c>
      <c r="AK181" s="287">
        <f t="shared" si="28"/>
        <v>0</v>
      </c>
      <c r="AL181" s="295"/>
      <c r="AM181" s="295"/>
      <c r="AN181" s="343"/>
      <c r="AO181" s="343"/>
      <c r="AP181" s="343"/>
      <c r="AQ181" s="288">
        <f>0.4%+0.08%</f>
        <v>0.0048</v>
      </c>
      <c r="AR181" s="349">
        <f t="shared" si="24"/>
        <v>602672</v>
      </c>
      <c r="AS181" s="282"/>
      <c r="AT181" s="282"/>
      <c r="AU181" s="282"/>
      <c r="AV181" s="282"/>
      <c r="AW181" s="282"/>
      <c r="AX181" s="282"/>
      <c r="AY181" s="158"/>
      <c r="BA181" s="282"/>
      <c r="BB181" s="282"/>
      <c r="BC181" s="282"/>
      <c r="BD181" s="282"/>
      <c r="BE181" s="282"/>
      <c r="BK181" s="279">
        <v>602672</v>
      </c>
      <c r="BT181" s="279" t="s">
        <v>205</v>
      </c>
      <c r="BU181" s="279" t="s">
        <v>206</v>
      </c>
    </row>
    <row r="182" s="279" customFormat="1" customHeight="1" spans="1:73">
      <c r="A182" s="279">
        <v>115</v>
      </c>
      <c r="C182" s="279" t="s">
        <v>805</v>
      </c>
      <c r="D182" s="300" t="s">
        <v>1820</v>
      </c>
      <c r="F182" s="295" t="s">
        <v>1821</v>
      </c>
      <c r="G182" s="279" t="s">
        <v>1822</v>
      </c>
      <c r="H182" s="717" t="s">
        <v>1823</v>
      </c>
      <c r="I182" s="313" t="s">
        <v>1824</v>
      </c>
      <c r="J182" s="279">
        <v>107.98</v>
      </c>
      <c r="K182" s="279">
        <v>107.98</v>
      </c>
      <c r="L182" s="279">
        <v>5610</v>
      </c>
      <c r="M182" s="317">
        <v>605768</v>
      </c>
      <c r="N182" s="317">
        <v>5608.1</v>
      </c>
      <c r="O182" s="343"/>
      <c r="P182" s="321"/>
      <c r="Q182" s="321"/>
      <c r="R182" s="282"/>
      <c r="S182" s="285"/>
      <c r="T182" s="285"/>
      <c r="U182" s="285" t="s">
        <v>1075</v>
      </c>
      <c r="V182" s="282">
        <v>20000</v>
      </c>
      <c r="W182" s="285" t="s">
        <v>994</v>
      </c>
      <c r="X182" s="282">
        <v>105768</v>
      </c>
      <c r="Y182" s="339" t="s">
        <v>805</v>
      </c>
      <c r="Z182" s="282">
        <v>480000</v>
      </c>
      <c r="AA182" s="285" t="s">
        <v>1071</v>
      </c>
      <c r="AB182" s="282"/>
      <c r="AH182" s="282">
        <f t="shared" si="27"/>
        <v>605768</v>
      </c>
      <c r="AK182" s="287">
        <f t="shared" si="28"/>
        <v>0</v>
      </c>
      <c r="AL182" s="295" t="s">
        <v>1825</v>
      </c>
      <c r="AM182" s="295"/>
      <c r="AN182" s="343"/>
      <c r="AO182" s="343"/>
      <c r="AP182" s="343"/>
      <c r="AQ182" s="288">
        <f>0.4%+0.02%+0.08%</f>
        <v>0.005</v>
      </c>
      <c r="AR182" s="349">
        <f t="shared" si="24"/>
        <v>605768</v>
      </c>
      <c r="AS182" s="282">
        <f>100</f>
        <v>100</v>
      </c>
      <c r="AT182" s="282"/>
      <c r="AU182" s="282"/>
      <c r="AV182" s="282"/>
      <c r="AW182" s="282"/>
      <c r="AX182" s="282"/>
      <c r="AY182" s="158"/>
      <c r="AZ182" s="131">
        <v>125768</v>
      </c>
      <c r="BA182" s="282"/>
      <c r="BB182" s="282"/>
      <c r="BC182" s="282">
        <v>480000</v>
      </c>
      <c r="BD182" s="282"/>
      <c r="BE182" s="282"/>
      <c r="BT182" s="279" t="s">
        <v>205</v>
      </c>
      <c r="BU182" s="279" t="s">
        <v>206</v>
      </c>
    </row>
    <row r="183" s="279" customFormat="1" ht="56" customHeight="1" spans="1:73">
      <c r="A183" s="279">
        <v>116</v>
      </c>
      <c r="C183" s="279" t="s">
        <v>1826</v>
      </c>
      <c r="D183" s="300" t="s">
        <v>1827</v>
      </c>
      <c r="F183" s="295" t="s">
        <v>1828</v>
      </c>
      <c r="G183" s="294" t="s">
        <v>1829</v>
      </c>
      <c r="H183" s="721" t="s">
        <v>1830</v>
      </c>
      <c r="I183" s="316" t="s">
        <v>1831</v>
      </c>
      <c r="J183" s="279">
        <v>107.62</v>
      </c>
      <c r="K183" s="279">
        <v>107.62</v>
      </c>
      <c r="L183" s="279">
        <v>5621.6</v>
      </c>
      <c r="M183" s="317">
        <v>605000</v>
      </c>
      <c r="N183" s="317"/>
      <c r="O183" s="343">
        <v>555045.87</v>
      </c>
      <c r="P183" s="321" t="s">
        <v>1832</v>
      </c>
      <c r="Q183" s="321" t="s">
        <v>1833</v>
      </c>
      <c r="R183" s="282"/>
      <c r="S183" s="285"/>
      <c r="T183" s="285"/>
      <c r="U183" s="329" t="s">
        <v>1834</v>
      </c>
      <c r="V183" s="282">
        <v>20000</v>
      </c>
      <c r="W183" s="285" t="s">
        <v>1835</v>
      </c>
      <c r="X183" s="282">
        <f>420000+140050+24950</f>
        <v>585000</v>
      </c>
      <c r="Y183" s="285" t="s">
        <v>1826</v>
      </c>
      <c r="Z183" s="282"/>
      <c r="AA183" s="285"/>
      <c r="AB183" s="282"/>
      <c r="AC183" s="285"/>
      <c r="AH183" s="282">
        <f t="shared" si="27"/>
        <v>605000</v>
      </c>
      <c r="AK183" s="287">
        <f t="shared" si="28"/>
        <v>0</v>
      </c>
      <c r="AL183" s="295" t="s">
        <v>1836</v>
      </c>
      <c r="AM183" s="295"/>
      <c r="AN183" s="343"/>
      <c r="AO183" s="343"/>
      <c r="AP183" s="343"/>
      <c r="AQ183" s="407">
        <f>0.5%+0.02%+0.08%</f>
        <v>0.006</v>
      </c>
      <c r="AR183" s="349">
        <f t="shared" si="24"/>
        <v>605000</v>
      </c>
      <c r="AS183" s="282">
        <f>100</f>
        <v>100</v>
      </c>
      <c r="AT183" s="282"/>
      <c r="AU183" s="282"/>
      <c r="AV183" s="282"/>
      <c r="AW183" s="282"/>
      <c r="AX183" s="282"/>
      <c r="AY183" s="158"/>
      <c r="BA183" s="282"/>
      <c r="BB183" s="282"/>
      <c r="BC183" s="282"/>
      <c r="BD183" s="282"/>
      <c r="BE183" s="282"/>
      <c r="BG183" s="279">
        <v>605000</v>
      </c>
      <c r="BT183" s="279" t="s">
        <v>205</v>
      </c>
      <c r="BU183" s="279" t="s">
        <v>206</v>
      </c>
    </row>
    <row r="184" s="279" customFormat="1" customHeight="1" spans="1:73">
      <c r="A184" s="279">
        <v>117</v>
      </c>
      <c r="C184" s="279" t="s">
        <v>269</v>
      </c>
      <c r="D184" s="300" t="s">
        <v>1837</v>
      </c>
      <c r="F184" s="295" t="s">
        <v>1838</v>
      </c>
      <c r="G184" s="279" t="s">
        <v>1839</v>
      </c>
      <c r="H184" s="717" t="s">
        <v>1840</v>
      </c>
      <c r="I184" s="313" t="s">
        <v>1841</v>
      </c>
      <c r="J184" s="279">
        <v>107.98</v>
      </c>
      <c r="K184" s="279">
        <v>107.98</v>
      </c>
      <c r="L184" s="279">
        <v>5741.8</v>
      </c>
      <c r="M184" s="317">
        <v>620000</v>
      </c>
      <c r="N184" s="317">
        <v>5669.1</v>
      </c>
      <c r="O184" s="343"/>
      <c r="P184" s="321"/>
      <c r="Q184" s="321"/>
      <c r="R184" s="282"/>
      <c r="S184" s="285"/>
      <c r="T184" s="285"/>
      <c r="U184" s="285" t="s">
        <v>211</v>
      </c>
      <c r="V184" s="282">
        <v>20000</v>
      </c>
      <c r="W184" s="285" t="s">
        <v>675</v>
      </c>
      <c r="X184" s="282">
        <v>100000</v>
      </c>
      <c r="Y184" s="339" t="s">
        <v>1710</v>
      </c>
      <c r="Z184" s="282">
        <v>80000</v>
      </c>
      <c r="AA184" s="279" t="s">
        <v>1103</v>
      </c>
      <c r="AB184" s="282">
        <v>420000</v>
      </c>
      <c r="AC184" s="285" t="s">
        <v>632</v>
      </c>
      <c r="AH184" s="282">
        <f t="shared" si="27"/>
        <v>620000</v>
      </c>
      <c r="AK184" s="287">
        <f t="shared" si="28"/>
        <v>0</v>
      </c>
      <c r="AL184" s="295" t="s">
        <v>1842</v>
      </c>
      <c r="AM184" s="295"/>
      <c r="AN184" s="343"/>
      <c r="AO184" s="343"/>
      <c r="AP184" s="343"/>
      <c r="AQ184" s="288">
        <f>0.6%+0.05%+0.14%</f>
        <v>0.0079</v>
      </c>
      <c r="AR184" s="349">
        <f t="shared" si="24"/>
        <v>620000</v>
      </c>
      <c r="AS184" s="282"/>
      <c r="AT184" s="282">
        <v>100</v>
      </c>
      <c r="AU184" s="282"/>
      <c r="AV184" s="282"/>
      <c r="AW184" s="282"/>
      <c r="AX184" s="282"/>
      <c r="AY184" s="158"/>
      <c r="AZ184" s="131">
        <v>200000</v>
      </c>
      <c r="BA184" s="282"/>
      <c r="BB184" s="282"/>
      <c r="BC184" s="282">
        <v>420000</v>
      </c>
      <c r="BD184" s="282"/>
      <c r="BE184" s="282"/>
      <c r="BT184" s="279" t="s">
        <v>205</v>
      </c>
      <c r="BU184" s="279" t="s">
        <v>206</v>
      </c>
    </row>
    <row r="185" s="279" customFormat="1" customHeight="1" spans="1:73">
      <c r="A185" s="279">
        <v>118</v>
      </c>
      <c r="C185" s="279" t="s">
        <v>373</v>
      </c>
      <c r="D185" s="300" t="s">
        <v>1843</v>
      </c>
      <c r="F185" s="295" t="s">
        <v>1844</v>
      </c>
      <c r="G185" s="279" t="s">
        <v>1845</v>
      </c>
      <c r="H185" s="717" t="s">
        <v>1846</v>
      </c>
      <c r="I185" s="313" t="s">
        <v>1847</v>
      </c>
      <c r="J185" s="279">
        <v>107.62</v>
      </c>
      <c r="K185" s="279">
        <v>107.62</v>
      </c>
      <c r="L185" s="279">
        <v>5761.01</v>
      </c>
      <c r="M185" s="317">
        <v>620000</v>
      </c>
      <c r="N185" s="317">
        <v>5662.95</v>
      </c>
      <c r="O185" s="343"/>
      <c r="P185" s="321"/>
      <c r="Q185" s="321"/>
      <c r="R185" s="282"/>
      <c r="S185" s="285"/>
      <c r="T185" s="285"/>
      <c r="U185" s="285" t="s">
        <v>1811</v>
      </c>
      <c r="V185" s="282">
        <v>20000</v>
      </c>
      <c r="W185" s="285" t="s">
        <v>1848</v>
      </c>
      <c r="X185" s="282">
        <v>600000</v>
      </c>
      <c r="Y185" s="339" t="s">
        <v>373</v>
      </c>
      <c r="Z185" s="282"/>
      <c r="AB185" s="282"/>
      <c r="AH185" s="282">
        <f t="shared" si="27"/>
        <v>620000</v>
      </c>
      <c r="AK185" s="287">
        <f t="shared" si="28"/>
        <v>0</v>
      </c>
      <c r="AL185" s="295" t="s">
        <v>1849</v>
      </c>
      <c r="AM185" s="295"/>
      <c r="AN185" s="343"/>
      <c r="AO185" s="343"/>
      <c r="AP185" s="343"/>
      <c r="AQ185" s="288">
        <f>0.4%+0.02%+0.08%</f>
        <v>0.005</v>
      </c>
      <c r="AR185" s="349">
        <f t="shared" si="24"/>
        <v>620000</v>
      </c>
      <c r="AS185" s="282"/>
      <c r="AT185" s="282"/>
      <c r="AU185" s="282"/>
      <c r="AV185" s="282"/>
      <c r="AW185" s="282"/>
      <c r="AX185" s="282"/>
      <c r="AY185" s="158"/>
      <c r="AZ185" s="131">
        <v>620000</v>
      </c>
      <c r="BA185" s="282"/>
      <c r="BB185" s="282"/>
      <c r="BC185" s="282"/>
      <c r="BD185" s="282"/>
      <c r="BE185" s="282"/>
      <c r="BT185" s="279" t="s">
        <v>205</v>
      </c>
      <c r="BU185" s="279" t="s">
        <v>206</v>
      </c>
    </row>
    <row r="186" s="279" customFormat="1" customHeight="1" spans="1:73">
      <c r="A186" s="279">
        <v>119</v>
      </c>
      <c r="C186" s="279" t="s">
        <v>1850</v>
      </c>
      <c r="D186" s="300" t="s">
        <v>1851</v>
      </c>
      <c r="F186" s="295" t="s">
        <v>1852</v>
      </c>
      <c r="G186" s="294" t="s">
        <v>1853</v>
      </c>
      <c r="H186" s="294"/>
      <c r="I186" s="316" t="s">
        <v>1854</v>
      </c>
      <c r="J186" s="279">
        <v>107.98</v>
      </c>
      <c r="K186" s="279">
        <v>107.98</v>
      </c>
      <c r="L186" s="279">
        <v>5463.97</v>
      </c>
      <c r="M186" s="317">
        <v>590000</v>
      </c>
      <c r="N186" s="317">
        <v>590000</v>
      </c>
      <c r="O186" s="343"/>
      <c r="P186" s="321"/>
      <c r="Q186" s="321"/>
      <c r="R186" s="282"/>
      <c r="S186" s="329"/>
      <c r="T186" s="329"/>
      <c r="U186" s="329" t="s">
        <v>1855</v>
      </c>
      <c r="V186" s="282">
        <v>20000</v>
      </c>
      <c r="W186" s="329" t="s">
        <v>592</v>
      </c>
      <c r="X186" s="282">
        <v>180000</v>
      </c>
      <c r="Y186" s="339" t="s">
        <v>1850</v>
      </c>
      <c r="Z186" s="282">
        <v>100000</v>
      </c>
      <c r="AA186" s="279" t="s">
        <v>1058</v>
      </c>
      <c r="AB186" s="282">
        <v>290000</v>
      </c>
      <c r="AC186" s="329" t="s">
        <v>1856</v>
      </c>
      <c r="AH186" s="282">
        <f t="shared" si="27"/>
        <v>590000</v>
      </c>
      <c r="AK186" s="287">
        <f t="shared" si="28"/>
        <v>0</v>
      </c>
      <c r="AL186" s="295" t="s">
        <v>1857</v>
      </c>
      <c r="AM186" s="295"/>
      <c r="AN186" s="343"/>
      <c r="AO186" s="343"/>
      <c r="AP186" s="343"/>
      <c r="AQ186" s="288">
        <f>0.6%+0.06%+0.14%</f>
        <v>0.008</v>
      </c>
      <c r="AR186" s="349">
        <f t="shared" si="24"/>
        <v>590000</v>
      </c>
      <c r="AS186" s="282">
        <f>100+100</f>
        <v>200</v>
      </c>
      <c r="AT186" s="282"/>
      <c r="AU186" s="282"/>
      <c r="AV186" s="282"/>
      <c r="AW186" s="282"/>
      <c r="AX186" s="282"/>
      <c r="AY186" s="158">
        <v>300000</v>
      </c>
      <c r="BA186" s="282">
        <v>290000</v>
      </c>
      <c r="BB186" s="282"/>
      <c r="BC186" s="282"/>
      <c r="BD186" s="282"/>
      <c r="BE186" s="282"/>
      <c r="BT186" s="279" t="s">
        <v>205</v>
      </c>
      <c r="BU186" s="279" t="s">
        <v>206</v>
      </c>
    </row>
    <row r="187" s="279" customFormat="1" customHeight="1" spans="1:73">
      <c r="A187" s="279">
        <v>120</v>
      </c>
      <c r="C187" s="279" t="s">
        <v>1858</v>
      </c>
      <c r="D187" s="300" t="s">
        <v>1859</v>
      </c>
      <c r="F187" s="295" t="s">
        <v>1860</v>
      </c>
      <c r="G187" s="294" t="s">
        <v>1861</v>
      </c>
      <c r="H187" s="721" t="s">
        <v>1862</v>
      </c>
      <c r="I187" s="313" t="s">
        <v>1863</v>
      </c>
      <c r="J187" s="279">
        <v>107.62</v>
      </c>
      <c r="K187" s="279">
        <v>107.62</v>
      </c>
      <c r="L187" s="279">
        <v>5519.63</v>
      </c>
      <c r="M187" s="317">
        <v>594023</v>
      </c>
      <c r="N187" s="317"/>
      <c r="O187" s="343"/>
      <c r="P187" s="321"/>
      <c r="Q187" s="321"/>
      <c r="R187" s="282"/>
      <c r="S187" s="285"/>
      <c r="T187" s="285"/>
      <c r="U187" s="285" t="s">
        <v>291</v>
      </c>
      <c r="V187" s="282">
        <v>20000</v>
      </c>
      <c r="W187" s="331" t="s">
        <v>1330</v>
      </c>
      <c r="X187" s="282">
        <f>568000+6023</f>
        <v>574023</v>
      </c>
      <c r="Y187" s="339" t="s">
        <v>1858</v>
      </c>
      <c r="Z187" s="282"/>
      <c r="AB187" s="282"/>
      <c r="AH187" s="282">
        <f t="shared" si="27"/>
        <v>594023</v>
      </c>
      <c r="AK187" s="287">
        <f t="shared" si="28"/>
        <v>0</v>
      </c>
      <c r="AL187" s="295" t="s">
        <v>1864</v>
      </c>
      <c r="AM187" s="295"/>
      <c r="AN187" s="343"/>
      <c r="AO187" s="343"/>
      <c r="AP187" s="343"/>
      <c r="AQ187" s="288">
        <f>0.6%+0.04%+0.1%</f>
        <v>0.0074</v>
      </c>
      <c r="AR187" s="349">
        <f t="shared" si="24"/>
        <v>594023</v>
      </c>
      <c r="AS187" s="282"/>
      <c r="AT187" s="282">
        <v>100</v>
      </c>
      <c r="AU187" s="282"/>
      <c r="AV187" s="282"/>
      <c r="AW187" s="282"/>
      <c r="AX187" s="282"/>
      <c r="AY187" s="158">
        <v>594023</v>
      </c>
      <c r="BA187" s="282"/>
      <c r="BB187" s="282"/>
      <c r="BC187" s="282"/>
      <c r="BD187" s="282"/>
      <c r="BE187" s="282"/>
      <c r="BT187" s="279" t="s">
        <v>205</v>
      </c>
      <c r="BU187" s="279" t="s">
        <v>206</v>
      </c>
    </row>
    <row r="188" s="279" customFormat="1" customHeight="1" spans="1:73">
      <c r="A188" s="279">
        <v>121</v>
      </c>
      <c r="C188" s="279" t="s">
        <v>578</v>
      </c>
      <c r="D188" s="300" t="s">
        <v>1865</v>
      </c>
      <c r="F188" s="295" t="s">
        <v>1866</v>
      </c>
      <c r="G188" s="279" t="s">
        <v>1780</v>
      </c>
      <c r="H188" s="717" t="s">
        <v>1867</v>
      </c>
      <c r="I188" s="316" t="s">
        <v>1868</v>
      </c>
      <c r="J188" s="279">
        <v>107.98</v>
      </c>
      <c r="K188" s="279">
        <v>107.98</v>
      </c>
      <c r="L188" s="279">
        <v>5566.28</v>
      </c>
      <c r="M188" s="317">
        <v>601047</v>
      </c>
      <c r="N188" s="317"/>
      <c r="O188" s="343"/>
      <c r="P188" s="321"/>
      <c r="Q188" s="321"/>
      <c r="R188" s="282"/>
      <c r="S188" s="285"/>
      <c r="T188" s="285" t="s">
        <v>1780</v>
      </c>
      <c r="U188" s="285" t="s">
        <v>1075</v>
      </c>
      <c r="V188" s="282">
        <v>20000</v>
      </c>
      <c r="W188" s="331" t="s">
        <v>1869</v>
      </c>
      <c r="X188" s="282">
        <v>131047</v>
      </c>
      <c r="Y188" s="339" t="s">
        <v>476</v>
      </c>
      <c r="Z188" s="282">
        <v>30000</v>
      </c>
      <c r="AA188" s="279" t="s">
        <v>1447</v>
      </c>
      <c r="AB188" s="282">
        <v>420000</v>
      </c>
      <c r="AC188" s="285" t="s">
        <v>578</v>
      </c>
      <c r="AH188" s="282">
        <f t="shared" si="27"/>
        <v>601047</v>
      </c>
      <c r="AK188" s="287">
        <f t="shared" si="28"/>
        <v>0</v>
      </c>
      <c r="AL188" s="295" t="s">
        <v>1870</v>
      </c>
      <c r="AM188" s="295"/>
      <c r="AN188" s="343"/>
      <c r="AO188" s="343"/>
      <c r="AP188" s="343"/>
      <c r="AQ188" s="288">
        <f>0.6%+0.04%+0.1%</f>
        <v>0.0074</v>
      </c>
      <c r="AR188" s="349">
        <f t="shared" si="24"/>
        <v>601047</v>
      </c>
      <c r="AS188" s="282"/>
      <c r="AT188" s="282"/>
      <c r="AU188" s="282"/>
      <c r="AV188" s="282"/>
      <c r="AW188" s="282"/>
      <c r="AX188" s="282"/>
      <c r="AY188" s="158"/>
      <c r="BA188" s="282">
        <v>601047</v>
      </c>
      <c r="BB188" s="282"/>
      <c r="BC188" s="282"/>
      <c r="BD188" s="282"/>
      <c r="BE188" s="282"/>
      <c r="BT188" s="279" t="s">
        <v>205</v>
      </c>
      <c r="BU188" s="279" t="s">
        <v>206</v>
      </c>
    </row>
    <row r="189" s="279" customFormat="1" customHeight="1" spans="1:73">
      <c r="A189" s="279">
        <v>122</v>
      </c>
      <c r="C189" s="279" t="s">
        <v>943</v>
      </c>
      <c r="D189" s="300" t="s">
        <v>1871</v>
      </c>
      <c r="F189" s="295" t="s">
        <v>1872</v>
      </c>
      <c r="G189" s="294" t="s">
        <v>1873</v>
      </c>
      <c r="H189" s="721" t="s">
        <v>1874</v>
      </c>
      <c r="I189" s="313" t="s">
        <v>1875</v>
      </c>
      <c r="J189" s="279">
        <v>107.62</v>
      </c>
      <c r="K189" s="279">
        <v>107.62</v>
      </c>
      <c r="L189" s="279">
        <v>5269.38</v>
      </c>
      <c r="M189" s="317">
        <v>567091</v>
      </c>
      <c r="N189" s="317"/>
      <c r="O189" s="343"/>
      <c r="P189" s="321"/>
      <c r="Q189" s="321"/>
      <c r="R189" s="282"/>
      <c r="S189" s="285"/>
      <c r="T189" s="332" t="s">
        <v>1876</v>
      </c>
      <c r="U189" s="329" t="s">
        <v>1877</v>
      </c>
      <c r="V189" s="282">
        <v>177091</v>
      </c>
      <c r="W189" s="339" t="s">
        <v>943</v>
      </c>
      <c r="X189" s="282">
        <v>390000</v>
      </c>
      <c r="Y189" s="339" t="s">
        <v>1878</v>
      </c>
      <c r="Z189" s="282"/>
      <c r="AB189" s="282"/>
      <c r="AH189" s="282">
        <f t="shared" si="27"/>
        <v>567091</v>
      </c>
      <c r="AK189" s="287">
        <f t="shared" si="28"/>
        <v>0</v>
      </c>
      <c r="AL189" s="295" t="s">
        <v>1879</v>
      </c>
      <c r="AM189" s="295"/>
      <c r="AN189" s="343">
        <v>638142</v>
      </c>
      <c r="AO189" s="343"/>
      <c r="AP189" s="343"/>
      <c r="AQ189" s="288">
        <f>0.6%+0.1%</f>
        <v>0.007</v>
      </c>
      <c r="AR189" s="349">
        <f t="shared" si="24"/>
        <v>567091</v>
      </c>
      <c r="AS189" s="282">
        <v>100</v>
      </c>
      <c r="AT189" s="282"/>
      <c r="AU189" s="282"/>
      <c r="AV189" s="282">
        <v>177091</v>
      </c>
      <c r="AW189" s="282"/>
      <c r="AX189" s="282"/>
      <c r="AY189" s="158">
        <v>390000</v>
      </c>
      <c r="BA189" s="282"/>
      <c r="BB189" s="282"/>
      <c r="BC189" s="282"/>
      <c r="BD189" s="282"/>
      <c r="BE189" s="282"/>
      <c r="BT189" s="279" t="s">
        <v>205</v>
      </c>
      <c r="BU189" s="279" t="s">
        <v>206</v>
      </c>
    </row>
    <row r="190" s="279" customFormat="1" customHeight="1" spans="1:73">
      <c r="A190" s="279">
        <v>123</v>
      </c>
      <c r="C190" s="279" t="s">
        <v>1626</v>
      </c>
      <c r="D190" s="300" t="s">
        <v>1880</v>
      </c>
      <c r="F190" s="295" t="s">
        <v>1881</v>
      </c>
      <c r="G190" s="294" t="s">
        <v>1784</v>
      </c>
      <c r="H190" s="721" t="s">
        <v>1882</v>
      </c>
      <c r="I190" s="316" t="s">
        <v>1883</v>
      </c>
      <c r="J190" s="279">
        <v>107.98</v>
      </c>
      <c r="K190" s="279">
        <v>107.98</v>
      </c>
      <c r="L190" s="279">
        <v>5653.65</v>
      </c>
      <c r="M190" s="317">
        <v>610481</v>
      </c>
      <c r="N190" s="317"/>
      <c r="O190" s="343"/>
      <c r="P190" s="321"/>
      <c r="Q190" s="321"/>
      <c r="R190" s="282"/>
      <c r="S190" s="285"/>
      <c r="T190" s="285"/>
      <c r="U190" s="285" t="s">
        <v>291</v>
      </c>
      <c r="V190" s="282">
        <v>20000</v>
      </c>
      <c r="W190" s="285" t="s">
        <v>1076</v>
      </c>
      <c r="X190" s="282">
        <v>170481</v>
      </c>
      <c r="Y190" s="339" t="s">
        <v>1626</v>
      </c>
      <c r="Z190" s="282">
        <v>420000</v>
      </c>
      <c r="AA190" s="279" t="s">
        <v>1023</v>
      </c>
      <c r="AB190" s="282"/>
      <c r="AH190" s="282">
        <f t="shared" si="27"/>
        <v>610481</v>
      </c>
      <c r="AK190" s="287">
        <f t="shared" si="28"/>
        <v>0</v>
      </c>
      <c r="AL190" s="295" t="s">
        <v>1884</v>
      </c>
      <c r="AM190" s="295"/>
      <c r="AN190" s="343"/>
      <c r="AO190" s="343"/>
      <c r="AP190" s="343"/>
      <c r="AQ190" s="288">
        <f>0.6%+0.04%+0.1%</f>
        <v>0.0074</v>
      </c>
      <c r="AR190" s="349">
        <f t="shared" si="24"/>
        <v>610481</v>
      </c>
      <c r="AS190" s="282">
        <f>100</f>
        <v>100</v>
      </c>
      <c r="AT190" s="282"/>
      <c r="AU190" s="282"/>
      <c r="AV190" s="282"/>
      <c r="AW190" s="282"/>
      <c r="AX190" s="282">
        <v>190481</v>
      </c>
      <c r="AY190" s="158">
        <v>420000</v>
      </c>
      <c r="BA190" s="282"/>
      <c r="BB190" s="282"/>
      <c r="BC190" s="282"/>
      <c r="BD190" s="282"/>
      <c r="BE190" s="282"/>
      <c r="BT190" s="279" t="s">
        <v>205</v>
      </c>
      <c r="BU190" s="279" t="s">
        <v>206</v>
      </c>
    </row>
    <row r="191" s="279" customFormat="1" customHeight="1" spans="1:73">
      <c r="A191" s="279">
        <v>124</v>
      </c>
      <c r="C191" s="279" t="s">
        <v>703</v>
      </c>
      <c r="D191" s="300" t="s">
        <v>1885</v>
      </c>
      <c r="F191" s="295" t="s">
        <v>1886</v>
      </c>
      <c r="G191" s="297" t="s">
        <v>1761</v>
      </c>
      <c r="H191" s="720" t="s">
        <v>1887</v>
      </c>
      <c r="I191" s="313" t="s">
        <v>1888</v>
      </c>
      <c r="J191" s="279">
        <v>107.62</v>
      </c>
      <c r="K191" s="279">
        <v>107.62</v>
      </c>
      <c r="L191" s="279">
        <v>5936.5</v>
      </c>
      <c r="M191" s="317">
        <v>638888</v>
      </c>
      <c r="N191" s="317"/>
      <c r="O191" s="343"/>
      <c r="P191" s="321"/>
      <c r="Q191" s="321"/>
      <c r="R191" s="282"/>
      <c r="S191" s="285"/>
      <c r="T191" s="285"/>
      <c r="U191" s="285" t="s">
        <v>291</v>
      </c>
      <c r="V191" s="282">
        <v>20000</v>
      </c>
      <c r="W191" s="339" t="s">
        <v>1103</v>
      </c>
      <c r="X191" s="282">
        <v>3888</v>
      </c>
      <c r="Y191" s="279" t="s">
        <v>703</v>
      </c>
      <c r="Z191" s="282">
        <v>115000</v>
      </c>
      <c r="AA191" s="285" t="s">
        <v>1003</v>
      </c>
      <c r="AB191" s="282">
        <v>500000</v>
      </c>
      <c r="AC191" s="285" t="s">
        <v>1071</v>
      </c>
      <c r="AD191" s="282"/>
      <c r="AE191" s="285"/>
      <c r="AH191" s="282">
        <f t="shared" si="27"/>
        <v>638888</v>
      </c>
      <c r="AK191" s="287">
        <f t="shared" si="28"/>
        <v>0</v>
      </c>
      <c r="AL191" s="295" t="s">
        <v>1889</v>
      </c>
      <c r="AM191" s="295"/>
      <c r="AN191" s="343"/>
      <c r="AO191" s="343"/>
      <c r="AP191" s="343"/>
      <c r="AQ191" s="288">
        <f>0.4%+0.02%+0.08%</f>
        <v>0.005</v>
      </c>
      <c r="AR191" s="349">
        <f t="shared" si="24"/>
        <v>638888</v>
      </c>
      <c r="AS191" s="282"/>
      <c r="AT191" s="282">
        <v>100</v>
      </c>
      <c r="AU191" s="282"/>
      <c r="AV191" s="282"/>
      <c r="AW191" s="282"/>
      <c r="AX191" s="282"/>
      <c r="AY191" s="158"/>
      <c r="AZ191" s="131"/>
      <c r="BA191" s="282">
        <v>138888</v>
      </c>
      <c r="BB191" s="282"/>
      <c r="BC191" s="282">
        <v>500000</v>
      </c>
      <c r="BD191" s="282"/>
      <c r="BE191" s="282"/>
      <c r="BT191" s="279" t="s">
        <v>205</v>
      </c>
      <c r="BU191" s="279" t="s">
        <v>206</v>
      </c>
    </row>
    <row r="192" s="279" customFormat="1" customHeight="1" spans="1:73">
      <c r="A192" s="279">
        <v>125</v>
      </c>
      <c r="C192" s="279" t="s">
        <v>1136</v>
      </c>
      <c r="D192" s="300" t="s">
        <v>1890</v>
      </c>
      <c r="F192" s="295" t="s">
        <v>1891</v>
      </c>
      <c r="G192" s="279" t="s">
        <v>1892</v>
      </c>
      <c r="H192" s="717" t="s">
        <v>1893</v>
      </c>
      <c r="I192" s="316" t="s">
        <v>1894</v>
      </c>
      <c r="J192" s="279">
        <v>107.98</v>
      </c>
      <c r="K192" s="279">
        <v>107.98</v>
      </c>
      <c r="L192" s="279">
        <v>5640</v>
      </c>
      <c r="M192" s="317">
        <v>609007</v>
      </c>
      <c r="N192" s="317"/>
      <c r="O192" s="343"/>
      <c r="P192" s="321"/>
      <c r="Q192" s="321"/>
      <c r="R192" s="282"/>
      <c r="S192" s="285"/>
      <c r="T192" s="285"/>
      <c r="U192" s="285" t="s">
        <v>201</v>
      </c>
      <c r="V192" s="282">
        <v>20000</v>
      </c>
      <c r="W192" s="285" t="s">
        <v>1895</v>
      </c>
      <c r="X192" s="282"/>
      <c r="Y192" s="339"/>
      <c r="Z192" s="282">
        <v>102007</v>
      </c>
      <c r="AA192" s="279" t="s">
        <v>1136</v>
      </c>
      <c r="AB192" s="282">
        <v>487000</v>
      </c>
      <c r="AC192" s="285" t="s">
        <v>1896</v>
      </c>
      <c r="AH192" s="282">
        <f t="shared" si="27"/>
        <v>609007</v>
      </c>
      <c r="AK192" s="287">
        <f t="shared" si="28"/>
        <v>0</v>
      </c>
      <c r="AL192" s="295" t="s">
        <v>1897</v>
      </c>
      <c r="AM192" s="295"/>
      <c r="AN192" s="343"/>
      <c r="AO192" s="343"/>
      <c r="AP192" s="343"/>
      <c r="AQ192" s="288">
        <f>0.6%+0.14%</f>
        <v>0.0074</v>
      </c>
      <c r="AR192" s="349">
        <f t="shared" si="24"/>
        <v>609007</v>
      </c>
      <c r="AS192" s="282"/>
      <c r="AT192" s="282"/>
      <c r="AU192" s="282"/>
      <c r="AV192" s="282"/>
      <c r="AW192" s="282"/>
      <c r="AX192" s="282"/>
      <c r="AY192" s="158">
        <v>122007</v>
      </c>
      <c r="BA192" s="282"/>
      <c r="BB192" s="282">
        <v>487000</v>
      </c>
      <c r="BC192" s="282"/>
      <c r="BD192" s="282"/>
      <c r="BE192" s="282"/>
      <c r="BT192" s="279" t="s">
        <v>205</v>
      </c>
      <c r="BU192" s="279" t="s">
        <v>206</v>
      </c>
    </row>
    <row r="193" s="279" customFormat="1" customHeight="1" spans="1:73">
      <c r="A193" s="279">
        <v>126</v>
      </c>
      <c r="C193" s="279" t="s">
        <v>1898</v>
      </c>
      <c r="D193" s="300" t="s">
        <v>1899</v>
      </c>
      <c r="F193" s="295" t="s">
        <v>1900</v>
      </c>
      <c r="G193" s="279" t="s">
        <v>1901</v>
      </c>
      <c r="H193" s="717" t="s">
        <v>1902</v>
      </c>
      <c r="I193" s="313" t="s">
        <v>1903</v>
      </c>
      <c r="J193" s="279">
        <v>107.62</v>
      </c>
      <c r="K193" s="279">
        <v>107.62</v>
      </c>
      <c r="L193" s="279">
        <v>5850</v>
      </c>
      <c r="M193" s="317">
        <f>K193*L193</f>
        <v>629577</v>
      </c>
      <c r="N193" s="317">
        <v>5850</v>
      </c>
      <c r="O193" s="343"/>
      <c r="P193" s="321"/>
      <c r="Q193" s="321"/>
      <c r="R193" s="282"/>
      <c r="S193" s="285"/>
      <c r="T193" s="285"/>
      <c r="U193" s="285" t="s">
        <v>201</v>
      </c>
      <c r="V193" s="282">
        <v>20000</v>
      </c>
      <c r="W193" s="285" t="s">
        <v>1850</v>
      </c>
      <c r="X193" s="282">
        <v>109577</v>
      </c>
      <c r="Y193" s="339" t="s">
        <v>1898</v>
      </c>
      <c r="Z193" s="282">
        <v>500000</v>
      </c>
      <c r="AA193" s="279" t="s">
        <v>994</v>
      </c>
      <c r="AB193" s="282"/>
      <c r="AH193" s="282">
        <f t="shared" ref="AH193:AH224" si="29">V193+X193+Z193+AB193+AD193+AF193</f>
        <v>629577</v>
      </c>
      <c r="AK193" s="287">
        <f t="shared" si="28"/>
        <v>0</v>
      </c>
      <c r="AL193" s="295" t="s">
        <v>1904</v>
      </c>
      <c r="AM193" s="295"/>
      <c r="AN193" s="343"/>
      <c r="AO193" s="343"/>
      <c r="AP193" s="343"/>
      <c r="AQ193" s="288">
        <f>0.6%+0.14%</f>
        <v>0.0074</v>
      </c>
      <c r="AR193" s="349">
        <f t="shared" si="24"/>
        <v>629577</v>
      </c>
      <c r="AS193" s="282"/>
      <c r="AT193" s="282"/>
      <c r="AU193" s="282"/>
      <c r="AV193" s="282"/>
      <c r="AW193" s="282"/>
      <c r="AX193" s="282"/>
      <c r="AY193" s="158">
        <v>129577</v>
      </c>
      <c r="AZ193" s="131">
        <v>500000</v>
      </c>
      <c r="BA193" s="282"/>
      <c r="BB193" s="282"/>
      <c r="BC193" s="282"/>
      <c r="BD193" s="282"/>
      <c r="BE193" s="282"/>
      <c r="BT193" s="279" t="s">
        <v>205</v>
      </c>
      <c r="BU193" s="279" t="s">
        <v>206</v>
      </c>
    </row>
    <row r="194" s="279" customFormat="1" customHeight="1" spans="1:73">
      <c r="A194" s="279">
        <v>127</v>
      </c>
      <c r="C194" s="279">
        <v>2023.7</v>
      </c>
      <c r="D194" s="300" t="s">
        <v>1905</v>
      </c>
      <c r="F194" s="295" t="s">
        <v>1906</v>
      </c>
      <c r="G194" s="294" t="s">
        <v>1907</v>
      </c>
      <c r="H194" s="717" t="s">
        <v>1908</v>
      </c>
      <c r="I194" s="316" t="s">
        <v>1909</v>
      </c>
      <c r="J194" s="279">
        <v>107.98</v>
      </c>
      <c r="K194" s="279">
        <v>107.98</v>
      </c>
      <c r="L194" s="279">
        <v>5985.13</v>
      </c>
      <c r="M194" s="344">
        <v>646275</v>
      </c>
      <c r="N194" s="317">
        <v>5935.13</v>
      </c>
      <c r="O194" s="343"/>
      <c r="P194" s="321"/>
      <c r="Q194" s="321"/>
      <c r="R194" s="282"/>
      <c r="S194" s="285"/>
      <c r="T194" s="285"/>
      <c r="U194" s="285" t="s">
        <v>298</v>
      </c>
      <c r="V194" s="282">
        <f>20000+101275+15000</f>
        <v>136275</v>
      </c>
      <c r="W194" s="339" t="s">
        <v>795</v>
      </c>
      <c r="X194" s="282">
        <v>510000</v>
      </c>
      <c r="Y194" s="285" t="s">
        <v>333</v>
      </c>
      <c r="Z194" s="282"/>
      <c r="AA194" s="285"/>
      <c r="AB194" s="282"/>
      <c r="AH194" s="282">
        <f t="shared" si="29"/>
        <v>646275</v>
      </c>
      <c r="AK194" s="287">
        <f t="shared" si="28"/>
        <v>0</v>
      </c>
      <c r="AL194" s="295" t="s">
        <v>1910</v>
      </c>
      <c r="AM194" s="295"/>
      <c r="AN194" s="343"/>
      <c r="AO194" s="343"/>
      <c r="AP194" s="343"/>
      <c r="AQ194" s="288">
        <f>0.6%+0.05%+0.14%</f>
        <v>0.0079</v>
      </c>
      <c r="AR194" s="349">
        <f t="shared" si="24"/>
        <v>646275</v>
      </c>
      <c r="AS194" s="282"/>
      <c r="AT194" s="282">
        <v>100</v>
      </c>
      <c r="AU194" s="282"/>
      <c r="AV194" s="282"/>
      <c r="AW194" s="282"/>
      <c r="AX194" s="282"/>
      <c r="AY194" s="158"/>
      <c r="AZ194" s="131"/>
      <c r="BA194" s="282">
        <v>136275</v>
      </c>
      <c r="BB194" s="282">
        <v>510000</v>
      </c>
      <c r="BC194" s="282"/>
      <c r="BD194" s="282"/>
      <c r="BE194" s="282"/>
      <c r="BT194" s="279" t="s">
        <v>205</v>
      </c>
      <c r="BU194" s="279" t="s">
        <v>206</v>
      </c>
    </row>
    <row r="195" s="279" customFormat="1" customHeight="1" spans="1:73">
      <c r="A195" s="279">
        <v>128</v>
      </c>
      <c r="C195" s="279" t="s">
        <v>1911</v>
      </c>
      <c r="D195" s="300" t="s">
        <v>1912</v>
      </c>
      <c r="F195" s="295" t="s">
        <v>1913</v>
      </c>
      <c r="G195" s="279" t="s">
        <v>1914</v>
      </c>
      <c r="H195" s="717" t="s">
        <v>1915</v>
      </c>
      <c r="I195" s="313" t="s">
        <v>1916</v>
      </c>
      <c r="J195" s="279">
        <v>107.62</v>
      </c>
      <c r="K195" s="279">
        <v>107.62</v>
      </c>
      <c r="L195" s="279">
        <v>5671.55</v>
      </c>
      <c r="M195" s="317">
        <v>610372</v>
      </c>
      <c r="N195" s="317"/>
      <c r="O195" s="343"/>
      <c r="P195" s="321"/>
      <c r="Q195" s="321"/>
      <c r="R195" s="282"/>
      <c r="S195" s="285"/>
      <c r="T195" s="285"/>
      <c r="U195" s="285" t="s">
        <v>1917</v>
      </c>
      <c r="V195" s="282">
        <v>10000</v>
      </c>
      <c r="W195" s="285" t="s">
        <v>1077</v>
      </c>
      <c r="X195" s="282">
        <v>77372</v>
      </c>
      <c r="Y195" s="339" t="s">
        <v>1911</v>
      </c>
      <c r="Z195" s="282">
        <v>35000</v>
      </c>
      <c r="AA195" s="285" t="s">
        <v>668</v>
      </c>
      <c r="AB195" s="282">
        <v>488000</v>
      </c>
      <c r="AC195" s="285" t="s">
        <v>1071</v>
      </c>
      <c r="AH195" s="282">
        <f t="shared" si="29"/>
        <v>610372</v>
      </c>
      <c r="AK195" s="287">
        <f t="shared" si="28"/>
        <v>0</v>
      </c>
      <c r="AL195" s="295" t="s">
        <v>1918</v>
      </c>
      <c r="AM195" s="295"/>
      <c r="AN195" s="343"/>
      <c r="AO195" s="343"/>
      <c r="AP195" s="343"/>
      <c r="AQ195" s="288">
        <f>0.4%+0.14%</f>
        <v>0.0054</v>
      </c>
      <c r="AR195" s="349">
        <f t="shared" si="24"/>
        <v>610372</v>
      </c>
      <c r="AS195" s="282"/>
      <c r="AT195" s="282"/>
      <c r="AU195" s="282"/>
      <c r="AV195" s="282"/>
      <c r="AW195" s="282"/>
      <c r="AX195" s="282"/>
      <c r="AY195" s="158"/>
      <c r="AZ195" s="131"/>
      <c r="BA195" s="282">
        <v>122372</v>
      </c>
      <c r="BB195" s="282"/>
      <c r="BC195" s="282">
        <v>488000</v>
      </c>
      <c r="BD195" s="282"/>
      <c r="BE195" s="282"/>
      <c r="BT195" s="279" t="s">
        <v>205</v>
      </c>
      <c r="BU195" s="279" t="s">
        <v>206</v>
      </c>
    </row>
    <row r="196" s="279" customFormat="1" customHeight="1" spans="1:73">
      <c r="A196" s="279">
        <v>129</v>
      </c>
      <c r="C196" s="279" t="s">
        <v>1919</v>
      </c>
      <c r="D196" s="300" t="s">
        <v>1920</v>
      </c>
      <c r="F196" s="718" t="s">
        <v>1921</v>
      </c>
      <c r="G196" s="279" t="s">
        <v>1922</v>
      </c>
      <c r="I196" s="316" t="s">
        <v>1923</v>
      </c>
      <c r="J196" s="279">
        <v>107.98</v>
      </c>
      <c r="K196" s="279">
        <v>107.98</v>
      </c>
      <c r="L196" s="279">
        <v>6019.63</v>
      </c>
      <c r="M196" s="317">
        <v>650000</v>
      </c>
      <c r="N196" s="317">
        <v>5955.8</v>
      </c>
      <c r="O196" s="343"/>
      <c r="P196" s="321"/>
      <c r="Q196" s="321"/>
      <c r="R196" s="282"/>
      <c r="S196" s="285"/>
      <c r="T196" s="285"/>
      <c r="U196" s="285" t="s">
        <v>422</v>
      </c>
      <c r="V196" s="282">
        <v>130000</v>
      </c>
      <c r="W196" s="285" t="s">
        <v>1919</v>
      </c>
      <c r="X196" s="282">
        <v>520000</v>
      </c>
      <c r="Y196" s="285" t="s">
        <v>1924</v>
      </c>
      <c r="Z196" s="282"/>
      <c r="AB196" s="282"/>
      <c r="AH196" s="282">
        <f t="shared" si="29"/>
        <v>650000</v>
      </c>
      <c r="AK196" s="287">
        <f t="shared" si="28"/>
        <v>0</v>
      </c>
      <c r="AL196" s="295"/>
      <c r="AM196" s="295"/>
      <c r="AN196" s="343"/>
      <c r="AO196" s="343"/>
      <c r="AP196" s="343"/>
      <c r="AQ196" s="427">
        <f>0.7%+0.05%+0.12%</f>
        <v>0.0087</v>
      </c>
      <c r="AR196" s="349">
        <f t="shared" si="24"/>
        <v>650000</v>
      </c>
      <c r="AS196" s="282"/>
      <c r="AT196" s="282"/>
      <c r="AU196" s="282"/>
      <c r="AV196" s="282"/>
      <c r="AW196" s="282"/>
      <c r="AX196" s="282"/>
      <c r="AY196" s="158"/>
      <c r="BA196" s="282"/>
      <c r="BB196" s="282">
        <v>130000</v>
      </c>
      <c r="BC196" s="282"/>
      <c r="BD196" s="282"/>
      <c r="BE196" s="282">
        <v>520000</v>
      </c>
      <c r="BT196" s="279" t="s">
        <v>205</v>
      </c>
      <c r="BU196" s="279" t="s">
        <v>206</v>
      </c>
    </row>
    <row r="197" s="279" customFormat="1" customHeight="1" spans="1:73">
      <c r="A197" s="279">
        <v>130</v>
      </c>
      <c r="C197" s="279" t="s">
        <v>1748</v>
      </c>
      <c r="D197" s="300" t="s">
        <v>1925</v>
      </c>
      <c r="F197" s="295" t="s">
        <v>1926</v>
      </c>
      <c r="G197" s="279" t="s">
        <v>1927</v>
      </c>
      <c r="H197" s="717" t="s">
        <v>1928</v>
      </c>
      <c r="I197" s="313" t="s">
        <v>1929</v>
      </c>
      <c r="J197" s="279">
        <v>107.62</v>
      </c>
      <c r="K197" s="279">
        <v>107.62</v>
      </c>
      <c r="L197" s="279">
        <v>5737</v>
      </c>
      <c r="M197" s="317">
        <v>617416</v>
      </c>
      <c r="N197" s="317">
        <v>5655.65</v>
      </c>
      <c r="O197" s="343"/>
      <c r="P197" s="321"/>
      <c r="Q197" s="321"/>
      <c r="R197" s="282"/>
      <c r="S197" s="285"/>
      <c r="T197" s="285"/>
      <c r="U197" s="285" t="s">
        <v>211</v>
      </c>
      <c r="V197" s="282">
        <v>20000</v>
      </c>
      <c r="W197" s="331" t="s">
        <v>601</v>
      </c>
      <c r="X197" s="282">
        <v>197416</v>
      </c>
      <c r="Y197" s="339" t="s">
        <v>1748</v>
      </c>
      <c r="Z197" s="282">
        <v>400000</v>
      </c>
      <c r="AA197" s="279" t="s">
        <v>1315</v>
      </c>
      <c r="AB197" s="282"/>
      <c r="AH197" s="282">
        <f t="shared" si="29"/>
        <v>617416</v>
      </c>
      <c r="AK197" s="287">
        <f t="shared" si="28"/>
        <v>0</v>
      </c>
      <c r="AL197" s="295" t="s">
        <v>1930</v>
      </c>
      <c r="AM197" s="295"/>
      <c r="AN197" s="343"/>
      <c r="AO197" s="343"/>
      <c r="AP197" s="343"/>
      <c r="AQ197" s="288">
        <f>0.6%+0.05%+0.14%</f>
        <v>0.0079</v>
      </c>
      <c r="AR197" s="349">
        <f t="shared" si="24"/>
        <v>617416</v>
      </c>
      <c r="AS197" s="282"/>
      <c r="AT197" s="282">
        <v>100</v>
      </c>
      <c r="AU197" s="282"/>
      <c r="AV197" s="282"/>
      <c r="AW197" s="282"/>
      <c r="AX197" s="282"/>
      <c r="AY197" s="158">
        <v>217416</v>
      </c>
      <c r="AZ197" s="131">
        <v>400000</v>
      </c>
      <c r="BA197" s="282"/>
      <c r="BB197" s="282"/>
      <c r="BC197" s="282"/>
      <c r="BD197" s="282"/>
      <c r="BE197" s="282"/>
      <c r="BT197" s="279" t="s">
        <v>205</v>
      </c>
      <c r="BU197" s="279" t="s">
        <v>206</v>
      </c>
    </row>
    <row r="198" s="279" customFormat="1" customHeight="1" spans="1:73">
      <c r="A198" s="279">
        <v>131</v>
      </c>
      <c r="C198" s="279" t="s">
        <v>1562</v>
      </c>
      <c r="D198" s="300" t="s">
        <v>1931</v>
      </c>
      <c r="F198" s="295" t="s">
        <v>1932</v>
      </c>
      <c r="G198" s="279" t="s">
        <v>1933</v>
      </c>
      <c r="H198" s="717" t="s">
        <v>1934</v>
      </c>
      <c r="I198" s="313" t="s">
        <v>1935</v>
      </c>
      <c r="J198" s="279">
        <v>107.98</v>
      </c>
      <c r="K198" s="279">
        <v>107.98</v>
      </c>
      <c r="L198" s="279">
        <v>7000</v>
      </c>
      <c r="M198" s="317">
        <v>755860</v>
      </c>
      <c r="N198" s="317">
        <v>6976</v>
      </c>
      <c r="O198" s="343"/>
      <c r="P198" s="321"/>
      <c r="Q198" s="321"/>
      <c r="R198" s="282"/>
      <c r="S198" s="285"/>
      <c r="T198" s="285"/>
      <c r="U198" s="285" t="s">
        <v>1075</v>
      </c>
      <c r="V198" s="282">
        <v>20000</v>
      </c>
      <c r="W198" s="285" t="s">
        <v>675</v>
      </c>
      <c r="X198" s="282">
        <v>259860</v>
      </c>
      <c r="Y198" s="339" t="s">
        <v>1562</v>
      </c>
      <c r="Z198" s="282">
        <v>177000</v>
      </c>
      <c r="AA198" s="279" t="s">
        <v>919</v>
      </c>
      <c r="AB198" s="282">
        <v>299000</v>
      </c>
      <c r="AC198" s="285" t="s">
        <v>1856</v>
      </c>
      <c r="AH198" s="282">
        <f t="shared" si="29"/>
        <v>755860</v>
      </c>
      <c r="AK198" s="287">
        <f t="shared" si="28"/>
        <v>0</v>
      </c>
      <c r="AL198" s="295" t="s">
        <v>1936</v>
      </c>
      <c r="AM198" s="295"/>
      <c r="AN198" s="343"/>
      <c r="AO198" s="343"/>
      <c r="AP198" s="343"/>
      <c r="AQ198" s="288">
        <f>0.6%+0.06%+0.14%</f>
        <v>0.008</v>
      </c>
      <c r="AR198" s="349">
        <f t="shared" ref="AR198:AR261" si="30">SUM(AU198:BO198)</f>
        <v>755860</v>
      </c>
      <c r="AS198" s="282"/>
      <c r="AT198" s="282">
        <v>100</v>
      </c>
      <c r="AU198" s="282"/>
      <c r="AV198" s="282"/>
      <c r="AW198" s="282"/>
      <c r="AX198" s="282"/>
      <c r="AY198" s="158"/>
      <c r="AZ198" s="131">
        <v>456860</v>
      </c>
      <c r="BA198" s="282">
        <v>299000</v>
      </c>
      <c r="BB198" s="282"/>
      <c r="BC198" s="282"/>
      <c r="BD198" s="282"/>
      <c r="BE198" s="282"/>
      <c r="BT198" s="279" t="s">
        <v>205</v>
      </c>
      <c r="BU198" s="279" t="s">
        <v>206</v>
      </c>
    </row>
    <row r="199" s="279" customFormat="1" customHeight="1" spans="1:73">
      <c r="A199" s="279">
        <v>132</v>
      </c>
      <c r="C199" s="279" t="s">
        <v>351</v>
      </c>
      <c r="D199" s="300" t="s">
        <v>1937</v>
      </c>
      <c r="F199" s="295" t="s">
        <v>1938</v>
      </c>
      <c r="G199" s="279" t="s">
        <v>1939</v>
      </c>
      <c r="H199" s="717" t="s">
        <v>1940</v>
      </c>
      <c r="I199" s="313" t="s">
        <v>1941</v>
      </c>
      <c r="J199" s="279">
        <v>107.62</v>
      </c>
      <c r="K199" s="279">
        <v>107.62</v>
      </c>
      <c r="L199" s="279">
        <v>7040</v>
      </c>
      <c r="M199" s="344">
        <v>757645</v>
      </c>
      <c r="N199" s="317">
        <v>6976</v>
      </c>
      <c r="O199" s="343"/>
      <c r="P199" s="321"/>
      <c r="Q199" s="321"/>
      <c r="R199" s="282"/>
      <c r="S199" s="285"/>
      <c r="T199" s="285"/>
      <c r="U199" s="285" t="s">
        <v>411</v>
      </c>
      <c r="V199" s="282">
        <v>20000</v>
      </c>
      <c r="W199" s="285" t="s">
        <v>795</v>
      </c>
      <c r="X199" s="282">
        <v>180645</v>
      </c>
      <c r="Y199" s="285" t="s">
        <v>632</v>
      </c>
      <c r="Z199" s="282">
        <v>557000</v>
      </c>
      <c r="AA199" s="285" t="s">
        <v>1942</v>
      </c>
      <c r="AB199" s="282"/>
      <c r="AH199" s="282">
        <f t="shared" si="29"/>
        <v>757645</v>
      </c>
      <c r="AK199" s="287">
        <f t="shared" si="28"/>
        <v>0</v>
      </c>
      <c r="AL199" s="295" t="s">
        <v>1943</v>
      </c>
      <c r="AM199" s="295"/>
      <c r="AN199" s="343"/>
      <c r="AO199" s="343"/>
      <c r="AP199" s="343"/>
      <c r="AQ199" s="288">
        <f>0.7%+0.14%</f>
        <v>0.0084</v>
      </c>
      <c r="AR199" s="349">
        <f t="shared" si="30"/>
        <v>757645</v>
      </c>
      <c r="AS199" s="282"/>
      <c r="AT199" s="282"/>
      <c r="AU199" s="282"/>
      <c r="AV199" s="282"/>
      <c r="AW199" s="282"/>
      <c r="AX199" s="282"/>
      <c r="AY199" s="158"/>
      <c r="BA199" s="282"/>
      <c r="BB199" s="282"/>
      <c r="BC199" s="282"/>
      <c r="BD199" s="282">
        <v>200645</v>
      </c>
      <c r="BE199" s="282">
        <v>557000</v>
      </c>
      <c r="BT199" s="279" t="s">
        <v>205</v>
      </c>
      <c r="BU199" s="279" t="s">
        <v>206</v>
      </c>
    </row>
    <row r="200" s="279" customFormat="1" customHeight="1" spans="1:73">
      <c r="A200" s="279">
        <v>133</v>
      </c>
      <c r="C200" s="331">
        <v>45081</v>
      </c>
      <c r="D200" s="300" t="s">
        <v>1944</v>
      </c>
      <c r="F200" s="717" t="s">
        <v>1945</v>
      </c>
      <c r="G200" s="299" t="s">
        <v>1946</v>
      </c>
      <c r="I200" s="316" t="s">
        <v>1947</v>
      </c>
      <c r="J200" s="279">
        <v>107.62</v>
      </c>
      <c r="K200" s="279">
        <v>107.62</v>
      </c>
      <c r="L200" s="279">
        <v>8173.5</v>
      </c>
      <c r="M200" s="317">
        <v>878000</v>
      </c>
      <c r="N200" s="317">
        <v>8140</v>
      </c>
      <c r="O200" s="343">
        <v>805504.59</v>
      </c>
      <c r="P200" s="321" t="s">
        <v>1948</v>
      </c>
      <c r="Q200" s="321" t="s">
        <v>1949</v>
      </c>
      <c r="R200" s="282"/>
      <c r="S200" s="285"/>
      <c r="T200" s="285"/>
      <c r="U200" s="285" t="s">
        <v>422</v>
      </c>
      <c r="V200" s="282">
        <v>20000</v>
      </c>
      <c r="W200" s="285" t="s">
        <v>1289</v>
      </c>
      <c r="X200" s="282">
        <v>27000</v>
      </c>
      <c r="Y200" s="331" t="s">
        <v>1950</v>
      </c>
      <c r="Z200" s="282">
        <f>47000-47000</f>
        <v>0</v>
      </c>
      <c r="AA200" s="285"/>
      <c r="AB200" s="282">
        <v>131000</v>
      </c>
      <c r="AC200" s="285" t="s">
        <v>1951</v>
      </c>
      <c r="AD200" s="282">
        <v>700000</v>
      </c>
      <c r="AE200" s="285" t="s">
        <v>404</v>
      </c>
      <c r="AH200" s="282">
        <f t="shared" si="29"/>
        <v>878000</v>
      </c>
      <c r="AK200" s="287">
        <f t="shared" si="28"/>
        <v>0</v>
      </c>
      <c r="AL200" s="295" t="s">
        <v>1952</v>
      </c>
      <c r="AM200" s="295"/>
      <c r="AN200" s="343"/>
      <c r="AO200" s="343"/>
      <c r="AP200" s="343"/>
      <c r="AQ200" s="288">
        <f>0.4%+0.02%+0.08%</f>
        <v>0.005</v>
      </c>
      <c r="AR200" s="349">
        <f t="shared" si="30"/>
        <v>878000</v>
      </c>
      <c r="AS200" s="282">
        <v>100</v>
      </c>
      <c r="AT200" s="282"/>
      <c r="AU200" s="282"/>
      <c r="AV200" s="282"/>
      <c r="AW200" s="282"/>
      <c r="AX200" s="282"/>
      <c r="AY200" s="158"/>
      <c r="BA200" s="282"/>
      <c r="BB200" s="282"/>
      <c r="BC200" s="282"/>
      <c r="BD200" s="282"/>
      <c r="BE200" s="282">
        <v>178000</v>
      </c>
      <c r="BF200" s="279">
        <v>700000</v>
      </c>
      <c r="BT200" s="279" t="s">
        <v>205</v>
      </c>
      <c r="BU200" s="279" t="s">
        <v>206</v>
      </c>
    </row>
    <row r="201" s="59" customFormat="1" customHeight="1" spans="1:73">
      <c r="A201" s="386">
        <v>134</v>
      </c>
      <c r="B201" s="278"/>
      <c r="C201" s="278"/>
      <c r="D201" s="366"/>
      <c r="E201" s="278" t="s">
        <v>1953</v>
      </c>
      <c r="F201" s="367"/>
      <c r="G201" s="410"/>
      <c r="H201" s="278"/>
      <c r="I201" s="413" t="s">
        <v>1954</v>
      </c>
      <c r="J201" s="278">
        <v>107.42</v>
      </c>
      <c r="K201" s="278"/>
      <c r="L201" s="278"/>
      <c r="M201" s="390"/>
      <c r="N201" s="278">
        <v>8650</v>
      </c>
      <c r="O201" s="414"/>
      <c r="P201" s="372"/>
      <c r="Q201" s="372"/>
      <c r="R201" s="394"/>
      <c r="S201" s="419"/>
      <c r="T201" s="328"/>
      <c r="U201" s="328"/>
      <c r="V201" s="406"/>
      <c r="W201" s="104"/>
      <c r="X201" s="406"/>
      <c r="Y201" s="424"/>
      <c r="Z201" s="406"/>
      <c r="AB201" s="406"/>
      <c r="AH201" s="282">
        <f t="shared" si="29"/>
        <v>0</v>
      </c>
      <c r="AI201" s="278"/>
      <c r="AJ201" s="278"/>
      <c r="AK201" s="342">
        <f t="shared" si="28"/>
        <v>0</v>
      </c>
      <c r="AL201" s="367"/>
      <c r="AM201" s="367"/>
      <c r="AN201" s="414"/>
      <c r="AO201" s="414"/>
      <c r="AP201" s="414"/>
      <c r="AQ201" s="405"/>
      <c r="AR201" s="348">
        <f t="shared" si="30"/>
        <v>0</v>
      </c>
      <c r="AS201" s="406">
        <v>100</v>
      </c>
      <c r="AT201" s="406"/>
      <c r="AU201" s="406"/>
      <c r="AV201" s="406"/>
      <c r="AW201" s="406"/>
      <c r="AX201" s="406"/>
      <c r="AY201" s="429"/>
      <c r="BA201" s="406"/>
      <c r="BB201" s="406"/>
      <c r="BC201" s="406"/>
      <c r="BD201" s="406"/>
      <c r="BE201" s="406"/>
      <c r="BT201" s="59" t="s">
        <v>205</v>
      </c>
      <c r="BU201" s="59" t="s">
        <v>1955</v>
      </c>
    </row>
    <row r="202" s="59" customFormat="1" customHeight="1" spans="1:57">
      <c r="A202" s="386">
        <v>135</v>
      </c>
      <c r="B202" s="278"/>
      <c r="C202" s="278"/>
      <c r="D202" s="366"/>
      <c r="E202" s="278" t="s">
        <v>1956</v>
      </c>
      <c r="F202" s="367"/>
      <c r="G202" s="411"/>
      <c r="H202" s="293"/>
      <c r="I202" s="389" t="s">
        <v>1957</v>
      </c>
      <c r="J202" s="278">
        <v>107.62</v>
      </c>
      <c r="K202" s="278"/>
      <c r="L202" s="278"/>
      <c r="M202" s="390"/>
      <c r="N202" s="278">
        <v>5896.54</v>
      </c>
      <c r="O202" s="414"/>
      <c r="P202" s="372"/>
      <c r="Q202" s="372"/>
      <c r="R202" s="394"/>
      <c r="S202" s="395"/>
      <c r="T202" s="396"/>
      <c r="U202" s="396"/>
      <c r="V202" s="406"/>
      <c r="W202" s="420"/>
      <c r="X202" s="406"/>
      <c r="Y202" s="424"/>
      <c r="Z202" s="406"/>
      <c r="AB202" s="406"/>
      <c r="AH202" s="282">
        <f t="shared" si="29"/>
        <v>0</v>
      </c>
      <c r="AI202" s="278"/>
      <c r="AJ202" s="278"/>
      <c r="AK202" s="342">
        <f t="shared" si="28"/>
        <v>0</v>
      </c>
      <c r="AL202" s="367"/>
      <c r="AM202" s="367"/>
      <c r="AN202" s="414"/>
      <c r="AO202" s="414"/>
      <c r="AP202" s="414"/>
      <c r="AQ202" s="405"/>
      <c r="AR202" s="348">
        <f t="shared" si="30"/>
        <v>0</v>
      </c>
      <c r="AS202" s="406"/>
      <c r="AT202" s="406">
        <f>100+100</f>
        <v>200</v>
      </c>
      <c r="AU202" s="406"/>
      <c r="AV202" s="406"/>
      <c r="AW202" s="406"/>
      <c r="AX202" s="406"/>
      <c r="AY202" s="429"/>
      <c r="BA202" s="406"/>
      <c r="BB202" s="406"/>
      <c r="BC202" s="406"/>
      <c r="BD202" s="406"/>
      <c r="BE202" s="406"/>
    </row>
    <row r="203" s="59" customFormat="1" customHeight="1" spans="1:57">
      <c r="A203" s="386">
        <v>136</v>
      </c>
      <c r="B203" s="278"/>
      <c r="C203" s="278"/>
      <c r="D203" s="366"/>
      <c r="E203" s="278" t="s">
        <v>1958</v>
      </c>
      <c r="F203" s="367"/>
      <c r="G203" s="411"/>
      <c r="H203" s="293"/>
      <c r="I203" s="413" t="s">
        <v>1959</v>
      </c>
      <c r="J203" s="278">
        <v>107.62</v>
      </c>
      <c r="K203" s="278"/>
      <c r="L203" s="278"/>
      <c r="M203" s="390"/>
      <c r="N203" s="278">
        <v>5889.94</v>
      </c>
      <c r="O203" s="414"/>
      <c r="P203" s="372"/>
      <c r="Q203" s="372"/>
      <c r="R203" s="394"/>
      <c r="S203" s="419"/>
      <c r="T203" s="328"/>
      <c r="U203" s="328"/>
      <c r="V203" s="406"/>
      <c r="W203" s="104"/>
      <c r="X203" s="406"/>
      <c r="Y203" s="424"/>
      <c r="Z203" s="406"/>
      <c r="AB203" s="406"/>
      <c r="AH203" s="282">
        <f t="shared" si="29"/>
        <v>0</v>
      </c>
      <c r="AI203" s="278"/>
      <c r="AJ203" s="278"/>
      <c r="AK203" s="342">
        <f t="shared" si="28"/>
        <v>0</v>
      </c>
      <c r="AL203" s="367"/>
      <c r="AM203" s="367"/>
      <c r="AN203" s="414"/>
      <c r="AO203" s="414"/>
      <c r="AP203" s="414"/>
      <c r="AQ203" s="405"/>
      <c r="AR203" s="348">
        <f t="shared" si="30"/>
        <v>0</v>
      </c>
      <c r="AS203" s="406"/>
      <c r="AT203" s="406">
        <v>100</v>
      </c>
      <c r="AU203" s="406"/>
      <c r="AV203" s="406"/>
      <c r="AW203" s="406"/>
      <c r="AX203" s="406"/>
      <c r="AY203" s="429"/>
      <c r="BA203" s="406"/>
      <c r="BB203" s="406"/>
      <c r="BC203" s="406"/>
      <c r="BD203" s="406"/>
      <c r="BE203" s="406"/>
    </row>
    <row r="204" s="279" customFormat="1" customHeight="1" spans="1:73">
      <c r="A204" s="279">
        <v>137</v>
      </c>
      <c r="C204" s="279">
        <v>2023.4</v>
      </c>
      <c r="D204" s="300" t="s">
        <v>1960</v>
      </c>
      <c r="F204" s="295" t="s">
        <v>1961</v>
      </c>
      <c r="G204" s="294" t="s">
        <v>1962</v>
      </c>
      <c r="H204" s="721" t="s">
        <v>1963</v>
      </c>
      <c r="I204" s="316" t="s">
        <v>1964</v>
      </c>
      <c r="J204" s="279">
        <v>107.62</v>
      </c>
      <c r="K204" s="279">
        <v>107.62</v>
      </c>
      <c r="L204" s="279">
        <v>5342.87</v>
      </c>
      <c r="M204" s="317">
        <v>575000</v>
      </c>
      <c r="N204" s="317"/>
      <c r="O204" s="343">
        <v>527522.94</v>
      </c>
      <c r="P204" s="321" t="s">
        <v>1965</v>
      </c>
      <c r="Q204" s="321" t="s">
        <v>1949</v>
      </c>
      <c r="R204" s="282"/>
      <c r="S204" s="285"/>
      <c r="T204" s="285"/>
      <c r="U204" s="285" t="s">
        <v>298</v>
      </c>
      <c r="V204" s="282">
        <v>20000</v>
      </c>
      <c r="W204" s="331" t="s">
        <v>1634</v>
      </c>
      <c r="X204" s="282">
        <v>355000</v>
      </c>
      <c r="Y204" s="339" t="s">
        <v>1966</v>
      </c>
      <c r="Z204" s="282">
        <v>200000</v>
      </c>
      <c r="AA204" s="279" t="s">
        <v>372</v>
      </c>
      <c r="AB204" s="282"/>
      <c r="AH204" s="282">
        <f t="shared" si="29"/>
        <v>575000</v>
      </c>
      <c r="AK204" s="287">
        <f t="shared" si="28"/>
        <v>0</v>
      </c>
      <c r="AL204" s="295" t="s">
        <v>1967</v>
      </c>
      <c r="AM204" s="295"/>
      <c r="AN204" s="343"/>
      <c r="AO204" s="343"/>
      <c r="AP204" s="343"/>
      <c r="AQ204" s="288">
        <f>0.6%+0.04%+0.1%</f>
        <v>0.0074</v>
      </c>
      <c r="AR204" s="349">
        <f t="shared" si="30"/>
        <v>575000</v>
      </c>
      <c r="AS204" s="282"/>
      <c r="AT204" s="282"/>
      <c r="AU204" s="282"/>
      <c r="AV204" s="282"/>
      <c r="AW204" s="282"/>
      <c r="AX204" s="282"/>
      <c r="AY204" s="158">
        <v>575000</v>
      </c>
      <c r="BA204" s="282"/>
      <c r="BB204" s="282"/>
      <c r="BC204" s="282"/>
      <c r="BD204" s="282"/>
      <c r="BE204" s="282"/>
      <c r="BT204" s="279" t="s">
        <v>205</v>
      </c>
      <c r="BU204" s="279" t="s">
        <v>206</v>
      </c>
    </row>
    <row r="205" s="279" customFormat="1" customHeight="1" spans="1:73">
      <c r="A205" s="279">
        <v>138</v>
      </c>
      <c r="C205" s="279" t="s">
        <v>1078</v>
      </c>
      <c r="D205" s="300" t="s">
        <v>1968</v>
      </c>
      <c r="F205" s="295" t="s">
        <v>1969</v>
      </c>
      <c r="G205" s="279" t="s">
        <v>1970</v>
      </c>
      <c r="H205" s="717" t="s">
        <v>1971</v>
      </c>
      <c r="I205" s="313" t="s">
        <v>1972</v>
      </c>
      <c r="J205" s="279">
        <v>107.62</v>
      </c>
      <c r="K205" s="279">
        <v>107.62</v>
      </c>
      <c r="L205" s="279">
        <v>5600</v>
      </c>
      <c r="M205" s="317">
        <v>602672</v>
      </c>
      <c r="N205" s="317">
        <v>5588.51</v>
      </c>
      <c r="O205" s="343">
        <v>552910.09</v>
      </c>
      <c r="P205" s="321" t="s">
        <v>1973</v>
      </c>
      <c r="Q205" s="321" t="s">
        <v>1949</v>
      </c>
      <c r="R205" s="282"/>
      <c r="S205" s="285"/>
      <c r="T205" s="285"/>
      <c r="U205" s="285" t="s">
        <v>411</v>
      </c>
      <c r="V205" s="282">
        <v>20000</v>
      </c>
      <c r="W205" s="285" t="s">
        <v>1974</v>
      </c>
      <c r="X205" s="282">
        <v>382672</v>
      </c>
      <c r="Y205" s="285" t="s">
        <v>1078</v>
      </c>
      <c r="Z205" s="282">
        <v>200000</v>
      </c>
      <c r="AA205" s="285" t="s">
        <v>243</v>
      </c>
      <c r="AB205" s="282"/>
      <c r="AH205" s="282">
        <f t="shared" si="29"/>
        <v>602672</v>
      </c>
      <c r="AK205" s="287">
        <f t="shared" si="28"/>
        <v>0</v>
      </c>
      <c r="AL205" s="295" t="s">
        <v>1975</v>
      </c>
      <c r="AM205" s="295"/>
      <c r="AN205" s="343"/>
      <c r="AO205" s="343"/>
      <c r="AP205" s="343"/>
      <c r="AQ205" s="288">
        <f>0.7%+0.14%</f>
        <v>0.0084</v>
      </c>
      <c r="AR205" s="349">
        <f t="shared" si="30"/>
        <v>602672</v>
      </c>
      <c r="AS205" s="282"/>
      <c r="AT205" s="282">
        <v>100</v>
      </c>
      <c r="AU205" s="282"/>
      <c r="AV205" s="282"/>
      <c r="AW205" s="282"/>
      <c r="AX205" s="282"/>
      <c r="AY205" s="158"/>
      <c r="BA205" s="282"/>
      <c r="BB205" s="282"/>
      <c r="BC205" s="282"/>
      <c r="BD205" s="282">
        <v>602672</v>
      </c>
      <c r="BE205" s="282"/>
      <c r="BT205" s="279" t="s">
        <v>205</v>
      </c>
      <c r="BU205" s="279" t="s">
        <v>206</v>
      </c>
    </row>
    <row r="206" s="279" customFormat="1" customHeight="1" spans="1:73">
      <c r="A206" s="279">
        <v>139</v>
      </c>
      <c r="C206" s="279" t="s">
        <v>1976</v>
      </c>
      <c r="D206" s="300" t="s">
        <v>1977</v>
      </c>
      <c r="F206" s="295" t="s">
        <v>1978</v>
      </c>
      <c r="G206" s="279" t="s">
        <v>1979</v>
      </c>
      <c r="H206" s="717" t="s">
        <v>1980</v>
      </c>
      <c r="I206" s="316" t="s">
        <v>1981</v>
      </c>
      <c r="J206" s="279">
        <v>107.62</v>
      </c>
      <c r="K206" s="279">
        <v>107.62</v>
      </c>
      <c r="L206" s="279">
        <v>5407.9</v>
      </c>
      <c r="M206" s="317">
        <v>582000</v>
      </c>
      <c r="N206" s="317"/>
      <c r="O206" s="343">
        <v>533944.95</v>
      </c>
      <c r="P206" s="321" t="s">
        <v>1982</v>
      </c>
      <c r="Q206" s="321" t="s">
        <v>1949</v>
      </c>
      <c r="R206" s="282"/>
      <c r="S206" s="285"/>
      <c r="T206" s="285"/>
      <c r="U206" s="285" t="s">
        <v>298</v>
      </c>
      <c r="V206" s="282">
        <v>20000</v>
      </c>
      <c r="W206" s="285" t="s">
        <v>1076</v>
      </c>
      <c r="X206" s="282">
        <v>172000</v>
      </c>
      <c r="Y206" s="339" t="s">
        <v>1976</v>
      </c>
      <c r="Z206" s="282">
        <v>190000</v>
      </c>
      <c r="AA206" s="279" t="s">
        <v>1023</v>
      </c>
      <c r="AB206" s="282">
        <v>200000</v>
      </c>
      <c r="AC206" s="279" t="s">
        <v>1315</v>
      </c>
      <c r="AH206" s="282">
        <f t="shared" si="29"/>
        <v>582000</v>
      </c>
      <c r="AK206" s="287">
        <f t="shared" si="28"/>
        <v>0</v>
      </c>
      <c r="AL206" s="295"/>
      <c r="AM206" s="295"/>
      <c r="AN206" s="343"/>
      <c r="AO206" s="343"/>
      <c r="AP206" s="343"/>
      <c r="AQ206" s="288">
        <f>0.6%+0.04%+0.1%</f>
        <v>0.0074</v>
      </c>
      <c r="AR206" s="349">
        <f t="shared" si="30"/>
        <v>582000</v>
      </c>
      <c r="AS206" s="282"/>
      <c r="AT206" s="282"/>
      <c r="AU206" s="282"/>
      <c r="AV206" s="282"/>
      <c r="AW206" s="282"/>
      <c r="AX206" s="282"/>
      <c r="AY206" s="158">
        <v>382000</v>
      </c>
      <c r="AZ206" s="131">
        <v>200000</v>
      </c>
      <c r="BA206" s="282"/>
      <c r="BB206" s="282"/>
      <c r="BC206" s="282"/>
      <c r="BD206" s="282"/>
      <c r="BE206" s="282"/>
      <c r="BT206" s="279" t="s">
        <v>205</v>
      </c>
      <c r="BU206" s="279" t="s">
        <v>206</v>
      </c>
    </row>
    <row r="207" s="279" customFormat="1" customHeight="1" spans="1:73">
      <c r="A207" s="279">
        <v>140</v>
      </c>
      <c r="C207" s="279">
        <v>2023.5</v>
      </c>
      <c r="D207" s="300" t="s">
        <v>1983</v>
      </c>
      <c r="F207" s="295" t="s">
        <v>1984</v>
      </c>
      <c r="G207" s="279" t="s">
        <v>1985</v>
      </c>
      <c r="H207" s="717" t="s">
        <v>1986</v>
      </c>
      <c r="I207" s="313" t="s">
        <v>1987</v>
      </c>
      <c r="J207" s="279">
        <v>107.62</v>
      </c>
      <c r="K207" s="279">
        <v>107.62</v>
      </c>
      <c r="L207" s="279">
        <v>5407.9</v>
      </c>
      <c r="M207" s="317">
        <v>582000</v>
      </c>
      <c r="N207" s="317"/>
      <c r="O207" s="343">
        <v>533944.95</v>
      </c>
      <c r="P207" s="321" t="s">
        <v>1988</v>
      </c>
      <c r="Q207" s="321" t="s">
        <v>1949</v>
      </c>
      <c r="R207" s="282"/>
      <c r="S207" s="285"/>
      <c r="T207" s="286"/>
      <c r="U207" s="285" t="s">
        <v>298</v>
      </c>
      <c r="V207" s="282">
        <v>20000</v>
      </c>
      <c r="W207" s="285" t="s">
        <v>1076</v>
      </c>
      <c r="X207" s="282">
        <v>382000</v>
      </c>
      <c r="Y207" s="285" t="s">
        <v>383</v>
      </c>
      <c r="Z207" s="282">
        <v>180000</v>
      </c>
      <c r="AA207" s="285" t="s">
        <v>1528</v>
      </c>
      <c r="AD207" s="282"/>
      <c r="AG207" s="314"/>
      <c r="AH207" s="282">
        <f t="shared" si="29"/>
        <v>582000</v>
      </c>
      <c r="AI207" s="295"/>
      <c r="AJ207" s="343"/>
      <c r="AK207" s="287">
        <f t="shared" si="28"/>
        <v>0</v>
      </c>
      <c r="AQ207" s="288">
        <f>0.6%+0.04%+0.1%</f>
        <v>0.0074</v>
      </c>
      <c r="AR207" s="349">
        <f t="shared" si="30"/>
        <v>582000</v>
      </c>
      <c r="AS207" s="282"/>
      <c r="AT207" s="282"/>
      <c r="AU207" s="282"/>
      <c r="AV207" s="282"/>
      <c r="AW207" s="282"/>
      <c r="AX207" s="282"/>
      <c r="AY207" s="158"/>
      <c r="BA207" s="282">
        <v>402000</v>
      </c>
      <c r="BB207" s="282"/>
      <c r="BC207" s="282"/>
      <c r="BD207" s="282">
        <v>180000</v>
      </c>
      <c r="BE207" s="282"/>
      <c r="BT207" s="279" t="s">
        <v>205</v>
      </c>
      <c r="BU207" s="279" t="s">
        <v>206</v>
      </c>
    </row>
    <row r="208" s="279" customFormat="1" customHeight="1" spans="1:73">
      <c r="A208" s="279">
        <v>141</v>
      </c>
      <c r="C208" s="279" t="s">
        <v>1989</v>
      </c>
      <c r="D208" s="300" t="s">
        <v>1990</v>
      </c>
      <c r="F208" s="295" t="s">
        <v>1991</v>
      </c>
      <c r="G208" s="299" t="s">
        <v>1992</v>
      </c>
      <c r="H208" s="720" t="s">
        <v>1993</v>
      </c>
      <c r="I208" s="316" t="s">
        <v>1994</v>
      </c>
      <c r="J208" s="279">
        <v>107.62</v>
      </c>
      <c r="K208" s="279">
        <v>107.62</v>
      </c>
      <c r="L208" s="279">
        <v>5491.54</v>
      </c>
      <c r="M208" s="317">
        <v>591000</v>
      </c>
      <c r="N208" s="317"/>
      <c r="O208" s="320">
        <v>542201.83</v>
      </c>
      <c r="P208" s="321" t="s">
        <v>1995</v>
      </c>
      <c r="Q208" s="321" t="s">
        <v>1949</v>
      </c>
      <c r="R208" s="282"/>
      <c r="S208" s="285"/>
      <c r="T208" s="285"/>
      <c r="U208" s="285" t="s">
        <v>226</v>
      </c>
      <c r="V208" s="282">
        <v>20000</v>
      </c>
      <c r="W208" s="285" t="s">
        <v>1045</v>
      </c>
      <c r="X208" s="282">
        <v>271000</v>
      </c>
      <c r="Y208" s="331" t="s">
        <v>1989</v>
      </c>
      <c r="Z208" s="282">
        <v>300000</v>
      </c>
      <c r="AA208" s="285" t="s">
        <v>1668</v>
      </c>
      <c r="AB208" s="282"/>
      <c r="AH208" s="282">
        <f t="shared" si="29"/>
        <v>591000</v>
      </c>
      <c r="AK208" s="287">
        <f t="shared" si="28"/>
        <v>0</v>
      </c>
      <c r="AL208" s="295" t="s">
        <v>1996</v>
      </c>
      <c r="AM208" s="295"/>
      <c r="AN208" s="344"/>
      <c r="AO208" s="344"/>
      <c r="AP208" s="344"/>
      <c r="AQ208" s="288">
        <f>0.6%+0.04%+0.1%</f>
        <v>0.0074</v>
      </c>
      <c r="AR208" s="349">
        <f t="shared" si="30"/>
        <v>591000</v>
      </c>
      <c r="AS208" s="282"/>
      <c r="AT208" s="282">
        <v>100</v>
      </c>
      <c r="AU208" s="282"/>
      <c r="AV208" s="282"/>
      <c r="AW208" s="282"/>
      <c r="AX208" s="282">
        <v>291000</v>
      </c>
      <c r="AY208" s="158"/>
      <c r="BA208" s="282"/>
      <c r="BB208" s="282">
        <v>300000</v>
      </c>
      <c r="BC208" s="282"/>
      <c r="BD208" s="282"/>
      <c r="BE208" s="282"/>
      <c r="BT208" s="279" t="s">
        <v>205</v>
      </c>
      <c r="BU208" s="279" t="s">
        <v>206</v>
      </c>
    </row>
    <row r="209" s="279" customFormat="1" customHeight="1" spans="1:73">
      <c r="A209" s="279">
        <v>142</v>
      </c>
      <c r="C209" s="279" t="s">
        <v>962</v>
      </c>
      <c r="D209" s="300" t="s">
        <v>1997</v>
      </c>
      <c r="F209" s="295" t="s">
        <v>1998</v>
      </c>
      <c r="G209" s="299" t="s">
        <v>1999</v>
      </c>
      <c r="H209" s="720" t="s">
        <v>2000</v>
      </c>
      <c r="I209" s="313" t="s">
        <v>2001</v>
      </c>
      <c r="J209" s="279">
        <v>107.62</v>
      </c>
      <c r="K209" s="279">
        <v>107.62</v>
      </c>
      <c r="L209" s="279">
        <v>5483.27</v>
      </c>
      <c r="M209" s="317">
        <v>590000</v>
      </c>
      <c r="N209" s="317"/>
      <c r="O209" s="320">
        <v>541284.4</v>
      </c>
      <c r="P209" s="321" t="s">
        <v>2002</v>
      </c>
      <c r="Q209" s="321" t="s">
        <v>1949</v>
      </c>
      <c r="R209" s="282"/>
      <c r="S209" s="285"/>
      <c r="T209" s="285"/>
      <c r="U209" s="285" t="s">
        <v>226</v>
      </c>
      <c r="V209" s="282">
        <v>20000</v>
      </c>
      <c r="W209" s="331" t="s">
        <v>1045</v>
      </c>
      <c r="X209" s="282">
        <v>170000</v>
      </c>
      <c r="Y209" s="335" t="s">
        <v>962</v>
      </c>
      <c r="Z209" s="282">
        <v>400000</v>
      </c>
      <c r="AA209" s="285" t="s">
        <v>661</v>
      </c>
      <c r="AB209" s="282"/>
      <c r="AH209" s="282">
        <f t="shared" si="29"/>
        <v>590000</v>
      </c>
      <c r="AK209" s="287">
        <f t="shared" si="28"/>
        <v>0</v>
      </c>
      <c r="AL209" s="295" t="s">
        <v>2003</v>
      </c>
      <c r="AM209" s="295"/>
      <c r="AN209" s="344"/>
      <c r="AO209" s="344"/>
      <c r="AP209" s="344"/>
      <c r="AQ209" s="288">
        <f>0.6%+0.04%+0.1%</f>
        <v>0.0074</v>
      </c>
      <c r="AR209" s="349">
        <f t="shared" si="30"/>
        <v>590000</v>
      </c>
      <c r="AS209" s="282"/>
      <c r="AT209" s="282"/>
      <c r="AU209" s="282"/>
      <c r="AV209" s="282"/>
      <c r="AW209" s="282"/>
      <c r="AX209" s="282"/>
      <c r="AY209" s="158">
        <v>190000</v>
      </c>
      <c r="BA209" s="282">
        <v>400000</v>
      </c>
      <c r="BB209" s="282"/>
      <c r="BC209" s="282"/>
      <c r="BD209" s="282"/>
      <c r="BE209" s="282"/>
      <c r="BT209" s="279" t="s">
        <v>205</v>
      </c>
      <c r="BU209" s="279" t="s">
        <v>206</v>
      </c>
    </row>
    <row r="210" s="279" customFormat="1" customHeight="1" spans="1:73">
      <c r="A210" s="279">
        <v>143</v>
      </c>
      <c r="C210" s="279" t="s">
        <v>1035</v>
      </c>
      <c r="D210" s="279">
        <v>20230001086</v>
      </c>
      <c r="F210" s="295" t="s">
        <v>2004</v>
      </c>
      <c r="G210" s="297" t="s">
        <v>1773</v>
      </c>
      <c r="H210" s="719" t="s">
        <v>2005</v>
      </c>
      <c r="I210" s="316" t="s">
        <v>2006</v>
      </c>
      <c r="J210" s="279">
        <v>107.62</v>
      </c>
      <c r="K210" s="279">
        <v>107.62</v>
      </c>
      <c r="L210" s="415">
        <v>5262.39</v>
      </c>
      <c r="M210" s="416">
        <v>566338</v>
      </c>
      <c r="N210" s="416"/>
      <c r="O210" s="417">
        <v>519576.15</v>
      </c>
      <c r="P210" s="321" t="s">
        <v>2007</v>
      </c>
      <c r="Q210" s="321" t="s">
        <v>1949</v>
      </c>
      <c r="R210" s="282"/>
      <c r="S210" s="285"/>
      <c r="T210" s="286" t="s">
        <v>2008</v>
      </c>
      <c r="U210" s="285" t="s">
        <v>2009</v>
      </c>
      <c r="V210" s="282">
        <v>16338</v>
      </c>
      <c r="W210" s="331" t="s">
        <v>1035</v>
      </c>
      <c r="X210" s="282">
        <v>12900</v>
      </c>
      <c r="Y210" s="331" t="s">
        <v>1272</v>
      </c>
      <c r="Z210" s="282">
        <v>87100</v>
      </c>
      <c r="AA210" s="285" t="s">
        <v>769</v>
      </c>
      <c r="AB210" s="282">
        <v>450000</v>
      </c>
      <c r="AC210" s="285" t="s">
        <v>2010</v>
      </c>
      <c r="AH210" s="282">
        <f t="shared" si="29"/>
        <v>566338</v>
      </c>
      <c r="AK210" s="287">
        <f t="shared" si="28"/>
        <v>0</v>
      </c>
      <c r="AL210" s="295" t="s">
        <v>2011</v>
      </c>
      <c r="AM210" s="295"/>
      <c r="AN210" s="426"/>
      <c r="AO210" s="426"/>
      <c r="AP210" s="426"/>
      <c r="AQ210" s="288">
        <f>0.4%+0.04%+0.1%+0.04%</f>
        <v>0.0058</v>
      </c>
      <c r="AR210" s="349">
        <f t="shared" si="30"/>
        <v>566338</v>
      </c>
      <c r="AS210" s="282"/>
      <c r="AT210" s="282">
        <v>100</v>
      </c>
      <c r="AU210" s="282"/>
      <c r="AV210" s="282"/>
      <c r="AW210" s="282"/>
      <c r="AX210" s="282"/>
      <c r="AY210" s="158"/>
      <c r="AZ210" s="131"/>
      <c r="BA210" s="282">
        <v>116338</v>
      </c>
      <c r="BB210" s="282"/>
      <c r="BC210" s="282">
        <v>450000</v>
      </c>
      <c r="BD210" s="282"/>
      <c r="BE210" s="282"/>
      <c r="BT210" s="279" t="s">
        <v>205</v>
      </c>
      <c r="BU210" s="279" t="s">
        <v>206</v>
      </c>
    </row>
    <row r="211" s="279" customFormat="1" customHeight="1" spans="1:73">
      <c r="A211" s="279">
        <v>144</v>
      </c>
      <c r="C211" s="279" t="s">
        <v>909</v>
      </c>
      <c r="D211" s="300" t="s">
        <v>2012</v>
      </c>
      <c r="F211" s="295" t="s">
        <v>2013</v>
      </c>
      <c r="G211" s="297" t="s">
        <v>1759</v>
      </c>
      <c r="H211" s="719" t="s">
        <v>2014</v>
      </c>
      <c r="I211" s="313" t="s">
        <v>2015</v>
      </c>
      <c r="J211" s="279">
        <v>107.62</v>
      </c>
      <c r="K211" s="279">
        <v>107.62</v>
      </c>
      <c r="L211" s="279">
        <v>5256.38</v>
      </c>
      <c r="M211" s="317">
        <v>565692</v>
      </c>
      <c r="N211" s="317"/>
      <c r="O211" s="320">
        <v>518983.49</v>
      </c>
      <c r="P211" s="321" t="s">
        <v>2016</v>
      </c>
      <c r="Q211" s="321" t="s">
        <v>1949</v>
      </c>
      <c r="R211" s="282"/>
      <c r="S211" s="285"/>
      <c r="T211" s="286" t="s">
        <v>2017</v>
      </c>
      <c r="U211" s="285" t="s">
        <v>2018</v>
      </c>
      <c r="V211" s="282">
        <v>2000</v>
      </c>
      <c r="W211" s="331">
        <v>44759</v>
      </c>
      <c r="X211" s="282">
        <v>18000</v>
      </c>
      <c r="Y211" s="331" t="s">
        <v>960</v>
      </c>
      <c r="Z211" s="282">
        <v>100692</v>
      </c>
      <c r="AA211" s="331" t="s">
        <v>909</v>
      </c>
      <c r="AB211" s="282">
        <v>50000</v>
      </c>
      <c r="AC211" s="279" t="s">
        <v>2019</v>
      </c>
      <c r="AD211" s="282">
        <v>395000</v>
      </c>
      <c r="AE211" s="285" t="s">
        <v>605</v>
      </c>
      <c r="AH211" s="282">
        <f t="shared" si="29"/>
        <v>565692</v>
      </c>
      <c r="AJ211" s="418"/>
      <c r="AK211" s="287">
        <f t="shared" si="28"/>
        <v>0</v>
      </c>
      <c r="AL211" s="295" t="s">
        <v>2020</v>
      </c>
      <c r="AM211" s="295"/>
      <c r="AN211" s="344">
        <v>636622</v>
      </c>
      <c r="AO211" s="344"/>
      <c r="AP211" s="344"/>
      <c r="AQ211" s="288">
        <f>0.6%+0.04%+0.1%</f>
        <v>0.0074</v>
      </c>
      <c r="AR211" s="349">
        <f t="shared" si="30"/>
        <v>565692</v>
      </c>
      <c r="AS211" s="282"/>
      <c r="AT211" s="282"/>
      <c r="AU211" s="282"/>
      <c r="AV211" s="282">
        <v>170692</v>
      </c>
      <c r="AW211" s="282"/>
      <c r="AX211" s="282"/>
      <c r="AY211" s="158"/>
      <c r="BA211" s="282">
        <v>395000</v>
      </c>
      <c r="BB211" s="282"/>
      <c r="BC211" s="282"/>
      <c r="BD211" s="282"/>
      <c r="BE211" s="282"/>
      <c r="BT211" s="279" t="s">
        <v>205</v>
      </c>
      <c r="BU211" s="279" t="s">
        <v>206</v>
      </c>
    </row>
    <row r="212" s="279" customFormat="1" customHeight="1" spans="1:73">
      <c r="A212" s="279">
        <v>145</v>
      </c>
      <c r="C212" s="279" t="s">
        <v>1136</v>
      </c>
      <c r="D212" s="300" t="s">
        <v>2021</v>
      </c>
      <c r="F212" s="295" t="s">
        <v>2022</v>
      </c>
      <c r="G212" s="299" t="s">
        <v>2023</v>
      </c>
      <c r="H212" s="720" t="s">
        <v>2024</v>
      </c>
      <c r="I212" s="313" t="s">
        <v>2025</v>
      </c>
      <c r="J212" s="279">
        <v>107.62</v>
      </c>
      <c r="K212" s="279">
        <v>107.62</v>
      </c>
      <c r="L212" s="279">
        <v>5605.41</v>
      </c>
      <c r="M212" s="317">
        <v>603254</v>
      </c>
      <c r="N212" s="317"/>
      <c r="O212" s="320">
        <v>553444.04</v>
      </c>
      <c r="P212" s="321" t="s">
        <v>2026</v>
      </c>
      <c r="Q212" s="321" t="s">
        <v>1949</v>
      </c>
      <c r="R212" s="282"/>
      <c r="S212" s="285"/>
      <c r="T212" s="285"/>
      <c r="U212" s="285" t="s">
        <v>1075</v>
      </c>
      <c r="V212" s="282">
        <v>20000</v>
      </c>
      <c r="W212" s="285" t="s">
        <v>1447</v>
      </c>
      <c r="X212" s="282">
        <v>161254</v>
      </c>
      <c r="Y212" s="331" t="s">
        <v>1136</v>
      </c>
      <c r="Z212" s="282">
        <v>422000</v>
      </c>
      <c r="AA212" s="331" t="s">
        <v>756</v>
      </c>
      <c r="AB212" s="282"/>
      <c r="AH212" s="282">
        <f t="shared" si="29"/>
        <v>603254</v>
      </c>
      <c r="AK212" s="287">
        <f t="shared" si="28"/>
        <v>0</v>
      </c>
      <c r="AL212" s="295" t="s">
        <v>2027</v>
      </c>
      <c r="AM212" s="295"/>
      <c r="AN212" s="344"/>
      <c r="AO212" s="344"/>
      <c r="AP212" s="344"/>
      <c r="AQ212" s="288">
        <f>0.6%+0.06%+0.14%</f>
        <v>0.008</v>
      </c>
      <c r="AR212" s="349">
        <f t="shared" si="30"/>
        <v>603254</v>
      </c>
      <c r="AS212" s="282"/>
      <c r="AT212" s="282"/>
      <c r="AU212" s="282"/>
      <c r="AV212" s="282"/>
      <c r="AW212" s="282"/>
      <c r="AX212" s="282"/>
      <c r="AY212" s="158">
        <v>181254</v>
      </c>
      <c r="AZ212" s="131">
        <v>422000</v>
      </c>
      <c r="BA212" s="282"/>
      <c r="BB212" s="282"/>
      <c r="BC212" s="282"/>
      <c r="BD212" s="282"/>
      <c r="BE212" s="282"/>
      <c r="BT212" s="279" t="s">
        <v>205</v>
      </c>
      <c r="BU212" s="279" t="s">
        <v>206</v>
      </c>
    </row>
    <row r="213" s="279" customFormat="1" customHeight="1" spans="1:73">
      <c r="A213" s="279">
        <v>146</v>
      </c>
      <c r="C213" s="279" t="s">
        <v>737</v>
      </c>
      <c r="D213" s="300" t="s">
        <v>2028</v>
      </c>
      <c r="F213" s="295" t="s">
        <v>2029</v>
      </c>
      <c r="G213" s="299" t="s">
        <v>2030</v>
      </c>
      <c r="H213" s="720" t="s">
        <v>2031</v>
      </c>
      <c r="I213" s="313" t="s">
        <v>2032</v>
      </c>
      <c r="J213" s="279">
        <v>107.62</v>
      </c>
      <c r="K213" s="279">
        <v>107.62</v>
      </c>
      <c r="L213" s="279">
        <v>5301.38</v>
      </c>
      <c r="M213" s="317">
        <v>570535</v>
      </c>
      <c r="N213" s="317"/>
      <c r="O213" s="320">
        <v>523426.61</v>
      </c>
      <c r="P213" s="321" t="s">
        <v>2033</v>
      </c>
      <c r="Q213" s="321" t="s">
        <v>1949</v>
      </c>
      <c r="R213" s="282"/>
      <c r="S213" s="285"/>
      <c r="T213" s="286" t="s">
        <v>2034</v>
      </c>
      <c r="U213" s="285" t="s">
        <v>2035</v>
      </c>
      <c r="V213" s="282">
        <v>2000</v>
      </c>
      <c r="W213" s="331">
        <v>44761</v>
      </c>
      <c r="X213" s="282">
        <v>18000</v>
      </c>
      <c r="Y213" s="335" t="s">
        <v>960</v>
      </c>
      <c r="Z213" s="282">
        <v>51535</v>
      </c>
      <c r="AA213" s="279" t="s">
        <v>1315</v>
      </c>
      <c r="AB213" s="282">
        <v>100000</v>
      </c>
      <c r="AC213" s="285" t="s">
        <v>737</v>
      </c>
      <c r="AD213" s="282">
        <v>399000</v>
      </c>
      <c r="AE213" s="285" t="s">
        <v>1079</v>
      </c>
      <c r="AH213" s="282">
        <f t="shared" si="29"/>
        <v>570535</v>
      </c>
      <c r="AK213" s="287">
        <f t="shared" si="28"/>
        <v>0</v>
      </c>
      <c r="AL213" s="295" t="s">
        <v>2036</v>
      </c>
      <c r="AM213" s="295"/>
      <c r="AN213" s="344">
        <v>641886</v>
      </c>
      <c r="AO213" s="344"/>
      <c r="AP213" s="344"/>
      <c r="AQ213" s="288">
        <f>0.6%+0.1%+0.04%</f>
        <v>0.0074</v>
      </c>
      <c r="AR213" s="349">
        <f t="shared" si="30"/>
        <v>570535</v>
      </c>
      <c r="AS213" s="282">
        <f>100</f>
        <v>100</v>
      </c>
      <c r="AT213" s="282"/>
      <c r="AU213" s="282"/>
      <c r="AV213" s="282"/>
      <c r="AW213" s="282"/>
      <c r="AX213" s="282"/>
      <c r="AY213" s="158"/>
      <c r="AZ213" s="131"/>
      <c r="BA213" s="282">
        <v>171535</v>
      </c>
      <c r="BB213" s="282">
        <v>399000</v>
      </c>
      <c r="BC213" s="282"/>
      <c r="BD213" s="282"/>
      <c r="BE213" s="282"/>
      <c r="BT213" s="279" t="s">
        <v>205</v>
      </c>
      <c r="BU213" s="279" t="s">
        <v>206</v>
      </c>
    </row>
    <row r="214" s="279" customFormat="1" customHeight="1" spans="1:73">
      <c r="A214" s="279">
        <v>147</v>
      </c>
      <c r="C214" s="279" t="s">
        <v>1135</v>
      </c>
      <c r="D214" s="300" t="s">
        <v>2037</v>
      </c>
      <c r="F214" s="295" t="s">
        <v>2038</v>
      </c>
      <c r="G214" s="297" t="s">
        <v>2039</v>
      </c>
      <c r="H214" s="719" t="s">
        <v>2040</v>
      </c>
      <c r="I214" s="313" t="s">
        <v>2041</v>
      </c>
      <c r="J214" s="279">
        <v>107.62</v>
      </c>
      <c r="K214" s="279">
        <v>107.62</v>
      </c>
      <c r="L214" s="279">
        <v>5620</v>
      </c>
      <c r="M214" s="317">
        <v>604824</v>
      </c>
      <c r="N214" s="317"/>
      <c r="O214" s="320">
        <v>554884.4</v>
      </c>
      <c r="P214" s="321" t="s">
        <v>2042</v>
      </c>
      <c r="Q214" s="321" t="s">
        <v>1949</v>
      </c>
      <c r="R214" s="282"/>
      <c r="S214" s="285"/>
      <c r="T214" s="285"/>
      <c r="U214" s="285" t="s">
        <v>2043</v>
      </c>
      <c r="V214" s="282">
        <f>20000+164824</f>
        <v>184824</v>
      </c>
      <c r="W214" s="285" t="s">
        <v>1626</v>
      </c>
      <c r="X214" s="282">
        <v>420000</v>
      </c>
      <c r="Y214" s="335" t="s">
        <v>962</v>
      </c>
      <c r="Z214" s="282"/>
      <c r="AA214" s="331"/>
      <c r="AB214" s="282"/>
      <c r="AC214" s="331"/>
      <c r="AD214" s="331"/>
      <c r="AE214" s="331"/>
      <c r="AF214" s="331"/>
      <c r="AG214" s="331"/>
      <c r="AH214" s="282">
        <f t="shared" si="29"/>
        <v>604824</v>
      </c>
      <c r="AK214" s="287">
        <f t="shared" si="28"/>
        <v>0</v>
      </c>
      <c r="AL214" s="295" t="s">
        <v>2044</v>
      </c>
      <c r="AM214" s="295"/>
      <c r="AN214" s="344"/>
      <c r="AO214" s="344"/>
      <c r="AP214" s="344"/>
      <c r="AQ214" s="288">
        <f>0.4%</f>
        <v>0.004</v>
      </c>
      <c r="AR214" s="349">
        <f t="shared" si="30"/>
        <v>604824</v>
      </c>
      <c r="AS214" s="282">
        <v>100</v>
      </c>
      <c r="AT214" s="282"/>
      <c r="AU214" s="282"/>
      <c r="AV214" s="282"/>
      <c r="AW214" s="282"/>
      <c r="AX214" s="282">
        <v>184824</v>
      </c>
      <c r="AY214" s="158">
        <v>420000</v>
      </c>
      <c r="BA214" s="282"/>
      <c r="BB214" s="282"/>
      <c r="BC214" s="282"/>
      <c r="BD214" s="282"/>
      <c r="BE214" s="282"/>
      <c r="BT214" s="279" t="s">
        <v>205</v>
      </c>
      <c r="BU214" s="279" t="s">
        <v>206</v>
      </c>
    </row>
    <row r="215" s="279" customFormat="1" customHeight="1" spans="1:73">
      <c r="A215" s="279">
        <v>148</v>
      </c>
      <c r="C215" s="279" t="s">
        <v>1911</v>
      </c>
      <c r="D215" s="300" t="s">
        <v>2045</v>
      </c>
      <c r="F215" s="385" t="s">
        <v>2046</v>
      </c>
      <c r="G215" s="299" t="s">
        <v>1786</v>
      </c>
      <c r="H215" s="720" t="s">
        <v>2047</v>
      </c>
      <c r="I215" s="316" t="s">
        <v>2048</v>
      </c>
      <c r="J215" s="279">
        <v>107.62</v>
      </c>
      <c r="K215" s="279">
        <v>107.62</v>
      </c>
      <c r="L215" s="279">
        <v>5621.63</v>
      </c>
      <c r="M215" s="317">
        <v>605000</v>
      </c>
      <c r="N215" s="317"/>
      <c r="O215" s="320">
        <v>555045.87</v>
      </c>
      <c r="P215" s="321" t="s">
        <v>2049</v>
      </c>
      <c r="Q215" s="321" t="s">
        <v>1949</v>
      </c>
      <c r="R215" s="282"/>
      <c r="S215" s="285"/>
      <c r="T215" s="285"/>
      <c r="U215" s="285" t="s">
        <v>298</v>
      </c>
      <c r="V215" s="282">
        <v>20000</v>
      </c>
      <c r="W215" s="331" t="s">
        <v>1076</v>
      </c>
      <c r="X215" s="282">
        <f>200000+85000</f>
        <v>285000</v>
      </c>
      <c r="Y215" s="335" t="s">
        <v>2050</v>
      </c>
      <c r="Z215" s="282">
        <v>30000</v>
      </c>
      <c r="AA215" s="331" t="s">
        <v>1911</v>
      </c>
      <c r="AB215" s="282">
        <v>270000</v>
      </c>
      <c r="AC215" s="285" t="s">
        <v>721</v>
      </c>
      <c r="AD215" s="331"/>
      <c r="AE215" s="331"/>
      <c r="AF215" s="331"/>
      <c r="AG215" s="331"/>
      <c r="AH215" s="282">
        <f t="shared" si="29"/>
        <v>605000</v>
      </c>
      <c r="AK215" s="287">
        <f t="shared" si="28"/>
        <v>0</v>
      </c>
      <c r="AL215" s="295" t="s">
        <v>2051</v>
      </c>
      <c r="AM215" s="295"/>
      <c r="AN215" s="344"/>
      <c r="AO215" s="344"/>
      <c r="AP215" s="344"/>
      <c r="AQ215" s="288">
        <f>0.6%+0.04%+0.1%</f>
        <v>0.0074</v>
      </c>
      <c r="AR215" s="349">
        <f t="shared" si="30"/>
        <v>605000</v>
      </c>
      <c r="AS215" s="282"/>
      <c r="AT215" s="282"/>
      <c r="AU215" s="282"/>
      <c r="AV215" s="282"/>
      <c r="AW215" s="282"/>
      <c r="AX215" s="282"/>
      <c r="AY215" s="158"/>
      <c r="AZ215" s="131">
        <v>335000</v>
      </c>
      <c r="BA215" s="282">
        <v>270000</v>
      </c>
      <c r="BB215" s="282"/>
      <c r="BC215" s="282"/>
      <c r="BD215" s="282"/>
      <c r="BE215" s="282"/>
      <c r="BT215" s="279" t="s">
        <v>205</v>
      </c>
      <c r="BU215" s="279" t="s">
        <v>206</v>
      </c>
    </row>
    <row r="216" s="279" customFormat="1" customHeight="1" spans="1:73">
      <c r="A216" s="279">
        <v>149</v>
      </c>
      <c r="C216" s="279" t="s">
        <v>1611</v>
      </c>
      <c r="D216" s="300" t="s">
        <v>2052</v>
      </c>
      <c r="F216" s="295" t="s">
        <v>2053</v>
      </c>
      <c r="G216" s="299" t="s">
        <v>1767</v>
      </c>
      <c r="H216" s="720" t="s">
        <v>2054</v>
      </c>
      <c r="I216" s="313" t="s">
        <v>2055</v>
      </c>
      <c r="J216" s="279">
        <v>107.62</v>
      </c>
      <c r="K216" s="279">
        <v>107.62</v>
      </c>
      <c r="L216" s="279">
        <v>5657.76</v>
      </c>
      <c r="M216" s="317">
        <v>608888</v>
      </c>
      <c r="N216" s="317"/>
      <c r="O216" s="320">
        <v>558612.84</v>
      </c>
      <c r="P216" s="321" t="s">
        <v>2056</v>
      </c>
      <c r="Q216" s="321" t="s">
        <v>1949</v>
      </c>
      <c r="R216" s="282"/>
      <c r="S216" s="285"/>
      <c r="T216" s="285"/>
      <c r="U216" s="285" t="s">
        <v>298</v>
      </c>
      <c r="V216" s="282">
        <v>20000</v>
      </c>
      <c r="W216" s="285" t="s">
        <v>2057</v>
      </c>
      <c r="X216" s="282">
        <v>68888</v>
      </c>
      <c r="Y216" s="335" t="s">
        <v>1306</v>
      </c>
      <c r="Z216" s="282">
        <v>40000</v>
      </c>
      <c r="AA216" s="331" t="s">
        <v>372</v>
      </c>
      <c r="AB216" s="282">
        <v>480000</v>
      </c>
      <c r="AC216" s="285" t="s">
        <v>1071</v>
      </c>
      <c r="AH216" s="282">
        <f t="shared" si="29"/>
        <v>608888</v>
      </c>
      <c r="AK216" s="287">
        <f t="shared" si="28"/>
        <v>0</v>
      </c>
      <c r="AL216" s="295" t="s">
        <v>2058</v>
      </c>
      <c r="AM216" s="295"/>
      <c r="AN216" s="344"/>
      <c r="AO216" s="344"/>
      <c r="AP216" s="344"/>
      <c r="AQ216" s="288">
        <f>0.6%+0.05%+0.14%</f>
        <v>0.0079</v>
      </c>
      <c r="AR216" s="349">
        <f t="shared" si="30"/>
        <v>608888</v>
      </c>
      <c r="AS216" s="282"/>
      <c r="AT216" s="282"/>
      <c r="AU216" s="282"/>
      <c r="AV216" s="282"/>
      <c r="AW216" s="282"/>
      <c r="AX216" s="282"/>
      <c r="AY216" s="158">
        <v>128888</v>
      </c>
      <c r="BA216" s="282"/>
      <c r="BB216" s="282"/>
      <c r="BC216" s="282">
        <v>480000</v>
      </c>
      <c r="BD216" s="282"/>
      <c r="BE216" s="282"/>
      <c r="BT216" s="279" t="s">
        <v>205</v>
      </c>
      <c r="BU216" s="279" t="s">
        <v>206</v>
      </c>
    </row>
    <row r="217" s="279" customFormat="1" customHeight="1" spans="1:73">
      <c r="A217" s="279">
        <v>150</v>
      </c>
      <c r="C217" s="279" t="s">
        <v>2059</v>
      </c>
      <c r="D217" s="300" t="s">
        <v>2060</v>
      </c>
      <c r="F217" s="385" t="s">
        <v>2061</v>
      </c>
      <c r="G217" s="299" t="s">
        <v>2062</v>
      </c>
      <c r="H217" s="720" t="s">
        <v>2063</v>
      </c>
      <c r="I217" s="316" t="s">
        <v>2064</v>
      </c>
      <c r="J217" s="279">
        <v>107.62</v>
      </c>
      <c r="K217" s="279">
        <v>107.62</v>
      </c>
      <c r="L217" s="279">
        <v>5657.76</v>
      </c>
      <c r="M217" s="317">
        <v>608888</v>
      </c>
      <c r="N217" s="317"/>
      <c r="O217" s="320">
        <v>558612.84</v>
      </c>
      <c r="P217" s="321" t="s">
        <v>2065</v>
      </c>
      <c r="Q217" s="321" t="s">
        <v>1949</v>
      </c>
      <c r="R217" s="282"/>
      <c r="S217" s="285"/>
      <c r="T217" s="285"/>
      <c r="U217" s="285" t="s">
        <v>2066</v>
      </c>
      <c r="V217" s="282">
        <v>20000</v>
      </c>
      <c r="W217" s="285" t="s">
        <v>2067</v>
      </c>
      <c r="X217" s="282">
        <v>28888</v>
      </c>
      <c r="Y217" s="335" t="s">
        <v>2059</v>
      </c>
      <c r="Z217" s="282">
        <v>80000</v>
      </c>
      <c r="AA217" s="285" t="s">
        <v>333</v>
      </c>
      <c r="AB217" s="282">
        <v>480000</v>
      </c>
      <c r="AC217" s="285" t="s">
        <v>1051</v>
      </c>
      <c r="AH217" s="282">
        <f t="shared" si="29"/>
        <v>608888</v>
      </c>
      <c r="AK217" s="287">
        <f t="shared" ref="AK217:AK280" si="31">M217-AH217</f>
        <v>0</v>
      </c>
      <c r="AL217" s="295" t="s">
        <v>2068</v>
      </c>
      <c r="AM217" s="295"/>
      <c r="AN217" s="344"/>
      <c r="AO217" s="344"/>
      <c r="AP217" s="344"/>
      <c r="AQ217" s="288">
        <f>0.6%+0.06%+0.14%</f>
        <v>0.008</v>
      </c>
      <c r="AR217" s="349">
        <f t="shared" si="30"/>
        <v>608888</v>
      </c>
      <c r="AS217" s="282"/>
      <c r="AT217" s="282"/>
      <c r="AU217" s="282"/>
      <c r="AV217" s="282"/>
      <c r="AW217" s="282"/>
      <c r="AX217" s="282"/>
      <c r="AY217" s="158"/>
      <c r="BA217" s="282"/>
      <c r="BB217" s="282">
        <v>128888</v>
      </c>
      <c r="BC217" s="282"/>
      <c r="BD217" s="282"/>
      <c r="BE217" s="282">
        <v>480000</v>
      </c>
      <c r="BT217" s="279" t="s">
        <v>205</v>
      </c>
      <c r="BU217" s="279" t="s">
        <v>206</v>
      </c>
    </row>
    <row r="218" s="279" customFormat="1" customHeight="1" spans="1:73">
      <c r="A218" s="279">
        <v>151</v>
      </c>
      <c r="C218" s="279" t="s">
        <v>2069</v>
      </c>
      <c r="D218" s="300" t="s">
        <v>2070</v>
      </c>
      <c r="F218" s="295" t="s">
        <v>2071</v>
      </c>
      <c r="G218" s="279" t="s">
        <v>2072</v>
      </c>
      <c r="H218" s="717" t="s">
        <v>2073</v>
      </c>
      <c r="I218" s="313" t="s">
        <v>2074</v>
      </c>
      <c r="J218" s="279">
        <v>107.62</v>
      </c>
      <c r="K218" s="279">
        <v>107.62</v>
      </c>
      <c r="L218" s="279">
        <v>5950</v>
      </c>
      <c r="M218" s="317">
        <v>640339</v>
      </c>
      <c r="N218" s="317">
        <v>5948.42</v>
      </c>
      <c r="O218" s="320">
        <v>587466.97</v>
      </c>
      <c r="P218" s="321" t="s">
        <v>2075</v>
      </c>
      <c r="Q218" s="321" t="s">
        <v>1949</v>
      </c>
      <c r="R218" s="282"/>
      <c r="S218" s="285"/>
      <c r="T218" s="299"/>
      <c r="U218" s="285" t="s">
        <v>422</v>
      </c>
      <c r="V218" s="282">
        <v>20000</v>
      </c>
      <c r="W218" s="285" t="s">
        <v>1078</v>
      </c>
      <c r="X218" s="282">
        <v>280339</v>
      </c>
      <c r="Y218" s="335" t="s">
        <v>2069</v>
      </c>
      <c r="Z218" s="282">
        <v>340000</v>
      </c>
      <c r="AA218" s="285" t="s">
        <v>2076</v>
      </c>
      <c r="AB218" s="282"/>
      <c r="AH218" s="282">
        <f t="shared" si="29"/>
        <v>640339</v>
      </c>
      <c r="AK218" s="287">
        <f t="shared" si="31"/>
        <v>0</v>
      </c>
      <c r="AL218" s="295" t="s">
        <v>2077</v>
      </c>
      <c r="AM218" s="295"/>
      <c r="AN218" s="344"/>
      <c r="AO218" s="344"/>
      <c r="AP218" s="344"/>
      <c r="AQ218" s="427">
        <f>0.7%+0.05%+0.12%</f>
        <v>0.0087</v>
      </c>
      <c r="AR218" s="349">
        <f t="shared" si="30"/>
        <v>640339</v>
      </c>
      <c r="AS218" s="282"/>
      <c r="AT218" s="282"/>
      <c r="AU218" s="282"/>
      <c r="AV218" s="282"/>
      <c r="AW218" s="282"/>
      <c r="AX218" s="282"/>
      <c r="AY218" s="158"/>
      <c r="BA218" s="282"/>
      <c r="BB218" s="282">
        <v>300339</v>
      </c>
      <c r="BC218" s="282"/>
      <c r="BD218" s="282"/>
      <c r="BE218" s="282">
        <v>340000</v>
      </c>
      <c r="BT218" s="279" t="s">
        <v>205</v>
      </c>
      <c r="BU218" s="279" t="s">
        <v>206</v>
      </c>
    </row>
    <row r="219" s="279" customFormat="1" customHeight="1" spans="1:73">
      <c r="A219" s="279">
        <v>152</v>
      </c>
      <c r="C219" s="279" t="s">
        <v>1136</v>
      </c>
      <c r="D219" s="300" t="s">
        <v>2078</v>
      </c>
      <c r="F219" s="295" t="s">
        <v>2079</v>
      </c>
      <c r="G219" s="299" t="s">
        <v>2080</v>
      </c>
      <c r="H219" s="720" t="s">
        <v>2081</v>
      </c>
      <c r="I219" s="316" t="s">
        <v>2082</v>
      </c>
      <c r="J219" s="279">
        <v>107.62</v>
      </c>
      <c r="K219" s="279">
        <v>107.62</v>
      </c>
      <c r="L219" s="279">
        <v>5965.4</v>
      </c>
      <c r="M219" s="317">
        <v>642000</v>
      </c>
      <c r="N219" s="317">
        <v>5942.22</v>
      </c>
      <c r="O219" s="320">
        <v>588990.83</v>
      </c>
      <c r="P219" s="321" t="s">
        <v>2083</v>
      </c>
      <c r="Q219" s="321" t="s">
        <v>1949</v>
      </c>
      <c r="R219" s="282"/>
      <c r="S219" s="285"/>
      <c r="T219" s="285"/>
      <c r="U219" s="285" t="s">
        <v>211</v>
      </c>
      <c r="V219" s="282">
        <v>20000</v>
      </c>
      <c r="W219" s="285" t="s">
        <v>1211</v>
      </c>
      <c r="X219" s="282">
        <v>322000</v>
      </c>
      <c r="Y219" s="335" t="s">
        <v>1136</v>
      </c>
      <c r="Z219" s="282">
        <v>300000</v>
      </c>
      <c r="AA219" s="285" t="s">
        <v>1328</v>
      </c>
      <c r="AB219" s="282"/>
      <c r="AH219" s="282">
        <f t="shared" si="29"/>
        <v>642000</v>
      </c>
      <c r="AK219" s="287">
        <f t="shared" si="31"/>
        <v>0</v>
      </c>
      <c r="AL219" s="295" t="s">
        <v>2084</v>
      </c>
      <c r="AM219" s="295"/>
      <c r="AN219" s="344"/>
      <c r="AO219" s="344"/>
      <c r="AP219" s="344"/>
      <c r="AQ219" s="288">
        <f>0.6%+0.05%+0.14%</f>
        <v>0.0079</v>
      </c>
      <c r="AR219" s="349">
        <f t="shared" si="30"/>
        <v>642000</v>
      </c>
      <c r="AS219" s="282"/>
      <c r="AT219" s="282"/>
      <c r="AU219" s="282"/>
      <c r="AV219" s="282"/>
      <c r="AW219" s="282"/>
      <c r="AX219" s="282"/>
      <c r="AY219" s="158">
        <v>342000</v>
      </c>
      <c r="BA219" s="282"/>
      <c r="BB219" s="282">
        <v>300000</v>
      </c>
      <c r="BC219" s="282"/>
      <c r="BD219" s="282"/>
      <c r="BE219" s="282"/>
      <c r="BT219" s="279" t="s">
        <v>205</v>
      </c>
      <c r="BU219" s="279" t="s">
        <v>206</v>
      </c>
    </row>
    <row r="220" s="279" customFormat="1" customHeight="1" spans="1:73">
      <c r="A220" s="279">
        <v>153</v>
      </c>
      <c r="C220" s="279" t="s">
        <v>1003</v>
      </c>
      <c r="D220" s="300" t="s">
        <v>2085</v>
      </c>
      <c r="F220" s="295" t="s">
        <v>2086</v>
      </c>
      <c r="G220" s="299" t="s">
        <v>2087</v>
      </c>
      <c r="H220" s="720" t="s">
        <v>2088</v>
      </c>
      <c r="I220" s="313" t="s">
        <v>2089</v>
      </c>
      <c r="J220" s="279">
        <v>107.62</v>
      </c>
      <c r="K220" s="279">
        <v>107.62</v>
      </c>
      <c r="L220" s="279">
        <v>7116</v>
      </c>
      <c r="M220" s="344">
        <f>K220*L220</f>
        <v>765823.92</v>
      </c>
      <c r="N220" s="317">
        <v>6966</v>
      </c>
      <c r="O220" s="320"/>
      <c r="P220" s="321"/>
      <c r="Q220" s="321"/>
      <c r="R220" s="282"/>
      <c r="S220" s="285"/>
      <c r="T220" s="285"/>
      <c r="U220" s="285" t="s">
        <v>1811</v>
      </c>
      <c r="V220" s="282">
        <f>20000+135824</f>
        <v>155824</v>
      </c>
      <c r="W220" s="285" t="s">
        <v>1974</v>
      </c>
      <c r="X220" s="282">
        <v>610000</v>
      </c>
      <c r="Y220" s="285" t="s">
        <v>2090</v>
      </c>
      <c r="Z220" s="282"/>
      <c r="AA220" s="331"/>
      <c r="AB220" s="282"/>
      <c r="AC220" s="331"/>
      <c r="AD220" s="331"/>
      <c r="AE220" s="331"/>
      <c r="AF220" s="331"/>
      <c r="AG220" s="331"/>
      <c r="AH220" s="282">
        <f t="shared" si="29"/>
        <v>765824</v>
      </c>
      <c r="AK220" s="287">
        <f t="shared" si="31"/>
        <v>-0.0799999999580905</v>
      </c>
      <c r="AL220" s="295" t="s">
        <v>2091</v>
      </c>
      <c r="AM220" s="295"/>
      <c r="AN220" s="344"/>
      <c r="AO220" s="344"/>
      <c r="AP220" s="344"/>
      <c r="AQ220" s="288">
        <f>0.6%+0.03%+0.14%</f>
        <v>0.0077</v>
      </c>
      <c r="AR220" s="349">
        <f t="shared" si="30"/>
        <v>765824</v>
      </c>
      <c r="AS220" s="282"/>
      <c r="AT220" s="282"/>
      <c r="AU220" s="282"/>
      <c r="AV220" s="282"/>
      <c r="AW220" s="282"/>
      <c r="AX220" s="282"/>
      <c r="AY220" s="158"/>
      <c r="BA220" s="282">
        <v>155824</v>
      </c>
      <c r="BB220" s="282"/>
      <c r="BC220" s="282">
        <v>610000</v>
      </c>
      <c r="BD220" s="282"/>
      <c r="BE220" s="282"/>
      <c r="BT220" s="279" t="s">
        <v>205</v>
      </c>
      <c r="BU220" s="279" t="s">
        <v>206</v>
      </c>
    </row>
    <row r="221" s="279" customFormat="1" customHeight="1" spans="1:73">
      <c r="A221" s="279">
        <v>154</v>
      </c>
      <c r="C221" s="279" t="s">
        <v>1826</v>
      </c>
      <c r="D221" s="300" t="s">
        <v>2092</v>
      </c>
      <c r="F221" s="295" t="s">
        <v>2093</v>
      </c>
      <c r="G221" s="297" t="s">
        <v>2094</v>
      </c>
      <c r="H221" s="719" t="s">
        <v>2095</v>
      </c>
      <c r="I221" s="316" t="s">
        <v>2096</v>
      </c>
      <c r="J221" s="279">
        <v>107.62</v>
      </c>
      <c r="K221" s="279">
        <v>107.62</v>
      </c>
      <c r="L221" s="279">
        <v>6968.96</v>
      </c>
      <c r="M221" s="317">
        <v>750000</v>
      </c>
      <c r="N221" s="317">
        <v>6958</v>
      </c>
      <c r="O221" s="320"/>
      <c r="P221" s="321"/>
      <c r="Q221" s="321"/>
      <c r="R221" s="282"/>
      <c r="S221" s="285"/>
      <c r="T221" s="285"/>
      <c r="U221" s="285" t="s">
        <v>226</v>
      </c>
      <c r="V221" s="282">
        <v>20000</v>
      </c>
      <c r="W221" s="285" t="s">
        <v>456</v>
      </c>
      <c r="X221" s="282">
        <f>45000+55000</f>
        <v>100000</v>
      </c>
      <c r="Y221" s="335" t="s">
        <v>1826</v>
      </c>
      <c r="Z221" s="282">
        <v>30000</v>
      </c>
      <c r="AA221" s="279" t="s">
        <v>1200</v>
      </c>
      <c r="AB221" s="282">
        <v>600000</v>
      </c>
      <c r="AC221" s="285" t="s">
        <v>325</v>
      </c>
      <c r="AH221" s="282">
        <f t="shared" si="29"/>
        <v>750000</v>
      </c>
      <c r="AK221" s="287">
        <f t="shared" si="31"/>
        <v>0</v>
      </c>
      <c r="AL221" s="295" t="s">
        <v>2097</v>
      </c>
      <c r="AM221" s="295"/>
      <c r="AN221" s="344"/>
      <c r="AO221" s="344"/>
      <c r="AP221" s="344"/>
      <c r="AQ221" s="161">
        <f>0.7%+0.04%+0.12%</f>
        <v>0.0086</v>
      </c>
      <c r="AR221" s="349">
        <f t="shared" si="30"/>
        <v>750000</v>
      </c>
      <c r="AS221" s="282"/>
      <c r="AT221" s="282"/>
      <c r="AU221" s="282"/>
      <c r="AV221" s="282"/>
      <c r="AW221" s="282"/>
      <c r="AX221" s="282"/>
      <c r="AY221" s="158"/>
      <c r="BA221" s="282"/>
      <c r="BB221" s="282"/>
      <c r="BC221" s="282"/>
      <c r="BD221" s="282"/>
      <c r="BE221" s="282"/>
      <c r="BG221" s="279">
        <v>150000</v>
      </c>
      <c r="BI221" s="279">
        <v>600000</v>
      </c>
      <c r="BT221" s="279" t="s">
        <v>205</v>
      </c>
      <c r="BU221" s="279" t="s">
        <v>206</v>
      </c>
    </row>
    <row r="222" s="278" customFormat="1" customHeight="1" spans="1:72">
      <c r="A222" s="278">
        <v>155</v>
      </c>
      <c r="D222" s="366"/>
      <c r="E222" s="278" t="s">
        <v>2098</v>
      </c>
      <c r="G222" s="368"/>
      <c r="H222" s="368"/>
      <c r="I222" s="370" t="s">
        <v>2099</v>
      </c>
      <c r="J222" s="278">
        <v>107.42</v>
      </c>
      <c r="M222" s="390"/>
      <c r="N222" s="278">
        <v>8639.36</v>
      </c>
      <c r="O222" s="414"/>
      <c r="P222" s="372"/>
      <c r="Q222" s="372"/>
      <c r="R222" s="103"/>
      <c r="S222" s="328"/>
      <c r="T222" s="328"/>
      <c r="U222" s="328"/>
      <c r="V222" s="103"/>
      <c r="W222" s="328"/>
      <c r="X222" s="103"/>
      <c r="Y222" s="104"/>
      <c r="Z222" s="103"/>
      <c r="AA222" s="104"/>
      <c r="AB222" s="103"/>
      <c r="AC222" s="104"/>
      <c r="AD222" s="104"/>
      <c r="AE222" s="104"/>
      <c r="AF222" s="104"/>
      <c r="AG222" s="104"/>
      <c r="AH222" s="103">
        <f t="shared" si="29"/>
        <v>0</v>
      </c>
      <c r="AK222" s="342">
        <f t="shared" si="31"/>
        <v>0</v>
      </c>
      <c r="AL222" s="367"/>
      <c r="AM222" s="367"/>
      <c r="AN222" s="380"/>
      <c r="AO222" s="380"/>
      <c r="AP222" s="380"/>
      <c r="AQ222" s="381">
        <f>0.4%+0.05%+0.14%</f>
        <v>0.0059</v>
      </c>
      <c r="AR222" s="348">
        <f t="shared" si="30"/>
        <v>0</v>
      </c>
      <c r="AS222" s="103">
        <v>100</v>
      </c>
      <c r="AT222" s="103"/>
      <c r="AU222" s="103"/>
      <c r="AV222" s="103"/>
      <c r="AW222" s="103"/>
      <c r="AX222" s="103"/>
      <c r="AY222" s="168"/>
      <c r="AZ222" s="89"/>
      <c r="BA222" s="103"/>
      <c r="BB222" s="103"/>
      <c r="BC222" s="103"/>
      <c r="BD222" s="103"/>
      <c r="BE222" s="103"/>
      <c r="BP222" s="59"/>
      <c r="BT222" s="278" t="s">
        <v>205</v>
      </c>
    </row>
    <row r="223" s="279" customFormat="1" customHeight="1" spans="1:73">
      <c r="A223" s="279">
        <v>156</v>
      </c>
      <c r="C223" s="279" t="s">
        <v>259</v>
      </c>
      <c r="D223" s="300" t="s">
        <v>2100</v>
      </c>
      <c r="F223" s="295" t="s">
        <v>2101</v>
      </c>
      <c r="G223" s="299" t="s">
        <v>2102</v>
      </c>
      <c r="H223" s="299"/>
      <c r="I223" s="316" t="s">
        <v>2103</v>
      </c>
      <c r="J223" s="279">
        <v>107.98</v>
      </c>
      <c r="K223" s="279">
        <v>107.98</v>
      </c>
      <c r="L223" s="279">
        <v>7992.01</v>
      </c>
      <c r="M223" s="317">
        <v>862977</v>
      </c>
      <c r="N223" s="317"/>
      <c r="O223" s="320">
        <v>791722.02</v>
      </c>
      <c r="P223" s="321" t="s">
        <v>2104</v>
      </c>
      <c r="Q223" s="321" t="s">
        <v>2105</v>
      </c>
      <c r="R223" s="282"/>
      <c r="S223" s="285"/>
      <c r="T223" s="285"/>
      <c r="U223" s="285" t="s">
        <v>211</v>
      </c>
      <c r="V223" s="282">
        <v>2977</v>
      </c>
      <c r="W223" s="331" t="s">
        <v>259</v>
      </c>
      <c r="X223" s="282">
        <v>187000</v>
      </c>
      <c r="Y223" s="335" t="s">
        <v>1611</v>
      </c>
      <c r="Z223" s="282">
        <v>673000</v>
      </c>
      <c r="AA223" s="279" t="s">
        <v>727</v>
      </c>
      <c r="AB223" s="282"/>
      <c r="AH223" s="282">
        <f t="shared" si="29"/>
        <v>862977</v>
      </c>
      <c r="AK223" s="287">
        <f t="shared" si="31"/>
        <v>0</v>
      </c>
      <c r="AL223" s="295" t="s">
        <v>2106</v>
      </c>
      <c r="AM223" s="295"/>
      <c r="AN223" s="344"/>
      <c r="AO223" s="344"/>
      <c r="AP223" s="344"/>
      <c r="AQ223" s="288">
        <f>0.6%+0.05%+0.14%</f>
        <v>0.0079</v>
      </c>
      <c r="AR223" s="349">
        <f t="shared" si="30"/>
        <v>862977</v>
      </c>
      <c r="AS223" s="282"/>
      <c r="AT223" s="282"/>
      <c r="AU223" s="282"/>
      <c r="AV223" s="282"/>
      <c r="AW223" s="282"/>
      <c r="AX223" s="282"/>
      <c r="AY223" s="158">
        <v>189977</v>
      </c>
      <c r="BA223" s="282">
        <v>673000</v>
      </c>
      <c r="BB223" s="282"/>
      <c r="BC223" s="282"/>
      <c r="BD223" s="282"/>
      <c r="BE223" s="282"/>
      <c r="BT223" s="279" t="s">
        <v>205</v>
      </c>
      <c r="BU223" s="279" t="s">
        <v>206</v>
      </c>
    </row>
    <row r="224" s="59" customFormat="1" customHeight="1" spans="1:57">
      <c r="A224" s="386">
        <v>157</v>
      </c>
      <c r="B224" s="278"/>
      <c r="C224" s="278"/>
      <c r="D224" s="278"/>
      <c r="E224" s="278" t="s">
        <v>2107</v>
      </c>
      <c r="F224" s="367"/>
      <c r="G224" s="412"/>
      <c r="H224" s="368"/>
      <c r="I224" s="413" t="s">
        <v>2108</v>
      </c>
      <c r="J224" s="278">
        <v>107.62</v>
      </c>
      <c r="K224" s="278"/>
      <c r="L224" s="278"/>
      <c r="M224" s="103"/>
      <c r="N224" s="278">
        <v>5883.35</v>
      </c>
      <c r="O224" s="414"/>
      <c r="P224" s="393"/>
      <c r="Q224" s="393"/>
      <c r="R224" s="394"/>
      <c r="S224" s="419"/>
      <c r="T224" s="328"/>
      <c r="U224" s="328"/>
      <c r="V224" s="103"/>
      <c r="W224" s="421"/>
      <c r="X224" s="103"/>
      <c r="Y224" s="338"/>
      <c r="Z224" s="103"/>
      <c r="AA224" s="425"/>
      <c r="AB224" s="103"/>
      <c r="AC224" s="278"/>
      <c r="AD224" s="278"/>
      <c r="AE224" s="278"/>
      <c r="AF224" s="278"/>
      <c r="AG224" s="278"/>
      <c r="AH224" s="282">
        <f t="shared" si="29"/>
        <v>0</v>
      </c>
      <c r="AI224" s="278"/>
      <c r="AJ224" s="278"/>
      <c r="AK224" s="342">
        <f t="shared" si="31"/>
        <v>0</v>
      </c>
      <c r="AL224" s="367"/>
      <c r="AM224" s="367"/>
      <c r="AN224" s="404"/>
      <c r="AO224" s="404"/>
      <c r="AP224" s="404"/>
      <c r="AQ224" s="405"/>
      <c r="AR224" s="348">
        <f t="shared" si="30"/>
        <v>0</v>
      </c>
      <c r="AS224" s="406"/>
      <c r="AT224" s="406"/>
      <c r="AU224" s="406"/>
      <c r="AV224" s="406"/>
      <c r="AW224" s="406"/>
      <c r="AX224" s="406"/>
      <c r="AY224" s="429"/>
      <c r="BA224" s="406"/>
      <c r="BB224" s="406"/>
      <c r="BC224" s="406"/>
      <c r="BD224" s="406"/>
      <c r="BE224" s="406"/>
    </row>
    <row r="225" s="279" customFormat="1" customHeight="1" spans="1:73">
      <c r="A225" s="279">
        <v>158</v>
      </c>
      <c r="C225" s="331">
        <v>45417</v>
      </c>
      <c r="D225" s="300" t="s">
        <v>2109</v>
      </c>
      <c r="F225" s="295" t="s">
        <v>2110</v>
      </c>
      <c r="G225" s="299" t="s">
        <v>2111</v>
      </c>
      <c r="H225" s="720" t="s">
        <v>2112</v>
      </c>
      <c r="I225" s="316" t="s">
        <v>2113</v>
      </c>
      <c r="J225" s="279">
        <v>107.98</v>
      </c>
      <c r="K225" s="279">
        <v>107.98</v>
      </c>
      <c r="L225" s="279">
        <v>5600</v>
      </c>
      <c r="M225" s="317">
        <v>604688</v>
      </c>
      <c r="N225" s="317">
        <v>5518.93</v>
      </c>
      <c r="O225" s="320">
        <v>554759.63</v>
      </c>
      <c r="P225" s="321" t="s">
        <v>2114</v>
      </c>
      <c r="Q225" s="321" t="s">
        <v>2115</v>
      </c>
      <c r="R225" s="282"/>
      <c r="S225" s="285"/>
      <c r="T225" s="285"/>
      <c r="U225" s="285" t="s">
        <v>411</v>
      </c>
      <c r="V225" s="282">
        <v>20000</v>
      </c>
      <c r="W225" s="285" t="s">
        <v>203</v>
      </c>
      <c r="X225" s="282">
        <v>184688</v>
      </c>
      <c r="Y225" s="285" t="s">
        <v>687</v>
      </c>
      <c r="Z225" s="282">
        <v>400000</v>
      </c>
      <c r="AA225" s="285" t="s">
        <v>2116</v>
      </c>
      <c r="AB225" s="282"/>
      <c r="AH225" s="282">
        <f t="shared" ref="AH225:AH256" si="32">V225+X225+Z225+AB225+AD225+AF225</f>
        <v>604688</v>
      </c>
      <c r="AK225" s="287">
        <f t="shared" si="31"/>
        <v>0</v>
      </c>
      <c r="AL225" s="295" t="s">
        <v>2117</v>
      </c>
      <c r="AM225" s="295"/>
      <c r="AN225" s="344"/>
      <c r="AO225" s="344"/>
      <c r="AP225" s="344"/>
      <c r="AQ225" s="161">
        <f>0.7%+0.12%</f>
        <v>0.0082</v>
      </c>
      <c r="AR225" s="349">
        <f t="shared" si="30"/>
        <v>604688</v>
      </c>
      <c r="AS225" s="282"/>
      <c r="AT225" s="282">
        <v>100</v>
      </c>
      <c r="AU225" s="282"/>
      <c r="AV225" s="282"/>
      <c r="AW225" s="282"/>
      <c r="AX225" s="282"/>
      <c r="AY225" s="158"/>
      <c r="BA225" s="282"/>
      <c r="BB225" s="282"/>
      <c r="BC225" s="282"/>
      <c r="BD225" s="282"/>
      <c r="BE225" s="282"/>
      <c r="BK225" s="279">
        <v>204688</v>
      </c>
      <c r="BL225" s="279">
        <v>400000</v>
      </c>
      <c r="BT225" s="279" t="s">
        <v>205</v>
      </c>
      <c r="BU225" s="279" t="s">
        <v>206</v>
      </c>
    </row>
    <row r="226" s="279" customFormat="1" customHeight="1" spans="1:73">
      <c r="A226" s="279">
        <v>159</v>
      </c>
      <c r="C226" s="279" t="s">
        <v>462</v>
      </c>
      <c r="D226" s="298" t="s">
        <v>2118</v>
      </c>
      <c r="F226" s="295" t="s">
        <v>2119</v>
      </c>
      <c r="G226" s="299" t="s">
        <v>1788</v>
      </c>
      <c r="H226" s="720" t="s">
        <v>2120</v>
      </c>
      <c r="I226" s="313" t="s">
        <v>2121</v>
      </c>
      <c r="J226" s="279">
        <v>107.62</v>
      </c>
      <c r="K226" s="279">
        <v>107.62</v>
      </c>
      <c r="L226" s="418">
        <v>5650</v>
      </c>
      <c r="M226" s="317">
        <v>608053</v>
      </c>
      <c r="N226" s="317">
        <v>5582.31</v>
      </c>
      <c r="O226" s="320">
        <v>557846.79</v>
      </c>
      <c r="P226" s="321" t="s">
        <v>2122</v>
      </c>
      <c r="Q226" s="321" t="s">
        <v>2115</v>
      </c>
      <c r="R226" s="282"/>
      <c r="S226" s="285"/>
      <c r="T226" s="285"/>
      <c r="U226" s="285" t="s">
        <v>217</v>
      </c>
      <c r="V226" s="282">
        <v>20000</v>
      </c>
      <c r="W226" s="285" t="s">
        <v>2123</v>
      </c>
      <c r="X226" s="282">
        <v>102053</v>
      </c>
      <c r="Y226" s="285" t="s">
        <v>462</v>
      </c>
      <c r="Z226" s="282">
        <v>486000</v>
      </c>
      <c r="AA226" s="285" t="s">
        <v>677</v>
      </c>
      <c r="AB226" s="282"/>
      <c r="AC226" s="331"/>
      <c r="AD226" s="331"/>
      <c r="AE226" s="331"/>
      <c r="AF226" s="331"/>
      <c r="AG226" s="331"/>
      <c r="AH226" s="282">
        <f t="shared" si="32"/>
        <v>608053</v>
      </c>
      <c r="AK226" s="287">
        <f t="shared" si="31"/>
        <v>0</v>
      </c>
      <c r="AL226" s="295" t="s">
        <v>2124</v>
      </c>
      <c r="AM226" s="295"/>
      <c r="AN226" s="344"/>
      <c r="AO226" s="344"/>
      <c r="AP226" s="344"/>
      <c r="AQ226" s="288">
        <f>0.4%+0.02%+0.12%</f>
        <v>0.0054</v>
      </c>
      <c r="AR226" s="349">
        <f t="shared" si="30"/>
        <v>608053</v>
      </c>
      <c r="AS226" s="282">
        <f>100</f>
        <v>100</v>
      </c>
      <c r="AT226" s="282"/>
      <c r="AU226" s="282"/>
      <c r="AV226" s="282"/>
      <c r="AW226" s="282"/>
      <c r="AX226" s="282"/>
      <c r="AY226" s="158"/>
      <c r="BA226" s="282"/>
      <c r="BB226" s="282"/>
      <c r="BC226" s="282">
        <v>122053</v>
      </c>
      <c r="BD226" s="282">
        <v>486000</v>
      </c>
      <c r="BE226" s="282"/>
      <c r="BT226" s="279" t="s">
        <v>205</v>
      </c>
      <c r="BU226" s="279" t="s">
        <v>206</v>
      </c>
    </row>
    <row r="227" s="279" customFormat="1" customHeight="1" spans="1:73">
      <c r="A227" s="279">
        <v>160</v>
      </c>
      <c r="C227" s="279" t="s">
        <v>2125</v>
      </c>
      <c r="D227" s="300" t="s">
        <v>2126</v>
      </c>
      <c r="F227" s="295" t="s">
        <v>2127</v>
      </c>
      <c r="G227" s="299" t="s">
        <v>2128</v>
      </c>
      <c r="H227" s="720" t="s">
        <v>2129</v>
      </c>
      <c r="I227" s="313" t="s">
        <v>2130</v>
      </c>
      <c r="J227" s="279">
        <v>107.98</v>
      </c>
      <c r="K227" s="279">
        <v>107.98</v>
      </c>
      <c r="L227" s="279">
        <v>5649</v>
      </c>
      <c r="M227" s="344">
        <v>609979</v>
      </c>
      <c r="N227" s="317">
        <v>5570.89</v>
      </c>
      <c r="O227" s="320">
        <v>559613.76</v>
      </c>
      <c r="P227" s="321" t="s">
        <v>2131</v>
      </c>
      <c r="Q227" s="321" t="s">
        <v>2115</v>
      </c>
      <c r="R227" s="282"/>
      <c r="S227" s="285"/>
      <c r="T227" s="285"/>
      <c r="U227" s="285" t="s">
        <v>298</v>
      </c>
      <c r="V227" s="282">
        <v>20000</v>
      </c>
      <c r="W227" s="285" t="s">
        <v>2132</v>
      </c>
      <c r="X227" s="282">
        <v>109979</v>
      </c>
      <c r="Y227" s="285" t="s">
        <v>2125</v>
      </c>
      <c r="Z227" s="282">
        <v>480000</v>
      </c>
      <c r="AA227" s="279" t="s">
        <v>686</v>
      </c>
      <c r="AB227" s="282"/>
      <c r="AH227" s="282">
        <f t="shared" si="32"/>
        <v>609979</v>
      </c>
      <c r="AK227" s="287">
        <f t="shared" si="31"/>
        <v>0</v>
      </c>
      <c r="AL227" s="295" t="s">
        <v>2133</v>
      </c>
      <c r="AM227" s="295"/>
      <c r="AN227" s="344"/>
      <c r="AO227" s="344"/>
      <c r="AP227" s="344"/>
      <c r="AQ227" s="288">
        <f>0.5%+0.05%+0.12%</f>
        <v>0.0067</v>
      </c>
      <c r="AR227" s="349">
        <f t="shared" si="30"/>
        <v>609979</v>
      </c>
      <c r="AS227" s="282"/>
      <c r="AT227" s="282"/>
      <c r="AU227" s="282"/>
      <c r="AV227" s="282"/>
      <c r="AW227" s="282"/>
      <c r="AX227" s="282"/>
      <c r="AY227" s="158"/>
      <c r="BA227" s="282"/>
      <c r="BB227" s="282"/>
      <c r="BC227" s="282">
        <v>129979</v>
      </c>
      <c r="BD227" s="282">
        <v>480000</v>
      </c>
      <c r="BE227" s="282"/>
      <c r="BT227" s="279" t="s">
        <v>205</v>
      </c>
      <c r="BU227" s="279" t="s">
        <v>206</v>
      </c>
    </row>
    <row r="228" s="279" customFormat="1" customHeight="1" spans="1:73">
      <c r="A228" s="279">
        <v>161</v>
      </c>
      <c r="C228" s="279" t="s">
        <v>744</v>
      </c>
      <c r="D228" s="300" t="s">
        <v>2134</v>
      </c>
      <c r="F228" s="295" t="s">
        <v>2135</v>
      </c>
      <c r="G228" s="299" t="s">
        <v>2136</v>
      </c>
      <c r="H228" s="720" t="s">
        <v>2137</v>
      </c>
      <c r="I228" s="313" t="s">
        <v>2138</v>
      </c>
      <c r="J228" s="279">
        <v>107.62</v>
      </c>
      <c r="K228" s="279">
        <v>107.62</v>
      </c>
      <c r="L228" s="279">
        <v>5723.84</v>
      </c>
      <c r="M228" s="344">
        <v>616000</v>
      </c>
      <c r="N228" s="317">
        <v>5643.32</v>
      </c>
      <c r="O228" s="320">
        <v>565137.61</v>
      </c>
      <c r="P228" s="321" t="s">
        <v>2139</v>
      </c>
      <c r="Q228" s="321" t="s">
        <v>2115</v>
      </c>
      <c r="R228" s="282"/>
      <c r="S228" s="285"/>
      <c r="T228" s="285"/>
      <c r="U228" s="285" t="s">
        <v>422</v>
      </c>
      <c r="V228" s="282">
        <v>10000</v>
      </c>
      <c r="W228" s="285" t="s">
        <v>2140</v>
      </c>
      <c r="X228" s="282">
        <f>206000+80000</f>
        <v>286000</v>
      </c>
      <c r="Y228" s="285" t="s">
        <v>776</v>
      </c>
      <c r="Z228" s="282">
        <v>320000</v>
      </c>
      <c r="AA228" s="285" t="s">
        <v>2141</v>
      </c>
      <c r="AB228" s="282"/>
      <c r="AH228" s="282">
        <f t="shared" si="32"/>
        <v>616000</v>
      </c>
      <c r="AK228" s="287">
        <f t="shared" si="31"/>
        <v>0</v>
      </c>
      <c r="AL228" s="295" t="s">
        <v>2142</v>
      </c>
      <c r="AM228" s="295"/>
      <c r="AN228" s="344"/>
      <c r="AO228" s="344"/>
      <c r="AP228" s="344"/>
      <c r="AQ228" s="288">
        <f>0.4%+0.02%+0.08%</f>
        <v>0.005</v>
      </c>
      <c r="AR228" s="349">
        <f t="shared" si="30"/>
        <v>616000</v>
      </c>
      <c r="AS228" s="282"/>
      <c r="AT228" s="282"/>
      <c r="AU228" s="282"/>
      <c r="AV228" s="282"/>
      <c r="AW228" s="282"/>
      <c r="AX228" s="282"/>
      <c r="AY228" s="158"/>
      <c r="AZ228" s="131"/>
      <c r="BA228" s="282">
        <v>296000</v>
      </c>
      <c r="BB228" s="282">
        <v>320000</v>
      </c>
      <c r="BC228" s="282"/>
      <c r="BD228" s="282"/>
      <c r="BE228" s="282"/>
      <c r="BT228" s="279" t="s">
        <v>205</v>
      </c>
      <c r="BU228" s="279" t="s">
        <v>206</v>
      </c>
    </row>
    <row r="229" s="279" customFormat="1" customHeight="1" spans="1:73">
      <c r="A229" s="279">
        <v>162</v>
      </c>
      <c r="C229" s="279" t="s">
        <v>578</v>
      </c>
      <c r="D229" s="300" t="s">
        <v>2143</v>
      </c>
      <c r="F229" s="718" t="s">
        <v>2144</v>
      </c>
      <c r="G229" s="299" t="s">
        <v>2145</v>
      </c>
      <c r="H229" s="299"/>
      <c r="I229" s="316" t="s">
        <v>2146</v>
      </c>
      <c r="J229" s="279">
        <v>107.98</v>
      </c>
      <c r="K229" s="279">
        <v>107.98</v>
      </c>
      <c r="L229" s="279">
        <v>5660</v>
      </c>
      <c r="M229" s="344">
        <v>611167</v>
      </c>
      <c r="N229" s="317">
        <v>5631.9</v>
      </c>
      <c r="O229" s="320">
        <v>560703.67</v>
      </c>
      <c r="P229" s="321" t="s">
        <v>2147</v>
      </c>
      <c r="Q229" s="321" t="s">
        <v>2115</v>
      </c>
      <c r="R229" s="282"/>
      <c r="S229" s="376"/>
      <c r="T229" s="376"/>
      <c r="U229" s="376" t="s">
        <v>411</v>
      </c>
      <c r="V229" s="282">
        <v>251167</v>
      </c>
      <c r="W229" s="376" t="s">
        <v>1545</v>
      </c>
      <c r="X229" s="282">
        <v>10000</v>
      </c>
      <c r="Y229" s="285" t="s">
        <v>1729</v>
      </c>
      <c r="Z229" s="282">
        <v>350000</v>
      </c>
      <c r="AA229" s="376" t="s">
        <v>602</v>
      </c>
      <c r="AB229" s="282"/>
      <c r="AH229" s="282">
        <f t="shared" si="32"/>
        <v>611167</v>
      </c>
      <c r="AK229" s="287">
        <f t="shared" si="31"/>
        <v>0</v>
      </c>
      <c r="AL229" s="295" t="s">
        <v>2148</v>
      </c>
      <c r="AM229" s="295"/>
      <c r="AN229" s="344"/>
      <c r="AO229" s="344"/>
      <c r="AP229" s="344"/>
      <c r="AQ229" s="288">
        <f>0.7%+0.14%</f>
        <v>0.0084</v>
      </c>
      <c r="AR229" s="349">
        <f t="shared" si="30"/>
        <v>611167</v>
      </c>
      <c r="AS229" s="282"/>
      <c r="AT229" s="282"/>
      <c r="AU229" s="282"/>
      <c r="AV229" s="282"/>
      <c r="AW229" s="282"/>
      <c r="AX229" s="282"/>
      <c r="AY229" s="158"/>
      <c r="BA229" s="282">
        <v>251167</v>
      </c>
      <c r="BB229" s="282"/>
      <c r="BC229" s="282"/>
      <c r="BD229" s="282">
        <v>360000</v>
      </c>
      <c r="BE229" s="282"/>
      <c r="BT229" s="279" t="s">
        <v>205</v>
      </c>
      <c r="BU229" s="279" t="s">
        <v>206</v>
      </c>
    </row>
    <row r="230" s="279" customFormat="1" customHeight="1" spans="1:73">
      <c r="A230" s="279">
        <v>163</v>
      </c>
      <c r="C230" s="279" t="s">
        <v>601</v>
      </c>
      <c r="D230" s="300" t="s">
        <v>2149</v>
      </c>
      <c r="F230" s="295" t="s">
        <v>2150</v>
      </c>
      <c r="G230" s="299" t="s">
        <v>2151</v>
      </c>
      <c r="H230" s="720" t="s">
        <v>2152</v>
      </c>
      <c r="I230" s="313" t="s">
        <v>2153</v>
      </c>
      <c r="J230" s="279">
        <v>107.62</v>
      </c>
      <c r="K230" s="279">
        <v>107.62</v>
      </c>
      <c r="L230" s="279">
        <v>5482.25</v>
      </c>
      <c r="M230" s="317">
        <v>590000</v>
      </c>
      <c r="N230" s="317"/>
      <c r="O230" s="320">
        <v>541284.4</v>
      </c>
      <c r="P230" s="321" t="s">
        <v>2154</v>
      </c>
      <c r="Q230" s="321" t="s">
        <v>2115</v>
      </c>
      <c r="R230" s="282"/>
      <c r="S230" s="285"/>
      <c r="T230" s="285"/>
      <c r="U230" s="285" t="s">
        <v>226</v>
      </c>
      <c r="V230" s="282">
        <v>20000</v>
      </c>
      <c r="W230" s="422" t="s">
        <v>2155</v>
      </c>
      <c r="X230" s="282">
        <v>170000</v>
      </c>
      <c r="Y230" s="335" t="s">
        <v>601</v>
      </c>
      <c r="Z230" s="282">
        <v>400000</v>
      </c>
      <c r="AA230" s="285" t="s">
        <v>562</v>
      </c>
      <c r="AB230" s="282"/>
      <c r="AH230" s="282">
        <f t="shared" si="32"/>
        <v>590000</v>
      </c>
      <c r="AK230" s="287">
        <f t="shared" si="31"/>
        <v>0</v>
      </c>
      <c r="AL230" s="295" t="s">
        <v>2156</v>
      </c>
      <c r="AM230" s="295"/>
      <c r="AN230" s="344"/>
      <c r="AO230" s="344"/>
      <c r="AP230" s="344"/>
      <c r="AQ230" s="288">
        <f>0.6%+0.04%+0.1%</f>
        <v>0.0074</v>
      </c>
      <c r="AR230" s="349">
        <f t="shared" si="30"/>
        <v>590000</v>
      </c>
      <c r="AS230" s="282"/>
      <c r="AT230" s="282"/>
      <c r="AU230" s="282"/>
      <c r="AV230" s="282"/>
      <c r="AW230" s="282"/>
      <c r="AX230" s="282"/>
      <c r="AY230" s="158">
        <v>190000</v>
      </c>
      <c r="BA230" s="282">
        <v>400000</v>
      </c>
      <c r="BB230" s="282"/>
      <c r="BC230" s="282"/>
      <c r="BD230" s="282"/>
      <c r="BE230" s="282"/>
      <c r="BT230" s="279" t="s">
        <v>205</v>
      </c>
      <c r="BU230" s="279" t="s">
        <v>206</v>
      </c>
    </row>
    <row r="231" s="279" customFormat="1" customHeight="1" spans="1:73">
      <c r="A231" s="279">
        <v>164</v>
      </c>
      <c r="C231" s="279" t="s">
        <v>562</v>
      </c>
      <c r="D231" s="295" t="s">
        <v>2157</v>
      </c>
      <c r="F231" s="295" t="s">
        <v>2158</v>
      </c>
      <c r="G231" s="299" t="s">
        <v>2159</v>
      </c>
      <c r="H231" s="720" t="s">
        <v>2160</v>
      </c>
      <c r="I231" s="316" t="s">
        <v>2161</v>
      </c>
      <c r="J231" s="279">
        <v>107.98</v>
      </c>
      <c r="K231" s="279">
        <v>107.98</v>
      </c>
      <c r="L231" s="279">
        <v>5800</v>
      </c>
      <c r="M231" s="317">
        <v>626284</v>
      </c>
      <c r="N231" s="317">
        <v>5738.57</v>
      </c>
      <c r="O231" s="320">
        <v>574572.48</v>
      </c>
      <c r="P231" s="321" t="s">
        <v>2162</v>
      </c>
      <c r="Q231" s="321" t="s">
        <v>2115</v>
      </c>
      <c r="R231" s="282"/>
      <c r="S231" s="285"/>
      <c r="T231" s="285"/>
      <c r="U231" s="285" t="s">
        <v>422</v>
      </c>
      <c r="V231" s="282">
        <v>20000</v>
      </c>
      <c r="W231" s="285" t="s">
        <v>1353</v>
      </c>
      <c r="X231" s="282">
        <v>176284</v>
      </c>
      <c r="Y231" s="335" t="s">
        <v>562</v>
      </c>
      <c r="Z231" s="282">
        <v>430000</v>
      </c>
      <c r="AA231" s="285" t="s">
        <v>1649</v>
      </c>
      <c r="AB231" s="282"/>
      <c r="AH231" s="282">
        <f t="shared" si="32"/>
        <v>626284</v>
      </c>
      <c r="AK231" s="287">
        <f t="shared" si="31"/>
        <v>0</v>
      </c>
      <c r="AL231" s="295" t="s">
        <v>2163</v>
      </c>
      <c r="AM231" s="295"/>
      <c r="AN231" s="344"/>
      <c r="AO231" s="344"/>
      <c r="AP231" s="344"/>
      <c r="AQ231" s="288">
        <f>0.7%+0.05%+0.14%</f>
        <v>0.0089</v>
      </c>
      <c r="AR231" s="349">
        <f t="shared" si="30"/>
        <v>626284</v>
      </c>
      <c r="AS231" s="282"/>
      <c r="AT231" s="282">
        <v>100</v>
      </c>
      <c r="AU231" s="282"/>
      <c r="AV231" s="282"/>
      <c r="AW231" s="282"/>
      <c r="AX231" s="282"/>
      <c r="AY231" s="158"/>
      <c r="BA231" s="282">
        <v>196284</v>
      </c>
      <c r="BB231" s="282"/>
      <c r="BC231" s="282">
        <v>430000</v>
      </c>
      <c r="BD231" s="282"/>
      <c r="BE231" s="282"/>
      <c r="BT231" s="279" t="s">
        <v>205</v>
      </c>
      <c r="BU231" s="279" t="s">
        <v>206</v>
      </c>
    </row>
    <row r="232" s="279" customFormat="1" customHeight="1" spans="1:73">
      <c r="A232" s="279">
        <v>165</v>
      </c>
      <c r="C232" s="279" t="s">
        <v>1589</v>
      </c>
      <c r="D232" s="279">
        <v>20230003244</v>
      </c>
      <c r="F232" s="295" t="s">
        <v>2164</v>
      </c>
      <c r="G232" s="299" t="s">
        <v>2165</v>
      </c>
      <c r="H232" s="720" t="s">
        <v>2166</v>
      </c>
      <c r="I232" s="313" t="s">
        <v>2167</v>
      </c>
      <c r="J232" s="279">
        <v>107.62</v>
      </c>
      <c r="K232" s="279">
        <v>107.62</v>
      </c>
      <c r="L232" s="279">
        <v>5566.5</v>
      </c>
      <c r="M232" s="282">
        <v>599067</v>
      </c>
      <c r="N232" s="282"/>
      <c r="O232" s="283">
        <v>549602.75</v>
      </c>
      <c r="P232" s="724" t="s">
        <v>2168</v>
      </c>
      <c r="Q232" s="321" t="s">
        <v>2115</v>
      </c>
      <c r="R232" s="282"/>
      <c r="S232" s="285"/>
      <c r="T232" s="285" t="s">
        <v>2165</v>
      </c>
      <c r="U232" s="285" t="s">
        <v>291</v>
      </c>
      <c r="V232" s="282">
        <v>20000</v>
      </c>
      <c r="W232" s="285" t="s">
        <v>569</v>
      </c>
      <c r="X232" s="282">
        <f>35000+184067</f>
        <v>219067</v>
      </c>
      <c r="Y232" s="335" t="s">
        <v>1589</v>
      </c>
      <c r="Z232" s="282">
        <v>360000</v>
      </c>
      <c r="AA232" s="331" t="s">
        <v>1076</v>
      </c>
      <c r="AB232" s="282"/>
      <c r="AH232" s="282">
        <f t="shared" si="32"/>
        <v>599067</v>
      </c>
      <c r="AK232" s="287">
        <f t="shared" si="31"/>
        <v>0</v>
      </c>
      <c r="AL232" s="295" t="s">
        <v>2169</v>
      </c>
      <c r="AM232" s="295"/>
      <c r="AN232" s="318"/>
      <c r="AO232" s="318"/>
      <c r="AP232" s="318"/>
      <c r="AQ232" s="288">
        <f>0.6%+0.04%+0.1%</f>
        <v>0.0074</v>
      </c>
      <c r="AR232" s="349">
        <f t="shared" si="30"/>
        <v>599067</v>
      </c>
      <c r="AS232" s="282"/>
      <c r="AT232" s="282"/>
      <c r="AU232" s="282"/>
      <c r="AV232" s="282"/>
      <c r="AW232" s="282"/>
      <c r="AX232" s="282">
        <v>599067</v>
      </c>
      <c r="AY232" s="158"/>
      <c r="BA232" s="282"/>
      <c r="BB232" s="282"/>
      <c r="BC232" s="282"/>
      <c r="BD232" s="282"/>
      <c r="BE232" s="282"/>
      <c r="BT232" s="279" t="s">
        <v>205</v>
      </c>
      <c r="BU232" s="279" t="s">
        <v>206</v>
      </c>
    </row>
    <row r="233" s="279" customFormat="1" customHeight="1" spans="1:73">
      <c r="A233" s="279">
        <v>166</v>
      </c>
      <c r="C233" s="279" t="s">
        <v>1120</v>
      </c>
      <c r="D233" s="279">
        <v>20230003314</v>
      </c>
      <c r="F233" s="295" t="s">
        <v>2170</v>
      </c>
      <c r="G233" s="297" t="s">
        <v>2171</v>
      </c>
      <c r="H233" s="297"/>
      <c r="I233" s="316" t="s">
        <v>2172</v>
      </c>
      <c r="J233" s="279">
        <v>107.98</v>
      </c>
      <c r="K233" s="279">
        <v>107.98</v>
      </c>
      <c r="L233" s="279">
        <v>5547.32</v>
      </c>
      <c r="M233" s="282">
        <v>599000</v>
      </c>
      <c r="N233" s="282"/>
      <c r="O233" s="283">
        <v>549541.28</v>
      </c>
      <c r="P233" s="319" t="s">
        <v>2173</v>
      </c>
      <c r="Q233" s="321" t="s">
        <v>2115</v>
      </c>
      <c r="R233" s="282"/>
      <c r="S233" s="285"/>
      <c r="T233" s="285"/>
      <c r="U233" s="285" t="s">
        <v>201</v>
      </c>
      <c r="V233" s="282">
        <v>9000</v>
      </c>
      <c r="W233" s="331" t="s">
        <v>1120</v>
      </c>
      <c r="X233" s="282">
        <v>150000</v>
      </c>
      <c r="Y233" s="335" t="s">
        <v>1895</v>
      </c>
      <c r="Z233" s="282">
        <v>440000</v>
      </c>
      <c r="AA233" s="331" t="s">
        <v>727</v>
      </c>
      <c r="AB233" s="282"/>
      <c r="AH233" s="282">
        <f t="shared" si="32"/>
        <v>599000</v>
      </c>
      <c r="AK233" s="287">
        <f t="shared" si="31"/>
        <v>0</v>
      </c>
      <c r="AL233" s="295" t="s">
        <v>2174</v>
      </c>
      <c r="AM233" s="295"/>
      <c r="AN233" s="318"/>
      <c r="AO233" s="318"/>
      <c r="AP233" s="318"/>
      <c r="AQ233" s="288">
        <f>0.6%+0.1%</f>
        <v>0.007</v>
      </c>
      <c r="AR233" s="349">
        <f t="shared" si="30"/>
        <v>599000</v>
      </c>
      <c r="AS233" s="282"/>
      <c r="AT233" s="282"/>
      <c r="AU233" s="282"/>
      <c r="AV233" s="282"/>
      <c r="AW233" s="282"/>
      <c r="AX233" s="282"/>
      <c r="AY233" s="158">
        <v>159000</v>
      </c>
      <c r="BA233" s="282">
        <v>440000</v>
      </c>
      <c r="BB233" s="282"/>
      <c r="BC233" s="282"/>
      <c r="BD233" s="282"/>
      <c r="BE233" s="282"/>
      <c r="BT233" s="279" t="s">
        <v>205</v>
      </c>
      <c r="BU233" s="279" t="s">
        <v>206</v>
      </c>
    </row>
    <row r="234" s="279" customFormat="1" customHeight="1" spans="1:73">
      <c r="A234" s="279">
        <v>167</v>
      </c>
      <c r="C234" s="279" t="s">
        <v>703</v>
      </c>
      <c r="D234" s="300" t="s">
        <v>2175</v>
      </c>
      <c r="F234" s="295" t="s">
        <v>2176</v>
      </c>
      <c r="G234" s="299" t="s">
        <v>2177</v>
      </c>
      <c r="H234" s="720" t="s">
        <v>2178</v>
      </c>
      <c r="I234" s="313" t="s">
        <v>2179</v>
      </c>
      <c r="J234" s="279">
        <v>107.62</v>
      </c>
      <c r="K234" s="279">
        <v>107.62</v>
      </c>
      <c r="L234" s="279">
        <v>5863.22</v>
      </c>
      <c r="M234" s="317">
        <v>631000</v>
      </c>
      <c r="N234" s="317">
        <v>5843</v>
      </c>
      <c r="O234" s="320">
        <v>578899.08</v>
      </c>
      <c r="P234" s="321" t="s">
        <v>2180</v>
      </c>
      <c r="Q234" s="321" t="s">
        <v>2115</v>
      </c>
      <c r="R234" s="282"/>
      <c r="S234" s="285"/>
      <c r="T234" s="285"/>
      <c r="U234" s="285" t="s">
        <v>2181</v>
      </c>
      <c r="V234" s="282">
        <v>20000</v>
      </c>
      <c r="W234" s="285" t="s">
        <v>994</v>
      </c>
      <c r="X234" s="282">
        <v>21000</v>
      </c>
      <c r="Y234" s="331" t="s">
        <v>703</v>
      </c>
      <c r="Z234" s="282">
        <v>90000</v>
      </c>
      <c r="AA234" s="285" t="s">
        <v>744</v>
      </c>
      <c r="AB234" s="282">
        <v>500000</v>
      </c>
      <c r="AC234" s="285" t="s">
        <v>735</v>
      </c>
      <c r="AD234" s="331"/>
      <c r="AE234" s="331"/>
      <c r="AF234" s="331"/>
      <c r="AG234" s="331"/>
      <c r="AH234" s="282">
        <f t="shared" si="32"/>
        <v>631000</v>
      </c>
      <c r="AK234" s="287">
        <f t="shared" si="31"/>
        <v>0</v>
      </c>
      <c r="AL234" s="295" t="s">
        <v>2182</v>
      </c>
      <c r="AM234" s="295"/>
      <c r="AN234" s="344"/>
      <c r="AO234" s="344"/>
      <c r="AP234" s="344"/>
      <c r="AQ234" s="288">
        <f>0.4%+0.08%</f>
        <v>0.0048</v>
      </c>
      <c r="AR234" s="349">
        <f t="shared" si="30"/>
        <v>631000</v>
      </c>
      <c r="AS234" s="282"/>
      <c r="AT234" s="282"/>
      <c r="AU234" s="282"/>
      <c r="AV234" s="282"/>
      <c r="AW234" s="282"/>
      <c r="AX234" s="282"/>
      <c r="AY234" s="158"/>
      <c r="AZ234" s="131"/>
      <c r="BA234" s="282">
        <v>131000</v>
      </c>
      <c r="BB234" s="282">
        <v>500000</v>
      </c>
      <c r="BC234" s="282"/>
      <c r="BD234" s="282"/>
      <c r="BE234" s="282"/>
      <c r="BT234" s="279" t="s">
        <v>205</v>
      </c>
      <c r="BU234" s="279" t="s">
        <v>206</v>
      </c>
    </row>
    <row r="235" s="279" customFormat="1" customHeight="1" spans="1:73">
      <c r="A235" s="279">
        <v>168</v>
      </c>
      <c r="C235" s="279" t="s">
        <v>362</v>
      </c>
      <c r="D235" s="279">
        <v>20230005717</v>
      </c>
      <c r="F235" s="295" t="s">
        <v>2183</v>
      </c>
      <c r="G235" s="299" t="s">
        <v>2184</v>
      </c>
      <c r="H235" s="720" t="s">
        <v>2185</v>
      </c>
      <c r="I235" s="316" t="s">
        <v>2186</v>
      </c>
      <c r="J235" s="279">
        <v>107.98</v>
      </c>
      <c r="K235" s="279">
        <v>107.98</v>
      </c>
      <c r="L235" s="279">
        <v>5881.59</v>
      </c>
      <c r="M235" s="318">
        <v>635094</v>
      </c>
      <c r="N235" s="282">
        <v>5831.59</v>
      </c>
      <c r="O235" s="283">
        <v>582655.05</v>
      </c>
      <c r="P235" s="319" t="s">
        <v>2187</v>
      </c>
      <c r="Q235" s="321" t="s">
        <v>2115</v>
      </c>
      <c r="R235" s="282"/>
      <c r="S235" s="285"/>
      <c r="T235" s="285"/>
      <c r="U235" s="285" t="s">
        <v>1075</v>
      </c>
      <c r="V235" s="282">
        <f>20000+50000+65094</f>
        <v>135094</v>
      </c>
      <c r="W235" s="285" t="s">
        <v>605</v>
      </c>
      <c r="X235" s="282">
        <v>500000</v>
      </c>
      <c r="Y235" s="285" t="s">
        <v>333</v>
      </c>
      <c r="Z235" s="282"/>
      <c r="AA235" s="331"/>
      <c r="AB235" s="282"/>
      <c r="AH235" s="282">
        <f t="shared" si="32"/>
        <v>635094</v>
      </c>
      <c r="AK235" s="287">
        <f t="shared" si="31"/>
        <v>0</v>
      </c>
      <c r="AL235" s="295" t="s">
        <v>2188</v>
      </c>
      <c r="AM235" s="295"/>
      <c r="AN235" s="318"/>
      <c r="AO235" s="318"/>
      <c r="AP235" s="318"/>
      <c r="AQ235" s="288">
        <f>0.5%+0.04%+0.14%</f>
        <v>0.0068</v>
      </c>
      <c r="AR235" s="349">
        <f t="shared" si="30"/>
        <v>635094</v>
      </c>
      <c r="AS235" s="282"/>
      <c r="AT235" s="282"/>
      <c r="AU235" s="282"/>
      <c r="AV235" s="282"/>
      <c r="AW235" s="282"/>
      <c r="AX235" s="282"/>
      <c r="AY235" s="158"/>
      <c r="BA235" s="282">
        <v>135094</v>
      </c>
      <c r="BB235" s="282">
        <v>500000</v>
      </c>
      <c r="BC235" s="282"/>
      <c r="BD235" s="282"/>
      <c r="BE235" s="282"/>
      <c r="BT235" s="279" t="s">
        <v>205</v>
      </c>
      <c r="BU235" s="279" t="s">
        <v>206</v>
      </c>
    </row>
    <row r="236" s="279" customFormat="1" customHeight="1" spans="1:73">
      <c r="A236" s="279">
        <v>169</v>
      </c>
      <c r="C236" s="279" t="s">
        <v>1058</v>
      </c>
      <c r="D236" s="279">
        <v>20230004619</v>
      </c>
      <c r="F236" s="295" t="s">
        <v>2189</v>
      </c>
      <c r="G236" s="279" t="s">
        <v>2190</v>
      </c>
      <c r="H236" s="717" t="s">
        <v>2191</v>
      </c>
      <c r="I236" s="313" t="s">
        <v>2192</v>
      </c>
      <c r="J236" s="279">
        <v>107.62</v>
      </c>
      <c r="K236" s="279">
        <v>107.62</v>
      </c>
      <c r="L236" s="279">
        <v>5918.84</v>
      </c>
      <c r="M236" s="282">
        <v>636986</v>
      </c>
      <c r="N236" s="282">
        <v>5868.84</v>
      </c>
      <c r="O236" s="279">
        <v>584390.83</v>
      </c>
      <c r="P236" s="319" t="s">
        <v>2193</v>
      </c>
      <c r="Q236" s="321" t="s">
        <v>1949</v>
      </c>
      <c r="R236" s="282"/>
      <c r="S236" s="285"/>
      <c r="T236" s="285"/>
      <c r="U236" s="285" t="s">
        <v>226</v>
      </c>
      <c r="V236" s="282">
        <v>20000</v>
      </c>
      <c r="W236" s="285" t="s">
        <v>1058</v>
      </c>
      <c r="X236" s="282">
        <v>216986</v>
      </c>
      <c r="Y236" s="339" t="s">
        <v>268</v>
      </c>
      <c r="Z236" s="282">
        <v>170000</v>
      </c>
      <c r="AA236" s="279" t="s">
        <v>2194</v>
      </c>
      <c r="AB236" s="282">
        <v>230000</v>
      </c>
      <c r="AC236" s="285" t="s">
        <v>1286</v>
      </c>
      <c r="AH236" s="282">
        <f t="shared" si="32"/>
        <v>636986</v>
      </c>
      <c r="AK236" s="287">
        <f t="shared" si="31"/>
        <v>0</v>
      </c>
      <c r="AL236" s="295" t="s">
        <v>2195</v>
      </c>
      <c r="AM236" s="295"/>
      <c r="AQ236" s="288">
        <f>0.4%+0.05%+0.14%</f>
        <v>0.0059</v>
      </c>
      <c r="AR236" s="349">
        <f t="shared" si="30"/>
        <v>636986</v>
      </c>
      <c r="AS236" s="282"/>
      <c r="AT236" s="282"/>
      <c r="AU236" s="282"/>
      <c r="AV236" s="282"/>
      <c r="AW236" s="282"/>
      <c r="AX236" s="282"/>
      <c r="AY236" s="158"/>
      <c r="AZ236" s="131">
        <v>406986</v>
      </c>
      <c r="BA236" s="282"/>
      <c r="BB236" s="282">
        <v>230000</v>
      </c>
      <c r="BC236" s="282"/>
      <c r="BD236" s="282"/>
      <c r="BE236" s="282"/>
      <c r="BT236" s="279" t="s">
        <v>205</v>
      </c>
      <c r="BU236" s="279" t="s">
        <v>206</v>
      </c>
    </row>
    <row r="237" s="279" customFormat="1" customHeight="1" spans="1:73">
      <c r="A237" s="279">
        <v>170</v>
      </c>
      <c r="C237" s="279">
        <v>2023.6</v>
      </c>
      <c r="D237" s="279">
        <v>20230005387</v>
      </c>
      <c r="F237" s="295" t="s">
        <v>2196</v>
      </c>
      <c r="G237" s="279" t="s">
        <v>2197</v>
      </c>
      <c r="I237" s="316" t="s">
        <v>2198</v>
      </c>
      <c r="J237" s="279">
        <v>107.98</v>
      </c>
      <c r="K237" s="279">
        <v>107.98</v>
      </c>
      <c r="L237" s="279">
        <f>M237/K237</f>
        <v>5907.41804037785</v>
      </c>
      <c r="M237" s="282">
        <v>637883</v>
      </c>
      <c r="N237" s="282">
        <v>5857.42</v>
      </c>
      <c r="O237" s="279">
        <v>585213.76</v>
      </c>
      <c r="P237" s="319" t="s">
        <v>2199</v>
      </c>
      <c r="Q237" s="321" t="s">
        <v>1949</v>
      </c>
      <c r="R237" s="282"/>
      <c r="S237" s="285"/>
      <c r="T237" s="285"/>
      <c r="U237" s="285"/>
      <c r="V237" s="282">
        <v>97883</v>
      </c>
      <c r="W237" s="285" t="s">
        <v>2200</v>
      </c>
      <c r="X237" s="282">
        <v>30000</v>
      </c>
      <c r="Y237" s="285" t="s">
        <v>776</v>
      </c>
      <c r="Z237" s="282">
        <v>510000</v>
      </c>
      <c r="AA237" s="285" t="s">
        <v>735</v>
      </c>
      <c r="AB237" s="282"/>
      <c r="AH237" s="282">
        <f t="shared" si="32"/>
        <v>637883</v>
      </c>
      <c r="AK237" s="287">
        <f t="shared" si="31"/>
        <v>0</v>
      </c>
      <c r="AL237" s="295"/>
      <c r="AM237" s="295"/>
      <c r="AQ237" s="288">
        <f>0.4%+0.02%+0.08%</f>
        <v>0.005</v>
      </c>
      <c r="AR237" s="349">
        <f t="shared" si="30"/>
        <v>637883</v>
      </c>
      <c r="AS237" s="282"/>
      <c r="AT237" s="282"/>
      <c r="AU237" s="282"/>
      <c r="AV237" s="282"/>
      <c r="AW237" s="282"/>
      <c r="AX237" s="282"/>
      <c r="AY237" s="158"/>
      <c r="AZ237" s="131"/>
      <c r="BA237" s="282">
        <v>127883</v>
      </c>
      <c r="BB237" s="282">
        <v>510000</v>
      </c>
      <c r="BC237" s="282"/>
      <c r="BD237" s="282"/>
      <c r="BE237" s="282"/>
      <c r="BT237" s="279" t="s">
        <v>205</v>
      </c>
      <c r="BU237" s="279" t="s">
        <v>206</v>
      </c>
    </row>
    <row r="238" s="279" customFormat="1" customHeight="1" spans="1:73">
      <c r="A238" s="279">
        <v>171</v>
      </c>
      <c r="C238" s="279" t="s">
        <v>1898</v>
      </c>
      <c r="D238" s="279">
        <v>20230004337</v>
      </c>
      <c r="F238" s="717" t="s">
        <v>2201</v>
      </c>
      <c r="G238" s="279" t="s">
        <v>1777</v>
      </c>
      <c r="I238" s="313" t="s">
        <v>2202</v>
      </c>
      <c r="J238" s="279">
        <v>107.62</v>
      </c>
      <c r="K238" s="279">
        <v>107.62</v>
      </c>
      <c r="L238" s="279">
        <v>5696</v>
      </c>
      <c r="M238" s="282">
        <v>613003</v>
      </c>
      <c r="N238" s="282">
        <v>5615.35</v>
      </c>
      <c r="O238" s="279">
        <v>562388.07</v>
      </c>
      <c r="P238" s="319" t="s">
        <v>2203</v>
      </c>
      <c r="Q238" s="321" t="s">
        <v>1949</v>
      </c>
      <c r="R238" s="282"/>
      <c r="S238" s="285"/>
      <c r="T238" s="285"/>
      <c r="U238" s="285" t="s">
        <v>1855</v>
      </c>
      <c r="V238" s="282">
        <v>20000</v>
      </c>
      <c r="W238" s="331" t="s">
        <v>601</v>
      </c>
      <c r="X238" s="282">
        <v>73003</v>
      </c>
      <c r="Y238" s="339" t="s">
        <v>1898</v>
      </c>
      <c r="Z238" s="282">
        <v>30000</v>
      </c>
      <c r="AA238" s="279" t="s">
        <v>734</v>
      </c>
      <c r="AB238" s="282">
        <v>490000</v>
      </c>
      <c r="AC238" s="285" t="s">
        <v>1590</v>
      </c>
      <c r="AH238" s="282">
        <f t="shared" si="32"/>
        <v>613003</v>
      </c>
      <c r="AK238" s="287">
        <f t="shared" si="31"/>
        <v>0</v>
      </c>
      <c r="AL238" s="279">
        <v>17609969189</v>
      </c>
      <c r="AM238" s="295"/>
      <c r="AQ238" s="288">
        <f>0.6%+0.06%+0.14%</f>
        <v>0.008</v>
      </c>
      <c r="AR238" s="349">
        <f t="shared" si="30"/>
        <v>613003</v>
      </c>
      <c r="AS238" s="282"/>
      <c r="AT238" s="282"/>
      <c r="AU238" s="282"/>
      <c r="AV238" s="282"/>
      <c r="AW238" s="282"/>
      <c r="AX238" s="282"/>
      <c r="AY238" s="158"/>
      <c r="AZ238" s="131">
        <v>123003</v>
      </c>
      <c r="BA238" s="282">
        <v>490000</v>
      </c>
      <c r="BB238" s="282"/>
      <c r="BC238" s="282"/>
      <c r="BD238" s="282"/>
      <c r="BE238" s="282"/>
      <c r="BT238" s="279" t="s">
        <v>205</v>
      </c>
      <c r="BU238" s="279" t="s">
        <v>206</v>
      </c>
    </row>
    <row r="239" s="279" customFormat="1" customHeight="1" spans="1:73">
      <c r="A239" s="279">
        <v>172</v>
      </c>
      <c r="C239" s="331">
        <v>45121</v>
      </c>
      <c r="D239" s="279">
        <v>20230005922</v>
      </c>
      <c r="F239" s="295" t="s">
        <v>2204</v>
      </c>
      <c r="G239" s="279" t="s">
        <v>2205</v>
      </c>
      <c r="H239" s="717" t="s">
        <v>2206</v>
      </c>
      <c r="I239" s="316" t="s">
        <v>2207</v>
      </c>
      <c r="J239" s="279">
        <v>107.98</v>
      </c>
      <c r="K239" s="279">
        <v>107.98</v>
      </c>
      <c r="L239" s="279">
        <v>5910</v>
      </c>
      <c r="M239" s="318">
        <v>638162</v>
      </c>
      <c r="N239" s="282">
        <v>5903.93</v>
      </c>
      <c r="O239" s="279">
        <v>585469.72</v>
      </c>
      <c r="P239" s="319" t="s">
        <v>2208</v>
      </c>
      <c r="Q239" s="321" t="s">
        <v>1949</v>
      </c>
      <c r="R239" s="282"/>
      <c r="S239" s="285"/>
      <c r="T239" s="285"/>
      <c r="U239" s="285" t="s">
        <v>211</v>
      </c>
      <c r="V239" s="282">
        <f>20000+238162</f>
        <v>258162</v>
      </c>
      <c r="W239" s="285" t="s">
        <v>2209</v>
      </c>
      <c r="X239" s="282">
        <v>380000</v>
      </c>
      <c r="Y239" s="285" t="s">
        <v>699</v>
      </c>
      <c r="Z239" s="282"/>
      <c r="AB239" s="282"/>
      <c r="AH239" s="282">
        <f t="shared" si="32"/>
        <v>638162</v>
      </c>
      <c r="AK239" s="287">
        <f t="shared" si="31"/>
        <v>0</v>
      </c>
      <c r="AL239" s="295" t="s">
        <v>2210</v>
      </c>
      <c r="AM239" s="295"/>
      <c r="AQ239" s="288">
        <f>0.5%+0.05%+0.14%</f>
        <v>0.0069</v>
      </c>
      <c r="AR239" s="349">
        <f t="shared" si="30"/>
        <v>638162</v>
      </c>
      <c r="AS239" s="282"/>
      <c r="AT239" s="282">
        <v>100</v>
      </c>
      <c r="AU239" s="282"/>
      <c r="AV239" s="282"/>
      <c r="AW239" s="282"/>
      <c r="AX239" s="282"/>
      <c r="AY239" s="158"/>
      <c r="BA239" s="282">
        <v>258162</v>
      </c>
      <c r="BB239" s="282">
        <v>380000</v>
      </c>
      <c r="BC239" s="282"/>
      <c r="BD239" s="282"/>
      <c r="BE239" s="282"/>
      <c r="BT239" s="279" t="s">
        <v>205</v>
      </c>
      <c r="BU239" s="279" t="s">
        <v>206</v>
      </c>
    </row>
    <row r="240" s="279" customFormat="1" customHeight="1" spans="1:73">
      <c r="A240" s="279">
        <v>173</v>
      </c>
      <c r="C240" s="279" t="s">
        <v>243</v>
      </c>
      <c r="D240" s="279">
        <v>20230008557</v>
      </c>
      <c r="F240" s="295" t="s">
        <v>2211</v>
      </c>
      <c r="G240" s="279" t="s">
        <v>2212</v>
      </c>
      <c r="H240" s="717" t="s">
        <v>2213</v>
      </c>
      <c r="I240" s="313" t="s">
        <v>2214</v>
      </c>
      <c r="J240" s="279">
        <v>107.62</v>
      </c>
      <c r="K240" s="279">
        <v>107.62</v>
      </c>
      <c r="L240" s="279">
        <v>5946.85</v>
      </c>
      <c r="M240" s="318">
        <v>640000</v>
      </c>
      <c r="N240" s="282">
        <v>5936.02</v>
      </c>
      <c r="O240" s="279">
        <v>587155.96</v>
      </c>
      <c r="P240" s="319" t="s">
        <v>2215</v>
      </c>
      <c r="Q240" s="321" t="s">
        <v>1949</v>
      </c>
      <c r="R240" s="282"/>
      <c r="S240" s="285"/>
      <c r="T240" s="285"/>
      <c r="U240" s="285" t="s">
        <v>1811</v>
      </c>
      <c r="V240" s="282">
        <v>20000</v>
      </c>
      <c r="W240" s="285" t="s">
        <v>2216</v>
      </c>
      <c r="X240" s="282">
        <f>20000+2000</f>
        <v>22000</v>
      </c>
      <c r="Y240" s="285" t="s">
        <v>243</v>
      </c>
      <c r="Z240" s="282">
        <v>150000</v>
      </c>
      <c r="AA240" s="279" t="s">
        <v>243</v>
      </c>
      <c r="AB240" s="282">
        <v>110000</v>
      </c>
      <c r="AC240" s="279" t="s">
        <v>618</v>
      </c>
      <c r="AD240" s="279">
        <v>138000</v>
      </c>
      <c r="AE240" s="279" t="s">
        <v>686</v>
      </c>
      <c r="AF240" s="282">
        <v>200000</v>
      </c>
      <c r="AG240" s="285" t="s">
        <v>280</v>
      </c>
      <c r="AH240" s="282">
        <f t="shared" si="32"/>
        <v>640000</v>
      </c>
      <c r="AK240" s="287">
        <f t="shared" si="31"/>
        <v>0</v>
      </c>
      <c r="AL240" s="295"/>
      <c r="AM240" s="295"/>
      <c r="AQ240" s="288">
        <f>0.7%+0.02%+0.12%</f>
        <v>0.0084</v>
      </c>
      <c r="AR240" s="349">
        <f t="shared" si="30"/>
        <v>640000</v>
      </c>
      <c r="AS240" s="282"/>
      <c r="AT240" s="282"/>
      <c r="AU240" s="282"/>
      <c r="AV240" s="282"/>
      <c r="AW240" s="282"/>
      <c r="AX240" s="282"/>
      <c r="AY240" s="158"/>
      <c r="BA240" s="282"/>
      <c r="BB240" s="282"/>
      <c r="BC240" s="282"/>
      <c r="BD240" s="282">
        <v>440000</v>
      </c>
      <c r="BE240" s="282"/>
      <c r="BF240" s="279">
        <v>200000</v>
      </c>
      <c r="BT240" s="279" t="s">
        <v>205</v>
      </c>
      <c r="BU240" s="279" t="s">
        <v>206</v>
      </c>
    </row>
    <row r="241" s="279" customFormat="1" ht="50" customHeight="1" spans="1:73">
      <c r="A241" s="279">
        <v>174</v>
      </c>
      <c r="C241" s="279" t="s">
        <v>618</v>
      </c>
      <c r="D241" s="279">
        <v>20230009213</v>
      </c>
      <c r="F241" s="295" t="s">
        <v>2217</v>
      </c>
      <c r="G241" s="294" t="s">
        <v>2218</v>
      </c>
      <c r="H241" s="717" t="s">
        <v>2219</v>
      </c>
      <c r="I241" s="313" t="s">
        <v>2220</v>
      </c>
      <c r="J241" s="279">
        <v>107.98</v>
      </c>
      <c r="K241" s="279">
        <v>107.98</v>
      </c>
      <c r="L241" s="279">
        <v>5980</v>
      </c>
      <c r="M241" s="318">
        <v>645720</v>
      </c>
      <c r="N241" s="282">
        <v>5924.6</v>
      </c>
      <c r="O241" s="279">
        <v>592403.67</v>
      </c>
      <c r="P241" s="319" t="s">
        <v>2221</v>
      </c>
      <c r="Q241" s="321" t="s">
        <v>1949</v>
      </c>
      <c r="R241" s="282"/>
      <c r="S241" s="285"/>
      <c r="T241" s="285"/>
      <c r="U241" s="329" t="s">
        <v>2222</v>
      </c>
      <c r="V241" s="282">
        <f>5000-5000</f>
        <v>0</v>
      </c>
      <c r="W241" s="285"/>
      <c r="X241" s="282">
        <v>20000</v>
      </c>
      <c r="Y241" s="285" t="s">
        <v>243</v>
      </c>
      <c r="Z241" s="282">
        <v>89720</v>
      </c>
      <c r="AA241" s="279" t="s">
        <v>618</v>
      </c>
      <c r="AB241" s="282">
        <v>20000</v>
      </c>
      <c r="AC241" s="279" t="s">
        <v>686</v>
      </c>
      <c r="AD241" s="282">
        <v>516000</v>
      </c>
      <c r="AE241" s="285" t="s">
        <v>467</v>
      </c>
      <c r="AH241" s="282">
        <f t="shared" si="32"/>
        <v>645720</v>
      </c>
      <c r="AK241" s="287">
        <f t="shared" si="31"/>
        <v>0</v>
      </c>
      <c r="AL241" s="295" t="s">
        <v>2223</v>
      </c>
      <c r="AM241" s="295"/>
      <c r="AQ241" s="428">
        <f>0.4%+0.08%</f>
        <v>0.0048</v>
      </c>
      <c r="AR241" s="349">
        <f t="shared" si="30"/>
        <v>645720</v>
      </c>
      <c r="AS241" s="282"/>
      <c r="AT241" s="282"/>
      <c r="AU241" s="282"/>
      <c r="AV241" s="282"/>
      <c r="AW241" s="282"/>
      <c r="AX241" s="282"/>
      <c r="AY241" s="158"/>
      <c r="BA241" s="282"/>
      <c r="BB241" s="282"/>
      <c r="BC241" s="282"/>
      <c r="BD241" s="282">
        <v>129720</v>
      </c>
      <c r="BE241" s="282"/>
      <c r="BG241" s="279">
        <v>516000</v>
      </c>
      <c r="BT241" s="279" t="s">
        <v>205</v>
      </c>
      <c r="BU241" s="279" t="s">
        <v>206</v>
      </c>
    </row>
    <row r="242" s="279" customFormat="1" customHeight="1" spans="1:73">
      <c r="A242" s="279">
        <v>175</v>
      </c>
      <c r="C242" s="279" t="s">
        <v>2224</v>
      </c>
      <c r="D242" s="279">
        <v>20240000479</v>
      </c>
      <c r="F242" s="295" t="s">
        <v>2225</v>
      </c>
      <c r="G242" s="279" t="s">
        <v>2226</v>
      </c>
      <c r="H242" s="717" t="s">
        <v>2227</v>
      </c>
      <c r="I242" s="313" t="s">
        <v>2228</v>
      </c>
      <c r="J242" s="279">
        <v>107.62</v>
      </c>
      <c r="K242" s="279">
        <v>107.62</v>
      </c>
      <c r="L242" s="279">
        <v>7015.42</v>
      </c>
      <c r="M242" s="318">
        <v>755000</v>
      </c>
      <c r="N242" s="282">
        <v>6952</v>
      </c>
      <c r="O242" s="279">
        <v>692660.55</v>
      </c>
      <c r="P242" s="319" t="s">
        <v>2229</v>
      </c>
      <c r="Q242" s="321" t="s">
        <v>1949</v>
      </c>
      <c r="R242" s="282"/>
      <c r="S242" s="285"/>
      <c r="T242" s="285"/>
      <c r="U242" s="285" t="s">
        <v>211</v>
      </c>
      <c r="V242" s="282">
        <v>20000</v>
      </c>
      <c r="W242" s="285" t="s">
        <v>471</v>
      </c>
      <c r="X242" s="282">
        <v>531000</v>
      </c>
      <c r="Y242" s="339" t="s">
        <v>2224</v>
      </c>
      <c r="Z242" s="282">
        <v>204000</v>
      </c>
      <c r="AA242" s="279" t="s">
        <v>457</v>
      </c>
      <c r="AB242" s="282"/>
      <c r="AH242" s="282">
        <f t="shared" si="32"/>
        <v>755000</v>
      </c>
      <c r="AK242" s="287">
        <f t="shared" si="31"/>
        <v>0</v>
      </c>
      <c r="AL242" s="295" t="s">
        <v>2230</v>
      </c>
      <c r="AM242" s="295"/>
      <c r="AQ242" s="163">
        <f>0.5%+0.04%+0.12%</f>
        <v>0.0066</v>
      </c>
      <c r="AR242" s="349">
        <f t="shared" si="30"/>
        <v>755000</v>
      </c>
      <c r="AS242" s="282"/>
      <c r="AT242" s="282"/>
      <c r="AU242" s="282"/>
      <c r="AV242" s="282"/>
      <c r="AW242" s="282"/>
      <c r="AX242" s="282"/>
      <c r="AY242" s="158"/>
      <c r="BA242" s="282"/>
      <c r="BB242" s="282"/>
      <c r="BC242" s="282"/>
      <c r="BD242" s="282"/>
      <c r="BE242" s="282"/>
      <c r="BG242" s="279">
        <v>755000</v>
      </c>
      <c r="BT242" s="279" t="s">
        <v>205</v>
      </c>
      <c r="BU242" s="279" t="s">
        <v>206</v>
      </c>
    </row>
    <row r="243" s="279" customFormat="1" customHeight="1" spans="1:73">
      <c r="A243" s="279">
        <v>176</v>
      </c>
      <c r="C243" s="279" t="s">
        <v>2231</v>
      </c>
      <c r="D243" s="279">
        <v>20230006969</v>
      </c>
      <c r="F243" s="295" t="s">
        <v>2232</v>
      </c>
      <c r="G243" s="279" t="s">
        <v>2233</v>
      </c>
      <c r="H243" s="717" t="s">
        <v>2234</v>
      </c>
      <c r="I243" s="313" t="s">
        <v>2235</v>
      </c>
      <c r="J243" s="279">
        <v>107.98</v>
      </c>
      <c r="K243" s="279">
        <v>107.98</v>
      </c>
      <c r="L243" s="279">
        <v>6945.73</v>
      </c>
      <c r="M243" s="318">
        <v>750000</v>
      </c>
      <c r="N243" s="282">
        <v>6932</v>
      </c>
      <c r="O243" s="279">
        <v>688073.39</v>
      </c>
      <c r="P243" s="319" t="s">
        <v>2236</v>
      </c>
      <c r="Q243" s="321" t="s">
        <v>1949</v>
      </c>
      <c r="R243" s="282"/>
      <c r="S243" s="285"/>
      <c r="T243" s="285"/>
      <c r="U243" s="285" t="s">
        <v>422</v>
      </c>
      <c r="V243" s="282">
        <v>20000</v>
      </c>
      <c r="W243" s="285" t="s">
        <v>649</v>
      </c>
      <c r="X243" s="282">
        <f>200000+5000</f>
        <v>205000</v>
      </c>
      <c r="Y243" s="339" t="s">
        <v>1545</v>
      </c>
      <c r="Z243" s="282">
        <f>500000+25000</f>
        <v>525000</v>
      </c>
      <c r="AA243" s="285" t="s">
        <v>2231</v>
      </c>
      <c r="AB243" s="282"/>
      <c r="AH243" s="282">
        <f t="shared" si="32"/>
        <v>750000</v>
      </c>
      <c r="AK243" s="287">
        <f t="shared" si="31"/>
        <v>0</v>
      </c>
      <c r="AL243" s="295" t="s">
        <v>2237</v>
      </c>
      <c r="AM243" s="295"/>
      <c r="AQ243" s="288">
        <f>0.7%+0.05%+0.14%</f>
        <v>0.0089</v>
      </c>
      <c r="AR243" s="349">
        <f t="shared" si="30"/>
        <v>750000</v>
      </c>
      <c r="AS243" s="282"/>
      <c r="AT243" s="282"/>
      <c r="AU243" s="282"/>
      <c r="AV243" s="282"/>
      <c r="AW243" s="282"/>
      <c r="AX243" s="282"/>
      <c r="AY243" s="158"/>
      <c r="BA243" s="282"/>
      <c r="BB243" s="282">
        <v>750000</v>
      </c>
      <c r="BC243" s="282"/>
      <c r="BD243" s="282"/>
      <c r="BE243" s="282"/>
      <c r="BT243" s="279" t="s">
        <v>205</v>
      </c>
      <c r="BU243" s="279" t="s">
        <v>206</v>
      </c>
    </row>
    <row r="244" s="278" customFormat="1" customHeight="1" spans="6:82">
      <c r="F244" s="367"/>
      <c r="G244" s="278" t="s">
        <v>2238</v>
      </c>
      <c r="I244" s="370" t="s">
        <v>2239</v>
      </c>
      <c r="J244" s="278">
        <v>14.47</v>
      </c>
      <c r="L244" s="278">
        <v>2291.64</v>
      </c>
      <c r="M244" s="404">
        <v>33160</v>
      </c>
      <c r="N244" s="103"/>
      <c r="P244" s="393"/>
      <c r="Q244" s="401"/>
      <c r="R244" s="103"/>
      <c r="S244" s="328"/>
      <c r="T244" s="328"/>
      <c r="U244" s="328"/>
      <c r="V244" s="103">
        <v>2000</v>
      </c>
      <c r="W244" s="328">
        <v>45542</v>
      </c>
      <c r="X244" s="103"/>
      <c r="Y244" s="423"/>
      <c r="Z244" s="103"/>
      <c r="AB244" s="103"/>
      <c r="AH244" s="103">
        <f t="shared" si="32"/>
        <v>2000</v>
      </c>
      <c r="AK244" s="342">
        <f t="shared" ref="AK244:AK266" si="33">M244-AH244</f>
        <v>31160</v>
      </c>
      <c r="AL244" s="367"/>
      <c r="AM244" s="367"/>
      <c r="AQ244" s="381"/>
      <c r="AR244" s="348">
        <f t="shared" si="30"/>
        <v>0</v>
      </c>
      <c r="AS244" s="103"/>
      <c r="AT244" s="103"/>
      <c r="AU244" s="103"/>
      <c r="AV244" s="103"/>
      <c r="AW244" s="103"/>
      <c r="AX244" s="103"/>
      <c r="AY244" s="168"/>
      <c r="AZ244" s="89"/>
      <c r="BA244" s="103"/>
      <c r="BB244" s="103"/>
      <c r="BC244" s="103"/>
      <c r="BD244" s="103"/>
      <c r="BE244" s="103"/>
      <c r="CD244" s="365"/>
    </row>
    <row r="245" s="278" customFormat="1" customHeight="1" spans="6:82">
      <c r="F245" s="367"/>
      <c r="I245" s="370" t="s">
        <v>2240</v>
      </c>
      <c r="J245" s="278" t="s">
        <v>2241</v>
      </c>
      <c r="M245" s="103"/>
      <c r="N245" s="103"/>
      <c r="P245" s="393"/>
      <c r="Q245" s="401"/>
      <c r="R245" s="103"/>
      <c r="S245" s="328"/>
      <c r="T245" s="328"/>
      <c r="U245" s="328"/>
      <c r="V245" s="103"/>
      <c r="W245" s="104"/>
      <c r="X245" s="103"/>
      <c r="Y245" s="423"/>
      <c r="Z245" s="103"/>
      <c r="AB245" s="103"/>
      <c r="AH245" s="103">
        <f t="shared" si="32"/>
        <v>0</v>
      </c>
      <c r="AK245" s="342">
        <f t="shared" si="33"/>
        <v>0</v>
      </c>
      <c r="AL245" s="367"/>
      <c r="AM245" s="367"/>
      <c r="AQ245" s="381"/>
      <c r="AR245" s="348">
        <f t="shared" si="30"/>
        <v>0</v>
      </c>
      <c r="AS245" s="103"/>
      <c r="AT245" s="103"/>
      <c r="AU245" s="103"/>
      <c r="AV245" s="103"/>
      <c r="AW245" s="103"/>
      <c r="AX245" s="103"/>
      <c r="AY245" s="168"/>
      <c r="AZ245" s="89"/>
      <c r="BA245" s="103"/>
      <c r="BB245" s="103"/>
      <c r="BC245" s="103"/>
      <c r="BD245" s="103"/>
      <c r="BE245" s="103"/>
      <c r="CD245" s="365"/>
    </row>
    <row r="246" s="278" customFormat="1" customHeight="1" spans="6:82">
      <c r="F246" s="367"/>
      <c r="I246" s="370" t="s">
        <v>2242</v>
      </c>
      <c r="J246" s="278">
        <v>23.24</v>
      </c>
      <c r="L246" s="278">
        <v>2290.88</v>
      </c>
      <c r="M246" s="404">
        <v>53240</v>
      </c>
      <c r="N246" s="103"/>
      <c r="P246" s="393"/>
      <c r="Q246" s="401"/>
      <c r="R246" s="103"/>
      <c r="S246" s="328"/>
      <c r="T246" s="328"/>
      <c r="U246" s="328"/>
      <c r="V246" s="103"/>
      <c r="W246" s="104"/>
      <c r="X246" s="103"/>
      <c r="Y246" s="423"/>
      <c r="Z246" s="103"/>
      <c r="AB246" s="103"/>
      <c r="AH246" s="103">
        <f t="shared" si="32"/>
        <v>0</v>
      </c>
      <c r="AK246" s="342">
        <f t="shared" si="33"/>
        <v>53240</v>
      </c>
      <c r="AL246" s="367"/>
      <c r="AM246" s="367"/>
      <c r="AQ246" s="381"/>
      <c r="AR246" s="348">
        <f t="shared" si="30"/>
        <v>0</v>
      </c>
      <c r="AS246" s="103"/>
      <c r="AT246" s="103"/>
      <c r="AU246" s="103"/>
      <c r="AV246" s="103"/>
      <c r="AW246" s="103"/>
      <c r="AX246" s="103"/>
      <c r="AY246" s="168"/>
      <c r="AZ246" s="89"/>
      <c r="BA246" s="103"/>
      <c r="BB246" s="103"/>
      <c r="BC246" s="103"/>
      <c r="BD246" s="103"/>
      <c r="BE246" s="103"/>
      <c r="CD246" s="365"/>
    </row>
    <row r="247" s="278" customFormat="1" customHeight="1" spans="6:82">
      <c r="F247" s="367"/>
      <c r="I247" s="370" t="s">
        <v>2243</v>
      </c>
      <c r="J247" s="278">
        <v>58.35</v>
      </c>
      <c r="M247" s="103"/>
      <c r="N247" s="103"/>
      <c r="P247" s="393"/>
      <c r="Q247" s="401"/>
      <c r="R247" s="103"/>
      <c r="S247" s="328"/>
      <c r="T247" s="328"/>
      <c r="U247" s="328"/>
      <c r="V247" s="103"/>
      <c r="W247" s="104"/>
      <c r="X247" s="103"/>
      <c r="Y247" s="423"/>
      <c r="Z247" s="103"/>
      <c r="AB247" s="103"/>
      <c r="AH247" s="103">
        <f t="shared" si="32"/>
        <v>0</v>
      </c>
      <c r="AK247" s="342">
        <f t="shared" si="33"/>
        <v>0</v>
      </c>
      <c r="AL247" s="367"/>
      <c r="AM247" s="367"/>
      <c r="AQ247" s="381"/>
      <c r="AR247" s="348">
        <f t="shared" si="30"/>
        <v>0</v>
      </c>
      <c r="AS247" s="103"/>
      <c r="AT247" s="103"/>
      <c r="AU247" s="103"/>
      <c r="AV247" s="103"/>
      <c r="AW247" s="103"/>
      <c r="AX247" s="103"/>
      <c r="AY247" s="168"/>
      <c r="AZ247" s="89"/>
      <c r="BA247" s="103"/>
      <c r="BB247" s="103"/>
      <c r="BC247" s="103"/>
      <c r="BD247" s="103"/>
      <c r="BE247" s="103"/>
      <c r="CD247" s="365"/>
    </row>
    <row r="248" s="278" customFormat="1" customHeight="1" spans="6:82">
      <c r="F248" s="367"/>
      <c r="I248" s="370" t="s">
        <v>2244</v>
      </c>
      <c r="J248" s="278">
        <v>56.59</v>
      </c>
      <c r="M248" s="103"/>
      <c r="N248" s="103"/>
      <c r="P248" s="393"/>
      <c r="Q248" s="401"/>
      <c r="R248" s="103"/>
      <c r="S248" s="328"/>
      <c r="T248" s="328"/>
      <c r="U248" s="328"/>
      <c r="V248" s="103"/>
      <c r="W248" s="104"/>
      <c r="X248" s="103"/>
      <c r="Y248" s="423"/>
      <c r="Z248" s="103"/>
      <c r="AB248" s="103"/>
      <c r="AH248" s="103">
        <f t="shared" si="32"/>
        <v>0</v>
      </c>
      <c r="AK248" s="342">
        <f t="shared" si="33"/>
        <v>0</v>
      </c>
      <c r="AL248" s="367"/>
      <c r="AM248" s="367"/>
      <c r="AQ248" s="381"/>
      <c r="AR248" s="348">
        <f t="shared" si="30"/>
        <v>0</v>
      </c>
      <c r="AS248" s="103"/>
      <c r="AT248" s="103"/>
      <c r="AU248" s="103"/>
      <c r="AV248" s="103"/>
      <c r="AW248" s="103"/>
      <c r="AX248" s="103"/>
      <c r="AY248" s="168"/>
      <c r="AZ248" s="89"/>
      <c r="BA248" s="103"/>
      <c r="BB248" s="103"/>
      <c r="BC248" s="103"/>
      <c r="BD248" s="103"/>
      <c r="BE248" s="103"/>
      <c r="CD248" s="365"/>
    </row>
    <row r="249" s="278" customFormat="1" customHeight="1" spans="6:82">
      <c r="F249" s="367"/>
      <c r="I249" s="370" t="s">
        <v>2245</v>
      </c>
      <c r="J249" s="278">
        <v>23.24</v>
      </c>
      <c r="L249" s="278">
        <v>2290.88</v>
      </c>
      <c r="M249" s="404">
        <v>53240</v>
      </c>
      <c r="N249" s="103"/>
      <c r="P249" s="393"/>
      <c r="Q249" s="401"/>
      <c r="R249" s="103"/>
      <c r="S249" s="328"/>
      <c r="T249" s="328"/>
      <c r="U249" s="328"/>
      <c r="V249" s="103"/>
      <c r="W249" s="104"/>
      <c r="X249" s="103"/>
      <c r="Y249" s="423"/>
      <c r="Z249" s="103"/>
      <c r="AB249" s="103"/>
      <c r="AH249" s="103">
        <f t="shared" si="32"/>
        <v>0</v>
      </c>
      <c r="AK249" s="342">
        <f t="shared" si="33"/>
        <v>53240</v>
      </c>
      <c r="AL249" s="367"/>
      <c r="AM249" s="367"/>
      <c r="AQ249" s="381"/>
      <c r="AR249" s="348">
        <f t="shared" si="30"/>
        <v>0</v>
      </c>
      <c r="AS249" s="103"/>
      <c r="AT249" s="103"/>
      <c r="AU249" s="103"/>
      <c r="AV249" s="103"/>
      <c r="AW249" s="103"/>
      <c r="AX249" s="103"/>
      <c r="AY249" s="168"/>
      <c r="AZ249" s="89"/>
      <c r="BA249" s="103"/>
      <c r="BB249" s="103"/>
      <c r="BC249" s="103"/>
      <c r="BD249" s="103"/>
      <c r="BE249" s="103"/>
      <c r="CD249" s="365"/>
    </row>
    <row r="250" s="278" customFormat="1" customHeight="1" spans="6:82">
      <c r="F250" s="367"/>
      <c r="G250" s="278" t="s">
        <v>2246</v>
      </c>
      <c r="I250" s="370" t="s">
        <v>2247</v>
      </c>
      <c r="J250" s="278">
        <v>14.44</v>
      </c>
      <c r="L250" s="278">
        <v>2290.86</v>
      </c>
      <c r="M250" s="404">
        <v>33080</v>
      </c>
      <c r="N250" s="103"/>
      <c r="P250" s="393"/>
      <c r="Q250" s="401"/>
      <c r="R250" s="103"/>
      <c r="S250" s="328"/>
      <c r="T250" s="328"/>
      <c r="U250" s="328"/>
      <c r="V250" s="103">
        <v>33080</v>
      </c>
      <c r="W250" s="328">
        <v>45537</v>
      </c>
      <c r="X250" s="103"/>
      <c r="Y250" s="423"/>
      <c r="Z250" s="103"/>
      <c r="AB250" s="103"/>
      <c r="AH250" s="103">
        <f t="shared" si="32"/>
        <v>33080</v>
      </c>
      <c r="AK250" s="342">
        <f t="shared" si="33"/>
        <v>0</v>
      </c>
      <c r="AL250" s="367"/>
      <c r="AM250" s="367"/>
      <c r="AQ250" s="381"/>
      <c r="AR250" s="348">
        <f t="shared" si="30"/>
        <v>0</v>
      </c>
      <c r="AS250" s="103"/>
      <c r="AT250" s="103"/>
      <c r="AU250" s="103"/>
      <c r="AV250" s="103"/>
      <c r="AW250" s="103"/>
      <c r="AX250" s="103"/>
      <c r="AY250" s="168"/>
      <c r="AZ250" s="89"/>
      <c r="BA250" s="103"/>
      <c r="BB250" s="103"/>
      <c r="BC250" s="103"/>
      <c r="BD250" s="103"/>
      <c r="BE250" s="103"/>
      <c r="CD250" s="365"/>
    </row>
    <row r="251" s="278" customFormat="1" customHeight="1" spans="6:82">
      <c r="F251" s="367"/>
      <c r="G251" s="278" t="s">
        <v>2248</v>
      </c>
      <c r="I251" s="370" t="s">
        <v>2249</v>
      </c>
      <c r="J251" s="278">
        <v>14.47</v>
      </c>
      <c r="L251" s="278">
        <v>2291.64</v>
      </c>
      <c r="M251" s="404">
        <v>33160</v>
      </c>
      <c r="N251" s="103"/>
      <c r="P251" s="393"/>
      <c r="Q251" s="401"/>
      <c r="R251" s="103"/>
      <c r="S251" s="328"/>
      <c r="T251" s="328"/>
      <c r="U251" s="328"/>
      <c r="V251" s="103">
        <v>5000</v>
      </c>
      <c r="W251" s="328">
        <v>45537</v>
      </c>
      <c r="X251" s="103">
        <v>28160</v>
      </c>
      <c r="Y251" s="423">
        <v>45542</v>
      </c>
      <c r="Z251" s="103"/>
      <c r="AB251" s="103"/>
      <c r="AH251" s="103">
        <f t="shared" si="32"/>
        <v>33160</v>
      </c>
      <c r="AK251" s="342">
        <f t="shared" si="33"/>
        <v>0</v>
      </c>
      <c r="AL251" s="367"/>
      <c r="AM251" s="367"/>
      <c r="AQ251" s="381"/>
      <c r="AR251" s="348">
        <f t="shared" si="30"/>
        <v>0</v>
      </c>
      <c r="AS251" s="103"/>
      <c r="AT251" s="103"/>
      <c r="AU251" s="103"/>
      <c r="AV251" s="103"/>
      <c r="AW251" s="103"/>
      <c r="AX251" s="103"/>
      <c r="AY251" s="168"/>
      <c r="AZ251" s="89"/>
      <c r="BA251" s="103"/>
      <c r="BB251" s="103"/>
      <c r="BC251" s="103"/>
      <c r="BD251" s="103"/>
      <c r="BE251" s="103"/>
      <c r="CD251" s="365"/>
    </row>
    <row r="252" s="278" customFormat="1" customHeight="1" spans="6:82">
      <c r="F252" s="367"/>
      <c r="G252" s="293" t="s">
        <v>2250</v>
      </c>
      <c r="I252" s="370" t="s">
        <v>2251</v>
      </c>
      <c r="J252" s="278">
        <v>14.47</v>
      </c>
      <c r="L252" s="278">
        <v>2291.64</v>
      </c>
      <c r="M252" s="404">
        <v>33160</v>
      </c>
      <c r="N252" s="103"/>
      <c r="P252" s="393"/>
      <c r="Q252" s="401"/>
      <c r="R252" s="103"/>
      <c r="S252" s="328"/>
      <c r="T252" s="328"/>
      <c r="U252" s="328"/>
      <c r="V252" s="103">
        <v>2000</v>
      </c>
      <c r="W252" s="423" t="s">
        <v>2252</v>
      </c>
      <c r="X252" s="103">
        <f>2000-2000</f>
        <v>0</v>
      </c>
      <c r="Y252" s="423"/>
      <c r="Z252" s="103"/>
      <c r="AB252" s="103"/>
      <c r="AH252" s="103">
        <f t="shared" si="32"/>
        <v>2000</v>
      </c>
      <c r="AK252" s="342">
        <f t="shared" si="33"/>
        <v>31160</v>
      </c>
      <c r="AL252" s="367"/>
      <c r="AM252" s="367"/>
      <c r="AQ252" s="381"/>
      <c r="AR252" s="348">
        <f t="shared" si="30"/>
        <v>0</v>
      </c>
      <c r="AS252" s="103"/>
      <c r="AT252" s="103"/>
      <c r="AU252" s="103"/>
      <c r="AV252" s="103"/>
      <c r="AW252" s="103"/>
      <c r="AX252" s="103"/>
      <c r="AY252" s="168"/>
      <c r="AZ252" s="89"/>
      <c r="BA252" s="103"/>
      <c r="BB252" s="103"/>
      <c r="BC252" s="103"/>
      <c r="BD252" s="103"/>
      <c r="BE252" s="103"/>
      <c r="CD252" s="365"/>
    </row>
    <row r="253" s="278" customFormat="1" customHeight="1" spans="6:82">
      <c r="F253" s="367"/>
      <c r="I253" s="370" t="s">
        <v>2253</v>
      </c>
      <c r="J253" s="278">
        <v>23.24</v>
      </c>
      <c r="L253" s="278">
        <v>2290.88</v>
      </c>
      <c r="M253" s="404">
        <v>53240</v>
      </c>
      <c r="N253" s="103"/>
      <c r="P253" s="393"/>
      <c r="Q253" s="401"/>
      <c r="R253" s="103"/>
      <c r="S253" s="328"/>
      <c r="T253" s="328"/>
      <c r="U253" s="328"/>
      <c r="V253" s="103"/>
      <c r="W253" s="104"/>
      <c r="X253" s="103"/>
      <c r="Y253" s="423"/>
      <c r="Z253" s="103"/>
      <c r="AB253" s="103"/>
      <c r="AH253" s="103">
        <f t="shared" si="32"/>
        <v>0</v>
      </c>
      <c r="AK253" s="342">
        <f t="shared" si="33"/>
        <v>53240</v>
      </c>
      <c r="AL253" s="367"/>
      <c r="AM253" s="367"/>
      <c r="AQ253" s="381"/>
      <c r="AR253" s="348">
        <f t="shared" si="30"/>
        <v>0</v>
      </c>
      <c r="AS253" s="103"/>
      <c r="AT253" s="103"/>
      <c r="AU253" s="103"/>
      <c r="AV253" s="103"/>
      <c r="AW253" s="103"/>
      <c r="AX253" s="103"/>
      <c r="AY253" s="168"/>
      <c r="AZ253" s="89"/>
      <c r="BA253" s="103"/>
      <c r="BB253" s="103"/>
      <c r="BC253" s="103"/>
      <c r="BD253" s="103"/>
      <c r="BE253" s="103"/>
      <c r="CD253" s="365"/>
    </row>
    <row r="254" s="278" customFormat="1" customHeight="1" spans="6:82">
      <c r="F254" s="367"/>
      <c r="I254" s="370" t="s">
        <v>2254</v>
      </c>
      <c r="J254" s="278">
        <v>56.55</v>
      </c>
      <c r="M254" s="103"/>
      <c r="N254" s="103"/>
      <c r="P254" s="393"/>
      <c r="Q254" s="401"/>
      <c r="R254" s="103"/>
      <c r="S254" s="328"/>
      <c r="T254" s="328"/>
      <c r="U254" s="328"/>
      <c r="V254" s="103"/>
      <c r="W254" s="104"/>
      <c r="X254" s="103"/>
      <c r="Y254" s="423"/>
      <c r="Z254" s="103"/>
      <c r="AB254" s="103"/>
      <c r="AH254" s="103">
        <f t="shared" si="32"/>
        <v>0</v>
      </c>
      <c r="AK254" s="342">
        <f t="shared" si="33"/>
        <v>0</v>
      </c>
      <c r="AL254" s="367"/>
      <c r="AM254" s="367"/>
      <c r="AQ254" s="381"/>
      <c r="AR254" s="348">
        <f t="shared" si="30"/>
        <v>0</v>
      </c>
      <c r="AS254" s="103"/>
      <c r="AT254" s="103"/>
      <c r="AU254" s="103"/>
      <c r="AV254" s="103"/>
      <c r="AW254" s="103"/>
      <c r="AX254" s="103"/>
      <c r="AY254" s="168"/>
      <c r="AZ254" s="89"/>
      <c r="BA254" s="103"/>
      <c r="BB254" s="103"/>
      <c r="BC254" s="103"/>
      <c r="BD254" s="103"/>
      <c r="BE254" s="103"/>
      <c r="CD254" s="365"/>
    </row>
    <row r="255" s="278" customFormat="1" customHeight="1" spans="6:82">
      <c r="F255" s="367"/>
      <c r="I255" s="370" t="s">
        <v>2255</v>
      </c>
      <c r="J255" s="278">
        <v>58.72</v>
      </c>
      <c r="M255" s="103"/>
      <c r="N255" s="103"/>
      <c r="P255" s="393"/>
      <c r="Q255" s="401"/>
      <c r="R255" s="103"/>
      <c r="S255" s="328"/>
      <c r="T255" s="328"/>
      <c r="U255" s="328"/>
      <c r="V255" s="103"/>
      <c r="W255" s="104"/>
      <c r="X255" s="103"/>
      <c r="Y255" s="423"/>
      <c r="Z255" s="103"/>
      <c r="AB255" s="103"/>
      <c r="AH255" s="103">
        <f t="shared" si="32"/>
        <v>0</v>
      </c>
      <c r="AK255" s="342">
        <f t="shared" si="33"/>
        <v>0</v>
      </c>
      <c r="AL255" s="367"/>
      <c r="AM255" s="367"/>
      <c r="AQ255" s="381"/>
      <c r="AR255" s="348">
        <f t="shared" si="30"/>
        <v>0</v>
      </c>
      <c r="AS255" s="103"/>
      <c r="AT255" s="103"/>
      <c r="AU255" s="103"/>
      <c r="AV255" s="103"/>
      <c r="AW255" s="103"/>
      <c r="AX255" s="103"/>
      <c r="AY255" s="168"/>
      <c r="AZ255" s="89"/>
      <c r="BA255" s="103"/>
      <c r="BB255" s="103"/>
      <c r="BC255" s="103"/>
      <c r="BD255" s="103"/>
      <c r="BE255" s="103"/>
      <c r="CD255" s="365"/>
    </row>
    <row r="256" s="278" customFormat="1" customHeight="1" spans="6:82">
      <c r="F256" s="367"/>
      <c r="G256" s="278" t="s">
        <v>1927</v>
      </c>
      <c r="I256" s="370" t="s">
        <v>2256</v>
      </c>
      <c r="J256" s="278">
        <v>23.24</v>
      </c>
      <c r="L256" s="278">
        <v>2290.88</v>
      </c>
      <c r="M256" s="404">
        <v>53240</v>
      </c>
      <c r="N256" s="103"/>
      <c r="P256" s="393"/>
      <c r="Q256" s="401"/>
      <c r="R256" s="103"/>
      <c r="S256" s="328"/>
      <c r="T256" s="328"/>
      <c r="U256" s="328"/>
      <c r="V256" s="103">
        <v>53240</v>
      </c>
      <c r="W256" s="328">
        <v>45541</v>
      </c>
      <c r="X256" s="103"/>
      <c r="Y256" s="423"/>
      <c r="Z256" s="103"/>
      <c r="AB256" s="103"/>
      <c r="AH256" s="103">
        <f t="shared" si="32"/>
        <v>53240</v>
      </c>
      <c r="AK256" s="342">
        <f t="shared" si="33"/>
        <v>0</v>
      </c>
      <c r="AL256" s="367"/>
      <c r="AM256" s="367"/>
      <c r="AQ256" s="381"/>
      <c r="AR256" s="348">
        <f t="shared" si="30"/>
        <v>0</v>
      </c>
      <c r="AS256" s="103"/>
      <c r="AT256" s="103"/>
      <c r="AU256" s="103"/>
      <c r="AV256" s="103"/>
      <c r="AW256" s="103"/>
      <c r="AX256" s="103"/>
      <c r="AY256" s="168"/>
      <c r="AZ256" s="89"/>
      <c r="BA256" s="103"/>
      <c r="BB256" s="103"/>
      <c r="BC256" s="103"/>
      <c r="BD256" s="103"/>
      <c r="BE256" s="103"/>
      <c r="CD256" s="365"/>
    </row>
    <row r="257" s="278" customFormat="1" customHeight="1" spans="6:82">
      <c r="F257" s="367"/>
      <c r="G257" s="278" t="s">
        <v>2257</v>
      </c>
      <c r="I257" s="370" t="s">
        <v>2258</v>
      </c>
      <c r="J257" s="278">
        <v>14.44</v>
      </c>
      <c r="L257" s="278">
        <v>2290.86</v>
      </c>
      <c r="M257" s="404">
        <v>33080</v>
      </c>
      <c r="N257" s="103"/>
      <c r="P257" s="393"/>
      <c r="Q257" s="401"/>
      <c r="R257" s="103"/>
      <c r="S257" s="328"/>
      <c r="T257" s="328"/>
      <c r="U257" s="328"/>
      <c r="V257" s="103">
        <v>2000</v>
      </c>
      <c r="W257" s="328">
        <v>45537</v>
      </c>
      <c r="X257" s="103">
        <v>31080</v>
      </c>
      <c r="Y257" s="423">
        <v>45554</v>
      </c>
      <c r="Z257" s="103"/>
      <c r="AB257" s="103"/>
      <c r="AH257" s="103">
        <f t="shared" ref="AH257:AH311" si="34">V257+X257+Z257+AB257+AD257+AF257</f>
        <v>33080</v>
      </c>
      <c r="AK257" s="342">
        <f t="shared" si="33"/>
        <v>0</v>
      </c>
      <c r="AL257" s="367"/>
      <c r="AM257" s="367"/>
      <c r="AQ257" s="381"/>
      <c r="AR257" s="348">
        <f t="shared" si="30"/>
        <v>0</v>
      </c>
      <c r="AS257" s="103"/>
      <c r="AT257" s="103"/>
      <c r="AU257" s="103"/>
      <c r="AV257" s="103"/>
      <c r="AW257" s="103"/>
      <c r="AX257" s="103"/>
      <c r="AY257" s="168"/>
      <c r="AZ257" s="89"/>
      <c r="BA257" s="103"/>
      <c r="BB257" s="103"/>
      <c r="BC257" s="103"/>
      <c r="BD257" s="103"/>
      <c r="BE257" s="103"/>
      <c r="CD257" s="365"/>
    </row>
    <row r="258" s="278" customFormat="1" customHeight="1" spans="6:82">
      <c r="F258" s="367"/>
      <c r="G258" s="278" t="s">
        <v>2259</v>
      </c>
      <c r="I258" s="370" t="s">
        <v>2260</v>
      </c>
      <c r="J258" s="278">
        <v>14.47</v>
      </c>
      <c r="L258" s="278">
        <v>2291.64</v>
      </c>
      <c r="M258" s="404">
        <v>33160</v>
      </c>
      <c r="N258" s="103"/>
      <c r="P258" s="393"/>
      <c r="Q258" s="401"/>
      <c r="R258" s="103"/>
      <c r="S258" s="328"/>
      <c r="T258" s="328"/>
      <c r="U258" s="328"/>
      <c r="V258" s="103">
        <v>5000</v>
      </c>
      <c r="W258" s="328">
        <v>45537</v>
      </c>
      <c r="X258" s="103">
        <v>28160</v>
      </c>
      <c r="Y258" s="423">
        <v>45544</v>
      </c>
      <c r="Z258" s="103"/>
      <c r="AB258" s="103"/>
      <c r="AH258" s="103">
        <f t="shared" si="34"/>
        <v>33160</v>
      </c>
      <c r="AK258" s="342">
        <f t="shared" si="33"/>
        <v>0</v>
      </c>
      <c r="AL258" s="367"/>
      <c r="AM258" s="367"/>
      <c r="AQ258" s="381"/>
      <c r="AR258" s="348">
        <f t="shared" si="30"/>
        <v>0</v>
      </c>
      <c r="AS258" s="103"/>
      <c r="AT258" s="103"/>
      <c r="AU258" s="103"/>
      <c r="AV258" s="103"/>
      <c r="AW258" s="103"/>
      <c r="AX258" s="103"/>
      <c r="AY258" s="168"/>
      <c r="AZ258" s="89"/>
      <c r="BA258" s="103"/>
      <c r="BB258" s="103"/>
      <c r="BC258" s="103"/>
      <c r="BD258" s="103"/>
      <c r="BE258" s="103"/>
      <c r="CD258" s="365"/>
    </row>
    <row r="259" s="278" customFormat="1" customHeight="1" spans="6:82">
      <c r="F259" s="367"/>
      <c r="G259" s="278" t="s">
        <v>2261</v>
      </c>
      <c r="I259" s="370" t="s">
        <v>2262</v>
      </c>
      <c r="J259" s="278">
        <v>14.47</v>
      </c>
      <c r="L259" s="278">
        <v>2291.64</v>
      </c>
      <c r="M259" s="404">
        <v>33160</v>
      </c>
      <c r="N259" s="103"/>
      <c r="P259" s="393"/>
      <c r="Q259" s="401"/>
      <c r="R259" s="103"/>
      <c r="S259" s="328"/>
      <c r="T259" s="328"/>
      <c r="U259" s="328"/>
      <c r="V259" s="103">
        <v>33160</v>
      </c>
      <c r="W259" s="328">
        <v>45536</v>
      </c>
      <c r="X259" s="103"/>
      <c r="Y259" s="423"/>
      <c r="Z259" s="103"/>
      <c r="AB259" s="103"/>
      <c r="AH259" s="103">
        <f t="shared" si="34"/>
        <v>33160</v>
      </c>
      <c r="AK259" s="342">
        <f t="shared" si="33"/>
        <v>0</v>
      </c>
      <c r="AL259" s="367"/>
      <c r="AM259" s="367"/>
      <c r="AQ259" s="381"/>
      <c r="AR259" s="348">
        <f t="shared" si="30"/>
        <v>0</v>
      </c>
      <c r="AS259" s="103"/>
      <c r="AT259" s="103"/>
      <c r="AU259" s="103"/>
      <c r="AV259" s="103"/>
      <c r="AW259" s="103"/>
      <c r="AX259" s="103"/>
      <c r="AY259" s="168"/>
      <c r="AZ259" s="89"/>
      <c r="BA259" s="103"/>
      <c r="BB259" s="103"/>
      <c r="BC259" s="103"/>
      <c r="BD259" s="103"/>
      <c r="BE259" s="103"/>
      <c r="CD259" s="365"/>
    </row>
    <row r="260" s="278" customFormat="1" customHeight="1" spans="6:82">
      <c r="F260" s="367"/>
      <c r="I260" s="370" t="s">
        <v>2263</v>
      </c>
      <c r="J260" s="278" t="s">
        <v>2241</v>
      </c>
      <c r="M260" s="103"/>
      <c r="N260" s="103"/>
      <c r="P260" s="393"/>
      <c r="Q260" s="401"/>
      <c r="R260" s="103"/>
      <c r="S260" s="328"/>
      <c r="T260" s="328"/>
      <c r="U260" s="328"/>
      <c r="V260" s="103"/>
      <c r="W260" s="104"/>
      <c r="X260" s="103"/>
      <c r="Y260" s="423"/>
      <c r="Z260" s="103"/>
      <c r="AB260" s="103"/>
      <c r="AH260" s="103">
        <f t="shared" si="34"/>
        <v>0</v>
      </c>
      <c r="AK260" s="342">
        <f t="shared" si="33"/>
        <v>0</v>
      </c>
      <c r="AL260" s="367"/>
      <c r="AM260" s="367"/>
      <c r="AQ260" s="381"/>
      <c r="AR260" s="348">
        <f t="shared" si="30"/>
        <v>0</v>
      </c>
      <c r="AS260" s="103"/>
      <c r="AT260" s="103"/>
      <c r="AU260" s="103"/>
      <c r="AV260" s="103"/>
      <c r="AW260" s="103"/>
      <c r="AX260" s="103"/>
      <c r="AY260" s="168"/>
      <c r="AZ260" s="89"/>
      <c r="BA260" s="103"/>
      <c r="BB260" s="103"/>
      <c r="BC260" s="103"/>
      <c r="BD260" s="103"/>
      <c r="BE260" s="103"/>
      <c r="CD260" s="365"/>
    </row>
    <row r="261" s="278" customFormat="1" customHeight="1" spans="6:82">
      <c r="F261" s="367"/>
      <c r="G261" s="278" t="s">
        <v>2264</v>
      </c>
      <c r="I261" s="370" t="s">
        <v>2265</v>
      </c>
      <c r="J261" s="278">
        <v>23.24</v>
      </c>
      <c r="L261" s="278">
        <v>2290.88</v>
      </c>
      <c r="M261" s="404">
        <v>53240</v>
      </c>
      <c r="N261" s="103"/>
      <c r="P261" s="393"/>
      <c r="Q261" s="401"/>
      <c r="R261" s="103">
        <v>51240</v>
      </c>
      <c r="S261" s="328" t="s">
        <v>1949</v>
      </c>
      <c r="T261" s="328"/>
      <c r="U261" s="328"/>
      <c r="V261" s="103">
        <v>2000</v>
      </c>
      <c r="W261" s="328">
        <v>45540</v>
      </c>
      <c r="X261" s="103">
        <v>51240</v>
      </c>
      <c r="Y261" s="328" t="s">
        <v>1949</v>
      </c>
      <c r="Z261" s="103"/>
      <c r="AB261" s="103"/>
      <c r="AH261" s="103">
        <f t="shared" si="34"/>
        <v>53240</v>
      </c>
      <c r="AK261" s="342">
        <f t="shared" si="33"/>
        <v>0</v>
      </c>
      <c r="AL261" s="367"/>
      <c r="AM261" s="367"/>
      <c r="AQ261" s="381"/>
      <c r="AR261" s="348">
        <f t="shared" si="30"/>
        <v>0</v>
      </c>
      <c r="AS261" s="103"/>
      <c r="AT261" s="103"/>
      <c r="AU261" s="103"/>
      <c r="AV261" s="103"/>
      <c r="AW261" s="103"/>
      <c r="AX261" s="103"/>
      <c r="AY261" s="168"/>
      <c r="AZ261" s="89"/>
      <c r="BA261" s="103"/>
      <c r="BB261" s="103"/>
      <c r="BC261" s="103"/>
      <c r="BD261" s="103"/>
      <c r="BE261" s="103"/>
      <c r="CD261" s="365"/>
    </row>
    <row r="262" s="278" customFormat="1" customHeight="1" spans="6:82">
      <c r="F262" s="367"/>
      <c r="I262" s="370" t="s">
        <v>2266</v>
      </c>
      <c r="J262" s="278">
        <v>58.72</v>
      </c>
      <c r="M262" s="103"/>
      <c r="N262" s="103"/>
      <c r="P262" s="393"/>
      <c r="Q262" s="401"/>
      <c r="R262" s="103"/>
      <c r="S262" s="328"/>
      <c r="T262" s="328"/>
      <c r="U262" s="328"/>
      <c r="V262" s="103"/>
      <c r="W262" s="104"/>
      <c r="X262" s="103"/>
      <c r="Y262" s="423"/>
      <c r="Z262" s="103"/>
      <c r="AB262" s="103"/>
      <c r="AH262" s="103">
        <f t="shared" si="34"/>
        <v>0</v>
      </c>
      <c r="AK262" s="342">
        <f t="shared" si="33"/>
        <v>0</v>
      </c>
      <c r="AL262" s="367"/>
      <c r="AM262" s="367"/>
      <c r="AQ262" s="381"/>
      <c r="AR262" s="348">
        <f t="shared" ref="AR262:AR325" si="35">SUM(AU262:BO262)</f>
        <v>0</v>
      </c>
      <c r="AS262" s="103"/>
      <c r="AT262" s="103"/>
      <c r="AU262" s="103"/>
      <c r="AV262" s="103"/>
      <c r="AW262" s="103"/>
      <c r="AX262" s="103"/>
      <c r="AY262" s="168"/>
      <c r="AZ262" s="89"/>
      <c r="BA262" s="103"/>
      <c r="BB262" s="103"/>
      <c r="BC262" s="103"/>
      <c r="BD262" s="103"/>
      <c r="BE262" s="103"/>
      <c r="CD262" s="365"/>
    </row>
    <row r="263" s="278" customFormat="1" customHeight="1" spans="6:82">
      <c r="F263" s="367"/>
      <c r="I263" s="370" t="s">
        <v>2267</v>
      </c>
      <c r="J263" s="278">
        <v>57.09</v>
      </c>
      <c r="M263" s="103"/>
      <c r="N263" s="103"/>
      <c r="P263" s="393"/>
      <c r="Q263" s="401"/>
      <c r="R263" s="103"/>
      <c r="S263" s="328"/>
      <c r="T263" s="328"/>
      <c r="U263" s="328"/>
      <c r="V263" s="103"/>
      <c r="W263" s="104"/>
      <c r="X263" s="103"/>
      <c r="Y263" s="423"/>
      <c r="Z263" s="103"/>
      <c r="AB263" s="103"/>
      <c r="AH263" s="103">
        <f t="shared" si="34"/>
        <v>0</v>
      </c>
      <c r="AK263" s="342">
        <f t="shared" si="33"/>
        <v>0</v>
      </c>
      <c r="AL263" s="367"/>
      <c r="AM263" s="367"/>
      <c r="AQ263" s="381"/>
      <c r="AR263" s="348">
        <f t="shared" si="35"/>
        <v>0</v>
      </c>
      <c r="AS263" s="103"/>
      <c r="AT263" s="103"/>
      <c r="AU263" s="103"/>
      <c r="AV263" s="103"/>
      <c r="AW263" s="103"/>
      <c r="AX263" s="103"/>
      <c r="AY263" s="168"/>
      <c r="AZ263" s="89"/>
      <c r="BA263" s="103"/>
      <c r="BB263" s="103"/>
      <c r="BC263" s="103"/>
      <c r="BD263" s="103"/>
      <c r="BE263" s="103"/>
      <c r="CD263" s="365"/>
    </row>
    <row r="264" s="278" customFormat="1" customHeight="1" spans="6:82">
      <c r="F264" s="367"/>
      <c r="G264" s="278" t="s">
        <v>2268</v>
      </c>
      <c r="I264" s="370" t="s">
        <v>2269</v>
      </c>
      <c r="J264" s="278">
        <v>23.24</v>
      </c>
      <c r="L264" s="278">
        <v>2290.88</v>
      </c>
      <c r="M264" s="404">
        <v>53240</v>
      </c>
      <c r="N264" s="103"/>
      <c r="P264" s="393"/>
      <c r="Q264" s="401"/>
      <c r="R264" s="103"/>
      <c r="S264" s="328"/>
      <c r="T264" s="328"/>
      <c r="U264" s="328"/>
      <c r="V264" s="103">
        <v>1000</v>
      </c>
      <c r="W264" s="328">
        <v>45540</v>
      </c>
      <c r="X264" s="103"/>
      <c r="Y264" s="423"/>
      <c r="Z264" s="103"/>
      <c r="AB264" s="103"/>
      <c r="AH264" s="103">
        <f t="shared" si="34"/>
        <v>1000</v>
      </c>
      <c r="AK264" s="342">
        <f t="shared" si="33"/>
        <v>52240</v>
      </c>
      <c r="AL264" s="367"/>
      <c r="AM264" s="367"/>
      <c r="AQ264" s="381"/>
      <c r="AR264" s="348">
        <f t="shared" si="35"/>
        <v>0</v>
      </c>
      <c r="AS264" s="103"/>
      <c r="AT264" s="103"/>
      <c r="AU264" s="103"/>
      <c r="AV264" s="103"/>
      <c r="AW264" s="103"/>
      <c r="AX264" s="103"/>
      <c r="AY264" s="168"/>
      <c r="AZ264" s="89"/>
      <c r="BA264" s="103"/>
      <c r="BB264" s="103"/>
      <c r="BC264" s="103"/>
      <c r="BD264" s="103"/>
      <c r="BE264" s="103"/>
      <c r="CD264" s="365"/>
    </row>
    <row r="265" s="278" customFormat="1" customHeight="1" spans="6:82">
      <c r="F265" s="367"/>
      <c r="G265" s="278" t="s">
        <v>2270</v>
      </c>
      <c r="I265" s="370" t="s">
        <v>2271</v>
      </c>
      <c r="J265" s="278">
        <v>14.44</v>
      </c>
      <c r="L265" s="278">
        <v>2290.86</v>
      </c>
      <c r="M265" s="404">
        <v>33080</v>
      </c>
      <c r="N265" s="103"/>
      <c r="P265" s="393"/>
      <c r="Q265" s="401"/>
      <c r="R265" s="103"/>
      <c r="S265" s="328"/>
      <c r="T265" s="328"/>
      <c r="U265" s="328"/>
      <c r="V265" s="103">
        <v>3000</v>
      </c>
      <c r="W265" s="328">
        <v>45540</v>
      </c>
      <c r="X265" s="103">
        <f>80+30000</f>
        <v>30080</v>
      </c>
      <c r="Y265" s="423">
        <v>45546</v>
      </c>
      <c r="Z265" s="103"/>
      <c r="AB265" s="103"/>
      <c r="AH265" s="103">
        <f t="shared" si="34"/>
        <v>33080</v>
      </c>
      <c r="AK265" s="342">
        <f t="shared" si="33"/>
        <v>0</v>
      </c>
      <c r="AL265" s="367"/>
      <c r="AM265" s="367"/>
      <c r="AQ265" s="381"/>
      <c r="AR265" s="348">
        <f t="shared" si="35"/>
        <v>0</v>
      </c>
      <c r="AS265" s="103"/>
      <c r="AT265" s="103"/>
      <c r="AU265" s="103"/>
      <c r="AV265" s="103"/>
      <c r="AW265" s="103"/>
      <c r="AX265" s="103"/>
      <c r="AY265" s="168"/>
      <c r="AZ265" s="89"/>
      <c r="BA265" s="103"/>
      <c r="BB265" s="103"/>
      <c r="BC265" s="103"/>
      <c r="BD265" s="103"/>
      <c r="BE265" s="103"/>
      <c r="CD265" s="365"/>
    </row>
    <row r="266" s="278" customFormat="1" customHeight="1" spans="6:82">
      <c r="F266" s="367"/>
      <c r="G266" s="278" t="s">
        <v>2272</v>
      </c>
      <c r="I266" s="370" t="s">
        <v>2273</v>
      </c>
      <c r="J266" s="278">
        <v>14.47</v>
      </c>
      <c r="L266" s="278">
        <v>2291.64</v>
      </c>
      <c r="M266" s="404">
        <v>33160</v>
      </c>
      <c r="N266" s="103"/>
      <c r="P266" s="393"/>
      <c r="Q266" s="401"/>
      <c r="R266" s="103"/>
      <c r="S266" s="328"/>
      <c r="T266" s="328"/>
      <c r="U266" s="328"/>
      <c r="V266" s="103">
        <v>2000</v>
      </c>
      <c r="W266" s="328">
        <v>45541</v>
      </c>
      <c r="X266" s="103">
        <v>31160</v>
      </c>
      <c r="Y266" s="423">
        <v>45546</v>
      </c>
      <c r="Z266" s="103"/>
      <c r="AB266" s="103"/>
      <c r="AH266" s="103">
        <f t="shared" si="34"/>
        <v>33160</v>
      </c>
      <c r="AK266" s="342">
        <f t="shared" si="33"/>
        <v>0</v>
      </c>
      <c r="AL266" s="367"/>
      <c r="AM266" s="367"/>
      <c r="AQ266" s="381"/>
      <c r="AR266" s="348">
        <f t="shared" si="35"/>
        <v>0</v>
      </c>
      <c r="AS266" s="103"/>
      <c r="AT266" s="103"/>
      <c r="AU266" s="103"/>
      <c r="AV266" s="103"/>
      <c r="AW266" s="103"/>
      <c r="AX266" s="103"/>
      <c r="AY266" s="168"/>
      <c r="AZ266" s="89"/>
      <c r="BA266" s="103"/>
      <c r="BB266" s="103"/>
      <c r="BC266" s="103"/>
      <c r="BD266" s="103"/>
      <c r="BE266" s="103"/>
      <c r="CD266" s="365"/>
    </row>
    <row r="267" s="59" customFormat="1" customHeight="1" spans="1:57">
      <c r="A267" s="386">
        <v>177</v>
      </c>
      <c r="B267" s="278"/>
      <c r="C267" s="278"/>
      <c r="D267" s="278"/>
      <c r="E267" s="278" t="s">
        <v>2274</v>
      </c>
      <c r="F267" s="367"/>
      <c r="G267" s="430"/>
      <c r="H267" s="278"/>
      <c r="I267" s="389" t="s">
        <v>2275</v>
      </c>
      <c r="J267" s="278">
        <v>107.96</v>
      </c>
      <c r="K267" s="278"/>
      <c r="L267" s="278"/>
      <c r="M267" s="103"/>
      <c r="N267" s="278">
        <v>8574.47</v>
      </c>
      <c r="O267" s="414"/>
      <c r="P267" s="393"/>
      <c r="Q267" s="401"/>
      <c r="R267" s="394"/>
      <c r="S267" s="419"/>
      <c r="T267" s="328"/>
      <c r="U267" s="328"/>
      <c r="V267" s="406"/>
      <c r="W267" s="425"/>
      <c r="X267" s="406"/>
      <c r="Y267" s="424"/>
      <c r="Z267" s="406"/>
      <c r="AB267" s="406"/>
      <c r="AH267" s="282">
        <f t="shared" si="34"/>
        <v>0</v>
      </c>
      <c r="AI267" s="278"/>
      <c r="AJ267" s="278"/>
      <c r="AK267" s="342">
        <f t="shared" si="31"/>
        <v>0</v>
      </c>
      <c r="AL267" s="367"/>
      <c r="AM267" s="439"/>
      <c r="AN267" s="278"/>
      <c r="AO267" s="278"/>
      <c r="AP267" s="278"/>
      <c r="AQ267" s="405"/>
      <c r="AR267" s="348">
        <f t="shared" si="35"/>
        <v>0</v>
      </c>
      <c r="AS267" s="406"/>
      <c r="AT267" s="406"/>
      <c r="AU267" s="406"/>
      <c r="AV267" s="406"/>
      <c r="AW267" s="406"/>
      <c r="AX267" s="406"/>
      <c r="AY267" s="429"/>
      <c r="BA267" s="406"/>
      <c r="BB267" s="406"/>
      <c r="BC267" s="406"/>
      <c r="BD267" s="406"/>
      <c r="BE267" s="406"/>
    </row>
    <row r="268" s="279" customFormat="1" customHeight="1" spans="1:57">
      <c r="A268" s="279">
        <v>178</v>
      </c>
      <c r="B268" s="279"/>
      <c r="C268" s="279"/>
      <c r="D268" s="279"/>
      <c r="E268" s="279" t="s">
        <v>2276</v>
      </c>
      <c r="F268" s="295"/>
      <c r="G268" s="279" t="s">
        <v>2277</v>
      </c>
      <c r="H268" s="279"/>
      <c r="I268" s="313" t="s">
        <v>2278</v>
      </c>
      <c r="J268" s="279">
        <v>107.77</v>
      </c>
      <c r="K268" s="279">
        <v>107.77</v>
      </c>
      <c r="L268" s="279"/>
      <c r="M268" s="282">
        <v>923958</v>
      </c>
      <c r="N268" s="279">
        <v>8586.17</v>
      </c>
      <c r="O268" s="343"/>
      <c r="P268" s="319"/>
      <c r="Q268" s="284"/>
      <c r="R268" s="282">
        <v>923958</v>
      </c>
      <c r="S268" s="285" t="s">
        <v>436</v>
      </c>
      <c r="T268" s="285"/>
      <c r="U268" s="285"/>
      <c r="V268" s="282">
        <v>923958</v>
      </c>
      <c r="W268" s="285" t="s">
        <v>436</v>
      </c>
      <c r="X268" s="282"/>
      <c r="Y268" s="339"/>
      <c r="Z268" s="282"/>
      <c r="AB268" s="282"/>
      <c r="AH268" s="282">
        <f t="shared" si="34"/>
        <v>923958</v>
      </c>
      <c r="AK268" s="287">
        <f t="shared" si="31"/>
        <v>0</v>
      </c>
      <c r="AL268" s="295"/>
      <c r="AM268" s="295"/>
      <c r="AN268" s="279"/>
      <c r="AO268" s="279"/>
      <c r="AP268" s="279"/>
      <c r="AQ268" s="288"/>
      <c r="AR268" s="349">
        <f t="shared" si="35"/>
        <v>0</v>
      </c>
      <c r="AS268" s="282"/>
      <c r="AT268" s="282"/>
      <c r="AU268" s="282"/>
      <c r="AV268" s="282"/>
      <c r="AW268" s="282"/>
      <c r="AX268" s="282"/>
      <c r="AY268" s="158"/>
      <c r="BA268" s="282"/>
      <c r="BB268" s="282"/>
      <c r="BC268" s="282"/>
      <c r="BD268" s="282"/>
      <c r="BE268" s="282"/>
    </row>
    <row r="269" s="59" customFormat="1" customHeight="1" spans="1:57">
      <c r="A269" s="386">
        <v>179</v>
      </c>
      <c r="B269" s="278"/>
      <c r="C269" s="278"/>
      <c r="D269" s="278"/>
      <c r="E269" s="278" t="s">
        <v>2279</v>
      </c>
      <c r="F269" s="367"/>
      <c r="G269" s="278"/>
      <c r="H269" s="278"/>
      <c r="I269" s="389" t="s">
        <v>2280</v>
      </c>
      <c r="J269" s="278">
        <v>108.14</v>
      </c>
      <c r="K269" s="278"/>
      <c r="L269" s="278"/>
      <c r="M269" s="103"/>
      <c r="N269" s="278">
        <v>5911.36</v>
      </c>
      <c r="O269" s="414"/>
      <c r="P269" s="393"/>
      <c r="Q269" s="401"/>
      <c r="R269" s="394"/>
      <c r="S269" s="419"/>
      <c r="T269" s="328"/>
      <c r="U269" s="328"/>
      <c r="V269" s="406"/>
      <c r="W269" s="425"/>
      <c r="X269" s="406"/>
      <c r="Y269" s="424"/>
      <c r="Z269" s="406"/>
      <c r="AB269" s="406"/>
      <c r="AH269" s="282">
        <f t="shared" si="34"/>
        <v>0</v>
      </c>
      <c r="AI269" s="278"/>
      <c r="AJ269" s="278"/>
      <c r="AK269" s="342">
        <f t="shared" si="31"/>
        <v>0</v>
      </c>
      <c r="AL269" s="367"/>
      <c r="AM269" s="439"/>
      <c r="AN269" s="278"/>
      <c r="AO269" s="278"/>
      <c r="AP269" s="278"/>
      <c r="AQ269" s="405"/>
      <c r="AR269" s="348">
        <f t="shared" si="35"/>
        <v>0</v>
      </c>
      <c r="AS269" s="406"/>
      <c r="AT269" s="406"/>
      <c r="AU269" s="406"/>
      <c r="AV269" s="406"/>
      <c r="AW269" s="406"/>
      <c r="AX269" s="406"/>
      <c r="AY269" s="429"/>
      <c r="BA269" s="406"/>
      <c r="BB269" s="406"/>
      <c r="BC269" s="406"/>
      <c r="BD269" s="406"/>
      <c r="BE269" s="406"/>
    </row>
    <row r="270" s="59" customFormat="1" customHeight="1" spans="1:57">
      <c r="A270" s="386">
        <v>180</v>
      </c>
      <c r="B270" s="278"/>
      <c r="C270" s="278"/>
      <c r="D270" s="278"/>
      <c r="E270" s="278" t="s">
        <v>2281</v>
      </c>
      <c r="F270" s="367"/>
      <c r="G270" s="278"/>
      <c r="H270" s="278"/>
      <c r="I270" s="413" t="s">
        <v>2282</v>
      </c>
      <c r="J270" s="278">
        <v>107.77</v>
      </c>
      <c r="K270" s="278"/>
      <c r="L270" s="278"/>
      <c r="M270" s="103"/>
      <c r="N270" s="278">
        <v>5934.81</v>
      </c>
      <c r="O270" s="414"/>
      <c r="P270" s="393"/>
      <c r="Q270" s="401"/>
      <c r="R270" s="394"/>
      <c r="S270" s="419"/>
      <c r="T270" s="328"/>
      <c r="U270" s="328"/>
      <c r="V270" s="406"/>
      <c r="W270" s="425"/>
      <c r="X270" s="406"/>
      <c r="Y270" s="424"/>
      <c r="Z270" s="406"/>
      <c r="AB270" s="406"/>
      <c r="AH270" s="282">
        <f t="shared" si="34"/>
        <v>0</v>
      </c>
      <c r="AI270" s="278"/>
      <c r="AJ270" s="278"/>
      <c r="AK270" s="342">
        <f t="shared" si="31"/>
        <v>0</v>
      </c>
      <c r="AL270" s="367"/>
      <c r="AM270" s="439"/>
      <c r="AN270" s="278"/>
      <c r="AO270" s="278"/>
      <c r="AP270" s="278"/>
      <c r="AQ270" s="405"/>
      <c r="AR270" s="348">
        <f t="shared" si="35"/>
        <v>0</v>
      </c>
      <c r="AS270" s="406"/>
      <c r="AT270" s="406"/>
      <c r="AU270" s="406"/>
      <c r="AV270" s="406"/>
      <c r="AW270" s="406"/>
      <c r="AX270" s="406"/>
      <c r="AY270" s="429"/>
      <c r="BA270" s="406"/>
      <c r="BB270" s="406"/>
      <c r="BC270" s="406"/>
      <c r="BD270" s="406"/>
      <c r="BE270" s="406"/>
    </row>
    <row r="271" s="59" customFormat="1" customHeight="1" spans="1:57">
      <c r="A271" s="386">
        <v>181</v>
      </c>
      <c r="B271" s="278"/>
      <c r="C271" s="278"/>
      <c r="D271" s="278"/>
      <c r="E271" s="278" t="s">
        <v>2283</v>
      </c>
      <c r="F271" s="367"/>
      <c r="G271" s="430"/>
      <c r="H271" s="278"/>
      <c r="I271" s="389" t="s">
        <v>2284</v>
      </c>
      <c r="J271" s="278">
        <v>108.14</v>
      </c>
      <c r="K271" s="278"/>
      <c r="L271" s="278"/>
      <c r="M271" s="103"/>
      <c r="N271" s="278">
        <v>5966.65</v>
      </c>
      <c r="O271" s="414"/>
      <c r="P271" s="393"/>
      <c r="Q271" s="401"/>
      <c r="R271" s="394"/>
      <c r="S271" s="419"/>
      <c r="T271" s="328"/>
      <c r="U271" s="328"/>
      <c r="V271" s="406"/>
      <c r="W271" s="425"/>
      <c r="X271" s="406"/>
      <c r="Y271" s="424"/>
      <c r="Z271" s="406"/>
      <c r="AB271" s="406"/>
      <c r="AH271" s="282">
        <f t="shared" si="34"/>
        <v>0</v>
      </c>
      <c r="AI271" s="278"/>
      <c r="AJ271" s="278"/>
      <c r="AK271" s="342">
        <f t="shared" si="31"/>
        <v>0</v>
      </c>
      <c r="AL271" s="367"/>
      <c r="AM271" s="439"/>
      <c r="AN271" s="278"/>
      <c r="AO271" s="278"/>
      <c r="AP271" s="278"/>
      <c r="AQ271" s="405"/>
      <c r="AR271" s="348">
        <f t="shared" si="35"/>
        <v>0</v>
      </c>
      <c r="AS271" s="406"/>
      <c r="AT271" s="406">
        <v>100</v>
      </c>
      <c r="AU271" s="406"/>
      <c r="AV271" s="406"/>
      <c r="AW271" s="406"/>
      <c r="AX271" s="406"/>
      <c r="AY271" s="429"/>
      <c r="BA271" s="406"/>
      <c r="BB271" s="406"/>
      <c r="BC271" s="406"/>
      <c r="BD271" s="406"/>
      <c r="BE271" s="406"/>
    </row>
    <row r="272" s="279" customFormat="1" customHeight="1" spans="1:73">
      <c r="A272" s="279">
        <v>182</v>
      </c>
      <c r="C272" s="279" t="s">
        <v>942</v>
      </c>
      <c r="D272" s="279">
        <v>20230001167</v>
      </c>
      <c r="F272" s="295" t="s">
        <v>2285</v>
      </c>
      <c r="G272" s="294" t="s">
        <v>2286</v>
      </c>
      <c r="H272" s="721" t="s">
        <v>2287</v>
      </c>
      <c r="I272" s="313" t="s">
        <v>2288</v>
      </c>
      <c r="J272" s="279">
        <v>107.77</v>
      </c>
      <c r="K272" s="279">
        <v>107.77</v>
      </c>
      <c r="L272" s="279">
        <v>5133.88</v>
      </c>
      <c r="M272" s="282">
        <v>553278</v>
      </c>
      <c r="N272" s="282"/>
      <c r="O272" s="279">
        <v>507594.5</v>
      </c>
      <c r="P272" s="319" t="s">
        <v>2289</v>
      </c>
      <c r="Q272" s="436">
        <v>45564</v>
      </c>
      <c r="R272" s="282"/>
      <c r="S272" s="285"/>
      <c r="T272" s="332" t="s">
        <v>2290</v>
      </c>
      <c r="U272" s="329" t="s">
        <v>2291</v>
      </c>
      <c r="V272" s="282">
        <f>2000</f>
        <v>2000</v>
      </c>
      <c r="W272" s="330" t="s">
        <v>2292</v>
      </c>
      <c r="X272" s="282">
        <v>18000</v>
      </c>
      <c r="Y272" s="339" t="s">
        <v>960</v>
      </c>
      <c r="Z272" s="282">
        <v>182457</v>
      </c>
      <c r="AA272" s="279" t="s">
        <v>942</v>
      </c>
      <c r="AB272" s="282">
        <v>100000</v>
      </c>
      <c r="AC272" s="279" t="s">
        <v>1798</v>
      </c>
      <c r="AD272" s="279">
        <f>350000-100000</f>
        <v>250000</v>
      </c>
      <c r="AE272" s="279" t="s">
        <v>1023</v>
      </c>
      <c r="AH272" s="282">
        <f t="shared" si="34"/>
        <v>552457</v>
      </c>
      <c r="AK272" s="287">
        <f t="shared" si="31"/>
        <v>821</v>
      </c>
      <c r="AL272" s="295" t="s">
        <v>2293</v>
      </c>
      <c r="AM272" s="295"/>
      <c r="AN272" s="279">
        <v>622236</v>
      </c>
      <c r="AQ272" s="288">
        <f>0.6%+0.1%</f>
        <v>0.007</v>
      </c>
      <c r="AR272" s="349">
        <f t="shared" si="35"/>
        <v>552457</v>
      </c>
      <c r="AS272" s="282"/>
      <c r="AT272" s="282">
        <v>100</v>
      </c>
      <c r="AU272" s="282"/>
      <c r="AV272" s="282">
        <v>202457</v>
      </c>
      <c r="AW272" s="282"/>
      <c r="AX272" s="282"/>
      <c r="AY272" s="158">
        <v>350000</v>
      </c>
      <c r="BA272" s="282"/>
      <c r="BB272" s="282"/>
      <c r="BC272" s="282"/>
      <c r="BD272" s="282"/>
      <c r="BE272" s="282"/>
      <c r="BT272" s="279" t="s">
        <v>205</v>
      </c>
      <c r="BU272" s="279" t="s">
        <v>206</v>
      </c>
    </row>
    <row r="273" s="59" customFormat="1" customHeight="1" spans="1:57">
      <c r="A273" s="386">
        <v>183</v>
      </c>
      <c r="B273" s="278"/>
      <c r="C273" s="278"/>
      <c r="D273" s="278"/>
      <c r="E273" s="278" t="s">
        <v>2294</v>
      </c>
      <c r="F273" s="367"/>
      <c r="G273" s="278"/>
      <c r="H273" s="278"/>
      <c r="I273" s="389" t="s">
        <v>2295</v>
      </c>
      <c r="J273" s="278">
        <v>108.14</v>
      </c>
      <c r="K273" s="278"/>
      <c r="L273" s="278"/>
      <c r="M273" s="103"/>
      <c r="N273" s="103">
        <v>5589.66</v>
      </c>
      <c r="O273" s="414"/>
      <c r="P273" s="393"/>
      <c r="Q273" s="401"/>
      <c r="R273" s="394"/>
      <c r="S273" s="419"/>
      <c r="T273" s="328"/>
      <c r="U273" s="328"/>
      <c r="V273" s="406"/>
      <c r="W273" s="425"/>
      <c r="X273" s="406"/>
      <c r="Y273" s="424"/>
      <c r="Z273" s="406"/>
      <c r="AB273" s="406"/>
      <c r="AH273" s="282">
        <f t="shared" si="34"/>
        <v>0</v>
      </c>
      <c r="AI273" s="278"/>
      <c r="AJ273" s="278"/>
      <c r="AK273" s="342">
        <f t="shared" si="31"/>
        <v>0</v>
      </c>
      <c r="AL273" s="367"/>
      <c r="AM273" s="439"/>
      <c r="AN273" s="278"/>
      <c r="AO273" s="278"/>
      <c r="AP273" s="278"/>
      <c r="AQ273" s="405"/>
      <c r="AR273" s="348">
        <f t="shared" si="35"/>
        <v>0</v>
      </c>
      <c r="AS273" s="406"/>
      <c r="AT273" s="406"/>
      <c r="AU273" s="406"/>
      <c r="AV273" s="406"/>
      <c r="AW273" s="406"/>
      <c r="AX273" s="406"/>
      <c r="AY273" s="429"/>
      <c r="BA273" s="406"/>
      <c r="BB273" s="406"/>
      <c r="BC273" s="406"/>
      <c r="BD273" s="406"/>
      <c r="BE273" s="406"/>
    </row>
    <row r="274" s="279" customFormat="1" customHeight="1" spans="1:73">
      <c r="A274" s="279">
        <v>184</v>
      </c>
      <c r="C274" s="331">
        <v>45278</v>
      </c>
      <c r="D274" s="279">
        <v>20230010456</v>
      </c>
      <c r="F274" s="295" t="s">
        <v>2296</v>
      </c>
      <c r="G274" s="279" t="s">
        <v>2297</v>
      </c>
      <c r="I274" s="313" t="s">
        <v>2298</v>
      </c>
      <c r="J274" s="279">
        <v>107.77</v>
      </c>
      <c r="K274" s="279">
        <v>107.77</v>
      </c>
      <c r="L274" s="279">
        <v>5603.568</v>
      </c>
      <c r="M274" s="318">
        <v>603897</v>
      </c>
      <c r="N274" s="282">
        <v>5611.7</v>
      </c>
      <c r="O274" s="279">
        <v>554033.94</v>
      </c>
      <c r="P274" s="319" t="s">
        <v>2299</v>
      </c>
      <c r="Q274" s="436">
        <v>45564</v>
      </c>
      <c r="R274" s="282"/>
      <c r="S274" s="285"/>
      <c r="U274" s="285" t="s">
        <v>408</v>
      </c>
      <c r="V274" s="282">
        <v>20000</v>
      </c>
      <c r="W274" s="285" t="s">
        <v>2300</v>
      </c>
      <c r="X274" s="282">
        <v>183000</v>
      </c>
      <c r="Y274" s="339" t="s">
        <v>2301</v>
      </c>
      <c r="Z274" s="282">
        <v>400000</v>
      </c>
      <c r="AA274" s="285" t="s">
        <v>2302</v>
      </c>
      <c r="AB274" s="282"/>
      <c r="AH274" s="282">
        <f t="shared" si="34"/>
        <v>603000</v>
      </c>
      <c r="AK274" s="287">
        <f t="shared" si="31"/>
        <v>897</v>
      </c>
      <c r="AL274" s="295" t="s">
        <v>2303</v>
      </c>
      <c r="AM274" s="295"/>
      <c r="AQ274" s="288">
        <f>0.4%+0.03%+0.08%</f>
        <v>0.0051</v>
      </c>
      <c r="AR274" s="349">
        <f t="shared" si="35"/>
        <v>603000</v>
      </c>
      <c r="AS274" s="282"/>
      <c r="AT274" s="282"/>
      <c r="AU274" s="282"/>
      <c r="AV274" s="282"/>
      <c r="AW274" s="282"/>
      <c r="AX274" s="282"/>
      <c r="AY274" s="158"/>
      <c r="BA274" s="282"/>
      <c r="BB274" s="282"/>
      <c r="BC274" s="282"/>
      <c r="BD274" s="282"/>
      <c r="BE274" s="282"/>
      <c r="BF274" s="279">
        <v>203000</v>
      </c>
      <c r="BH274" s="279">
        <v>400000</v>
      </c>
      <c r="BT274" s="279" t="s">
        <v>205</v>
      </c>
      <c r="BU274" s="279" t="s">
        <v>206</v>
      </c>
    </row>
    <row r="275" s="279" customFormat="1" customHeight="1" spans="1:73">
      <c r="A275" s="279">
        <v>185</v>
      </c>
      <c r="C275" s="279" t="s">
        <v>977</v>
      </c>
      <c r="D275" s="279">
        <v>20230000833</v>
      </c>
      <c r="F275" s="295" t="s">
        <v>2304</v>
      </c>
      <c r="G275" s="279" t="s">
        <v>2248</v>
      </c>
      <c r="H275" s="717" t="s">
        <v>2305</v>
      </c>
      <c r="I275" s="316" t="s">
        <v>2306</v>
      </c>
      <c r="J275" s="279">
        <v>108.14</v>
      </c>
      <c r="K275" s="279">
        <v>108.14</v>
      </c>
      <c r="L275" s="279">
        <v>5202.38</v>
      </c>
      <c r="M275" s="318">
        <v>562585</v>
      </c>
      <c r="N275" s="282"/>
      <c r="O275" s="279">
        <v>516133.03</v>
      </c>
      <c r="P275" s="319" t="s">
        <v>2307</v>
      </c>
      <c r="Q275" s="436">
        <v>45564</v>
      </c>
      <c r="R275" s="282"/>
      <c r="S275" s="285"/>
      <c r="T275" s="332" t="s">
        <v>2308</v>
      </c>
      <c r="U275" s="329" t="s">
        <v>2309</v>
      </c>
      <c r="V275" s="282">
        <f>1000-1000</f>
        <v>0</v>
      </c>
      <c r="W275" s="330"/>
      <c r="X275" s="282">
        <v>242753</v>
      </c>
      <c r="Y275" s="279" t="s">
        <v>977</v>
      </c>
      <c r="Z275" s="282">
        <v>20000</v>
      </c>
      <c r="AA275" s="279" t="s">
        <v>1798</v>
      </c>
      <c r="AB275" s="282">
        <v>299000</v>
      </c>
      <c r="AC275" s="285" t="s">
        <v>562</v>
      </c>
      <c r="AH275" s="282">
        <f t="shared" si="34"/>
        <v>561753</v>
      </c>
      <c r="AK275" s="287">
        <f t="shared" si="31"/>
        <v>832</v>
      </c>
      <c r="AL275" s="295" t="s">
        <v>2310</v>
      </c>
      <c r="AM275" s="295"/>
      <c r="AN275" s="279">
        <v>632341</v>
      </c>
      <c r="AQ275" s="288">
        <f>0.6%+0.04%+0.1%</f>
        <v>0.0074</v>
      </c>
      <c r="AR275" s="349">
        <f t="shared" si="35"/>
        <v>561753</v>
      </c>
      <c r="AS275" s="282"/>
      <c r="AT275" s="282">
        <v>100</v>
      </c>
      <c r="AU275" s="282"/>
      <c r="AV275" s="282"/>
      <c r="AW275" s="282"/>
      <c r="AX275" s="282">
        <v>262753</v>
      </c>
      <c r="AY275" s="158"/>
      <c r="BA275" s="282">
        <v>299000</v>
      </c>
      <c r="BB275" s="282"/>
      <c r="BC275" s="282"/>
      <c r="BD275" s="282"/>
      <c r="BE275" s="282"/>
      <c r="BT275" s="279" t="s">
        <v>205</v>
      </c>
      <c r="BU275" s="279" t="s">
        <v>206</v>
      </c>
    </row>
    <row r="276" s="279" customFormat="1" customHeight="1" spans="1:73">
      <c r="A276" s="279">
        <v>186</v>
      </c>
      <c r="C276" s="279" t="s">
        <v>1667</v>
      </c>
      <c r="D276" s="279">
        <v>20230003652</v>
      </c>
      <c r="F276" s="295" t="s">
        <v>2311</v>
      </c>
      <c r="G276" s="294" t="s">
        <v>2312</v>
      </c>
      <c r="H276" s="717" t="s">
        <v>2313</v>
      </c>
      <c r="I276" s="313" t="s">
        <v>2314</v>
      </c>
      <c r="J276" s="279">
        <v>107.77</v>
      </c>
      <c r="K276" s="279">
        <v>107.77</v>
      </c>
      <c r="L276" s="279">
        <v>5440</v>
      </c>
      <c r="M276" s="318">
        <v>586269</v>
      </c>
      <c r="N276" s="282">
        <v>5363.37</v>
      </c>
      <c r="O276" s="279">
        <v>537861.47</v>
      </c>
      <c r="P276" s="319" t="s">
        <v>2315</v>
      </c>
      <c r="Q276" s="436">
        <v>45564</v>
      </c>
      <c r="R276" s="282"/>
      <c r="S276" s="285"/>
      <c r="T276" s="279" t="s">
        <v>2312</v>
      </c>
      <c r="U276" s="285" t="s">
        <v>1917</v>
      </c>
      <c r="V276" s="282">
        <f>20000-20000</f>
        <v>0</v>
      </c>
      <c r="W276" s="331" t="s">
        <v>970</v>
      </c>
      <c r="X276" s="282">
        <v>10000</v>
      </c>
      <c r="Y276" s="331" t="s">
        <v>1119</v>
      </c>
      <c r="Z276" s="282">
        <v>175398</v>
      </c>
      <c r="AA276" s="279" t="s">
        <v>1667</v>
      </c>
      <c r="AB276" s="282">
        <v>400000</v>
      </c>
      <c r="AC276" s="279" t="s">
        <v>962</v>
      </c>
      <c r="AH276" s="282">
        <f t="shared" si="34"/>
        <v>585398</v>
      </c>
      <c r="AK276" s="287">
        <f t="shared" si="31"/>
        <v>871</v>
      </c>
      <c r="AL276" s="295" t="s">
        <v>2316</v>
      </c>
      <c r="AM276" s="295"/>
      <c r="AQ276" s="288">
        <f>0.6%+0.06%+0.14%</f>
        <v>0.008</v>
      </c>
      <c r="AR276" s="349">
        <f t="shared" si="35"/>
        <v>585398</v>
      </c>
      <c r="AS276" s="282"/>
      <c r="AT276" s="282"/>
      <c r="AU276" s="282"/>
      <c r="AV276" s="282"/>
      <c r="AW276" s="282"/>
      <c r="AX276" s="282">
        <v>185398</v>
      </c>
      <c r="AY276" s="158">
        <v>400000</v>
      </c>
      <c r="BA276" s="282"/>
      <c r="BB276" s="282"/>
      <c r="BC276" s="282"/>
      <c r="BD276" s="282"/>
      <c r="BE276" s="282"/>
      <c r="BT276" s="279" t="s">
        <v>205</v>
      </c>
      <c r="BU276" s="279" t="s">
        <v>206</v>
      </c>
    </row>
    <row r="277" s="279" customFormat="1" customHeight="1" spans="1:73">
      <c r="A277" s="279">
        <v>187</v>
      </c>
      <c r="C277" s="279" t="s">
        <v>1035</v>
      </c>
      <c r="D277" s="279">
        <v>20230001094</v>
      </c>
      <c r="F277" s="295" t="s">
        <v>2317</v>
      </c>
      <c r="G277" s="279" t="s">
        <v>2318</v>
      </c>
      <c r="H277" s="717" t="s">
        <v>2319</v>
      </c>
      <c r="I277" s="316" t="s">
        <v>2320</v>
      </c>
      <c r="J277" s="279">
        <v>108.14</v>
      </c>
      <c r="K277" s="279">
        <v>108.14</v>
      </c>
      <c r="L277" s="279">
        <v>5388</v>
      </c>
      <c r="M277" s="318">
        <v>582658</v>
      </c>
      <c r="N277" s="282"/>
      <c r="O277" s="279">
        <v>534548.62</v>
      </c>
      <c r="P277" s="319" t="s">
        <v>2321</v>
      </c>
      <c r="Q277" s="436">
        <v>45564</v>
      </c>
      <c r="R277" s="282"/>
      <c r="S277" s="285"/>
      <c r="T277" s="279" t="s">
        <v>2318</v>
      </c>
      <c r="U277" s="279" t="s">
        <v>2318</v>
      </c>
      <c r="V277" s="282">
        <v>71796</v>
      </c>
      <c r="W277" s="331" t="s">
        <v>1035</v>
      </c>
      <c r="X277" s="282">
        <v>50000</v>
      </c>
      <c r="Y277" s="339" t="s">
        <v>2322</v>
      </c>
      <c r="Z277" s="282">
        <v>460000</v>
      </c>
      <c r="AA277" s="279" t="s">
        <v>1611</v>
      </c>
      <c r="AB277" s="282"/>
      <c r="AH277" s="282">
        <f t="shared" si="34"/>
        <v>581796</v>
      </c>
      <c r="AK277" s="287">
        <f t="shared" si="31"/>
        <v>862</v>
      </c>
      <c r="AL277" s="295" t="s">
        <v>2323</v>
      </c>
      <c r="AM277" s="295"/>
      <c r="AQ277" s="288">
        <f>0.5%+0.05%+0.14%</f>
        <v>0.0069</v>
      </c>
      <c r="AR277" s="349">
        <f t="shared" si="35"/>
        <v>581796</v>
      </c>
      <c r="AS277" s="282"/>
      <c r="AT277" s="282"/>
      <c r="AU277" s="282"/>
      <c r="AV277" s="282"/>
      <c r="AW277" s="282"/>
      <c r="AX277" s="282">
        <v>121796</v>
      </c>
      <c r="AY277" s="158">
        <v>460000</v>
      </c>
      <c r="BA277" s="282"/>
      <c r="BB277" s="282"/>
      <c r="BC277" s="282"/>
      <c r="BD277" s="282"/>
      <c r="BE277" s="282"/>
      <c r="BT277" s="279" t="s">
        <v>205</v>
      </c>
      <c r="BU277" s="279" t="s">
        <v>206</v>
      </c>
    </row>
    <row r="278" s="279" customFormat="1" customHeight="1" spans="1:73">
      <c r="A278" s="279">
        <v>188</v>
      </c>
      <c r="C278" s="279" t="s">
        <v>916</v>
      </c>
      <c r="D278" s="279">
        <v>20230001270</v>
      </c>
      <c r="F278" s="295" t="s">
        <v>2324</v>
      </c>
      <c r="G278" s="279" t="s">
        <v>2325</v>
      </c>
      <c r="H278" s="717" t="s">
        <v>2326</v>
      </c>
      <c r="I278" s="313" t="s">
        <v>2327</v>
      </c>
      <c r="J278" s="279">
        <v>107.77</v>
      </c>
      <c r="K278" s="279">
        <v>107.77</v>
      </c>
      <c r="L278" s="279">
        <v>5258.88</v>
      </c>
      <c r="M278" s="318">
        <v>566749</v>
      </c>
      <c r="N278" s="282"/>
      <c r="O278" s="279">
        <v>519953.21</v>
      </c>
      <c r="P278" s="319" t="s">
        <v>2328</v>
      </c>
      <c r="Q278" s="436">
        <v>45564</v>
      </c>
      <c r="R278" s="282"/>
      <c r="S278" s="285"/>
      <c r="T278" s="286" t="s">
        <v>2329</v>
      </c>
      <c r="U278" s="285" t="s">
        <v>2330</v>
      </c>
      <c r="V278" s="282">
        <v>20000</v>
      </c>
      <c r="W278" s="331" t="s">
        <v>1134</v>
      </c>
      <c r="X278" s="282">
        <v>246908</v>
      </c>
      <c r="Y278" s="339" t="s">
        <v>2331</v>
      </c>
      <c r="Z278" s="282">
        <v>299000</v>
      </c>
      <c r="AA278" s="285" t="s">
        <v>333</v>
      </c>
      <c r="AB278" s="282"/>
      <c r="AH278" s="282">
        <f t="shared" si="34"/>
        <v>565908</v>
      </c>
      <c r="AK278" s="287">
        <f t="shared" si="31"/>
        <v>841</v>
      </c>
      <c r="AL278" s="295" t="s">
        <v>2332</v>
      </c>
      <c r="AM278" s="295"/>
      <c r="AN278" s="279">
        <v>636857</v>
      </c>
      <c r="AQ278" s="288">
        <f>0.4%+0.04%+0.1%+0.04%</f>
        <v>0.0058</v>
      </c>
      <c r="AR278" s="349">
        <f t="shared" si="35"/>
        <v>565908</v>
      </c>
      <c r="AS278" s="282"/>
      <c r="AT278" s="282"/>
      <c r="AU278" s="282"/>
      <c r="AV278" s="282">
        <v>266908</v>
      </c>
      <c r="AW278" s="282"/>
      <c r="AX278" s="282"/>
      <c r="AY278" s="158"/>
      <c r="BA278" s="282"/>
      <c r="BB278" s="282">
        <v>299000</v>
      </c>
      <c r="BC278" s="282"/>
      <c r="BD278" s="282"/>
      <c r="BE278" s="282"/>
      <c r="BT278" s="279" t="s">
        <v>205</v>
      </c>
      <c r="BU278" s="279" t="s">
        <v>206</v>
      </c>
    </row>
    <row r="279" s="279" customFormat="1" customHeight="1" spans="1:73">
      <c r="A279" s="279">
        <v>189</v>
      </c>
      <c r="C279" s="279" t="s">
        <v>2333</v>
      </c>
      <c r="D279" s="279">
        <v>20230000205</v>
      </c>
      <c r="F279" s="295" t="s">
        <v>2334</v>
      </c>
      <c r="G279" s="279" t="s">
        <v>2246</v>
      </c>
      <c r="I279" s="313" t="s">
        <v>2335</v>
      </c>
      <c r="J279" s="279">
        <v>108.14</v>
      </c>
      <c r="K279" s="279">
        <v>108.14</v>
      </c>
      <c r="L279" s="279">
        <v>5292.38</v>
      </c>
      <c r="M279" s="318">
        <v>572318</v>
      </c>
      <c r="N279" s="282"/>
      <c r="O279" s="279">
        <v>525062.39</v>
      </c>
      <c r="P279" s="319" t="s">
        <v>2336</v>
      </c>
      <c r="Q279" s="436">
        <v>45564</v>
      </c>
      <c r="R279" s="282"/>
      <c r="S279" s="285"/>
      <c r="T279" s="286" t="s">
        <v>2337</v>
      </c>
      <c r="U279" s="285" t="s">
        <v>2338</v>
      </c>
      <c r="V279" s="282">
        <v>2000</v>
      </c>
      <c r="W279" s="331">
        <v>44760</v>
      </c>
      <c r="X279" s="282">
        <v>18000</v>
      </c>
      <c r="Y279" s="339" t="s">
        <v>960</v>
      </c>
      <c r="Z279" s="282">
        <v>151471</v>
      </c>
      <c r="AA279" s="279" t="s">
        <v>2333</v>
      </c>
      <c r="AB279" s="282">
        <v>400000</v>
      </c>
      <c r="AC279" s="279" t="s">
        <v>992</v>
      </c>
      <c r="AH279" s="282">
        <f t="shared" si="34"/>
        <v>571471</v>
      </c>
      <c r="AK279" s="287">
        <f t="shared" si="31"/>
        <v>847</v>
      </c>
      <c r="AL279" s="295" t="s">
        <v>2339</v>
      </c>
      <c r="AM279" s="295"/>
      <c r="AN279" s="279">
        <v>642904</v>
      </c>
      <c r="AQ279" s="288">
        <f>0.4%+0.04%+0.1%</f>
        <v>0.0054</v>
      </c>
      <c r="AR279" s="349">
        <f t="shared" si="35"/>
        <v>571471</v>
      </c>
      <c r="AS279" s="282"/>
      <c r="AT279" s="282"/>
      <c r="AU279" s="282">
        <v>171471</v>
      </c>
      <c r="AV279" s="282"/>
      <c r="AW279" s="282">
        <v>400000</v>
      </c>
      <c r="AX279" s="282"/>
      <c r="AY279" s="158"/>
      <c r="BA279" s="282"/>
      <c r="BB279" s="282"/>
      <c r="BC279" s="282"/>
      <c r="BD279" s="282"/>
      <c r="BE279" s="282"/>
      <c r="BT279" s="279" t="s">
        <v>205</v>
      </c>
      <c r="BU279" s="279" t="s">
        <v>206</v>
      </c>
    </row>
    <row r="280" s="279" customFormat="1" customHeight="1" spans="1:73">
      <c r="A280" s="279">
        <v>190</v>
      </c>
      <c r="C280" s="279" t="s">
        <v>1023</v>
      </c>
      <c r="D280" s="279">
        <v>20230004214</v>
      </c>
      <c r="F280" s="295" t="s">
        <v>2340</v>
      </c>
      <c r="G280" s="279" t="s">
        <v>2341</v>
      </c>
      <c r="H280" s="717" t="s">
        <v>2342</v>
      </c>
      <c r="I280" s="313" t="s">
        <v>2343</v>
      </c>
      <c r="J280" s="279">
        <v>107.77</v>
      </c>
      <c r="K280" s="279">
        <v>107.77</v>
      </c>
      <c r="L280" s="279">
        <v>5600</v>
      </c>
      <c r="M280" s="318">
        <v>603512</v>
      </c>
      <c r="N280" s="282">
        <v>5537.2</v>
      </c>
      <c r="O280" s="279">
        <v>553680.73</v>
      </c>
      <c r="P280" s="319" t="s">
        <v>2344</v>
      </c>
      <c r="Q280" s="436">
        <v>45564</v>
      </c>
      <c r="R280" s="282"/>
      <c r="S280" s="285"/>
      <c r="T280" s="285" t="s">
        <v>2341</v>
      </c>
      <c r="U280" s="285" t="s">
        <v>2345</v>
      </c>
      <c r="V280" s="282">
        <v>20000</v>
      </c>
      <c r="W280" s="331" t="s">
        <v>2346</v>
      </c>
      <c r="X280" s="282">
        <v>162616</v>
      </c>
      <c r="Y280" s="339" t="s">
        <v>1023</v>
      </c>
      <c r="Z280" s="282">
        <v>420000</v>
      </c>
      <c r="AA280" s="279" t="s">
        <v>1315</v>
      </c>
      <c r="AB280" s="282"/>
      <c r="AH280" s="282">
        <f t="shared" si="34"/>
        <v>602616</v>
      </c>
      <c r="AK280" s="287">
        <f t="shared" si="31"/>
        <v>896</v>
      </c>
      <c r="AL280" s="295" t="s">
        <v>2347</v>
      </c>
      <c r="AM280" s="295"/>
      <c r="AQ280" s="288">
        <f t="shared" ref="AQ280:AQ282" si="36">0.6%+0.06%+0.14%</f>
        <v>0.008</v>
      </c>
      <c r="AR280" s="349">
        <f t="shared" si="35"/>
        <v>602616</v>
      </c>
      <c r="AS280" s="282">
        <f>100</f>
        <v>100</v>
      </c>
      <c r="AT280" s="282"/>
      <c r="AU280" s="282"/>
      <c r="AV280" s="282"/>
      <c r="AW280" s="282"/>
      <c r="AX280" s="282"/>
      <c r="AY280" s="158">
        <v>182616</v>
      </c>
      <c r="AZ280" s="131">
        <v>420000</v>
      </c>
      <c r="BA280" s="282"/>
      <c r="BB280" s="282"/>
      <c r="BC280" s="282"/>
      <c r="BD280" s="282"/>
      <c r="BE280" s="282"/>
      <c r="BT280" s="279" t="s">
        <v>205</v>
      </c>
      <c r="BU280" s="279" t="s">
        <v>206</v>
      </c>
    </row>
    <row r="281" s="279" customFormat="1" customHeight="1" spans="1:73">
      <c r="A281" s="279">
        <v>191</v>
      </c>
      <c r="C281" s="279" t="s">
        <v>1589</v>
      </c>
      <c r="D281" s="279">
        <v>20230003251</v>
      </c>
      <c r="F281" s="295" t="s">
        <v>2348</v>
      </c>
      <c r="G281" s="279" t="s">
        <v>2349</v>
      </c>
      <c r="H281" s="717" t="s">
        <v>2350</v>
      </c>
      <c r="I281" s="316" t="s">
        <v>2351</v>
      </c>
      <c r="J281" s="279">
        <v>108.14</v>
      </c>
      <c r="K281" s="279">
        <v>108.14</v>
      </c>
      <c r="L281" s="279">
        <v>5600</v>
      </c>
      <c r="M281" s="318">
        <v>605584</v>
      </c>
      <c r="N281" s="282">
        <v>5551.1</v>
      </c>
      <c r="O281" s="279">
        <v>555581.65</v>
      </c>
      <c r="P281" s="319" t="s">
        <v>2352</v>
      </c>
      <c r="Q281" s="436">
        <v>45564</v>
      </c>
      <c r="R281" s="282"/>
      <c r="S281" s="285"/>
      <c r="T281" s="279" t="s">
        <v>2349</v>
      </c>
      <c r="U281" s="285" t="s">
        <v>201</v>
      </c>
      <c r="V281" s="282">
        <v>20000</v>
      </c>
      <c r="W281" s="331" t="s">
        <v>1119</v>
      </c>
      <c r="X281" s="282">
        <v>101688</v>
      </c>
      <c r="Y281" s="339" t="s">
        <v>1589</v>
      </c>
      <c r="Z281" s="282">
        <v>483000</v>
      </c>
      <c r="AA281" s="279" t="s">
        <v>1076</v>
      </c>
      <c r="AB281" s="282"/>
      <c r="AH281" s="282">
        <f t="shared" si="34"/>
        <v>604688</v>
      </c>
      <c r="AK281" s="287">
        <f t="shared" ref="AK281:AK332" si="37">M281-AH281</f>
        <v>896</v>
      </c>
      <c r="AL281" s="295" t="s">
        <v>2353</v>
      </c>
      <c r="AM281" s="295"/>
      <c r="AQ281" s="288">
        <f>0.6%+0.14%</f>
        <v>0.0074</v>
      </c>
      <c r="AR281" s="349">
        <f t="shared" si="35"/>
        <v>604688</v>
      </c>
      <c r="AS281" s="282"/>
      <c r="AT281" s="282"/>
      <c r="AU281" s="282"/>
      <c r="AV281" s="282"/>
      <c r="AW281" s="282"/>
      <c r="AX281" s="282">
        <v>604688</v>
      </c>
      <c r="AY281" s="158"/>
      <c r="BA281" s="282"/>
      <c r="BB281" s="282"/>
      <c r="BC281" s="282"/>
      <c r="BD281" s="282"/>
      <c r="BE281" s="282"/>
      <c r="BT281" s="279" t="s">
        <v>205</v>
      </c>
      <c r="BU281" s="279" t="s">
        <v>206</v>
      </c>
    </row>
    <row r="282" s="279" customFormat="1" customHeight="1" spans="1:73">
      <c r="A282" s="279">
        <v>192</v>
      </c>
      <c r="C282" s="279" t="s">
        <v>721</v>
      </c>
      <c r="D282" s="279">
        <v>20230006106</v>
      </c>
      <c r="F282" s="718" t="s">
        <v>2354</v>
      </c>
      <c r="G282" s="279" t="s">
        <v>2355</v>
      </c>
      <c r="I282" s="313" t="s">
        <v>2356</v>
      </c>
      <c r="J282" s="279">
        <v>107.77</v>
      </c>
      <c r="K282" s="279">
        <v>107.77</v>
      </c>
      <c r="L282" s="279">
        <v>5643.04</v>
      </c>
      <c r="M282" s="318">
        <f>K282*L282</f>
        <v>608150.4208</v>
      </c>
      <c r="N282" s="282">
        <v>5563.04</v>
      </c>
      <c r="P282" s="319"/>
      <c r="Q282" s="436">
        <v>45564</v>
      </c>
      <c r="R282" s="282"/>
      <c r="S282" s="285"/>
      <c r="T282" s="285"/>
      <c r="U282" s="285"/>
      <c r="V282" s="282">
        <v>10000</v>
      </c>
      <c r="W282" s="331" t="s">
        <v>2357</v>
      </c>
      <c r="X282" s="282">
        <f>248+112000</f>
        <v>112248</v>
      </c>
      <c r="Y282" s="285" t="s">
        <v>721</v>
      </c>
      <c r="Z282" s="282">
        <v>485000</v>
      </c>
      <c r="AA282" s="285" t="s">
        <v>2358</v>
      </c>
      <c r="AB282" s="282"/>
      <c r="AH282" s="282">
        <f t="shared" si="34"/>
        <v>607248</v>
      </c>
      <c r="AK282" s="287">
        <f t="shared" si="37"/>
        <v>902.420799999963</v>
      </c>
      <c r="AL282" s="295"/>
      <c r="AM282" s="295"/>
      <c r="AQ282" s="288">
        <f t="shared" si="36"/>
        <v>0.008</v>
      </c>
      <c r="AR282" s="349">
        <f t="shared" si="35"/>
        <v>607248</v>
      </c>
      <c r="AS282" s="282"/>
      <c r="AT282" s="282"/>
      <c r="AU282" s="282"/>
      <c r="AV282" s="282"/>
      <c r="AW282" s="282"/>
      <c r="AX282" s="282"/>
      <c r="AY282" s="158"/>
      <c r="BA282" s="282">
        <v>122248</v>
      </c>
      <c r="BB282" s="282"/>
      <c r="BC282" s="282"/>
      <c r="BD282" s="282"/>
      <c r="BE282" s="282"/>
      <c r="BG282" s="279">
        <v>485000</v>
      </c>
      <c r="BT282" s="279" t="s">
        <v>205</v>
      </c>
      <c r="BU282" s="279" t="s">
        <v>206</v>
      </c>
    </row>
    <row r="283" s="279" customFormat="1" customHeight="1" spans="1:73">
      <c r="A283" s="279">
        <v>193</v>
      </c>
      <c r="C283" s="279" t="s">
        <v>2359</v>
      </c>
      <c r="D283" s="279">
        <v>20230005577</v>
      </c>
      <c r="F283" s="295" t="s">
        <v>2360</v>
      </c>
      <c r="G283" s="279" t="s">
        <v>2361</v>
      </c>
      <c r="H283" s="717" t="s">
        <v>2362</v>
      </c>
      <c r="I283" s="316" t="s">
        <v>2363</v>
      </c>
      <c r="J283" s="279">
        <v>108.14</v>
      </c>
      <c r="K283" s="279">
        <v>108.14</v>
      </c>
      <c r="L283" s="279">
        <v>5907.45</v>
      </c>
      <c r="M283" s="318">
        <v>638832</v>
      </c>
      <c r="N283" s="282">
        <v>5897.6</v>
      </c>
      <c r="O283" s="279">
        <v>586084.4</v>
      </c>
      <c r="P283" s="319" t="s">
        <v>2364</v>
      </c>
      <c r="Q283" s="436">
        <v>45564</v>
      </c>
      <c r="R283" s="282"/>
      <c r="S283" s="285"/>
      <c r="T283" s="285"/>
      <c r="U283" s="285"/>
      <c r="V283" s="282">
        <v>40000</v>
      </c>
      <c r="W283" s="285" t="s">
        <v>805</v>
      </c>
      <c r="X283" s="282">
        <f>157887+440000</f>
        <v>597887</v>
      </c>
      <c r="Y283" s="285" t="s">
        <v>2359</v>
      </c>
      <c r="Z283" s="282"/>
      <c r="AB283" s="282"/>
      <c r="AH283" s="282">
        <f t="shared" si="34"/>
        <v>637887</v>
      </c>
      <c r="AK283" s="287">
        <f t="shared" si="37"/>
        <v>945</v>
      </c>
      <c r="AL283" s="295" t="s">
        <v>2365</v>
      </c>
      <c r="AM283" s="295"/>
      <c r="AQ283" s="288">
        <f>0.4%+0.02%+0.08%</f>
        <v>0.005</v>
      </c>
      <c r="AR283" s="349">
        <f t="shared" si="35"/>
        <v>637887</v>
      </c>
      <c r="AS283" s="282"/>
      <c r="AT283" s="282"/>
      <c r="AU283" s="282"/>
      <c r="AV283" s="282"/>
      <c r="AW283" s="282"/>
      <c r="AX283" s="282"/>
      <c r="AY283" s="158"/>
      <c r="AZ283" s="131"/>
      <c r="BA283" s="282">
        <v>637887</v>
      </c>
      <c r="BB283" s="282"/>
      <c r="BC283" s="282"/>
      <c r="BD283" s="282"/>
      <c r="BE283" s="282"/>
      <c r="BT283" s="279" t="s">
        <v>205</v>
      </c>
      <c r="BU283" s="279" t="s">
        <v>206</v>
      </c>
    </row>
    <row r="284" s="279" customFormat="1" customHeight="1" spans="1:73">
      <c r="A284" s="279">
        <v>194</v>
      </c>
      <c r="C284" s="279" t="s">
        <v>1289</v>
      </c>
      <c r="D284" s="279">
        <v>20230004483</v>
      </c>
      <c r="F284" s="295" t="s">
        <v>2366</v>
      </c>
      <c r="G284" s="279" t="s">
        <v>2238</v>
      </c>
      <c r="H284" s="717" t="s">
        <v>2367</v>
      </c>
      <c r="I284" s="313" t="s">
        <v>2368</v>
      </c>
      <c r="J284" s="279">
        <v>107.77</v>
      </c>
      <c r="K284" s="279">
        <v>107.77</v>
      </c>
      <c r="L284" s="279">
        <v>5659.54</v>
      </c>
      <c r="M284" s="318">
        <v>609929</v>
      </c>
      <c r="N284" s="282">
        <v>5609.54</v>
      </c>
      <c r="O284" s="279">
        <v>559567.89</v>
      </c>
      <c r="P284" s="319" t="s">
        <v>2369</v>
      </c>
      <c r="Q284" s="436">
        <v>45564</v>
      </c>
      <c r="R284" s="282"/>
      <c r="S284" s="285"/>
      <c r="T284" s="285"/>
      <c r="U284" s="285" t="s">
        <v>411</v>
      </c>
      <c r="V284" s="282">
        <v>20000</v>
      </c>
      <c r="W284" s="285" t="s">
        <v>2370</v>
      </c>
      <c r="X284" s="282">
        <v>102023</v>
      </c>
      <c r="Y284" s="339" t="s">
        <v>1211</v>
      </c>
      <c r="Z284" s="282">
        <v>487000</v>
      </c>
      <c r="AA284" s="285" t="s">
        <v>668</v>
      </c>
      <c r="AB284" s="282"/>
      <c r="AH284" s="282">
        <f t="shared" si="34"/>
        <v>609023</v>
      </c>
      <c r="AK284" s="287">
        <f t="shared" si="37"/>
        <v>906</v>
      </c>
      <c r="AL284" s="295" t="s">
        <v>2371</v>
      </c>
      <c r="AM284" s="295"/>
      <c r="AQ284" s="288">
        <f>0.6%+0.14%</f>
        <v>0.0074</v>
      </c>
      <c r="AR284" s="349">
        <f t="shared" si="35"/>
        <v>609023</v>
      </c>
      <c r="AS284" s="282"/>
      <c r="AT284" s="282"/>
      <c r="AU284" s="282"/>
      <c r="AV284" s="282"/>
      <c r="AW284" s="282"/>
      <c r="AX284" s="282"/>
      <c r="AY284" s="158">
        <v>122023</v>
      </c>
      <c r="BA284" s="282">
        <v>487000</v>
      </c>
      <c r="BB284" s="282"/>
      <c r="BC284" s="282"/>
      <c r="BD284" s="282"/>
      <c r="BE284" s="282"/>
      <c r="BT284" s="279" t="s">
        <v>205</v>
      </c>
      <c r="BU284" s="279" t="s">
        <v>206</v>
      </c>
    </row>
    <row r="285" s="279" customFormat="1" ht="66" customHeight="1" spans="1:73">
      <c r="A285" s="279">
        <v>195</v>
      </c>
      <c r="C285" s="279" t="s">
        <v>384</v>
      </c>
      <c r="D285" s="279">
        <v>20230008382</v>
      </c>
      <c r="F285" s="369" t="s">
        <v>2372</v>
      </c>
      <c r="G285" s="294" t="s">
        <v>2373</v>
      </c>
      <c r="H285" s="721" t="s">
        <v>2374</v>
      </c>
      <c r="I285" s="316" t="s">
        <v>2375</v>
      </c>
      <c r="J285" s="279">
        <v>108.14</v>
      </c>
      <c r="K285" s="279">
        <v>108.14</v>
      </c>
      <c r="L285" s="279">
        <v>5918.27</v>
      </c>
      <c r="M285" s="318">
        <v>640003</v>
      </c>
      <c r="N285" s="282">
        <v>5918.27</v>
      </c>
      <c r="O285" s="279">
        <v>587158.72</v>
      </c>
      <c r="P285" s="319" t="s">
        <v>2376</v>
      </c>
      <c r="Q285" s="436">
        <v>45564</v>
      </c>
      <c r="R285" s="282"/>
      <c r="S285" s="285"/>
      <c r="T285" s="285"/>
      <c r="U285" s="329" t="s">
        <v>291</v>
      </c>
      <c r="V285" s="282">
        <v>20000</v>
      </c>
      <c r="W285" s="339" t="s">
        <v>341</v>
      </c>
      <c r="X285" s="282">
        <v>29056</v>
      </c>
      <c r="Y285" s="279" t="s">
        <v>384</v>
      </c>
      <c r="Z285" s="282">
        <v>210000</v>
      </c>
      <c r="AA285" s="285" t="s">
        <v>243</v>
      </c>
      <c r="AB285" s="282">
        <v>380000</v>
      </c>
      <c r="AC285" s="279" t="s">
        <v>1162</v>
      </c>
      <c r="AH285" s="282">
        <f t="shared" si="34"/>
        <v>639056</v>
      </c>
      <c r="AK285" s="287">
        <f t="shared" si="37"/>
        <v>947</v>
      </c>
      <c r="AL285" s="369" t="s">
        <v>2377</v>
      </c>
      <c r="AM285" s="295"/>
      <c r="AQ285" s="288">
        <f>0.7%+0.05%+0.12%</f>
        <v>0.0087</v>
      </c>
      <c r="AR285" s="349">
        <f t="shared" si="35"/>
        <v>639056</v>
      </c>
      <c r="AS285" s="282"/>
      <c r="AT285" s="282"/>
      <c r="AU285" s="282"/>
      <c r="AV285" s="282"/>
      <c r="AW285" s="282"/>
      <c r="AX285" s="282"/>
      <c r="AY285" s="158"/>
      <c r="BA285" s="282"/>
      <c r="BB285" s="282"/>
      <c r="BC285" s="282"/>
      <c r="BD285" s="282"/>
      <c r="BE285" s="282">
        <v>639056</v>
      </c>
      <c r="BT285" s="279" t="s">
        <v>205</v>
      </c>
      <c r="BU285" s="279" t="s">
        <v>206</v>
      </c>
    </row>
    <row r="286" s="279" customFormat="1" customHeight="1" spans="1:73">
      <c r="A286" s="279">
        <v>196</v>
      </c>
      <c r="C286" s="279" t="s">
        <v>388</v>
      </c>
      <c r="D286" s="279">
        <v>20230008584</v>
      </c>
      <c r="F286" s="295" t="s">
        <v>2378</v>
      </c>
      <c r="G286" s="279" t="s">
        <v>2379</v>
      </c>
      <c r="H286" s="717" t="s">
        <v>2380</v>
      </c>
      <c r="I286" s="313" t="s">
        <v>2381</v>
      </c>
      <c r="J286" s="279">
        <v>107.77</v>
      </c>
      <c r="K286" s="279">
        <v>107.77</v>
      </c>
      <c r="L286" s="279">
        <v>5993.8</v>
      </c>
      <c r="M286" s="318">
        <v>645959</v>
      </c>
      <c r="N286" s="282">
        <v>5930.21</v>
      </c>
      <c r="O286" s="279">
        <v>592622.94</v>
      </c>
      <c r="P286" s="319" t="s">
        <v>2382</v>
      </c>
      <c r="Q286" s="436">
        <v>45564</v>
      </c>
      <c r="R286" s="282"/>
      <c r="S286" s="285"/>
      <c r="T286" s="285"/>
      <c r="U286" s="285" t="s">
        <v>422</v>
      </c>
      <c r="V286" s="282">
        <v>20000</v>
      </c>
      <c r="W286" s="285" t="s">
        <v>1812</v>
      </c>
      <c r="X286" s="282">
        <f>59000+50000</f>
        <v>109000</v>
      </c>
      <c r="Y286" s="285" t="s">
        <v>388</v>
      </c>
      <c r="Z286" s="282">
        <v>516000</v>
      </c>
      <c r="AA286" s="285" t="s">
        <v>1212</v>
      </c>
      <c r="AB286" s="282"/>
      <c r="AH286" s="282">
        <f t="shared" si="34"/>
        <v>645000</v>
      </c>
      <c r="AK286" s="287">
        <f t="shared" si="37"/>
        <v>959</v>
      </c>
      <c r="AL286" s="295" t="s">
        <v>2383</v>
      </c>
      <c r="AM286" s="295"/>
      <c r="AQ286" s="288">
        <f>0.7%+0.04%+0.12%</f>
        <v>0.0086</v>
      </c>
      <c r="AR286" s="349">
        <f t="shared" si="35"/>
        <v>645000</v>
      </c>
      <c r="AS286" s="282"/>
      <c r="AT286" s="282"/>
      <c r="AU286" s="282"/>
      <c r="AV286" s="282"/>
      <c r="AW286" s="282"/>
      <c r="AX286" s="282"/>
      <c r="AY286" s="158"/>
      <c r="BA286" s="282"/>
      <c r="BB286" s="282"/>
      <c r="BC286" s="282"/>
      <c r="BD286" s="282">
        <v>129000</v>
      </c>
      <c r="BE286" s="282">
        <v>516000</v>
      </c>
      <c r="BT286" s="279" t="s">
        <v>205</v>
      </c>
      <c r="BU286" s="279" t="s">
        <v>206</v>
      </c>
    </row>
    <row r="287" s="279" customFormat="1" ht="50" customHeight="1" spans="1:73">
      <c r="A287" s="279">
        <v>197</v>
      </c>
      <c r="C287" s="331">
        <v>45317</v>
      </c>
      <c r="D287" s="431" t="s">
        <v>2384</v>
      </c>
      <c r="F287" s="295" t="s">
        <v>2385</v>
      </c>
      <c r="G287" s="297" t="s">
        <v>2386</v>
      </c>
      <c r="H287" s="720" t="s">
        <v>2387</v>
      </c>
      <c r="I287" s="316" t="s">
        <v>2388</v>
      </c>
      <c r="J287" s="279">
        <v>108.14</v>
      </c>
      <c r="K287" s="279">
        <v>108.14</v>
      </c>
      <c r="L287" s="279">
        <v>7000</v>
      </c>
      <c r="M287" s="318">
        <v>756980</v>
      </c>
      <c r="N287" s="317">
        <v>6942</v>
      </c>
      <c r="O287" s="320">
        <v>694477.06</v>
      </c>
      <c r="P287" s="321" t="s">
        <v>2389</v>
      </c>
      <c r="Q287" s="436">
        <v>45564</v>
      </c>
      <c r="R287" s="282"/>
      <c r="S287" s="285"/>
      <c r="T287" s="285"/>
      <c r="U287" s="285" t="s">
        <v>226</v>
      </c>
      <c r="V287" s="282">
        <v>20000</v>
      </c>
      <c r="W287" s="285" t="s">
        <v>261</v>
      </c>
      <c r="X287" s="282">
        <f>66860+10000</f>
        <v>76860</v>
      </c>
      <c r="Y287" s="279" t="s">
        <v>457</v>
      </c>
      <c r="Z287" s="282">
        <v>59000</v>
      </c>
      <c r="AA287" s="285" t="s">
        <v>2390</v>
      </c>
      <c r="AB287" s="282">
        <v>400000</v>
      </c>
      <c r="AC287" s="285" t="s">
        <v>468</v>
      </c>
      <c r="AD287" s="282">
        <v>200000</v>
      </c>
      <c r="AE287" s="285" t="s">
        <v>2391</v>
      </c>
      <c r="AF287" s="282"/>
      <c r="AG287" s="285"/>
      <c r="AH287" s="282">
        <f t="shared" si="34"/>
        <v>755860</v>
      </c>
      <c r="AK287" s="287">
        <f t="shared" si="37"/>
        <v>1120</v>
      </c>
      <c r="AL287" s="295" t="s">
        <v>2392</v>
      </c>
      <c r="AM287" s="295"/>
      <c r="AN287" s="344"/>
      <c r="AO287" s="344"/>
      <c r="AP287" s="344"/>
      <c r="AQ287" s="161">
        <f>0.7%+0.12%</f>
        <v>0.0082</v>
      </c>
      <c r="AR287" s="349">
        <f t="shared" si="35"/>
        <v>755860</v>
      </c>
      <c r="AS287" s="282"/>
      <c r="AT287" s="282"/>
      <c r="AU287" s="282"/>
      <c r="AV287" s="282"/>
      <c r="AW287" s="282"/>
      <c r="AX287" s="282"/>
      <c r="AY287" s="158"/>
      <c r="BA287" s="282"/>
      <c r="BB287" s="282"/>
      <c r="BC287" s="282"/>
      <c r="BD287" s="282"/>
      <c r="BE287" s="282"/>
      <c r="BI287" s="279">
        <v>155860</v>
      </c>
      <c r="BL287" s="279">
        <v>600000</v>
      </c>
      <c r="BT287" s="279" t="s">
        <v>205</v>
      </c>
      <c r="BU287" s="279" t="s">
        <v>206</v>
      </c>
    </row>
    <row r="288" s="279" customFormat="1" customHeight="1" spans="1:57">
      <c r="A288" s="279">
        <v>198</v>
      </c>
      <c r="D288" s="300"/>
      <c r="E288" s="279" t="s">
        <v>2393</v>
      </c>
      <c r="F288" s="295"/>
      <c r="G288" s="299" t="s">
        <v>2394</v>
      </c>
      <c r="H288" s="299"/>
      <c r="I288" s="313" t="s">
        <v>2395</v>
      </c>
      <c r="J288" s="278">
        <v>107.77</v>
      </c>
      <c r="K288" s="278">
        <v>107.77</v>
      </c>
      <c r="L288" s="279">
        <v>6900</v>
      </c>
      <c r="M288" s="318">
        <f>L288*K288</f>
        <v>743613</v>
      </c>
      <c r="N288" s="279" t="s">
        <v>2396</v>
      </c>
      <c r="O288" s="320"/>
      <c r="P288" s="321"/>
      <c r="Q288" s="321"/>
      <c r="R288" s="282"/>
      <c r="S288" s="285"/>
      <c r="T288" s="285"/>
      <c r="U288" s="285"/>
      <c r="V288" s="282">
        <v>742509</v>
      </c>
      <c r="W288" s="285" t="s">
        <v>522</v>
      </c>
      <c r="X288" s="282"/>
      <c r="Y288" s="335"/>
      <c r="Z288" s="282"/>
      <c r="AB288" s="282"/>
      <c r="AH288" s="282">
        <f t="shared" si="34"/>
        <v>742509</v>
      </c>
      <c r="AK288" s="287">
        <f t="shared" si="37"/>
        <v>1104</v>
      </c>
      <c r="AL288" s="295"/>
      <c r="AM288" s="295"/>
      <c r="AN288" s="344"/>
      <c r="AO288" s="344"/>
      <c r="AP288" s="344"/>
      <c r="AQ288" s="288"/>
      <c r="AR288" s="349">
        <f t="shared" si="35"/>
        <v>0</v>
      </c>
      <c r="AS288" s="282"/>
      <c r="AT288" s="282"/>
      <c r="AU288" s="282"/>
      <c r="AV288" s="282"/>
      <c r="AW288" s="282"/>
      <c r="AX288" s="282"/>
      <c r="AY288" s="158"/>
      <c r="BA288" s="282"/>
      <c r="BB288" s="282"/>
      <c r="BC288" s="282"/>
      <c r="BD288" s="282"/>
      <c r="BE288" s="282"/>
    </row>
    <row r="289" s="279" customFormat="1" customHeight="1" spans="1:73">
      <c r="A289" s="279">
        <v>199</v>
      </c>
      <c r="B289" s="279" t="s">
        <v>2397</v>
      </c>
      <c r="C289" s="331">
        <v>45455</v>
      </c>
      <c r="D289" s="431" t="s">
        <v>2398</v>
      </c>
      <c r="F289" s="295" t="s">
        <v>2399</v>
      </c>
      <c r="G289" s="299" t="s">
        <v>2400</v>
      </c>
      <c r="H289" s="720" t="s">
        <v>2401</v>
      </c>
      <c r="I289" s="316" t="s">
        <v>2402</v>
      </c>
      <c r="J289" s="279">
        <v>107.77</v>
      </c>
      <c r="K289" s="279">
        <v>107.77</v>
      </c>
      <c r="L289" s="279">
        <f>M289/K289</f>
        <v>8107.07061334323</v>
      </c>
      <c r="M289" s="318">
        <v>873699</v>
      </c>
      <c r="N289" s="279">
        <v>8107.07</v>
      </c>
      <c r="O289" s="320">
        <v>801558.72</v>
      </c>
      <c r="P289" s="321" t="s">
        <v>2403</v>
      </c>
      <c r="Q289" s="436">
        <v>45564</v>
      </c>
      <c r="R289" s="282"/>
      <c r="S289" s="285"/>
      <c r="T289" s="285" t="s">
        <v>2404</v>
      </c>
      <c r="U289" s="329" t="s">
        <v>2405</v>
      </c>
      <c r="V289" s="282">
        <v>10000</v>
      </c>
      <c r="W289" s="285" t="s">
        <v>1633</v>
      </c>
      <c r="X289" s="282">
        <v>10000</v>
      </c>
      <c r="Y289" s="285" t="s">
        <v>1974</v>
      </c>
      <c r="Z289" s="282">
        <v>93402</v>
      </c>
      <c r="AA289" s="279" t="s">
        <v>686</v>
      </c>
      <c r="AB289" s="279">
        <v>30000</v>
      </c>
      <c r="AC289" s="279" t="s">
        <v>2406</v>
      </c>
      <c r="AD289" s="282">
        <f>230000+169000+30000</f>
        <v>429000</v>
      </c>
      <c r="AE289" s="329" t="s">
        <v>2407</v>
      </c>
      <c r="AF289" s="282">
        <v>300000</v>
      </c>
      <c r="AG289" s="329" t="s">
        <v>499</v>
      </c>
      <c r="AH289" s="282">
        <f t="shared" si="34"/>
        <v>872402</v>
      </c>
      <c r="AK289" s="287">
        <f t="shared" si="37"/>
        <v>1297</v>
      </c>
      <c r="AL289" s="295" t="s">
        <v>2408</v>
      </c>
      <c r="AM289" s="295"/>
      <c r="AN289" s="344"/>
      <c r="AO289" s="344"/>
      <c r="AP289" s="344"/>
      <c r="AQ289" s="288">
        <f>0.7%+0.05%+0.14%</f>
        <v>0.0089</v>
      </c>
      <c r="AR289" s="349">
        <f t="shared" si="35"/>
        <v>872402</v>
      </c>
      <c r="AS289" s="282"/>
      <c r="AT289" s="282"/>
      <c r="AU289" s="282"/>
      <c r="AV289" s="282"/>
      <c r="AW289" s="282"/>
      <c r="AX289" s="282"/>
      <c r="AY289" s="158"/>
      <c r="BA289" s="282"/>
      <c r="BB289" s="282"/>
      <c r="BC289" s="282"/>
      <c r="BD289" s="282"/>
      <c r="BE289" s="282"/>
      <c r="BL289" s="279">
        <v>572402</v>
      </c>
      <c r="BM289" s="279">
        <v>300000</v>
      </c>
      <c r="BT289" s="279" t="s">
        <v>205</v>
      </c>
      <c r="BU289" s="279" t="s">
        <v>206</v>
      </c>
    </row>
    <row r="290" s="59" customFormat="1" customHeight="1" spans="1:57">
      <c r="A290" s="386">
        <v>200</v>
      </c>
      <c r="B290" s="278"/>
      <c r="C290" s="278"/>
      <c r="D290" s="278"/>
      <c r="E290" s="278" t="s">
        <v>2409</v>
      </c>
      <c r="F290" s="367"/>
      <c r="G290" s="432"/>
      <c r="H290" s="368"/>
      <c r="I290" s="413" t="s">
        <v>2410</v>
      </c>
      <c r="J290" s="278">
        <v>107.58</v>
      </c>
      <c r="K290" s="278">
        <v>107.58</v>
      </c>
      <c r="L290" s="278">
        <v>8606.6</v>
      </c>
      <c r="M290" s="318">
        <v>925898</v>
      </c>
      <c r="N290" s="278">
        <v>5941.4</v>
      </c>
      <c r="O290" s="414"/>
      <c r="P290" s="393"/>
      <c r="Q290" s="401"/>
      <c r="R290" s="394"/>
      <c r="S290" s="419"/>
      <c r="T290" s="328"/>
      <c r="U290" s="328"/>
      <c r="V290" s="103"/>
      <c r="W290" s="421"/>
      <c r="X290" s="103"/>
      <c r="Y290" s="338"/>
      <c r="Z290" s="103"/>
      <c r="AA290" s="104"/>
      <c r="AB290" s="103"/>
      <c r="AC290" s="278"/>
      <c r="AD290" s="278"/>
      <c r="AE290" s="278"/>
      <c r="AF290" s="278"/>
      <c r="AG290" s="278"/>
      <c r="AH290" s="282">
        <f t="shared" si="34"/>
        <v>0</v>
      </c>
      <c r="AI290" s="278"/>
      <c r="AJ290" s="278"/>
      <c r="AK290" s="342">
        <f t="shared" si="37"/>
        <v>925898</v>
      </c>
      <c r="AL290" s="440"/>
      <c r="AM290" s="440"/>
      <c r="AN290" s="404"/>
      <c r="AO290" s="404"/>
      <c r="AP290" s="404"/>
      <c r="AQ290" s="405"/>
      <c r="AR290" s="348">
        <f t="shared" si="35"/>
        <v>0</v>
      </c>
      <c r="AS290" s="406"/>
      <c r="AT290" s="406"/>
      <c r="AU290" s="406"/>
      <c r="AV290" s="406"/>
      <c r="AW290" s="406"/>
      <c r="AX290" s="406"/>
      <c r="AY290" s="429"/>
      <c r="BA290" s="406"/>
      <c r="BB290" s="406"/>
      <c r="BC290" s="406"/>
      <c r="BD290" s="406"/>
      <c r="BE290" s="406"/>
    </row>
    <row r="291" s="59" customFormat="1" customHeight="1" spans="1:57">
      <c r="A291" s="386">
        <v>201</v>
      </c>
      <c r="B291" s="278"/>
      <c r="C291" s="278"/>
      <c r="D291" s="278"/>
      <c r="E291" s="278" t="s">
        <v>2411</v>
      </c>
      <c r="F291" s="367"/>
      <c r="G291" s="433"/>
      <c r="H291" s="368"/>
      <c r="I291" s="389" t="s">
        <v>2412</v>
      </c>
      <c r="J291" s="279">
        <v>107.77</v>
      </c>
      <c r="K291" s="279"/>
      <c r="L291" s="278"/>
      <c r="M291" s="318"/>
      <c r="N291" s="278">
        <v>5947.67</v>
      </c>
      <c r="O291" s="414"/>
      <c r="P291" s="401"/>
      <c r="Q291" s="401"/>
      <c r="R291" s="394"/>
      <c r="S291" s="419"/>
      <c r="T291" s="328"/>
      <c r="U291" s="328" t="s">
        <v>2413</v>
      </c>
      <c r="V291" s="103">
        <f>2000-2000</f>
        <v>0</v>
      </c>
      <c r="W291" s="104"/>
      <c r="X291" s="103"/>
      <c r="Y291" s="338"/>
      <c r="Z291" s="103"/>
      <c r="AA291" s="278"/>
      <c r="AB291" s="103"/>
      <c r="AC291" s="278"/>
      <c r="AD291" s="278"/>
      <c r="AE291" s="278"/>
      <c r="AF291" s="278"/>
      <c r="AG291" s="278"/>
      <c r="AH291" s="282">
        <f t="shared" si="34"/>
        <v>0</v>
      </c>
      <c r="AI291" s="278"/>
      <c r="AJ291" s="278"/>
      <c r="AK291" s="342">
        <f t="shared" si="37"/>
        <v>0</v>
      </c>
      <c r="AL291" s="367"/>
      <c r="AM291" s="367"/>
      <c r="AN291" s="404"/>
      <c r="AO291" s="404"/>
      <c r="AP291" s="404"/>
      <c r="AQ291" s="405"/>
      <c r="AR291" s="348">
        <f t="shared" si="35"/>
        <v>0</v>
      </c>
      <c r="AS291" s="406"/>
      <c r="AT291" s="406"/>
      <c r="AU291" s="406"/>
      <c r="AV291" s="406"/>
      <c r="AW291" s="406"/>
      <c r="AX291" s="406"/>
      <c r="AY291" s="429"/>
      <c r="BA291" s="406"/>
      <c r="BB291" s="406"/>
      <c r="BC291" s="406"/>
      <c r="BD291" s="406"/>
      <c r="BE291" s="406"/>
    </row>
    <row r="292" s="59" customFormat="1" customHeight="1" spans="1:57">
      <c r="A292" s="386">
        <v>202</v>
      </c>
      <c r="B292" s="278"/>
      <c r="C292" s="278"/>
      <c r="D292" s="278"/>
      <c r="E292" s="278" t="s">
        <v>2414</v>
      </c>
      <c r="F292" s="367"/>
      <c r="G292" s="432"/>
      <c r="H292" s="368"/>
      <c r="I292" s="413" t="s">
        <v>2415</v>
      </c>
      <c r="J292" s="278">
        <v>107.77</v>
      </c>
      <c r="K292" s="278"/>
      <c r="L292" s="278"/>
      <c r="M292" s="318"/>
      <c r="N292" s="278">
        <v>8617.55</v>
      </c>
      <c r="O292" s="414"/>
      <c r="P292" s="435"/>
      <c r="Q292" s="435"/>
      <c r="R292" s="394"/>
      <c r="S292" s="419"/>
      <c r="T292" s="328"/>
      <c r="U292" s="328"/>
      <c r="V292" s="103"/>
      <c r="W292" s="104"/>
      <c r="X292" s="103"/>
      <c r="Y292" s="104"/>
      <c r="Z292" s="103"/>
      <c r="AA292" s="104"/>
      <c r="AB292" s="103"/>
      <c r="AC292" s="278"/>
      <c r="AD292" s="278"/>
      <c r="AE292" s="278"/>
      <c r="AF292" s="278"/>
      <c r="AG292" s="278"/>
      <c r="AH292" s="282">
        <f t="shared" si="34"/>
        <v>0</v>
      </c>
      <c r="AI292" s="278"/>
      <c r="AJ292" s="278"/>
      <c r="AK292" s="342">
        <f t="shared" si="37"/>
        <v>0</v>
      </c>
      <c r="AL292" s="367"/>
      <c r="AM292" s="367"/>
      <c r="AN292" s="404"/>
      <c r="AO292" s="404"/>
      <c r="AP292" s="404"/>
      <c r="AQ292" s="405"/>
      <c r="AR292" s="348">
        <f t="shared" si="35"/>
        <v>0</v>
      </c>
      <c r="AS292" s="406"/>
      <c r="AT292" s="406"/>
      <c r="AU292" s="406"/>
      <c r="AV292" s="406"/>
      <c r="AW292" s="406"/>
      <c r="AX292" s="406"/>
      <c r="AY292" s="429"/>
      <c r="BA292" s="406"/>
      <c r="BB292" s="406"/>
      <c r="BC292" s="406"/>
      <c r="BD292" s="406"/>
      <c r="BE292" s="406"/>
    </row>
    <row r="293" s="279" customFormat="1" ht="38" customHeight="1" spans="1:73">
      <c r="A293" s="279">
        <v>203</v>
      </c>
      <c r="C293" s="279" t="s">
        <v>929</v>
      </c>
      <c r="D293" s="279">
        <v>20230001739</v>
      </c>
      <c r="F293" s="717" t="s">
        <v>2416</v>
      </c>
      <c r="G293" s="294" t="s">
        <v>2259</v>
      </c>
      <c r="H293" s="294"/>
      <c r="I293" s="316" t="s">
        <v>2417</v>
      </c>
      <c r="J293" s="279">
        <v>107.77</v>
      </c>
      <c r="K293" s="279">
        <v>107.77</v>
      </c>
      <c r="L293" s="279">
        <v>5261.13</v>
      </c>
      <c r="M293" s="318">
        <v>566992</v>
      </c>
      <c r="N293" s="279">
        <v>8618.09</v>
      </c>
      <c r="O293" s="283">
        <v>520176.15</v>
      </c>
      <c r="P293" s="724" t="s">
        <v>2418</v>
      </c>
      <c r="Q293" s="436">
        <v>45564</v>
      </c>
      <c r="R293" s="282"/>
      <c r="S293" s="329"/>
      <c r="T293" s="329" t="s">
        <v>2259</v>
      </c>
      <c r="U293" s="329" t="s">
        <v>2259</v>
      </c>
      <c r="V293" s="282">
        <f>2000-2000</f>
        <v>0</v>
      </c>
      <c r="W293" s="330">
        <v>44776</v>
      </c>
      <c r="X293" s="282">
        <v>566150</v>
      </c>
      <c r="Y293" s="331" t="s">
        <v>929</v>
      </c>
      <c r="Z293" s="282"/>
      <c r="AB293" s="282"/>
      <c r="AH293" s="282">
        <f t="shared" si="34"/>
        <v>566150</v>
      </c>
      <c r="AK293" s="287">
        <f t="shared" si="37"/>
        <v>842</v>
      </c>
      <c r="AL293" s="295" t="s">
        <v>2419</v>
      </c>
      <c r="AM293" s="295"/>
      <c r="AN293" s="318"/>
      <c r="AO293" s="318"/>
      <c r="AP293" s="318"/>
      <c r="AQ293" s="288">
        <f>0.5%+0.06%+0.14%</f>
        <v>0.007</v>
      </c>
      <c r="AR293" s="349">
        <f t="shared" si="35"/>
        <v>566150</v>
      </c>
      <c r="AS293" s="282"/>
      <c r="AT293" s="282">
        <f>100+100</f>
        <v>200</v>
      </c>
      <c r="AU293" s="282"/>
      <c r="AV293" s="282">
        <v>566150</v>
      </c>
      <c r="AW293" s="282"/>
      <c r="AX293" s="282"/>
      <c r="AY293" s="158"/>
      <c r="BA293" s="282"/>
      <c r="BB293" s="282"/>
      <c r="BC293" s="282"/>
      <c r="BD293" s="282"/>
      <c r="BE293" s="282"/>
      <c r="BT293" s="279" t="s">
        <v>205</v>
      </c>
      <c r="BU293" s="279" t="s">
        <v>206</v>
      </c>
    </row>
    <row r="294" s="279" customFormat="1" customHeight="1" spans="1:73">
      <c r="A294" s="279">
        <v>204</v>
      </c>
      <c r="C294" s="279" t="s">
        <v>2346</v>
      </c>
      <c r="D294" s="300" t="s">
        <v>2420</v>
      </c>
      <c r="F294" s="295" t="s">
        <v>2421</v>
      </c>
      <c r="G294" s="297" t="s">
        <v>2422</v>
      </c>
      <c r="H294" s="719" t="s">
        <v>2423</v>
      </c>
      <c r="I294" s="313" t="s">
        <v>2424</v>
      </c>
      <c r="J294" s="279">
        <v>107.77</v>
      </c>
      <c r="K294" s="279">
        <v>107.77</v>
      </c>
      <c r="L294" s="279">
        <v>5296.9</v>
      </c>
      <c r="M294" s="318">
        <v>570848</v>
      </c>
      <c r="N294" s="279">
        <v>5954.61</v>
      </c>
      <c r="O294" s="320">
        <v>523713.76</v>
      </c>
      <c r="P294" s="321" t="s">
        <v>2425</v>
      </c>
      <c r="Q294" s="436">
        <v>45564</v>
      </c>
      <c r="R294" s="282"/>
      <c r="S294" s="285"/>
      <c r="T294" s="329" t="s">
        <v>2426</v>
      </c>
      <c r="U294" s="329" t="s">
        <v>2427</v>
      </c>
      <c r="V294" s="282">
        <f>20000</f>
        <v>20000</v>
      </c>
      <c r="W294" s="330" t="s">
        <v>1383</v>
      </c>
      <c r="X294" s="282">
        <f>40000+310000</f>
        <v>350000</v>
      </c>
      <c r="Y294" s="331" t="s">
        <v>2346</v>
      </c>
      <c r="Z294" s="282">
        <v>200000</v>
      </c>
      <c r="AA294" s="331" t="s">
        <v>1188</v>
      </c>
      <c r="AB294" s="282"/>
      <c r="AC294" s="403"/>
      <c r="AD294" s="403"/>
      <c r="AE294" s="403"/>
      <c r="AF294" s="403"/>
      <c r="AG294" s="403"/>
      <c r="AH294" s="282">
        <f t="shared" si="34"/>
        <v>570000</v>
      </c>
      <c r="AK294" s="287">
        <f t="shared" si="37"/>
        <v>848</v>
      </c>
      <c r="AL294" s="295" t="s">
        <v>2428</v>
      </c>
      <c r="AM294" s="295"/>
      <c r="AN294" s="344">
        <v>619031</v>
      </c>
      <c r="AO294" s="344"/>
      <c r="AP294" s="344"/>
      <c r="AQ294" s="288">
        <f>0.4%+0.06%+0.14%</f>
        <v>0.006</v>
      </c>
      <c r="AR294" s="349">
        <f t="shared" si="35"/>
        <v>570000</v>
      </c>
      <c r="AS294" s="282">
        <f t="shared" ref="AS294:AS300" si="38">100</f>
        <v>100</v>
      </c>
      <c r="AT294" s="282"/>
      <c r="AU294" s="282"/>
      <c r="AV294" s="282"/>
      <c r="AW294" s="282">
        <v>570000</v>
      </c>
      <c r="AX294" s="282"/>
      <c r="AY294" s="158"/>
      <c r="BA294" s="282"/>
      <c r="BB294" s="282"/>
      <c r="BC294" s="282"/>
      <c r="BD294" s="282"/>
      <c r="BE294" s="282"/>
      <c r="BT294" s="279" t="s">
        <v>205</v>
      </c>
      <c r="BU294" s="279" t="s">
        <v>206</v>
      </c>
    </row>
    <row r="295" s="279" customFormat="1" customHeight="1" spans="1:73">
      <c r="A295" s="279">
        <v>205</v>
      </c>
      <c r="C295" s="279" t="s">
        <v>1220</v>
      </c>
      <c r="D295" s="300" t="s">
        <v>2429</v>
      </c>
      <c r="F295" s="295" t="s">
        <v>2430</v>
      </c>
      <c r="G295" s="299" t="s">
        <v>2431</v>
      </c>
      <c r="H295" s="720" t="s">
        <v>2432</v>
      </c>
      <c r="I295" s="313" t="s">
        <v>2433</v>
      </c>
      <c r="J295" s="279">
        <v>107.77</v>
      </c>
      <c r="K295" s="279">
        <v>107.77</v>
      </c>
      <c r="L295" s="279">
        <v>5350</v>
      </c>
      <c r="M295" s="318">
        <v>576569</v>
      </c>
      <c r="N295" s="279">
        <v>5952.89</v>
      </c>
      <c r="O295" s="320">
        <v>528962.39</v>
      </c>
      <c r="P295" s="321" t="s">
        <v>2434</v>
      </c>
      <c r="Q295" s="436">
        <v>45564</v>
      </c>
      <c r="R295" s="282"/>
      <c r="S295" s="285"/>
      <c r="T295" s="299" t="s">
        <v>2435</v>
      </c>
      <c r="U295" s="299" t="s">
        <v>2436</v>
      </c>
      <c r="V295" s="282">
        <v>20000</v>
      </c>
      <c r="W295" s="331" t="s">
        <v>568</v>
      </c>
      <c r="X295" s="282">
        <v>5713</v>
      </c>
      <c r="Y295" s="335" t="s">
        <v>1220</v>
      </c>
      <c r="Z295" s="282">
        <v>260000</v>
      </c>
      <c r="AA295" s="279" t="s">
        <v>1415</v>
      </c>
      <c r="AB295" s="282">
        <v>290000</v>
      </c>
      <c r="AC295" s="285" t="s">
        <v>2437</v>
      </c>
      <c r="AH295" s="282">
        <f t="shared" si="34"/>
        <v>575713</v>
      </c>
      <c r="AK295" s="287">
        <f t="shared" si="37"/>
        <v>856</v>
      </c>
      <c r="AL295" s="295" t="s">
        <v>2438</v>
      </c>
      <c r="AM295" s="295"/>
      <c r="AN295" s="344"/>
      <c r="AO295" s="344"/>
      <c r="AP295" s="344"/>
      <c r="AQ295" s="288">
        <f>0.6%+0.14%+0.06%</f>
        <v>0.008</v>
      </c>
      <c r="AR295" s="349">
        <f t="shared" si="35"/>
        <v>575713</v>
      </c>
      <c r="AS295" s="282"/>
      <c r="AT295" s="282"/>
      <c r="AU295" s="282"/>
      <c r="AV295" s="282"/>
      <c r="AW295" s="282">
        <v>285713</v>
      </c>
      <c r="AX295" s="282"/>
      <c r="AY295" s="158"/>
      <c r="BA295" s="282"/>
      <c r="BB295" s="282"/>
      <c r="BC295" s="282">
        <v>290000</v>
      </c>
      <c r="BD295" s="282"/>
      <c r="BE295" s="282"/>
      <c r="BT295" s="279" t="s">
        <v>205</v>
      </c>
      <c r="BU295" s="279" t="s">
        <v>206</v>
      </c>
    </row>
    <row r="296" s="279" customFormat="1" customHeight="1" spans="1:73">
      <c r="A296" s="279">
        <v>206</v>
      </c>
      <c r="C296" s="279" t="s">
        <v>916</v>
      </c>
      <c r="D296" s="279">
        <v>20230001355</v>
      </c>
      <c r="F296" s="295" t="s">
        <v>2439</v>
      </c>
      <c r="G296" s="299" t="s">
        <v>2440</v>
      </c>
      <c r="H296" s="720" t="s">
        <v>2441</v>
      </c>
      <c r="I296" s="313" t="s">
        <v>2442</v>
      </c>
      <c r="J296" s="279">
        <v>107.77</v>
      </c>
      <c r="K296" s="279">
        <v>107.77</v>
      </c>
      <c r="L296" s="279">
        <v>5175.58</v>
      </c>
      <c r="M296" s="318">
        <v>557772</v>
      </c>
      <c r="N296" s="282"/>
      <c r="O296" s="417">
        <v>511717.43</v>
      </c>
      <c r="P296" s="373" t="s">
        <v>2443</v>
      </c>
      <c r="Q296" s="436">
        <v>45564</v>
      </c>
      <c r="R296" s="282"/>
      <c r="S296" s="285"/>
      <c r="T296" s="286" t="s">
        <v>2444</v>
      </c>
      <c r="U296" s="285" t="s">
        <v>2445</v>
      </c>
      <c r="V296" s="282">
        <v>20000</v>
      </c>
      <c r="W296" s="375" t="s">
        <v>960</v>
      </c>
      <c r="X296" s="282">
        <v>147944</v>
      </c>
      <c r="Y296" s="335" t="s">
        <v>2446</v>
      </c>
      <c r="Z296" s="282">
        <v>389000</v>
      </c>
      <c r="AA296" s="331" t="s">
        <v>1400</v>
      </c>
      <c r="AB296" s="282"/>
      <c r="AH296" s="282">
        <f t="shared" si="34"/>
        <v>556944</v>
      </c>
      <c r="AK296" s="287">
        <f t="shared" si="37"/>
        <v>828</v>
      </c>
      <c r="AL296" s="295" t="s">
        <v>2447</v>
      </c>
      <c r="AM296" s="295"/>
      <c r="AN296" s="318">
        <v>627114</v>
      </c>
      <c r="AO296" s="318"/>
      <c r="AP296" s="318"/>
      <c r="AQ296" s="288">
        <f>0.4%+0.04%+0.1%</f>
        <v>0.0054</v>
      </c>
      <c r="AR296" s="349">
        <f t="shared" si="35"/>
        <v>556944</v>
      </c>
      <c r="AS296" s="282"/>
      <c r="AT296" s="282"/>
      <c r="AU296" s="282"/>
      <c r="AV296" s="282">
        <v>167944</v>
      </c>
      <c r="AW296" s="282">
        <v>389000</v>
      </c>
      <c r="AX296" s="282"/>
      <c r="AY296" s="158"/>
      <c r="BA296" s="282"/>
      <c r="BB296" s="282"/>
      <c r="BC296" s="282"/>
      <c r="BD296" s="282"/>
      <c r="BE296" s="282"/>
      <c r="BT296" s="279" t="s">
        <v>205</v>
      </c>
      <c r="BU296" s="279" t="s">
        <v>206</v>
      </c>
    </row>
    <row r="297" s="279" customFormat="1" customHeight="1" spans="1:73">
      <c r="A297" s="279">
        <v>207</v>
      </c>
      <c r="C297" s="279" t="s">
        <v>916</v>
      </c>
      <c r="D297" s="300" t="s">
        <v>2448</v>
      </c>
      <c r="F297" s="295" t="s">
        <v>2449</v>
      </c>
      <c r="G297" s="299" t="s">
        <v>2450</v>
      </c>
      <c r="H297" s="299"/>
      <c r="I297" s="316" t="s">
        <v>2451</v>
      </c>
      <c r="J297" s="279">
        <v>107.77</v>
      </c>
      <c r="K297" s="279">
        <v>107.77</v>
      </c>
      <c r="L297" s="279">
        <v>5350</v>
      </c>
      <c r="M297" s="318">
        <v>576570</v>
      </c>
      <c r="N297" s="317"/>
      <c r="O297" s="320">
        <v>528963.3</v>
      </c>
      <c r="P297" s="321" t="s">
        <v>2452</v>
      </c>
      <c r="Q297" s="436">
        <v>45564</v>
      </c>
      <c r="R297" s="282"/>
      <c r="S297" s="285"/>
      <c r="T297" s="299" t="s">
        <v>2453</v>
      </c>
      <c r="U297" s="299" t="s">
        <v>2453</v>
      </c>
      <c r="V297" s="282">
        <v>35714</v>
      </c>
      <c r="W297" s="331" t="s">
        <v>916</v>
      </c>
      <c r="X297" s="282">
        <v>15000</v>
      </c>
      <c r="Y297" s="331" t="s">
        <v>1666</v>
      </c>
      <c r="Z297" s="282">
        <v>15000</v>
      </c>
      <c r="AA297" s="331" t="s">
        <v>1511</v>
      </c>
      <c r="AB297" s="282">
        <v>460000</v>
      </c>
      <c r="AC297" s="279" t="s">
        <v>962</v>
      </c>
      <c r="AD297" s="279">
        <v>30000</v>
      </c>
      <c r="AE297" s="279" t="s">
        <v>1172</v>
      </c>
      <c r="AF297" s="279">
        <v>20000</v>
      </c>
      <c r="AG297" s="279" t="s">
        <v>1848</v>
      </c>
      <c r="AH297" s="282">
        <f t="shared" si="34"/>
        <v>575714</v>
      </c>
      <c r="AK297" s="287">
        <f t="shared" si="37"/>
        <v>856</v>
      </c>
      <c r="AL297" s="295" t="s">
        <v>2454</v>
      </c>
      <c r="AM297" s="295"/>
      <c r="AN297" s="344"/>
      <c r="AO297" s="344"/>
      <c r="AP297" s="344"/>
      <c r="AQ297" s="288">
        <f>0.5%+0.14%</f>
        <v>0.0064</v>
      </c>
      <c r="AR297" s="349">
        <f t="shared" si="35"/>
        <v>575714</v>
      </c>
      <c r="AS297" s="282">
        <f t="shared" si="38"/>
        <v>100</v>
      </c>
      <c r="AT297" s="282"/>
      <c r="AU297" s="282"/>
      <c r="AV297" s="282"/>
      <c r="AW297" s="282"/>
      <c r="AX297" s="282"/>
      <c r="AY297" s="158"/>
      <c r="AZ297" s="131">
        <v>575714</v>
      </c>
      <c r="BA297" s="282"/>
      <c r="BB297" s="282"/>
      <c r="BC297" s="282"/>
      <c r="BD297" s="282"/>
      <c r="BE297" s="282"/>
      <c r="BT297" s="279" t="s">
        <v>205</v>
      </c>
      <c r="BU297" s="279" t="s">
        <v>206</v>
      </c>
    </row>
    <row r="298" s="279" customFormat="1" customHeight="1" spans="1:73">
      <c r="A298" s="279">
        <v>208</v>
      </c>
      <c r="C298" s="279" t="s">
        <v>1431</v>
      </c>
      <c r="D298" s="300" t="s">
        <v>2455</v>
      </c>
      <c r="F298" s="295" t="s">
        <v>2456</v>
      </c>
      <c r="G298" s="297" t="s">
        <v>2457</v>
      </c>
      <c r="H298" s="719" t="s">
        <v>2458</v>
      </c>
      <c r="I298" s="313" t="s">
        <v>2459</v>
      </c>
      <c r="J298" s="279">
        <v>107.77</v>
      </c>
      <c r="K298" s="279">
        <v>107.77</v>
      </c>
      <c r="L298" s="279">
        <v>5225.58</v>
      </c>
      <c r="M298" s="318">
        <v>563161</v>
      </c>
      <c r="N298" s="317"/>
      <c r="O298" s="320">
        <v>516661.47</v>
      </c>
      <c r="P298" s="321" t="s">
        <v>2460</v>
      </c>
      <c r="Q298" s="436">
        <v>45564</v>
      </c>
      <c r="R298" s="282"/>
      <c r="S298" s="285"/>
      <c r="T298" s="332" t="s">
        <v>2461</v>
      </c>
      <c r="U298" s="329" t="s">
        <v>2462</v>
      </c>
      <c r="V298" s="282">
        <f>20000</f>
        <v>20000</v>
      </c>
      <c r="W298" s="330" t="s">
        <v>985</v>
      </c>
      <c r="X298" s="282">
        <f>50000+52325</f>
        <v>102325</v>
      </c>
      <c r="Y298" s="375" t="s">
        <v>1431</v>
      </c>
      <c r="Z298" s="282">
        <v>47000</v>
      </c>
      <c r="AA298" s="331" t="s">
        <v>1383</v>
      </c>
      <c r="AB298" s="282">
        <v>393000</v>
      </c>
      <c r="AC298" s="331" t="s">
        <v>1153</v>
      </c>
      <c r="AD298" s="331"/>
      <c r="AE298" s="331"/>
      <c r="AF298" s="331"/>
      <c r="AG298" s="331"/>
      <c r="AH298" s="282">
        <f t="shared" si="34"/>
        <v>562325</v>
      </c>
      <c r="AK298" s="287">
        <f t="shared" si="37"/>
        <v>836</v>
      </c>
      <c r="AL298" s="295" t="s">
        <v>2463</v>
      </c>
      <c r="AM298" s="295"/>
      <c r="AN298" s="344">
        <v>632962</v>
      </c>
      <c r="AO298" s="344"/>
      <c r="AP298" s="344"/>
      <c r="AQ298" s="288">
        <f>0.6%+0.04%+0.1%</f>
        <v>0.0074</v>
      </c>
      <c r="AR298" s="349">
        <f t="shared" si="35"/>
        <v>562325</v>
      </c>
      <c r="AS298" s="282"/>
      <c r="AT298" s="282">
        <v>100</v>
      </c>
      <c r="AU298" s="282">
        <v>122325</v>
      </c>
      <c r="AV298" s="282"/>
      <c r="AW298" s="282">
        <v>440000</v>
      </c>
      <c r="AX298" s="282"/>
      <c r="AY298" s="158"/>
      <c r="BA298" s="282"/>
      <c r="BB298" s="282"/>
      <c r="BC298" s="282"/>
      <c r="BD298" s="282"/>
      <c r="BE298" s="282"/>
      <c r="BT298" s="279" t="s">
        <v>205</v>
      </c>
      <c r="BU298" s="279" t="s">
        <v>206</v>
      </c>
    </row>
    <row r="299" s="279" customFormat="1" customHeight="1" spans="1:73">
      <c r="A299" s="279">
        <v>209</v>
      </c>
      <c r="C299" s="279" t="s">
        <v>942</v>
      </c>
      <c r="D299" s="300" t="s">
        <v>2464</v>
      </c>
      <c r="F299" s="369" t="s">
        <v>2465</v>
      </c>
      <c r="G299" s="299" t="s">
        <v>2466</v>
      </c>
      <c r="H299" s="720" t="s">
        <v>2467</v>
      </c>
      <c r="I299" s="316" t="s">
        <v>2468</v>
      </c>
      <c r="J299" s="279">
        <v>107.77</v>
      </c>
      <c r="K299" s="279">
        <v>107.77</v>
      </c>
      <c r="L299" s="279">
        <v>5264.88</v>
      </c>
      <c r="M299" s="318">
        <v>567396</v>
      </c>
      <c r="N299" s="317"/>
      <c r="O299" s="320">
        <v>520546.79</v>
      </c>
      <c r="P299" s="321" t="s">
        <v>2469</v>
      </c>
      <c r="Q299" s="436">
        <v>45564</v>
      </c>
      <c r="R299" s="282"/>
      <c r="S299" s="285"/>
      <c r="T299" s="286" t="s">
        <v>2470</v>
      </c>
      <c r="U299" s="285" t="s">
        <v>2471</v>
      </c>
      <c r="V299" s="282">
        <v>16554</v>
      </c>
      <c r="W299" s="279" t="s">
        <v>942</v>
      </c>
      <c r="X299" s="282">
        <v>100000</v>
      </c>
      <c r="Y299" s="331" t="s">
        <v>918</v>
      </c>
      <c r="Z299" s="282">
        <v>450000</v>
      </c>
      <c r="AA299" s="285" t="s">
        <v>776</v>
      </c>
      <c r="AB299" s="282"/>
      <c r="AC299" s="331"/>
      <c r="AD299" s="331"/>
      <c r="AE299" s="331"/>
      <c r="AF299" s="331"/>
      <c r="AG299" s="331"/>
      <c r="AH299" s="282">
        <f t="shared" si="34"/>
        <v>566554</v>
      </c>
      <c r="AK299" s="287">
        <f t="shared" si="37"/>
        <v>842</v>
      </c>
      <c r="AL299" s="295" t="s">
        <v>2472</v>
      </c>
      <c r="AM299" s="295"/>
      <c r="AN299" s="344">
        <v>637559</v>
      </c>
      <c r="AO299" s="344"/>
      <c r="AP299" s="344"/>
      <c r="AQ299" s="288">
        <f>0.6%+0.1%</f>
        <v>0.007</v>
      </c>
      <c r="AR299" s="349">
        <f t="shared" si="35"/>
        <v>566554</v>
      </c>
      <c r="AS299" s="282">
        <f t="shared" si="38"/>
        <v>100</v>
      </c>
      <c r="AT299" s="282"/>
      <c r="AU299" s="282"/>
      <c r="AV299" s="282"/>
      <c r="AW299" s="282">
        <v>116554</v>
      </c>
      <c r="AX299" s="282"/>
      <c r="AY299" s="158"/>
      <c r="BA299" s="282">
        <v>450000</v>
      </c>
      <c r="BB299" s="282"/>
      <c r="BC299" s="282"/>
      <c r="BD299" s="282"/>
      <c r="BE299" s="282"/>
      <c r="BT299" s="279" t="s">
        <v>205</v>
      </c>
      <c r="BU299" s="279" t="s">
        <v>206</v>
      </c>
    </row>
    <row r="300" s="279" customFormat="1" customHeight="1" spans="1:73">
      <c r="A300" s="279">
        <v>210</v>
      </c>
      <c r="C300" s="279" t="s">
        <v>2194</v>
      </c>
      <c r="D300" s="300" t="s">
        <v>2473</v>
      </c>
      <c r="F300" s="295" t="s">
        <v>2474</v>
      </c>
      <c r="G300" s="297" t="s">
        <v>2475</v>
      </c>
      <c r="H300" s="719" t="s">
        <v>2476</v>
      </c>
      <c r="I300" s="313" t="s">
        <v>2477</v>
      </c>
      <c r="J300" s="279">
        <v>107.77</v>
      </c>
      <c r="K300" s="279">
        <v>107.77</v>
      </c>
      <c r="L300" s="279">
        <v>5270.58</v>
      </c>
      <c r="M300" s="318">
        <v>568010</v>
      </c>
      <c r="N300" s="317"/>
      <c r="O300" s="320">
        <v>521110.09</v>
      </c>
      <c r="P300" s="321" t="s">
        <v>2478</v>
      </c>
      <c r="Q300" s="436">
        <v>45564</v>
      </c>
      <c r="R300" s="282"/>
      <c r="S300" s="285"/>
      <c r="T300" s="286" t="s">
        <v>2479</v>
      </c>
      <c r="U300" s="285" t="s">
        <v>2480</v>
      </c>
      <c r="V300" s="282">
        <v>2000</v>
      </c>
      <c r="W300" s="331">
        <v>44759</v>
      </c>
      <c r="X300" s="282">
        <v>18000</v>
      </c>
      <c r="Y300" s="331" t="s">
        <v>960</v>
      </c>
      <c r="Z300" s="282">
        <v>277167</v>
      </c>
      <c r="AA300" s="331" t="s">
        <v>2194</v>
      </c>
      <c r="AB300" s="282">
        <v>270000</v>
      </c>
      <c r="AC300" s="285" t="s">
        <v>1563</v>
      </c>
      <c r="AH300" s="282">
        <f t="shared" si="34"/>
        <v>567167</v>
      </c>
      <c r="AK300" s="287">
        <f t="shared" si="37"/>
        <v>843</v>
      </c>
      <c r="AL300" s="295" t="s">
        <v>2481</v>
      </c>
      <c r="AM300" s="295"/>
      <c r="AN300" s="344">
        <v>638225</v>
      </c>
      <c r="AO300" s="344"/>
      <c r="AP300" s="344"/>
      <c r="AQ300" s="288">
        <f>0.6%+0.1%</f>
        <v>0.007</v>
      </c>
      <c r="AR300" s="349">
        <f t="shared" si="35"/>
        <v>567167</v>
      </c>
      <c r="AS300" s="282">
        <f t="shared" si="38"/>
        <v>100</v>
      </c>
      <c r="AT300" s="282"/>
      <c r="AU300" s="282"/>
      <c r="AV300" s="282"/>
      <c r="AW300" s="282"/>
      <c r="AX300" s="282"/>
      <c r="AY300" s="158"/>
      <c r="AZ300" s="131"/>
      <c r="BA300" s="282">
        <v>567167</v>
      </c>
      <c r="BB300" s="282"/>
      <c r="BC300" s="282"/>
      <c r="BD300" s="282"/>
      <c r="BE300" s="282"/>
      <c r="BT300" s="279" t="s">
        <v>205</v>
      </c>
      <c r="BU300" s="279" t="s">
        <v>206</v>
      </c>
    </row>
    <row r="301" s="279" customFormat="1" customHeight="1" spans="1:73">
      <c r="A301" s="279">
        <v>211</v>
      </c>
      <c r="C301" s="279" t="s">
        <v>2482</v>
      </c>
      <c r="D301" s="279">
        <v>20230002570</v>
      </c>
      <c r="F301" s="298" t="s">
        <v>2483</v>
      </c>
      <c r="G301" s="299" t="s">
        <v>2484</v>
      </c>
      <c r="H301" s="720" t="s">
        <v>2485</v>
      </c>
      <c r="I301" s="316" t="s">
        <v>2486</v>
      </c>
      <c r="J301" s="279">
        <v>107.77</v>
      </c>
      <c r="K301" s="279">
        <v>107.77</v>
      </c>
      <c r="L301" s="279">
        <v>5625</v>
      </c>
      <c r="M301" s="318">
        <v>606206</v>
      </c>
      <c r="N301" s="416">
        <v>5543.4</v>
      </c>
      <c r="O301" s="417">
        <v>556152.29</v>
      </c>
      <c r="P301" s="321" t="s">
        <v>2487</v>
      </c>
      <c r="Q301" s="436">
        <v>45564</v>
      </c>
      <c r="R301" s="282"/>
      <c r="S301" s="285"/>
      <c r="T301" s="285" t="s">
        <v>2484</v>
      </c>
      <c r="U301" s="285" t="s">
        <v>2488</v>
      </c>
      <c r="V301" s="282">
        <v>20000</v>
      </c>
      <c r="W301" s="331" t="s">
        <v>1738</v>
      </c>
      <c r="X301" s="282">
        <f>80000+25306</f>
        <v>105306</v>
      </c>
      <c r="Y301" s="335" t="s">
        <v>2482</v>
      </c>
      <c r="Z301" s="282">
        <v>480000</v>
      </c>
      <c r="AA301" s="285" t="s">
        <v>1451</v>
      </c>
      <c r="AB301" s="282"/>
      <c r="AH301" s="282">
        <f t="shared" si="34"/>
        <v>605306</v>
      </c>
      <c r="AK301" s="287">
        <f t="shared" si="37"/>
        <v>900</v>
      </c>
      <c r="AL301" s="295" t="s">
        <v>2489</v>
      </c>
      <c r="AM301" s="295"/>
      <c r="AN301" s="426"/>
      <c r="AO301" s="426"/>
      <c r="AP301" s="426"/>
      <c r="AQ301" s="288">
        <f>0.6%+0.06%+0.14%+0.06%</f>
        <v>0.0086</v>
      </c>
      <c r="AR301" s="349">
        <f t="shared" si="35"/>
        <v>605306</v>
      </c>
      <c r="AS301" s="282"/>
      <c r="AT301" s="282"/>
      <c r="AU301" s="282"/>
      <c r="AV301" s="282"/>
      <c r="AW301" s="282">
        <v>125306</v>
      </c>
      <c r="AX301" s="282"/>
      <c r="AY301" s="158"/>
      <c r="BA301" s="282"/>
      <c r="BB301" s="282">
        <v>480000</v>
      </c>
      <c r="BC301" s="282"/>
      <c r="BD301" s="282"/>
      <c r="BE301" s="282"/>
      <c r="BT301" s="279" t="s">
        <v>205</v>
      </c>
      <c r="BU301" s="279" t="s">
        <v>206</v>
      </c>
    </row>
    <row r="302" s="279" customFormat="1" customHeight="1" spans="1:73">
      <c r="A302" s="279">
        <v>212</v>
      </c>
      <c r="C302" s="279" t="s">
        <v>1002</v>
      </c>
      <c r="D302" s="279">
        <v>20230000856</v>
      </c>
      <c r="F302" s="369" t="s">
        <v>2490</v>
      </c>
      <c r="G302" s="294" t="s">
        <v>2491</v>
      </c>
      <c r="H302" s="721" t="s">
        <v>2492</v>
      </c>
      <c r="I302" s="313" t="s">
        <v>2493</v>
      </c>
      <c r="J302" s="279">
        <v>107.77</v>
      </c>
      <c r="K302" s="279">
        <v>107.77</v>
      </c>
      <c r="L302" s="279">
        <v>5315.58</v>
      </c>
      <c r="M302" s="318">
        <v>572860</v>
      </c>
      <c r="N302" s="317"/>
      <c r="O302" s="320">
        <v>525559.63</v>
      </c>
      <c r="P302" s="321" t="s">
        <v>2494</v>
      </c>
      <c r="Q302" s="436">
        <v>45564</v>
      </c>
      <c r="R302" s="282"/>
      <c r="S302" s="285"/>
      <c r="T302" s="332" t="s">
        <v>2495</v>
      </c>
      <c r="U302" s="329" t="s">
        <v>2496</v>
      </c>
      <c r="V302" s="282">
        <v>115010</v>
      </c>
      <c r="W302" s="279" t="s">
        <v>1002</v>
      </c>
      <c r="X302" s="279">
        <v>257000</v>
      </c>
      <c r="Y302" s="279" t="s">
        <v>995</v>
      </c>
      <c r="Z302" s="282">
        <v>200000</v>
      </c>
      <c r="AA302" s="279" t="s">
        <v>1135</v>
      </c>
      <c r="AB302" s="282"/>
      <c r="AH302" s="282">
        <f t="shared" si="34"/>
        <v>572010</v>
      </c>
      <c r="AK302" s="287">
        <f t="shared" si="37"/>
        <v>850</v>
      </c>
      <c r="AL302" s="295" t="s">
        <v>2497</v>
      </c>
      <c r="AM302" s="295"/>
      <c r="AN302" s="344">
        <v>643489</v>
      </c>
      <c r="AO302" s="344"/>
      <c r="AP302" s="344"/>
      <c r="AQ302" s="288">
        <f>0.4%+0.04%+0.1%</f>
        <v>0.0054</v>
      </c>
      <c r="AR302" s="349">
        <f t="shared" si="35"/>
        <v>572010</v>
      </c>
      <c r="AS302" s="282">
        <f>100</f>
        <v>100</v>
      </c>
      <c r="AT302" s="282"/>
      <c r="AU302" s="282"/>
      <c r="AV302" s="282">
        <v>115010</v>
      </c>
      <c r="AW302" s="282"/>
      <c r="AX302" s="282">
        <v>457000</v>
      </c>
      <c r="AY302" s="158"/>
      <c r="BA302" s="282"/>
      <c r="BB302" s="282"/>
      <c r="BC302" s="282"/>
      <c r="BD302" s="282"/>
      <c r="BE302" s="282"/>
      <c r="BT302" s="279" t="s">
        <v>205</v>
      </c>
      <c r="BU302" s="279" t="s">
        <v>206</v>
      </c>
    </row>
    <row r="303" s="279" customFormat="1" customHeight="1" spans="1:73">
      <c r="A303" s="279">
        <v>213</v>
      </c>
      <c r="C303" s="279" t="s">
        <v>916</v>
      </c>
      <c r="D303" s="300" t="s">
        <v>2498</v>
      </c>
      <c r="F303" s="295" t="s">
        <v>2499</v>
      </c>
      <c r="G303" s="299" t="s">
        <v>2500</v>
      </c>
      <c r="H303" s="299"/>
      <c r="I303" s="316" t="s">
        <v>2501</v>
      </c>
      <c r="J303" s="279">
        <v>107.77</v>
      </c>
      <c r="K303" s="279">
        <v>107.77</v>
      </c>
      <c r="L303" s="279">
        <v>5390.51</v>
      </c>
      <c r="M303" s="318">
        <v>580935</v>
      </c>
      <c r="N303" s="317"/>
      <c r="O303" s="320">
        <v>532967.89</v>
      </c>
      <c r="P303" s="321" t="s">
        <v>2502</v>
      </c>
      <c r="Q303" s="436">
        <v>45564</v>
      </c>
      <c r="R303" s="282"/>
      <c r="S303" s="285"/>
      <c r="T303" s="299" t="s">
        <v>2503</v>
      </c>
      <c r="U303" s="299" t="s">
        <v>2503</v>
      </c>
      <c r="V303" s="282">
        <v>300073</v>
      </c>
      <c r="W303" s="331" t="s">
        <v>916</v>
      </c>
      <c r="X303" s="282">
        <v>280000</v>
      </c>
      <c r="Y303" s="285" t="s">
        <v>605</v>
      </c>
      <c r="Z303" s="282"/>
      <c r="AB303" s="282"/>
      <c r="AH303" s="282">
        <f t="shared" si="34"/>
        <v>580073</v>
      </c>
      <c r="AK303" s="287">
        <f t="shared" si="37"/>
        <v>862</v>
      </c>
      <c r="AL303" s="295" t="s">
        <v>2504</v>
      </c>
      <c r="AM303" s="295"/>
      <c r="AN303" s="344"/>
      <c r="AO303" s="344"/>
      <c r="AP303" s="344"/>
      <c r="AQ303" s="288">
        <f>0.6%+0.06%+0.14%</f>
        <v>0.008</v>
      </c>
      <c r="AR303" s="349">
        <f t="shared" si="35"/>
        <v>580073</v>
      </c>
      <c r="AS303" s="282"/>
      <c r="AT303" s="282">
        <v>100</v>
      </c>
      <c r="AU303" s="282"/>
      <c r="AV303" s="282">
        <v>300073</v>
      </c>
      <c r="AW303" s="282"/>
      <c r="AX303" s="282"/>
      <c r="AY303" s="158"/>
      <c r="BA303" s="282">
        <v>280000</v>
      </c>
      <c r="BB303" s="282"/>
      <c r="BC303" s="282"/>
      <c r="BD303" s="282"/>
      <c r="BE303" s="282"/>
      <c r="BT303" s="279" t="s">
        <v>205</v>
      </c>
      <c r="BU303" s="279" t="s">
        <v>206</v>
      </c>
    </row>
    <row r="304" s="279" customFormat="1" customHeight="1" spans="1:73">
      <c r="A304" s="279">
        <v>214</v>
      </c>
      <c r="C304" s="279" t="s">
        <v>916</v>
      </c>
      <c r="D304" s="300" t="s">
        <v>2505</v>
      </c>
      <c r="F304" s="717" t="s">
        <v>2506</v>
      </c>
      <c r="G304" s="299" t="s">
        <v>2507</v>
      </c>
      <c r="H304" s="299"/>
      <c r="I304" s="313" t="s">
        <v>2508</v>
      </c>
      <c r="J304" s="279">
        <v>107.77</v>
      </c>
      <c r="K304" s="279">
        <v>107.77</v>
      </c>
      <c r="L304" s="279">
        <v>5421.87</v>
      </c>
      <c r="M304" s="318">
        <v>584315</v>
      </c>
      <c r="N304" s="317"/>
      <c r="O304" s="320">
        <v>536068.81</v>
      </c>
      <c r="P304" s="321" t="s">
        <v>2509</v>
      </c>
      <c r="Q304" s="436">
        <v>45564</v>
      </c>
      <c r="R304" s="282"/>
      <c r="S304" s="376"/>
      <c r="T304" s="299" t="s">
        <v>2510</v>
      </c>
      <c r="U304" s="299" t="s">
        <v>2511</v>
      </c>
      <c r="V304" s="282">
        <v>3447</v>
      </c>
      <c r="W304" s="437" t="s">
        <v>916</v>
      </c>
      <c r="X304" s="282">
        <v>240000</v>
      </c>
      <c r="Y304" s="437" t="s">
        <v>1023</v>
      </c>
      <c r="Z304" s="282">
        <v>340000</v>
      </c>
      <c r="AA304" s="376" t="s">
        <v>2231</v>
      </c>
      <c r="AB304" s="282"/>
      <c r="AH304" s="282">
        <f t="shared" si="34"/>
        <v>583447</v>
      </c>
      <c r="AK304" s="287">
        <f t="shared" si="37"/>
        <v>868</v>
      </c>
      <c r="AL304" s="295" t="s">
        <v>2512</v>
      </c>
      <c r="AM304" s="295"/>
      <c r="AN304" s="344"/>
      <c r="AO304" s="344"/>
      <c r="AP304" s="344"/>
      <c r="AQ304" s="288">
        <f>0.6%+0.06%+0.14%+0.06%</f>
        <v>0.0086</v>
      </c>
      <c r="AR304" s="349">
        <f t="shared" si="35"/>
        <v>583447</v>
      </c>
      <c r="AS304" s="282"/>
      <c r="AT304" s="282"/>
      <c r="AU304" s="282"/>
      <c r="AV304" s="282"/>
      <c r="AW304" s="282"/>
      <c r="AX304" s="282"/>
      <c r="AY304" s="158">
        <v>243447</v>
      </c>
      <c r="BA304" s="282"/>
      <c r="BB304" s="282">
        <v>340000</v>
      </c>
      <c r="BC304" s="282"/>
      <c r="BD304" s="282"/>
      <c r="BE304" s="282"/>
      <c r="BT304" s="279" t="s">
        <v>205</v>
      </c>
      <c r="BU304" s="279" t="s">
        <v>206</v>
      </c>
    </row>
    <row r="305" s="279" customFormat="1" customHeight="1" spans="1:73">
      <c r="A305" s="279">
        <v>215</v>
      </c>
      <c r="C305" s="279" t="s">
        <v>2513</v>
      </c>
      <c r="D305" s="300" t="s">
        <v>2514</v>
      </c>
      <c r="F305" s="295" t="s">
        <v>2515</v>
      </c>
      <c r="G305" s="299" t="s">
        <v>2257</v>
      </c>
      <c r="H305" s="720" t="s">
        <v>2516</v>
      </c>
      <c r="I305" s="316" t="s">
        <v>2517</v>
      </c>
      <c r="J305" s="279">
        <v>107.77</v>
      </c>
      <c r="K305" s="279">
        <v>107.77</v>
      </c>
      <c r="L305" s="279">
        <v>5688.23</v>
      </c>
      <c r="M305" s="318">
        <f>K305*L305</f>
        <v>613020.5471</v>
      </c>
      <c r="N305" s="317">
        <v>5615.74</v>
      </c>
      <c r="O305" s="320"/>
      <c r="P305" s="321"/>
      <c r="Q305" s="321"/>
      <c r="R305" s="282"/>
      <c r="S305" s="285"/>
      <c r="T305" s="285" t="s">
        <v>2257</v>
      </c>
      <c r="U305" s="285" t="s">
        <v>2518</v>
      </c>
      <c r="V305" s="282">
        <v>20000</v>
      </c>
      <c r="W305" s="331" t="s">
        <v>2370</v>
      </c>
      <c r="X305" s="282">
        <v>103110</v>
      </c>
      <c r="Y305" s="285" t="s">
        <v>2513</v>
      </c>
      <c r="Z305" s="282">
        <v>489000</v>
      </c>
      <c r="AA305" s="285" t="s">
        <v>467</v>
      </c>
      <c r="AB305" s="282"/>
      <c r="AH305" s="282">
        <f t="shared" si="34"/>
        <v>612110</v>
      </c>
      <c r="AK305" s="287">
        <f t="shared" si="37"/>
        <v>910.547099999967</v>
      </c>
      <c r="AL305" s="295" t="s">
        <v>2519</v>
      </c>
      <c r="AM305" s="295"/>
      <c r="AN305" s="344"/>
      <c r="AO305" s="344"/>
      <c r="AP305" s="344"/>
      <c r="AQ305" s="288">
        <f>0.6%+0.06%+0.14%+0.06%</f>
        <v>0.0086</v>
      </c>
      <c r="AR305" s="349">
        <f t="shared" si="35"/>
        <v>612110</v>
      </c>
      <c r="AS305" s="282"/>
      <c r="AT305" s="282"/>
      <c r="AU305" s="282"/>
      <c r="AV305" s="282"/>
      <c r="AW305" s="282"/>
      <c r="AX305" s="282"/>
      <c r="AY305" s="158"/>
      <c r="BA305" s="282"/>
      <c r="BB305" s="282"/>
      <c r="BC305" s="282"/>
      <c r="BD305" s="282"/>
      <c r="BE305" s="282">
        <v>123110</v>
      </c>
      <c r="BG305" s="279">
        <v>489000</v>
      </c>
      <c r="BT305" s="279" t="s">
        <v>205</v>
      </c>
      <c r="BU305" s="279" t="s">
        <v>206</v>
      </c>
    </row>
    <row r="306" s="279" customFormat="1" customHeight="1" spans="1:73">
      <c r="A306" s="279">
        <v>216</v>
      </c>
      <c r="C306" s="279" t="s">
        <v>2370</v>
      </c>
      <c r="D306" s="279">
        <v>20230002599</v>
      </c>
      <c r="F306" s="385" t="s">
        <v>2520</v>
      </c>
      <c r="G306" s="299" t="s">
        <v>2521</v>
      </c>
      <c r="H306" s="720" t="s">
        <v>2522</v>
      </c>
      <c r="I306" s="313" t="s">
        <v>2523</v>
      </c>
      <c r="J306" s="279">
        <v>107.77</v>
      </c>
      <c r="K306" s="279">
        <v>107.77</v>
      </c>
      <c r="L306" s="279">
        <v>5694.3</v>
      </c>
      <c r="M306" s="318">
        <v>613675</v>
      </c>
      <c r="N306" s="282">
        <v>5621.63</v>
      </c>
      <c r="O306" s="283">
        <v>563004.59</v>
      </c>
      <c r="P306" s="724" t="s">
        <v>2524</v>
      </c>
      <c r="Q306" s="436">
        <v>45564</v>
      </c>
      <c r="R306" s="282"/>
      <c r="S306" s="285"/>
      <c r="T306" s="285" t="s">
        <v>2525</v>
      </c>
      <c r="U306" s="285" t="s">
        <v>2526</v>
      </c>
      <c r="V306" s="282">
        <v>764</v>
      </c>
      <c r="W306" s="331" t="s">
        <v>1738</v>
      </c>
      <c r="X306" s="282">
        <v>122000</v>
      </c>
      <c r="Y306" s="331" t="s">
        <v>962</v>
      </c>
      <c r="Z306" s="282">
        <v>490000</v>
      </c>
      <c r="AA306" s="285" t="s">
        <v>1600</v>
      </c>
      <c r="AB306" s="282"/>
      <c r="AH306" s="282">
        <f t="shared" si="34"/>
        <v>612764</v>
      </c>
      <c r="AK306" s="287">
        <f t="shared" si="37"/>
        <v>911</v>
      </c>
      <c r="AL306" s="295" t="s">
        <v>2527</v>
      </c>
      <c r="AM306" s="295"/>
      <c r="AN306" s="318"/>
      <c r="AO306" s="318"/>
      <c r="AP306" s="318"/>
      <c r="AQ306" s="288">
        <f>0.6%+0.06%+0.14%+0.06%</f>
        <v>0.0086</v>
      </c>
      <c r="AR306" s="349">
        <f t="shared" si="35"/>
        <v>612764</v>
      </c>
      <c r="AS306" s="282"/>
      <c r="AT306" s="282"/>
      <c r="AU306" s="282"/>
      <c r="AV306" s="282"/>
      <c r="AW306" s="282"/>
      <c r="AX306" s="282"/>
      <c r="AY306" s="158">
        <v>122764</v>
      </c>
      <c r="BA306" s="282"/>
      <c r="BB306" s="282">
        <v>490000</v>
      </c>
      <c r="BC306" s="282"/>
      <c r="BD306" s="282"/>
      <c r="BE306" s="282"/>
      <c r="BT306" s="279" t="s">
        <v>205</v>
      </c>
      <c r="BU306" s="279" t="s">
        <v>206</v>
      </c>
    </row>
    <row r="307" s="279" customFormat="1" customHeight="1" spans="1:73">
      <c r="A307" s="279">
        <v>217</v>
      </c>
      <c r="C307" s="279" t="s">
        <v>1431</v>
      </c>
      <c r="D307" s="279">
        <v>20230000302</v>
      </c>
      <c r="F307" s="295" t="s">
        <v>2528</v>
      </c>
      <c r="G307" s="299" t="s">
        <v>2529</v>
      </c>
      <c r="H307" s="720" t="s">
        <v>2530</v>
      </c>
      <c r="I307" s="313" t="s">
        <v>2531</v>
      </c>
      <c r="J307" s="279">
        <v>107.77</v>
      </c>
      <c r="K307" s="279">
        <v>107.77</v>
      </c>
      <c r="L307" s="279">
        <v>5399.88</v>
      </c>
      <c r="M307" s="318">
        <v>581945</v>
      </c>
      <c r="N307" s="416"/>
      <c r="O307" s="417">
        <v>533894.5</v>
      </c>
      <c r="P307" s="321" t="s">
        <v>2532</v>
      </c>
      <c r="Q307" s="436">
        <v>45564</v>
      </c>
      <c r="R307" s="282"/>
      <c r="S307" s="285"/>
      <c r="T307" s="286" t="s">
        <v>2533</v>
      </c>
      <c r="U307" s="285" t="s">
        <v>2534</v>
      </c>
      <c r="V307" s="282">
        <v>1000</v>
      </c>
      <c r="W307" s="331" t="s">
        <v>2535</v>
      </c>
      <c r="X307" s="282">
        <v>19000</v>
      </c>
      <c r="Y307" s="331" t="s">
        <v>960</v>
      </c>
      <c r="Z307" s="282">
        <v>155081</v>
      </c>
      <c r="AA307" s="331" t="s">
        <v>1431</v>
      </c>
      <c r="AB307" s="282">
        <v>406000</v>
      </c>
      <c r="AC307" s="331" t="s">
        <v>1251</v>
      </c>
      <c r="AD307" s="331"/>
      <c r="AE307" s="331"/>
      <c r="AF307" s="331"/>
      <c r="AG307" s="331"/>
      <c r="AH307" s="282">
        <f t="shared" si="34"/>
        <v>581081</v>
      </c>
      <c r="AK307" s="287">
        <f t="shared" si="37"/>
        <v>864</v>
      </c>
      <c r="AL307" s="295" t="s">
        <v>2536</v>
      </c>
      <c r="AM307" s="295"/>
      <c r="AN307" s="426">
        <v>653349</v>
      </c>
      <c r="AO307" s="426"/>
      <c r="AP307" s="426"/>
      <c r="AQ307" s="288">
        <f>0.4%+0.04%+0.1%</f>
        <v>0.0054</v>
      </c>
      <c r="AR307" s="349">
        <f t="shared" si="35"/>
        <v>581081</v>
      </c>
      <c r="AS307" s="282"/>
      <c r="AT307" s="282"/>
      <c r="AU307" s="282">
        <v>175081</v>
      </c>
      <c r="AV307" s="282"/>
      <c r="AW307" s="282"/>
      <c r="AX307" s="282">
        <v>406000</v>
      </c>
      <c r="AY307" s="158"/>
      <c r="BA307" s="282"/>
      <c r="BB307" s="282"/>
      <c r="BC307" s="282"/>
      <c r="BD307" s="282"/>
      <c r="BE307" s="282"/>
      <c r="BT307" s="279" t="s">
        <v>205</v>
      </c>
      <c r="BU307" s="279" t="s">
        <v>206</v>
      </c>
    </row>
    <row r="308" s="279" customFormat="1" customHeight="1" spans="1:73">
      <c r="A308" s="279">
        <v>218</v>
      </c>
      <c r="C308" s="279" t="s">
        <v>2069</v>
      </c>
      <c r="D308" s="300" t="s">
        <v>2537</v>
      </c>
      <c r="F308" s="295" t="s">
        <v>2538</v>
      </c>
      <c r="G308" s="279" t="s">
        <v>2539</v>
      </c>
      <c r="H308" s="717" t="s">
        <v>2540</v>
      </c>
      <c r="I308" s="313" t="s">
        <v>2541</v>
      </c>
      <c r="J308" s="279">
        <v>107.77</v>
      </c>
      <c r="K308" s="279">
        <v>107.77</v>
      </c>
      <c r="L308" s="279">
        <v>5975.28</v>
      </c>
      <c r="M308" s="318">
        <v>643956</v>
      </c>
      <c r="N308" s="317">
        <v>5942.3</v>
      </c>
      <c r="O308" s="320">
        <v>590785.32</v>
      </c>
      <c r="P308" s="321" t="s">
        <v>2542</v>
      </c>
      <c r="Q308" s="436">
        <v>45564</v>
      </c>
      <c r="R308" s="282"/>
      <c r="S308" s="285"/>
      <c r="U308" s="285" t="s">
        <v>422</v>
      </c>
      <c r="V308" s="282">
        <v>20000</v>
      </c>
      <c r="W308" s="285" t="s">
        <v>1445</v>
      </c>
      <c r="X308" s="282">
        <f>3000+170000</f>
        <v>173000</v>
      </c>
      <c r="Y308" s="339" t="s">
        <v>2069</v>
      </c>
      <c r="Z308" s="282">
        <v>450000</v>
      </c>
      <c r="AA308" s="285" t="s">
        <v>2543</v>
      </c>
      <c r="AB308" s="282"/>
      <c r="AC308" s="331"/>
      <c r="AD308" s="331"/>
      <c r="AE308" s="331"/>
      <c r="AF308" s="331"/>
      <c r="AG308" s="331"/>
      <c r="AH308" s="282">
        <f t="shared" si="34"/>
        <v>643000</v>
      </c>
      <c r="AK308" s="287">
        <f t="shared" si="37"/>
        <v>956</v>
      </c>
      <c r="AL308" s="295" t="s">
        <v>2544</v>
      </c>
      <c r="AM308" s="295"/>
      <c r="AN308" s="344"/>
      <c r="AO308" s="344"/>
      <c r="AP308" s="344"/>
      <c r="AQ308" s="427">
        <f>0.7%+0.05%+0.12%</f>
        <v>0.0087</v>
      </c>
      <c r="AR308" s="349">
        <f t="shared" si="35"/>
        <v>643000</v>
      </c>
      <c r="AS308" s="282"/>
      <c r="AT308" s="282"/>
      <c r="AU308" s="282"/>
      <c r="AV308" s="282"/>
      <c r="AW308" s="282"/>
      <c r="AX308" s="282"/>
      <c r="AY308" s="158"/>
      <c r="BA308" s="282"/>
      <c r="BB308" s="282">
        <v>193000</v>
      </c>
      <c r="BC308" s="282"/>
      <c r="BD308" s="282">
        <v>450000</v>
      </c>
      <c r="BE308" s="282"/>
      <c r="BT308" s="279" t="s">
        <v>205</v>
      </c>
      <c r="BU308" s="279" t="s">
        <v>206</v>
      </c>
    </row>
    <row r="309" s="279" customFormat="1" customHeight="1" spans="1:73">
      <c r="A309" s="279">
        <v>219</v>
      </c>
      <c r="C309" s="331">
        <v>45397</v>
      </c>
      <c r="D309" s="300" t="s">
        <v>2545</v>
      </c>
      <c r="F309" s="295" t="s">
        <v>2546</v>
      </c>
      <c r="G309" s="299" t="s">
        <v>2547</v>
      </c>
      <c r="H309" s="720" t="s">
        <v>2548</v>
      </c>
      <c r="I309" s="313" t="s">
        <v>2549</v>
      </c>
      <c r="J309" s="279">
        <v>107.77</v>
      </c>
      <c r="K309" s="279">
        <v>107.77</v>
      </c>
      <c r="L309" s="279">
        <v>7025</v>
      </c>
      <c r="M309" s="317">
        <v>757124</v>
      </c>
      <c r="N309" s="317">
        <v>6968.5</v>
      </c>
      <c r="O309" s="320">
        <v>694609.17</v>
      </c>
      <c r="P309" s="321" t="s">
        <v>2550</v>
      </c>
      <c r="Q309" s="436">
        <v>45564</v>
      </c>
      <c r="R309" s="282"/>
      <c r="S309" s="285"/>
      <c r="T309" s="285"/>
      <c r="U309" s="285" t="s">
        <v>411</v>
      </c>
      <c r="V309" s="282">
        <v>20000</v>
      </c>
      <c r="W309" s="285" t="s">
        <v>2551</v>
      </c>
      <c r="X309" s="282">
        <v>76000</v>
      </c>
      <c r="Y309" s="335" t="s">
        <v>326</v>
      </c>
      <c r="Z309" s="282">
        <v>60000</v>
      </c>
      <c r="AA309" s="285" t="s">
        <v>692</v>
      </c>
      <c r="AB309" s="282">
        <v>600000</v>
      </c>
      <c r="AC309" s="279" t="s">
        <v>2552</v>
      </c>
      <c r="AH309" s="282">
        <f t="shared" si="34"/>
        <v>756000</v>
      </c>
      <c r="AK309" s="287">
        <f t="shared" si="37"/>
        <v>1124</v>
      </c>
      <c r="AL309" s="295" t="s">
        <v>2553</v>
      </c>
      <c r="AM309" s="295"/>
      <c r="AN309" s="344"/>
      <c r="AO309" s="344"/>
      <c r="AP309" s="344"/>
      <c r="AQ309" s="161">
        <f>0.7%+0.12%</f>
        <v>0.0082</v>
      </c>
      <c r="AR309" s="349">
        <f t="shared" si="35"/>
        <v>756000</v>
      </c>
      <c r="AS309" s="282"/>
      <c r="AT309" s="282">
        <v>100</v>
      </c>
      <c r="AU309" s="282"/>
      <c r="AV309" s="282"/>
      <c r="AW309" s="282"/>
      <c r="AX309" s="282"/>
      <c r="AY309" s="158"/>
      <c r="BA309" s="282"/>
      <c r="BB309" s="282"/>
      <c r="BC309" s="282"/>
      <c r="BD309" s="282"/>
      <c r="BE309" s="282"/>
      <c r="BK309" s="279">
        <v>756000</v>
      </c>
      <c r="BT309" s="279" t="s">
        <v>205</v>
      </c>
      <c r="BU309" s="279" t="s">
        <v>206</v>
      </c>
    </row>
    <row r="310" s="279" customFormat="1" customHeight="1" spans="1:68">
      <c r="A310" s="279">
        <v>220</v>
      </c>
      <c r="D310" s="300"/>
      <c r="E310" s="279" t="s">
        <v>2554</v>
      </c>
      <c r="F310" s="295"/>
      <c r="G310" s="299" t="s">
        <v>2555</v>
      </c>
      <c r="H310" s="299"/>
      <c r="I310" s="313" t="s">
        <v>2556</v>
      </c>
      <c r="J310" s="278">
        <v>107.77</v>
      </c>
      <c r="K310" s="278">
        <v>107.77</v>
      </c>
      <c r="L310" s="279">
        <f>M310/K310</f>
        <v>7410.47601373295</v>
      </c>
      <c r="M310" s="317">
        <v>798627</v>
      </c>
      <c r="N310" s="317">
        <v>6976.2</v>
      </c>
      <c r="O310" s="320"/>
      <c r="P310" s="321"/>
      <c r="Q310" s="321"/>
      <c r="R310" s="282"/>
      <c r="S310" s="285"/>
      <c r="T310" s="285"/>
      <c r="U310" s="285"/>
      <c r="V310" s="282">
        <v>798627</v>
      </c>
      <c r="W310" s="285" t="s">
        <v>2557</v>
      </c>
      <c r="X310" s="282"/>
      <c r="Y310" s="335"/>
      <c r="Z310" s="282"/>
      <c r="AB310" s="282"/>
      <c r="AH310" s="282">
        <f t="shared" si="34"/>
        <v>798627</v>
      </c>
      <c r="AK310" s="287">
        <f t="shared" si="37"/>
        <v>0</v>
      </c>
      <c r="AL310" s="295"/>
      <c r="AM310" s="295"/>
      <c r="AN310" s="344"/>
      <c r="AO310" s="344"/>
      <c r="AP310" s="344"/>
      <c r="AQ310" s="288"/>
      <c r="AR310" s="349">
        <f t="shared" si="35"/>
        <v>0</v>
      </c>
      <c r="AS310" s="282">
        <f>100</f>
        <v>100</v>
      </c>
      <c r="AT310" s="282"/>
      <c r="AU310" s="282"/>
      <c r="AV310" s="282"/>
      <c r="AW310" s="282"/>
      <c r="AX310" s="282"/>
      <c r="AY310" s="158"/>
      <c r="BA310" s="282"/>
      <c r="BB310" s="282"/>
      <c r="BC310" s="282"/>
      <c r="BD310" s="282"/>
      <c r="BE310" s="282"/>
      <c r="BP310" s="59"/>
    </row>
    <row r="311" s="279" customFormat="1" customHeight="1" spans="1:57">
      <c r="A311" s="279">
        <v>221</v>
      </c>
      <c r="C311" s="279" t="s">
        <v>547</v>
      </c>
      <c r="D311" s="298" t="s">
        <v>2558</v>
      </c>
      <c r="E311" s="279" t="s">
        <v>2559</v>
      </c>
      <c r="F311" s="298" t="s">
        <v>2560</v>
      </c>
      <c r="G311" s="299" t="s">
        <v>2561</v>
      </c>
      <c r="H311" s="299"/>
      <c r="I311" s="316" t="s">
        <v>2562</v>
      </c>
      <c r="J311" s="279">
        <v>107.58</v>
      </c>
      <c r="K311" s="279">
        <v>107.58</v>
      </c>
      <c r="L311" s="279">
        <v>8617.56</v>
      </c>
      <c r="M311" s="416">
        <v>927077</v>
      </c>
      <c r="N311" s="279">
        <v>8617.55</v>
      </c>
      <c r="O311" s="417">
        <v>850529.36</v>
      </c>
      <c r="P311" s="373" t="s">
        <v>2563</v>
      </c>
      <c r="Q311" s="373" t="s">
        <v>2564</v>
      </c>
      <c r="R311" s="282"/>
      <c r="S311" s="285"/>
      <c r="T311" s="285"/>
      <c r="U311" s="285"/>
      <c r="V311" s="282">
        <f>698+260000</f>
        <v>260698</v>
      </c>
      <c r="W311" s="285">
        <v>45536</v>
      </c>
      <c r="X311" s="282">
        <v>95000</v>
      </c>
      <c r="Y311" s="331">
        <v>45547</v>
      </c>
      <c r="Z311" s="282">
        <v>570000</v>
      </c>
      <c r="AA311" s="331">
        <v>45562</v>
      </c>
      <c r="AB311" s="282"/>
      <c r="AH311" s="282">
        <f t="shared" si="34"/>
        <v>925698</v>
      </c>
      <c r="AK311" s="287">
        <f t="shared" si="37"/>
        <v>1379</v>
      </c>
      <c r="AN311" s="426"/>
      <c r="AO311" s="426"/>
      <c r="AP311" s="426"/>
      <c r="AQ311" s="288"/>
      <c r="AR311" s="349">
        <f t="shared" si="35"/>
        <v>0</v>
      </c>
      <c r="AS311" s="282">
        <v>100</v>
      </c>
      <c r="AT311" s="282"/>
      <c r="AU311" s="282"/>
      <c r="AV311" s="282"/>
      <c r="AW311" s="282"/>
      <c r="AX311" s="282"/>
      <c r="AY311" s="158"/>
      <c r="BA311" s="282"/>
      <c r="BB311" s="282"/>
      <c r="BC311" s="282"/>
      <c r="BD311" s="282"/>
      <c r="BE311" s="282"/>
    </row>
    <row r="312" s="59" customFormat="1" customHeight="1" spans="1:57">
      <c r="A312" s="386">
        <v>222</v>
      </c>
      <c r="B312" s="278"/>
      <c r="C312" s="278"/>
      <c r="D312" s="278"/>
      <c r="E312" s="278" t="s">
        <v>2565</v>
      </c>
      <c r="F312" s="367"/>
      <c r="G312" s="434"/>
      <c r="H312" s="388"/>
      <c r="I312" s="413" t="s">
        <v>2566</v>
      </c>
      <c r="J312" s="278">
        <v>108.14</v>
      </c>
      <c r="K312" s="278"/>
      <c r="L312" s="278"/>
      <c r="M312" s="103"/>
      <c r="N312" s="278">
        <v>8618.09</v>
      </c>
      <c r="O312" s="414"/>
      <c r="P312" s="401"/>
      <c r="Q312" s="401"/>
      <c r="R312" s="103"/>
      <c r="S312" s="396"/>
      <c r="T312" s="396" t="s">
        <v>573</v>
      </c>
      <c r="U312" s="396" t="s">
        <v>573</v>
      </c>
      <c r="V312" s="103"/>
      <c r="W312" s="420"/>
      <c r="X312" s="103"/>
      <c r="Y312" s="338"/>
      <c r="Z312" s="103"/>
      <c r="AA312" s="104"/>
      <c r="AB312" s="103"/>
      <c r="AC312" s="104"/>
      <c r="AD312" s="104"/>
      <c r="AE312" s="104"/>
      <c r="AF312" s="104"/>
      <c r="AG312" s="104"/>
      <c r="AH312" s="103">
        <f t="shared" ref="AH312:AH332" si="39">V312+X312+Z312+AB312+AD312+AF312</f>
        <v>0</v>
      </c>
      <c r="AI312" s="278"/>
      <c r="AJ312" s="278"/>
      <c r="AK312" s="342">
        <f t="shared" si="37"/>
        <v>0</v>
      </c>
      <c r="AL312" s="367"/>
      <c r="AM312" s="367"/>
      <c r="AN312" s="404"/>
      <c r="AO312" s="404"/>
      <c r="AP312" s="404"/>
      <c r="AQ312" s="405"/>
      <c r="AR312" s="348">
        <f t="shared" si="35"/>
        <v>0</v>
      </c>
      <c r="AS312" s="406">
        <f>100</f>
        <v>100</v>
      </c>
      <c r="AT312" s="406">
        <v>100</v>
      </c>
      <c r="AU312" s="406"/>
      <c r="AV312" s="406"/>
      <c r="AW312" s="406"/>
      <c r="AX312" s="406"/>
      <c r="AY312" s="429"/>
      <c r="BA312" s="406"/>
      <c r="BB312" s="406"/>
      <c r="BC312" s="406"/>
      <c r="BD312" s="406"/>
      <c r="BE312" s="406"/>
    </row>
    <row r="313" s="59" customFormat="1" customHeight="1" spans="1:57">
      <c r="A313" s="386">
        <v>223</v>
      </c>
      <c r="B313" s="278"/>
      <c r="C313" s="278"/>
      <c r="D313" s="278"/>
      <c r="E313" s="278" t="s">
        <v>2567</v>
      </c>
      <c r="F313" s="367"/>
      <c r="G313" s="368"/>
      <c r="H313" s="368"/>
      <c r="I313" s="389" t="s">
        <v>2568</v>
      </c>
      <c r="J313" s="278">
        <v>107.77</v>
      </c>
      <c r="K313" s="278"/>
      <c r="L313" s="278"/>
      <c r="M313" s="103"/>
      <c r="N313" s="278">
        <v>5954.61</v>
      </c>
      <c r="O313" s="414"/>
      <c r="P313" s="401"/>
      <c r="Q313" s="401"/>
      <c r="R313" s="103"/>
      <c r="S313" s="328"/>
      <c r="T313" s="328"/>
      <c r="U313" s="328"/>
      <c r="V313" s="103"/>
      <c r="W313" s="104"/>
      <c r="X313" s="103"/>
      <c r="Y313" s="104"/>
      <c r="Z313" s="103"/>
      <c r="AA313" s="278"/>
      <c r="AB313" s="103"/>
      <c r="AC313" s="278"/>
      <c r="AD313" s="278"/>
      <c r="AE313" s="278"/>
      <c r="AF313" s="278"/>
      <c r="AG313" s="278"/>
      <c r="AH313" s="103">
        <f t="shared" si="39"/>
        <v>0</v>
      </c>
      <c r="AI313" s="278"/>
      <c r="AJ313" s="278"/>
      <c r="AK313" s="342">
        <f t="shared" si="37"/>
        <v>0</v>
      </c>
      <c r="AL313" s="367"/>
      <c r="AM313" s="367"/>
      <c r="AN313" s="404"/>
      <c r="AO313" s="404"/>
      <c r="AP313" s="404"/>
      <c r="AQ313" s="405"/>
      <c r="AR313" s="348">
        <f t="shared" si="35"/>
        <v>0</v>
      </c>
      <c r="AS313" s="406"/>
      <c r="AT313" s="406"/>
      <c r="AU313" s="406"/>
      <c r="AV313" s="406"/>
      <c r="AW313" s="406"/>
      <c r="AX313" s="406"/>
      <c r="AY313" s="429"/>
      <c r="BA313" s="406"/>
      <c r="BB313" s="406"/>
      <c r="BC313" s="406"/>
      <c r="BD313" s="406"/>
      <c r="BE313" s="406"/>
    </row>
    <row r="314" s="278" customFormat="1" customHeight="1" spans="1:68">
      <c r="A314" s="278">
        <v>224</v>
      </c>
      <c r="D314" s="366"/>
      <c r="E314" s="278" t="s">
        <v>2569</v>
      </c>
      <c r="F314" s="367"/>
      <c r="G314" s="368"/>
      <c r="H314" s="368"/>
      <c r="I314" s="370" t="s">
        <v>2570</v>
      </c>
      <c r="J314" s="278">
        <v>108.14</v>
      </c>
      <c r="M314" s="390"/>
      <c r="N314" s="278">
        <v>5952.89</v>
      </c>
      <c r="O314" s="414"/>
      <c r="P314" s="372"/>
      <c r="Q314" s="372"/>
      <c r="R314" s="103"/>
      <c r="S314" s="328"/>
      <c r="T314" s="328"/>
      <c r="U314" s="328"/>
      <c r="V314" s="103"/>
      <c r="W314" s="104"/>
      <c r="X314" s="103"/>
      <c r="Y314" s="338"/>
      <c r="Z314" s="103"/>
      <c r="AB314" s="103"/>
      <c r="AH314" s="103">
        <f t="shared" si="39"/>
        <v>0</v>
      </c>
      <c r="AK314" s="342">
        <f t="shared" si="37"/>
        <v>0</v>
      </c>
      <c r="AL314" s="367"/>
      <c r="AM314" s="367"/>
      <c r="AN314" s="380"/>
      <c r="AO314" s="380"/>
      <c r="AP314" s="380"/>
      <c r="AQ314" s="381"/>
      <c r="AR314" s="348">
        <f t="shared" si="35"/>
        <v>0</v>
      </c>
      <c r="AS314" s="103"/>
      <c r="AT314" s="103"/>
      <c r="AU314" s="103"/>
      <c r="AV314" s="103"/>
      <c r="AW314" s="103"/>
      <c r="AX314" s="103"/>
      <c r="AY314" s="168"/>
      <c r="BA314" s="103"/>
      <c r="BB314" s="103"/>
      <c r="BC314" s="103"/>
      <c r="BD314" s="103"/>
      <c r="BE314" s="103"/>
      <c r="BP314" s="59"/>
    </row>
    <row r="315" s="279" customFormat="1" customHeight="1" spans="1:73">
      <c r="A315" s="279">
        <v>225</v>
      </c>
      <c r="C315" s="279" t="s">
        <v>2571</v>
      </c>
      <c r="D315" s="300" t="s">
        <v>2572</v>
      </c>
      <c r="F315" s="295" t="s">
        <v>2573</v>
      </c>
      <c r="G315" s="279" t="s">
        <v>2574</v>
      </c>
      <c r="H315" s="717" t="s">
        <v>2575</v>
      </c>
      <c r="I315" s="316" t="s">
        <v>2576</v>
      </c>
      <c r="J315" s="279">
        <v>107.77</v>
      </c>
      <c r="K315" s="279">
        <v>107.77</v>
      </c>
      <c r="L315" s="279">
        <v>5349.29</v>
      </c>
      <c r="M315" s="317">
        <v>576493</v>
      </c>
      <c r="N315" s="317">
        <v>5299.29</v>
      </c>
      <c r="O315" s="343">
        <v>528892.66</v>
      </c>
      <c r="P315" s="321" t="s">
        <v>2577</v>
      </c>
      <c r="Q315" s="321" t="s">
        <v>2578</v>
      </c>
      <c r="R315" s="282"/>
      <c r="S315" s="285"/>
      <c r="T315" s="285" t="s">
        <v>2579</v>
      </c>
      <c r="U315" s="285" t="s">
        <v>2580</v>
      </c>
      <c r="V315" s="282">
        <v>20000</v>
      </c>
      <c r="W315" s="331" t="s">
        <v>1738</v>
      </c>
      <c r="X315" s="282">
        <v>255638</v>
      </c>
      <c r="Y315" s="339" t="s">
        <v>2571</v>
      </c>
      <c r="Z315" s="282">
        <v>300000</v>
      </c>
      <c r="AA315" s="279" t="s">
        <v>2067</v>
      </c>
      <c r="AB315" s="282"/>
      <c r="AH315" s="282">
        <f t="shared" si="39"/>
        <v>575638</v>
      </c>
      <c r="AK315" s="287">
        <f t="shared" si="37"/>
        <v>855</v>
      </c>
      <c r="AL315" s="295" t="s">
        <v>2581</v>
      </c>
      <c r="AM315" s="295"/>
      <c r="AN315" s="343"/>
      <c r="AO315" s="343"/>
      <c r="AP315" s="343"/>
      <c r="AQ315" s="288">
        <f>0.6%+0.05%+0.14%</f>
        <v>0.0079</v>
      </c>
      <c r="AR315" s="349">
        <f t="shared" si="35"/>
        <v>575638</v>
      </c>
      <c r="AS315" s="282"/>
      <c r="AT315" s="282"/>
      <c r="AU315" s="282"/>
      <c r="AV315" s="282"/>
      <c r="AW315" s="282"/>
      <c r="AX315" s="282"/>
      <c r="AY315" s="158">
        <v>575638</v>
      </c>
      <c r="BA315" s="282"/>
      <c r="BB315" s="282"/>
      <c r="BC315" s="282"/>
      <c r="BD315" s="282"/>
      <c r="BE315" s="282"/>
      <c r="BT315" s="279" t="s">
        <v>205</v>
      </c>
      <c r="BU315" s="279" t="s">
        <v>206</v>
      </c>
    </row>
    <row r="316" s="279" customFormat="1" ht="39" customHeight="1" spans="1:73">
      <c r="A316" s="279">
        <v>224</v>
      </c>
      <c r="C316" s="279" t="s">
        <v>1611</v>
      </c>
      <c r="D316" s="300" t="s">
        <v>2582</v>
      </c>
      <c r="F316" s="295" t="s">
        <v>2583</v>
      </c>
      <c r="G316" s="299" t="s">
        <v>2584</v>
      </c>
      <c r="H316" s="720" t="s">
        <v>2585</v>
      </c>
      <c r="I316" s="313" t="s">
        <v>2586</v>
      </c>
      <c r="J316" s="279">
        <v>108.14</v>
      </c>
      <c r="K316" s="279">
        <v>108.14</v>
      </c>
      <c r="L316" s="279">
        <v>5300</v>
      </c>
      <c r="M316" s="317">
        <v>573142</v>
      </c>
      <c r="N316" s="317">
        <v>5297.69</v>
      </c>
      <c r="O316" s="320">
        <v>525818.35</v>
      </c>
      <c r="P316" s="321" t="s">
        <v>2587</v>
      </c>
      <c r="Q316" s="321" t="s">
        <v>2578</v>
      </c>
      <c r="R316" s="282"/>
      <c r="S316" s="285"/>
      <c r="T316" s="285" t="s">
        <v>2584</v>
      </c>
      <c r="U316" s="285" t="s">
        <v>1075</v>
      </c>
      <c r="V316" s="282">
        <v>20000</v>
      </c>
      <c r="W316" s="331" t="s">
        <v>1400</v>
      </c>
      <c r="X316" s="282">
        <v>552294</v>
      </c>
      <c r="Y316" s="335" t="s">
        <v>1611</v>
      </c>
      <c r="AB316" s="282"/>
      <c r="AH316" s="282">
        <f t="shared" si="39"/>
        <v>572294</v>
      </c>
      <c r="AK316" s="287">
        <f t="shared" si="37"/>
        <v>848</v>
      </c>
      <c r="AL316" s="295" t="s">
        <v>2588</v>
      </c>
      <c r="AM316" s="295"/>
      <c r="AN316" s="344"/>
      <c r="AO316" s="344"/>
      <c r="AP316" s="344"/>
      <c r="AQ316" s="288">
        <f>0.6%+0.06%+0.14%</f>
        <v>0.008</v>
      </c>
      <c r="AR316" s="349">
        <f t="shared" si="35"/>
        <v>572294</v>
      </c>
      <c r="AS316" s="282"/>
      <c r="AT316" s="282"/>
      <c r="AU316" s="282"/>
      <c r="AV316" s="282"/>
      <c r="AW316" s="282"/>
      <c r="AX316" s="282"/>
      <c r="AY316" s="158">
        <v>572294</v>
      </c>
      <c r="BA316" s="282"/>
      <c r="BB316" s="282"/>
      <c r="BC316" s="282"/>
      <c r="BD316" s="282"/>
      <c r="BE316" s="282"/>
      <c r="BT316" s="279" t="s">
        <v>205</v>
      </c>
      <c r="BU316" s="279" t="s">
        <v>206</v>
      </c>
    </row>
    <row r="317" s="279" customFormat="1" customHeight="1" spans="1:73">
      <c r="A317" s="279">
        <v>227</v>
      </c>
      <c r="C317" s="279" t="s">
        <v>1423</v>
      </c>
      <c r="D317" s="300" t="s">
        <v>2589</v>
      </c>
      <c r="F317" s="295" t="s">
        <v>2590</v>
      </c>
      <c r="G317" s="279" t="s">
        <v>2591</v>
      </c>
      <c r="H317" s="717" t="s">
        <v>2592</v>
      </c>
      <c r="I317" s="316" t="s">
        <v>2593</v>
      </c>
      <c r="J317" s="279">
        <v>107.77</v>
      </c>
      <c r="K317" s="279">
        <v>107.77</v>
      </c>
      <c r="L317" s="279">
        <v>5380.3</v>
      </c>
      <c r="M317" s="317">
        <v>579835</v>
      </c>
      <c r="N317" s="317">
        <v>5330.3</v>
      </c>
      <c r="O317" s="343">
        <v>531958.72</v>
      </c>
      <c r="P317" s="321" t="s">
        <v>2594</v>
      </c>
      <c r="Q317" s="321" t="s">
        <v>2578</v>
      </c>
      <c r="R317" s="282"/>
      <c r="S317" s="285"/>
      <c r="T317" s="279" t="s">
        <v>2591</v>
      </c>
      <c r="U317" s="279" t="s">
        <v>2595</v>
      </c>
      <c r="V317" s="282">
        <v>3974</v>
      </c>
      <c r="W317" s="331" t="s">
        <v>1423</v>
      </c>
      <c r="X317" s="438">
        <v>215000</v>
      </c>
      <c r="Y317" s="282" t="s">
        <v>1668</v>
      </c>
      <c r="Z317" s="282">
        <v>360000</v>
      </c>
      <c r="AA317" s="285" t="s">
        <v>502</v>
      </c>
      <c r="AB317" s="282"/>
      <c r="AH317" s="282">
        <f t="shared" si="39"/>
        <v>578974</v>
      </c>
      <c r="AK317" s="287">
        <f t="shared" si="37"/>
        <v>861</v>
      </c>
      <c r="AL317" s="295" t="s">
        <v>2596</v>
      </c>
      <c r="AM317" s="295"/>
      <c r="AN317" s="343">
        <v>623277</v>
      </c>
      <c r="AO317" s="343"/>
      <c r="AP317" s="343"/>
      <c r="AQ317" s="288">
        <f>0.4%+0.05%+0.14%+0.06%</f>
        <v>0.0065</v>
      </c>
      <c r="AR317" s="349">
        <f t="shared" si="35"/>
        <v>578974</v>
      </c>
      <c r="AS317" s="282"/>
      <c r="AT317" s="282">
        <v>100</v>
      </c>
      <c r="AU317" s="282"/>
      <c r="AV317" s="282"/>
      <c r="AW317" s="282"/>
      <c r="AX317" s="282"/>
      <c r="AY317" s="158"/>
      <c r="BA317" s="282"/>
      <c r="BB317" s="282">
        <v>218974</v>
      </c>
      <c r="BC317" s="282"/>
      <c r="BD317" s="282">
        <v>360000</v>
      </c>
      <c r="BE317" s="282"/>
      <c r="BT317" s="279" t="s">
        <v>205</v>
      </c>
      <c r="BU317" s="279" t="s">
        <v>206</v>
      </c>
    </row>
    <row r="318" s="279" customFormat="1" customHeight="1" spans="1:73">
      <c r="A318" s="279">
        <v>228</v>
      </c>
      <c r="C318" s="279" t="s">
        <v>1076</v>
      </c>
      <c r="D318" s="300" t="s">
        <v>2597</v>
      </c>
      <c r="F318" s="295" t="s">
        <v>2598</v>
      </c>
      <c r="G318" s="279" t="s">
        <v>2599</v>
      </c>
      <c r="H318" s="717" t="s">
        <v>2600</v>
      </c>
      <c r="I318" s="313" t="s">
        <v>2601</v>
      </c>
      <c r="J318" s="279">
        <v>108.14</v>
      </c>
      <c r="K318" s="279">
        <v>108.14</v>
      </c>
      <c r="L318" s="279">
        <v>5350</v>
      </c>
      <c r="M318" s="317">
        <v>578549</v>
      </c>
      <c r="N318" s="317">
        <v>5328.69</v>
      </c>
      <c r="O318" s="343">
        <v>530778.9</v>
      </c>
      <c r="P318" s="321" t="s">
        <v>2602</v>
      </c>
      <c r="Q318" s="321" t="s">
        <v>2578</v>
      </c>
      <c r="R318" s="282"/>
      <c r="S318" s="285"/>
      <c r="T318" s="285"/>
      <c r="U318" s="285" t="s">
        <v>201</v>
      </c>
      <c r="V318" s="282">
        <v>20000</v>
      </c>
      <c r="W318" s="285" t="s">
        <v>1572</v>
      </c>
      <c r="X318" s="282">
        <v>36693</v>
      </c>
      <c r="Y318" s="339" t="s">
        <v>1076</v>
      </c>
      <c r="Z318" s="282">
        <v>59000</v>
      </c>
      <c r="AA318" s="279" t="s">
        <v>1966</v>
      </c>
      <c r="AB318" s="282">
        <v>462000</v>
      </c>
      <c r="AC318" s="285" t="s">
        <v>383</v>
      </c>
      <c r="AH318" s="282">
        <f t="shared" si="39"/>
        <v>577693</v>
      </c>
      <c r="AK318" s="287">
        <f t="shared" si="37"/>
        <v>856</v>
      </c>
      <c r="AL318" s="295" t="s">
        <v>2603</v>
      </c>
      <c r="AM318" s="295"/>
      <c r="AN318" s="343"/>
      <c r="AO318" s="343"/>
      <c r="AP318" s="343"/>
      <c r="AQ318" s="288">
        <f>0.6%+0.1%</f>
        <v>0.007</v>
      </c>
      <c r="AR318" s="349">
        <f t="shared" si="35"/>
        <v>577693</v>
      </c>
      <c r="AS318" s="282"/>
      <c r="AT318" s="282"/>
      <c r="AU318" s="282"/>
      <c r="AV318" s="282"/>
      <c r="AW318" s="282"/>
      <c r="AX318" s="282"/>
      <c r="AY318" s="158">
        <v>115693</v>
      </c>
      <c r="BA318" s="282">
        <v>462000</v>
      </c>
      <c r="BB318" s="282"/>
      <c r="BC318" s="282"/>
      <c r="BD318" s="282"/>
      <c r="BE318" s="282"/>
      <c r="BT318" s="279" t="s">
        <v>205</v>
      </c>
      <c r="BU318" s="279" t="s">
        <v>206</v>
      </c>
    </row>
    <row r="319" s="279" customFormat="1" customHeight="1" spans="1:73">
      <c r="A319" s="279">
        <v>229</v>
      </c>
      <c r="C319" s="279" t="s">
        <v>1002</v>
      </c>
      <c r="D319" s="300" t="s">
        <v>2604</v>
      </c>
      <c r="F319" s="295" t="s">
        <v>2605</v>
      </c>
      <c r="G319" s="294" t="s">
        <v>2606</v>
      </c>
      <c r="H319" s="721" t="s">
        <v>2607</v>
      </c>
      <c r="I319" s="316" t="s">
        <v>2608</v>
      </c>
      <c r="J319" s="279">
        <v>107.77</v>
      </c>
      <c r="K319" s="279">
        <v>107.77</v>
      </c>
      <c r="L319" s="279">
        <v>5231.88</v>
      </c>
      <c r="M319" s="317">
        <v>563840</v>
      </c>
      <c r="N319" s="317"/>
      <c r="O319" s="343">
        <v>517284.4</v>
      </c>
      <c r="P319" s="321" t="s">
        <v>2609</v>
      </c>
      <c r="Q319" s="321" t="s">
        <v>2578</v>
      </c>
      <c r="R319" s="282"/>
      <c r="S319" s="329"/>
      <c r="T319" s="332" t="s">
        <v>2610</v>
      </c>
      <c r="U319" s="329" t="s">
        <v>2611</v>
      </c>
      <c r="V319" s="282">
        <v>173003</v>
      </c>
      <c r="W319" s="279" t="s">
        <v>1002</v>
      </c>
      <c r="X319" s="282">
        <v>390000</v>
      </c>
      <c r="Y319" s="339" t="s">
        <v>1976</v>
      </c>
      <c r="Z319" s="282"/>
      <c r="AB319" s="282"/>
      <c r="AH319" s="282">
        <f t="shared" si="39"/>
        <v>563003</v>
      </c>
      <c r="AK319" s="287">
        <f t="shared" si="37"/>
        <v>837</v>
      </c>
      <c r="AL319" s="295" t="s">
        <v>2612</v>
      </c>
      <c r="AM319" s="295"/>
      <c r="AN319" s="343">
        <v>633699</v>
      </c>
      <c r="AO319" s="343"/>
      <c r="AP319" s="343"/>
      <c r="AQ319" s="288">
        <f>0.4%+0.04%+0.1%</f>
        <v>0.0054</v>
      </c>
      <c r="AR319" s="349">
        <f t="shared" si="35"/>
        <v>563003</v>
      </c>
      <c r="AS319" s="282">
        <f>100+100</f>
        <v>200</v>
      </c>
      <c r="AT319" s="282"/>
      <c r="AU319" s="282"/>
      <c r="AV319" s="282">
        <v>173003</v>
      </c>
      <c r="AW319" s="282"/>
      <c r="AX319" s="282"/>
      <c r="AY319" s="158">
        <v>390000</v>
      </c>
      <c r="BA319" s="282"/>
      <c r="BB319" s="282"/>
      <c r="BC319" s="282"/>
      <c r="BD319" s="282"/>
      <c r="BE319" s="282"/>
      <c r="BT319" s="279" t="s">
        <v>205</v>
      </c>
      <c r="BU319" s="279" t="s">
        <v>206</v>
      </c>
    </row>
    <row r="320" s="279" customFormat="1" customHeight="1" spans="1:73">
      <c r="A320" s="279">
        <v>230</v>
      </c>
      <c r="C320" s="279" t="s">
        <v>2613</v>
      </c>
      <c r="D320" s="300" t="s">
        <v>2614</v>
      </c>
      <c r="F320" s="295" t="s">
        <v>2615</v>
      </c>
      <c r="G320" s="294" t="s">
        <v>2616</v>
      </c>
      <c r="H320" s="721" t="s">
        <v>2617</v>
      </c>
      <c r="I320" s="313" t="s">
        <v>2618</v>
      </c>
      <c r="J320" s="279">
        <v>108.14</v>
      </c>
      <c r="K320" s="279">
        <v>108.14</v>
      </c>
      <c r="L320" s="279">
        <v>5230.38</v>
      </c>
      <c r="M320" s="317">
        <v>565614</v>
      </c>
      <c r="N320" s="317"/>
      <c r="O320" s="343">
        <v>518911.93</v>
      </c>
      <c r="P320" s="321" t="s">
        <v>2619</v>
      </c>
      <c r="Q320" s="321" t="s">
        <v>2578</v>
      </c>
      <c r="R320" s="282"/>
      <c r="S320" s="285"/>
      <c r="T320" s="286" t="s">
        <v>2620</v>
      </c>
      <c r="U320" s="329" t="s">
        <v>2621</v>
      </c>
      <c r="V320" s="282">
        <v>2000</v>
      </c>
      <c r="W320" s="331">
        <v>44757</v>
      </c>
      <c r="X320" s="282">
        <v>18000</v>
      </c>
      <c r="Y320" s="339" t="s">
        <v>960</v>
      </c>
      <c r="Z320" s="282">
        <f>44777+500000</f>
        <v>544777</v>
      </c>
      <c r="AA320" s="279" t="s">
        <v>2613</v>
      </c>
      <c r="AB320" s="282"/>
      <c r="AH320" s="282">
        <f t="shared" si="39"/>
        <v>564777</v>
      </c>
      <c r="AK320" s="287">
        <f t="shared" si="37"/>
        <v>837</v>
      </c>
      <c r="AL320" s="295" t="s">
        <v>2622</v>
      </c>
      <c r="AM320" s="295"/>
      <c r="AN320" s="343">
        <v>635627</v>
      </c>
      <c r="AO320" s="343"/>
      <c r="AP320" s="343"/>
      <c r="AQ320" s="288">
        <f>0.4%+0.1%</f>
        <v>0.005</v>
      </c>
      <c r="AR320" s="349">
        <f t="shared" si="35"/>
        <v>564777</v>
      </c>
      <c r="AS320" s="282">
        <f>100</f>
        <v>100</v>
      </c>
      <c r="AT320" s="282"/>
      <c r="AU320" s="282">
        <v>564777</v>
      </c>
      <c r="AV320" s="282"/>
      <c r="AW320" s="282"/>
      <c r="AX320" s="282"/>
      <c r="AY320" s="158"/>
      <c r="BA320" s="282"/>
      <c r="BB320" s="282"/>
      <c r="BC320" s="282"/>
      <c r="BD320" s="282"/>
      <c r="BE320" s="282"/>
      <c r="BT320" s="279" t="s">
        <v>205</v>
      </c>
      <c r="BU320" s="279" t="s">
        <v>206</v>
      </c>
    </row>
    <row r="321" s="279" customFormat="1" customHeight="1" spans="1:73">
      <c r="A321" s="279">
        <v>231</v>
      </c>
      <c r="C321" s="279" t="s">
        <v>568</v>
      </c>
      <c r="D321" s="300" t="s">
        <v>2623</v>
      </c>
      <c r="F321" s="295" t="s">
        <v>2624</v>
      </c>
      <c r="G321" s="279" t="s">
        <v>2625</v>
      </c>
      <c r="H321" s="717" t="s">
        <v>2626</v>
      </c>
      <c r="I321" s="313" t="s">
        <v>2627</v>
      </c>
      <c r="J321" s="279">
        <v>107.77</v>
      </c>
      <c r="K321" s="279">
        <v>107.77</v>
      </c>
      <c r="L321" s="279">
        <v>5276.88</v>
      </c>
      <c r="M321" s="317">
        <v>568689</v>
      </c>
      <c r="N321" s="317"/>
      <c r="O321" s="343">
        <v>521733.03</v>
      </c>
      <c r="P321" s="321" t="s">
        <v>2628</v>
      </c>
      <c r="Q321" s="321" t="s">
        <v>2578</v>
      </c>
      <c r="R321" s="282"/>
      <c r="S321" s="285"/>
      <c r="T321" s="332" t="s">
        <v>2629</v>
      </c>
      <c r="U321" s="329" t="s">
        <v>2630</v>
      </c>
      <c r="V321" s="282">
        <f>2000</f>
        <v>2000</v>
      </c>
      <c r="W321" s="330">
        <v>44768</v>
      </c>
      <c r="X321" s="282">
        <v>18000</v>
      </c>
      <c r="Y321" s="339" t="s">
        <v>960</v>
      </c>
      <c r="Z321" s="282">
        <v>77845</v>
      </c>
      <c r="AA321" s="279">
        <v>2023.3</v>
      </c>
      <c r="AB321" s="282">
        <v>80000</v>
      </c>
      <c r="AC321" s="279" t="s">
        <v>1633</v>
      </c>
      <c r="AD321" s="282">
        <v>390000</v>
      </c>
      <c r="AE321" s="285" t="s">
        <v>1600</v>
      </c>
      <c r="AH321" s="282">
        <f t="shared" si="39"/>
        <v>567845</v>
      </c>
      <c r="AK321" s="287">
        <f t="shared" si="37"/>
        <v>844</v>
      </c>
      <c r="AL321" s="295" t="s">
        <v>2631</v>
      </c>
      <c r="AM321" s="295"/>
      <c r="AN321" s="343">
        <v>638962</v>
      </c>
      <c r="AO321" s="343"/>
      <c r="AP321" s="343"/>
      <c r="AQ321" s="288">
        <f>0.4%+0.04%+0.1%+0.04%</f>
        <v>0.0058</v>
      </c>
      <c r="AR321" s="349">
        <f t="shared" si="35"/>
        <v>567845</v>
      </c>
      <c r="AS321" s="282"/>
      <c r="AT321" s="282">
        <v>100</v>
      </c>
      <c r="AU321" s="282"/>
      <c r="AV321" s="282"/>
      <c r="AW321" s="282">
        <v>177845</v>
      </c>
      <c r="AX321" s="282"/>
      <c r="AY321" s="158"/>
      <c r="BA321" s="282"/>
      <c r="BB321" s="282">
        <v>390000</v>
      </c>
      <c r="BC321" s="282"/>
      <c r="BD321" s="282"/>
      <c r="BE321" s="282"/>
      <c r="BT321" s="279" t="s">
        <v>205</v>
      </c>
      <c r="BU321" s="279" t="s">
        <v>206</v>
      </c>
    </row>
    <row r="322" s="279" customFormat="1" customHeight="1" spans="1:73">
      <c r="A322" s="279">
        <v>232</v>
      </c>
      <c r="C322" s="279" t="s">
        <v>942</v>
      </c>
      <c r="D322" s="300" t="s">
        <v>2632</v>
      </c>
      <c r="F322" s="295" t="s">
        <v>2633</v>
      </c>
      <c r="G322" s="279" t="s">
        <v>2634</v>
      </c>
      <c r="H322" s="721" t="s">
        <v>466</v>
      </c>
      <c r="I322" s="313" t="s">
        <v>2635</v>
      </c>
      <c r="J322" s="279">
        <v>108.14</v>
      </c>
      <c r="K322" s="279">
        <v>108.14</v>
      </c>
      <c r="L322" s="279">
        <v>5275.38</v>
      </c>
      <c r="M322" s="317">
        <v>570480</v>
      </c>
      <c r="N322" s="317"/>
      <c r="O322" s="343">
        <v>523376.15</v>
      </c>
      <c r="P322" s="321" t="s">
        <v>2636</v>
      </c>
      <c r="Q322" s="321" t="s">
        <v>2578</v>
      </c>
      <c r="R322" s="282"/>
      <c r="S322" s="285"/>
      <c r="T322" s="286" t="s">
        <v>2637</v>
      </c>
      <c r="U322" s="285" t="s">
        <v>2638</v>
      </c>
      <c r="V322" s="282">
        <v>289636</v>
      </c>
      <c r="W322" s="279" t="s">
        <v>942</v>
      </c>
      <c r="X322" s="282">
        <v>280000</v>
      </c>
      <c r="Y322" s="279" t="s">
        <v>948</v>
      </c>
      <c r="Z322" s="282"/>
      <c r="AB322" s="282"/>
      <c r="AH322" s="282">
        <f t="shared" si="39"/>
        <v>569636</v>
      </c>
      <c r="AK322" s="287">
        <f t="shared" si="37"/>
        <v>844</v>
      </c>
      <c r="AL322" s="295" t="s">
        <v>2639</v>
      </c>
      <c r="AM322" s="295"/>
      <c r="AN322" s="343">
        <v>640908</v>
      </c>
      <c r="AO322" s="343"/>
      <c r="AP322" s="343"/>
      <c r="AQ322" s="288">
        <f>0.4%+0.1%</f>
        <v>0.005</v>
      </c>
      <c r="AR322" s="349">
        <f t="shared" si="35"/>
        <v>569636</v>
      </c>
      <c r="AS322" s="282">
        <v>100</v>
      </c>
      <c r="AT322" s="282"/>
      <c r="AU322" s="282"/>
      <c r="AV322" s="282">
        <v>569636</v>
      </c>
      <c r="AW322" s="282"/>
      <c r="AX322" s="282"/>
      <c r="AY322" s="158"/>
      <c r="BA322" s="282"/>
      <c r="BB322" s="282"/>
      <c r="BC322" s="282"/>
      <c r="BD322" s="282"/>
      <c r="BE322" s="282"/>
      <c r="BT322" s="279" t="s">
        <v>205</v>
      </c>
      <c r="BU322" s="279" t="s">
        <v>206</v>
      </c>
    </row>
    <row r="323" s="279" customFormat="1" customHeight="1" spans="1:73">
      <c r="A323" s="279">
        <v>233</v>
      </c>
      <c r="C323" s="279" t="s">
        <v>1035</v>
      </c>
      <c r="D323" s="300" t="s">
        <v>2640</v>
      </c>
      <c r="F323" s="295" t="s">
        <v>2641</v>
      </c>
      <c r="G323" s="279" t="s">
        <v>2642</v>
      </c>
      <c r="H323" s="717" t="s">
        <v>2643</v>
      </c>
      <c r="I323" s="313" t="s">
        <v>2644</v>
      </c>
      <c r="J323" s="279">
        <v>107.77</v>
      </c>
      <c r="K323" s="279">
        <v>107.77</v>
      </c>
      <c r="L323" s="279">
        <v>5321.88</v>
      </c>
      <c r="M323" s="317">
        <v>573539</v>
      </c>
      <c r="N323" s="317"/>
      <c r="O323" s="343">
        <v>526182.57</v>
      </c>
      <c r="P323" s="321" t="s">
        <v>2645</v>
      </c>
      <c r="Q323" s="321" t="s">
        <v>2578</v>
      </c>
      <c r="R323" s="282"/>
      <c r="S323" s="285"/>
      <c r="T323" s="286" t="s">
        <v>2646</v>
      </c>
      <c r="U323" s="285" t="s">
        <v>2647</v>
      </c>
      <c r="V323" s="282">
        <v>2000</v>
      </c>
      <c r="W323" s="331">
        <v>44752</v>
      </c>
      <c r="X323" s="282">
        <v>18000</v>
      </c>
      <c r="Y323" s="339" t="s">
        <v>960</v>
      </c>
      <c r="Z323" s="282">
        <f>40000+173688</f>
        <v>213688</v>
      </c>
      <c r="AA323" s="279" t="s">
        <v>1035</v>
      </c>
      <c r="AB323" s="282">
        <v>40000</v>
      </c>
      <c r="AC323" s="279" t="s">
        <v>726</v>
      </c>
      <c r="AD323" s="279">
        <v>299000</v>
      </c>
      <c r="AE323" s="279" t="s">
        <v>1858</v>
      </c>
      <c r="AH323" s="282">
        <f t="shared" si="39"/>
        <v>572688</v>
      </c>
      <c r="AK323" s="287">
        <f t="shared" si="37"/>
        <v>851</v>
      </c>
      <c r="AL323" s="295" t="s">
        <v>2648</v>
      </c>
      <c r="AM323" s="295"/>
      <c r="AN323" s="343">
        <v>644226</v>
      </c>
      <c r="AO323" s="343"/>
      <c r="AP323" s="343"/>
      <c r="AQ323" s="288">
        <f>0.6%+0.04%+0.1%</f>
        <v>0.0074</v>
      </c>
      <c r="AR323" s="349">
        <f t="shared" si="35"/>
        <v>572688</v>
      </c>
      <c r="AS323" s="282"/>
      <c r="AT323" s="282"/>
      <c r="AU323" s="282"/>
      <c r="AV323" s="282"/>
      <c r="AW323" s="282">
        <v>273688</v>
      </c>
      <c r="AX323" s="282"/>
      <c r="AY323" s="158">
        <v>299000</v>
      </c>
      <c r="BA323" s="282"/>
      <c r="BB323" s="282"/>
      <c r="BC323" s="282"/>
      <c r="BD323" s="282"/>
      <c r="BE323" s="282"/>
      <c r="BT323" s="279" t="s">
        <v>205</v>
      </c>
      <c r="BU323" s="279" t="s">
        <v>206</v>
      </c>
    </row>
    <row r="324" s="279" customFormat="1" customHeight="1" spans="1:73">
      <c r="A324" s="279">
        <v>234</v>
      </c>
      <c r="C324" s="279" t="s">
        <v>942</v>
      </c>
      <c r="D324" s="300" t="s">
        <v>2649</v>
      </c>
      <c r="F324" s="295" t="s">
        <v>607</v>
      </c>
      <c r="G324" s="294" t="s">
        <v>2650</v>
      </c>
      <c r="H324" s="721" t="s">
        <v>2651</v>
      </c>
      <c r="I324" s="313" t="s">
        <v>2652</v>
      </c>
      <c r="J324" s="279">
        <v>108.14</v>
      </c>
      <c r="K324" s="279">
        <v>108.14</v>
      </c>
      <c r="L324" s="279">
        <v>5320.38</v>
      </c>
      <c r="M324" s="317">
        <v>575346</v>
      </c>
      <c r="N324" s="317"/>
      <c r="O324" s="343">
        <v>527840.37</v>
      </c>
      <c r="P324" s="321" t="s">
        <v>2653</v>
      </c>
      <c r="Q324" s="321" t="s">
        <v>2578</v>
      </c>
      <c r="R324" s="282"/>
      <c r="S324" s="329"/>
      <c r="T324" s="332" t="s">
        <v>2654</v>
      </c>
      <c r="U324" s="329" t="s">
        <v>2655</v>
      </c>
      <c r="V324" s="282">
        <v>174495</v>
      </c>
      <c r="W324" s="279" t="s">
        <v>942</v>
      </c>
      <c r="X324" s="282">
        <v>400000</v>
      </c>
      <c r="Y324" s="339" t="s">
        <v>1423</v>
      </c>
      <c r="Z324" s="282"/>
      <c r="AB324" s="282"/>
      <c r="AH324" s="282">
        <f t="shared" si="39"/>
        <v>574495</v>
      </c>
      <c r="AK324" s="287">
        <f t="shared" si="37"/>
        <v>851</v>
      </c>
      <c r="AL324" s="295" t="s">
        <v>2656</v>
      </c>
      <c r="AM324" s="295"/>
      <c r="AN324" s="343">
        <v>646190</v>
      </c>
      <c r="AO324" s="343"/>
      <c r="AP324" s="343"/>
      <c r="AQ324" s="288">
        <f>0.4%+0.04%+0.1%</f>
        <v>0.0054</v>
      </c>
      <c r="AR324" s="349">
        <f t="shared" si="35"/>
        <v>574495</v>
      </c>
      <c r="AS324" s="282">
        <f>100</f>
        <v>100</v>
      </c>
      <c r="AT324" s="282">
        <f>100+100</f>
        <v>200</v>
      </c>
      <c r="AU324" s="282"/>
      <c r="AV324" s="282">
        <v>574495</v>
      </c>
      <c r="AW324" s="282"/>
      <c r="AX324" s="282"/>
      <c r="AY324" s="158"/>
      <c r="BA324" s="282"/>
      <c r="BB324" s="282"/>
      <c r="BC324" s="282"/>
      <c r="BD324" s="282"/>
      <c r="BE324" s="282"/>
      <c r="BT324" s="279" t="s">
        <v>205</v>
      </c>
      <c r="BU324" s="279" t="s">
        <v>206</v>
      </c>
    </row>
    <row r="325" s="279" customFormat="1" customHeight="1" spans="1:73">
      <c r="A325" s="279">
        <v>235</v>
      </c>
      <c r="C325" s="279" t="s">
        <v>1858</v>
      </c>
      <c r="D325" s="300" t="s">
        <v>2657</v>
      </c>
      <c r="F325" s="295" t="s">
        <v>2658</v>
      </c>
      <c r="G325" s="279" t="s">
        <v>2659</v>
      </c>
      <c r="H325" s="717" t="s">
        <v>2660</v>
      </c>
      <c r="I325" s="316" t="s">
        <v>2661</v>
      </c>
      <c r="J325" s="279">
        <v>107.77</v>
      </c>
      <c r="K325" s="279">
        <v>107.77</v>
      </c>
      <c r="L325" s="279">
        <v>5631.64</v>
      </c>
      <c r="M325" s="317">
        <v>606922</v>
      </c>
      <c r="N325" s="317">
        <v>5581.64</v>
      </c>
      <c r="O325" s="343">
        <v>556809.17</v>
      </c>
      <c r="P325" s="321" t="s">
        <v>2662</v>
      </c>
      <c r="Q325" s="321" t="s">
        <v>2578</v>
      </c>
      <c r="R325" s="282"/>
      <c r="S325" s="285"/>
      <c r="T325" s="285" t="s">
        <v>2659</v>
      </c>
      <c r="U325" s="285" t="s">
        <v>2663</v>
      </c>
      <c r="V325" s="282">
        <v>20000</v>
      </c>
      <c r="W325" s="331" t="s">
        <v>1738</v>
      </c>
      <c r="X325" s="282">
        <v>166021</v>
      </c>
      <c r="Y325" s="339" t="s">
        <v>675</v>
      </c>
      <c r="Z325" s="282">
        <v>160000</v>
      </c>
      <c r="AA325" s="279" t="s">
        <v>1858</v>
      </c>
      <c r="AB325" s="282">
        <v>260000</v>
      </c>
      <c r="AC325" s="279" t="s">
        <v>1172</v>
      </c>
      <c r="AH325" s="282">
        <f t="shared" si="39"/>
        <v>606021</v>
      </c>
      <c r="AK325" s="287">
        <f t="shared" si="37"/>
        <v>901</v>
      </c>
      <c r="AL325" s="295" t="s">
        <v>2664</v>
      </c>
      <c r="AM325" s="295"/>
      <c r="AN325" s="343"/>
      <c r="AO325" s="343"/>
      <c r="AP325" s="343"/>
      <c r="AQ325" s="288">
        <f>0.6%+0.05%+0.14%</f>
        <v>0.0079</v>
      </c>
      <c r="AR325" s="349">
        <f t="shared" si="35"/>
        <v>606021</v>
      </c>
      <c r="AS325" s="282"/>
      <c r="AT325" s="282"/>
      <c r="AU325" s="282"/>
      <c r="AV325" s="282"/>
      <c r="AW325" s="282"/>
      <c r="AX325" s="282"/>
      <c r="AY325" s="158">
        <v>606021</v>
      </c>
      <c r="BA325" s="282"/>
      <c r="BB325" s="282"/>
      <c r="BC325" s="282"/>
      <c r="BD325" s="282"/>
      <c r="BE325" s="282"/>
      <c r="BT325" s="279" t="s">
        <v>205</v>
      </c>
      <c r="BU325" s="279" t="s">
        <v>206</v>
      </c>
    </row>
    <row r="326" s="279" customFormat="1" customHeight="1" spans="1:73">
      <c r="A326" s="279">
        <v>236</v>
      </c>
      <c r="C326" s="279" t="s">
        <v>916</v>
      </c>
      <c r="D326" s="300" t="s">
        <v>2665</v>
      </c>
      <c r="F326" s="295" t="s">
        <v>2666</v>
      </c>
      <c r="G326" s="279" t="s">
        <v>2667</v>
      </c>
      <c r="H326" s="717" t="s">
        <v>2668</v>
      </c>
      <c r="I326" s="313" t="s">
        <v>2669</v>
      </c>
      <c r="J326" s="279">
        <v>108.14</v>
      </c>
      <c r="K326" s="279">
        <v>108.14</v>
      </c>
      <c r="L326" s="279">
        <v>5345.38</v>
      </c>
      <c r="M326" s="317">
        <v>578049</v>
      </c>
      <c r="N326" s="317"/>
      <c r="O326" s="343">
        <v>530320.18</v>
      </c>
      <c r="P326" s="321" t="s">
        <v>2670</v>
      </c>
      <c r="Q326" s="321" t="s">
        <v>2105</v>
      </c>
      <c r="R326" s="282"/>
      <c r="S326" s="285"/>
      <c r="T326" s="286" t="s">
        <v>2671</v>
      </c>
      <c r="U326" s="285" t="s">
        <v>2672</v>
      </c>
      <c r="V326" s="282">
        <v>177194</v>
      </c>
      <c r="W326" s="279" t="s">
        <v>916</v>
      </c>
      <c r="X326" s="282">
        <v>400000</v>
      </c>
      <c r="Y326" s="279" t="s">
        <v>948</v>
      </c>
      <c r="Z326" s="282"/>
      <c r="AB326" s="282"/>
      <c r="AH326" s="282">
        <f t="shared" si="39"/>
        <v>577194</v>
      </c>
      <c r="AK326" s="287">
        <f t="shared" si="37"/>
        <v>855</v>
      </c>
      <c r="AL326" s="295" t="s">
        <v>2673</v>
      </c>
      <c r="AM326" s="295"/>
      <c r="AN326" s="343">
        <v>649124</v>
      </c>
      <c r="AO326" s="343"/>
      <c r="AP326" s="343"/>
      <c r="AQ326" s="288">
        <f>0.6%+0.1%</f>
        <v>0.007</v>
      </c>
      <c r="AR326" s="349">
        <f t="shared" ref="AR326:AR332" si="40">SUM(AU326:BO326)</f>
        <v>577194</v>
      </c>
      <c r="AS326" s="282"/>
      <c r="AT326" s="282"/>
      <c r="AU326" s="282"/>
      <c r="AV326" s="282">
        <v>577194</v>
      </c>
      <c r="AW326" s="282"/>
      <c r="AX326" s="282"/>
      <c r="AY326" s="158"/>
      <c r="BA326" s="282"/>
      <c r="BB326" s="282"/>
      <c r="BC326" s="282"/>
      <c r="BD326" s="282"/>
      <c r="BE326" s="282"/>
      <c r="BT326" s="279" t="s">
        <v>205</v>
      </c>
      <c r="BU326" s="279" t="s">
        <v>206</v>
      </c>
    </row>
    <row r="327" s="279" customFormat="1" customHeight="1" spans="1:73">
      <c r="A327" s="279">
        <v>237</v>
      </c>
      <c r="C327" s="279" t="s">
        <v>1259</v>
      </c>
      <c r="D327" s="300" t="s">
        <v>2674</v>
      </c>
      <c r="F327" s="295" t="s">
        <v>2675</v>
      </c>
      <c r="G327" s="279" t="s">
        <v>2261</v>
      </c>
      <c r="H327" s="717" t="s">
        <v>2676</v>
      </c>
      <c r="I327" s="316" t="s">
        <v>2677</v>
      </c>
      <c r="J327" s="279">
        <v>107.77</v>
      </c>
      <c r="K327" s="279">
        <v>107.77</v>
      </c>
      <c r="L327" s="279">
        <v>5668.618</v>
      </c>
      <c r="M327" s="317">
        <v>610907</v>
      </c>
      <c r="N327" s="317">
        <v>5028.14</v>
      </c>
      <c r="O327" s="343">
        <v>560465.14</v>
      </c>
      <c r="P327" s="321" t="s">
        <v>2678</v>
      </c>
      <c r="Q327" s="321" t="s">
        <v>2105</v>
      </c>
      <c r="R327" s="282"/>
      <c r="S327" s="285"/>
      <c r="T327" s="279" t="s">
        <v>2261</v>
      </c>
      <c r="U327" s="285" t="s">
        <v>226</v>
      </c>
      <c r="V327" s="282">
        <v>20000</v>
      </c>
      <c r="W327" s="331" t="s">
        <v>2482</v>
      </c>
      <c r="X327" s="282">
        <v>102000</v>
      </c>
      <c r="Y327" s="339" t="s">
        <v>1259</v>
      </c>
      <c r="Z327" s="282">
        <v>488000</v>
      </c>
      <c r="AA327" s="285" t="s">
        <v>2679</v>
      </c>
      <c r="AB327" s="282"/>
      <c r="AH327" s="282">
        <f t="shared" si="39"/>
        <v>610000</v>
      </c>
      <c r="AK327" s="287">
        <f t="shared" si="37"/>
        <v>907</v>
      </c>
      <c r="AL327" s="295" t="s">
        <v>2680</v>
      </c>
      <c r="AM327" s="295"/>
      <c r="AN327" s="343"/>
      <c r="AO327" s="343"/>
      <c r="AP327" s="343"/>
      <c r="AQ327" s="288">
        <f>0.6%+0.05%+0.14%+0.06%</f>
        <v>0.0085</v>
      </c>
      <c r="AR327" s="349">
        <f t="shared" si="40"/>
        <v>610000</v>
      </c>
      <c r="AS327" s="282"/>
      <c r="AT327" s="282"/>
      <c r="AU327" s="282"/>
      <c r="AV327" s="282"/>
      <c r="AW327" s="282">
        <v>122000</v>
      </c>
      <c r="AX327" s="282"/>
      <c r="AY327" s="158"/>
      <c r="BA327" s="282"/>
      <c r="BB327" s="282"/>
      <c r="BC327" s="282">
        <v>488000</v>
      </c>
      <c r="BD327" s="282"/>
      <c r="BE327" s="282"/>
      <c r="BT327" s="279" t="s">
        <v>205</v>
      </c>
      <c r="BU327" s="279" t="s">
        <v>206</v>
      </c>
    </row>
    <row r="328" s="279" customFormat="1" customHeight="1" spans="1:73">
      <c r="A328" s="279">
        <v>238</v>
      </c>
      <c r="C328" s="279" t="s">
        <v>1966</v>
      </c>
      <c r="D328" s="300" t="s">
        <v>2681</v>
      </c>
      <c r="F328" s="295" t="s">
        <v>2682</v>
      </c>
      <c r="G328" s="279" t="s">
        <v>2683</v>
      </c>
      <c r="H328" s="717" t="s">
        <v>2684</v>
      </c>
      <c r="I328" s="313" t="s">
        <v>2685</v>
      </c>
      <c r="J328" s="279">
        <v>108.14</v>
      </c>
      <c r="K328" s="279">
        <v>108.14</v>
      </c>
      <c r="L328" s="279">
        <v>5676.54</v>
      </c>
      <c r="M328" s="317">
        <v>613861</v>
      </c>
      <c r="N328" s="317">
        <v>5626.54</v>
      </c>
      <c r="O328" s="343">
        <v>563175.23</v>
      </c>
      <c r="P328" s="321" t="s">
        <v>2686</v>
      </c>
      <c r="Q328" s="321" t="s">
        <v>2105</v>
      </c>
      <c r="R328" s="282">
        <v>909</v>
      </c>
      <c r="S328" s="285" t="s">
        <v>1949</v>
      </c>
      <c r="T328" s="279" t="s">
        <v>2687</v>
      </c>
      <c r="U328" s="279" t="s">
        <v>2688</v>
      </c>
      <c r="V328" s="282">
        <v>20000</v>
      </c>
      <c r="W328" s="331" t="s">
        <v>1153</v>
      </c>
      <c r="X328" s="282">
        <v>2953</v>
      </c>
      <c r="Y328" s="339" t="s">
        <v>1966</v>
      </c>
      <c r="Z328" s="282">
        <v>100000</v>
      </c>
      <c r="AA328" s="285" t="s">
        <v>1730</v>
      </c>
      <c r="AB328" s="282">
        <v>490000</v>
      </c>
      <c r="AC328" s="285" t="s">
        <v>735</v>
      </c>
      <c r="AD328" s="282">
        <v>909</v>
      </c>
      <c r="AE328" s="285" t="s">
        <v>1949</v>
      </c>
      <c r="AH328" s="282">
        <f t="shared" si="39"/>
        <v>613862</v>
      </c>
      <c r="AK328" s="287">
        <f t="shared" si="37"/>
        <v>-1</v>
      </c>
      <c r="AL328" s="295" t="s">
        <v>2689</v>
      </c>
      <c r="AM328" s="295"/>
      <c r="AN328" s="343"/>
      <c r="AO328" s="343"/>
      <c r="AP328" s="343"/>
      <c r="AQ328" s="288">
        <f>0.6%+0.06%+0.14%+0.06%</f>
        <v>0.0086</v>
      </c>
      <c r="AR328" s="349">
        <f t="shared" si="40"/>
        <v>612953</v>
      </c>
      <c r="AS328" s="282"/>
      <c r="AT328" s="282"/>
      <c r="AU328" s="282"/>
      <c r="AV328" s="282"/>
      <c r="AW328" s="282"/>
      <c r="AX328" s="282"/>
      <c r="AY328" s="158"/>
      <c r="BA328" s="282">
        <v>122953</v>
      </c>
      <c r="BB328" s="282">
        <v>490000</v>
      </c>
      <c r="BC328" s="282"/>
      <c r="BD328" s="282"/>
      <c r="BE328" s="282"/>
      <c r="BT328" s="279" t="s">
        <v>205</v>
      </c>
      <c r="BU328" s="279" t="s">
        <v>206</v>
      </c>
    </row>
    <row r="329" s="279" customFormat="1" customHeight="1" spans="1:73">
      <c r="A329" s="279">
        <v>239</v>
      </c>
      <c r="C329" s="279" t="s">
        <v>2010</v>
      </c>
      <c r="D329" s="300" t="s">
        <v>2690</v>
      </c>
      <c r="F329" s="718" t="s">
        <v>2691</v>
      </c>
      <c r="G329" s="299" t="s">
        <v>2692</v>
      </c>
      <c r="I329" s="316" t="s">
        <v>2693</v>
      </c>
      <c r="J329" s="279">
        <v>107.77</v>
      </c>
      <c r="K329" s="279">
        <v>107.77</v>
      </c>
      <c r="L329" s="279">
        <v>5960</v>
      </c>
      <c r="M329" s="317">
        <v>642309</v>
      </c>
      <c r="N329" s="317">
        <v>5948.81</v>
      </c>
      <c r="O329" s="343">
        <v>589274.31</v>
      </c>
      <c r="P329" s="321" t="s">
        <v>2694</v>
      </c>
      <c r="Q329" s="321" t="s">
        <v>2105</v>
      </c>
      <c r="R329" s="282"/>
      <c r="S329" s="285"/>
      <c r="T329" s="285"/>
      <c r="U329" s="285" t="s">
        <v>201</v>
      </c>
      <c r="V329" s="282">
        <v>24688</v>
      </c>
      <c r="W329" s="285" t="s">
        <v>1433</v>
      </c>
      <c r="X329" s="282">
        <v>106668</v>
      </c>
      <c r="Y329" s="285" t="s">
        <v>2010</v>
      </c>
      <c r="Z329" s="282">
        <v>510000</v>
      </c>
      <c r="AA329" s="279" t="s">
        <v>2679</v>
      </c>
      <c r="AB329" s="282"/>
      <c r="AH329" s="282">
        <f t="shared" si="39"/>
        <v>641356</v>
      </c>
      <c r="AK329" s="287">
        <f t="shared" si="37"/>
        <v>953</v>
      </c>
      <c r="AL329" s="295"/>
      <c r="AM329" s="295"/>
      <c r="AN329" s="343"/>
      <c r="AO329" s="343"/>
      <c r="AP329" s="343"/>
      <c r="AQ329" s="428">
        <f>0.5%+0.12%</f>
        <v>0.0062</v>
      </c>
      <c r="AR329" s="349">
        <f t="shared" si="40"/>
        <v>641356</v>
      </c>
      <c r="AS329" s="282"/>
      <c r="AT329" s="282"/>
      <c r="AU329" s="282"/>
      <c r="AV329" s="282"/>
      <c r="AW329" s="282"/>
      <c r="AX329" s="282"/>
      <c r="AY329" s="158"/>
      <c r="BA329" s="282"/>
      <c r="BB329" s="282"/>
      <c r="BC329" s="282">
        <v>641356</v>
      </c>
      <c r="BD329" s="282"/>
      <c r="BE329" s="282"/>
      <c r="BT329" s="279" t="s">
        <v>205</v>
      </c>
      <c r="BU329" s="279" t="s">
        <v>206</v>
      </c>
    </row>
    <row r="330" s="279" customFormat="1" customHeight="1" spans="1:73">
      <c r="A330" s="279">
        <v>240</v>
      </c>
      <c r="C330" s="279" t="s">
        <v>1635</v>
      </c>
      <c r="D330" s="300" t="s">
        <v>2695</v>
      </c>
      <c r="F330" s="295" t="s">
        <v>2696</v>
      </c>
      <c r="G330" s="279" t="s">
        <v>2697</v>
      </c>
      <c r="H330" s="717" t="s">
        <v>2698</v>
      </c>
      <c r="I330" s="313" t="s">
        <v>2699</v>
      </c>
      <c r="J330" s="279">
        <v>108.14</v>
      </c>
      <c r="K330" s="279">
        <v>108.14</v>
      </c>
      <c r="L330" s="279">
        <v>5960</v>
      </c>
      <c r="M330" s="344">
        <v>644514</v>
      </c>
      <c r="N330" s="317">
        <v>5947.21</v>
      </c>
      <c r="O330" s="343">
        <v>591297.25</v>
      </c>
      <c r="P330" s="321" t="s">
        <v>2700</v>
      </c>
      <c r="Q330" s="321" t="s">
        <v>2105</v>
      </c>
      <c r="R330" s="282"/>
      <c r="S330" s="285"/>
      <c r="T330" s="285"/>
      <c r="U330" s="285" t="s">
        <v>422</v>
      </c>
      <c r="V330" s="282">
        <v>20000</v>
      </c>
      <c r="W330" s="285" t="s">
        <v>1896</v>
      </c>
      <c r="X330" s="282">
        <v>173561</v>
      </c>
      <c r="Y330" s="285" t="s">
        <v>1635</v>
      </c>
      <c r="Z330" s="282">
        <v>450000</v>
      </c>
      <c r="AA330" s="279" t="s">
        <v>1162</v>
      </c>
      <c r="AB330" s="282"/>
      <c r="AH330" s="282">
        <f t="shared" si="39"/>
        <v>643561</v>
      </c>
      <c r="AK330" s="287">
        <f t="shared" si="37"/>
        <v>953</v>
      </c>
      <c r="AL330" s="295" t="s">
        <v>2701</v>
      </c>
      <c r="AM330" s="295"/>
      <c r="AN330" s="343"/>
      <c r="AO330" s="343"/>
      <c r="AP330" s="343"/>
      <c r="AQ330" s="427">
        <f>0.7%+0.05%+0.12%</f>
        <v>0.0087</v>
      </c>
      <c r="AR330" s="349">
        <f t="shared" si="40"/>
        <v>643561</v>
      </c>
      <c r="AS330" s="282"/>
      <c r="AT330" s="282">
        <v>100</v>
      </c>
      <c r="AU330" s="282"/>
      <c r="AV330" s="282"/>
      <c r="AW330" s="282"/>
      <c r="AX330" s="282"/>
      <c r="AY330" s="158"/>
      <c r="BA330" s="282"/>
      <c r="BB330" s="282"/>
      <c r="BC330" s="282">
        <v>193561</v>
      </c>
      <c r="BD330" s="282"/>
      <c r="BE330" s="282">
        <v>450000</v>
      </c>
      <c r="BT330" s="279" t="s">
        <v>205</v>
      </c>
      <c r="BU330" s="279" t="s">
        <v>206</v>
      </c>
    </row>
    <row r="331" s="279" customFormat="1" customHeight="1" spans="1:72">
      <c r="A331" s="279">
        <v>241</v>
      </c>
      <c r="B331" s="279">
        <v>1</v>
      </c>
      <c r="C331" s="331">
        <v>45534</v>
      </c>
      <c r="D331" s="300" t="s">
        <v>2702</v>
      </c>
      <c r="F331" s="295" t="s">
        <v>2703</v>
      </c>
      <c r="G331" s="279" t="s">
        <v>2704</v>
      </c>
      <c r="H331" s="717" t="s">
        <v>2705</v>
      </c>
      <c r="I331" s="316" t="s">
        <v>2706</v>
      </c>
      <c r="J331" s="279">
        <v>107.77</v>
      </c>
      <c r="K331" s="279">
        <v>107.77</v>
      </c>
      <c r="L331" s="279">
        <f>M331/K331</f>
        <v>7155.46998236986</v>
      </c>
      <c r="M331" s="344">
        <v>771145</v>
      </c>
      <c r="N331" s="317">
        <v>6985.5</v>
      </c>
      <c r="O331" s="343">
        <v>707472.48</v>
      </c>
      <c r="P331" s="321" t="s">
        <v>2707</v>
      </c>
      <c r="Q331" s="321" t="s">
        <v>2578</v>
      </c>
      <c r="R331" s="282"/>
      <c r="S331" s="285"/>
      <c r="T331" s="285"/>
      <c r="U331" s="285" t="s">
        <v>226</v>
      </c>
      <c r="V331" s="282">
        <v>20000</v>
      </c>
      <c r="W331" s="285" t="s">
        <v>380</v>
      </c>
      <c r="X331" s="282">
        <v>300000</v>
      </c>
      <c r="Y331" s="285">
        <v>45536</v>
      </c>
      <c r="Z331" s="282">
        <v>450000</v>
      </c>
      <c r="AA331" s="331">
        <v>45549</v>
      </c>
      <c r="AB331" s="282">
        <v>1145</v>
      </c>
      <c r="AC331" s="331">
        <v>45562</v>
      </c>
      <c r="AH331" s="282">
        <f t="shared" si="39"/>
        <v>771145</v>
      </c>
      <c r="AK331" s="287">
        <f t="shared" si="37"/>
        <v>0</v>
      </c>
      <c r="AL331" s="295" t="s">
        <v>2708</v>
      </c>
      <c r="AM331" s="295"/>
      <c r="AN331" s="343"/>
      <c r="AO331" s="343"/>
      <c r="AP331" s="343"/>
      <c r="AQ331" s="288">
        <f>0.7%+0.08%</f>
        <v>0.0078</v>
      </c>
      <c r="AR331" s="349">
        <f t="shared" si="40"/>
        <v>771145</v>
      </c>
      <c r="AS331" s="282">
        <f>100</f>
        <v>100</v>
      </c>
      <c r="AT331" s="282"/>
      <c r="AU331" s="282"/>
      <c r="AV331" s="282"/>
      <c r="AW331" s="282"/>
      <c r="AX331" s="282"/>
      <c r="AY331" s="158"/>
      <c r="BA331" s="282"/>
      <c r="BB331" s="282"/>
      <c r="BC331" s="282"/>
      <c r="BD331" s="282"/>
      <c r="BE331" s="282"/>
      <c r="BN331" s="279">
        <v>771145</v>
      </c>
      <c r="BP331" s="279">
        <f>BN331*AQ331</f>
        <v>6014.931</v>
      </c>
      <c r="BT331" s="279" t="s">
        <v>205</v>
      </c>
    </row>
    <row r="332" s="279" customFormat="1" ht="54" customHeight="1" spans="1:73">
      <c r="A332" s="279">
        <v>242</v>
      </c>
      <c r="C332" s="279" t="s">
        <v>446</v>
      </c>
      <c r="D332" s="300" t="s">
        <v>2709</v>
      </c>
      <c r="F332" s="717" t="s">
        <v>2710</v>
      </c>
      <c r="G332" s="294" t="s">
        <v>2711</v>
      </c>
      <c r="H332" s="721" t="s">
        <v>2712</v>
      </c>
      <c r="I332" s="313" t="s">
        <v>2713</v>
      </c>
      <c r="J332" s="279">
        <v>108.14</v>
      </c>
      <c r="K332" s="279">
        <v>108.14</v>
      </c>
      <c r="L332" s="279">
        <v>6973.51</v>
      </c>
      <c r="M332" s="317">
        <v>754115</v>
      </c>
      <c r="N332" s="317">
        <v>6782</v>
      </c>
      <c r="O332" s="343">
        <v>691848.62</v>
      </c>
      <c r="P332" s="321" t="s">
        <v>2714</v>
      </c>
      <c r="Q332" s="321" t="s">
        <v>2105</v>
      </c>
      <c r="R332" s="282"/>
      <c r="S332" s="329"/>
      <c r="T332" s="329" t="s">
        <v>2715</v>
      </c>
      <c r="U332" s="329" t="s">
        <v>2716</v>
      </c>
      <c r="V332" s="282">
        <f>2000</f>
        <v>2000</v>
      </c>
      <c r="W332" s="330">
        <v>44762</v>
      </c>
      <c r="X332" s="282">
        <v>10000</v>
      </c>
      <c r="Y332" s="329" t="s">
        <v>2717</v>
      </c>
      <c r="Z332" s="282">
        <v>743000</v>
      </c>
      <c r="AA332" s="279" t="s">
        <v>446</v>
      </c>
      <c r="AB332" s="282"/>
      <c r="AH332" s="282">
        <f t="shared" si="39"/>
        <v>755000</v>
      </c>
      <c r="AK332" s="287">
        <f t="shared" si="37"/>
        <v>-885</v>
      </c>
      <c r="AL332" s="295" t="s">
        <v>2718</v>
      </c>
      <c r="AM332" s="295"/>
      <c r="AN332" s="343"/>
      <c r="AO332" s="343"/>
      <c r="AP332" s="343"/>
      <c r="AQ332" s="407">
        <f>0.5%+0.02%+0.08%</f>
        <v>0.006</v>
      </c>
      <c r="AR332" s="349">
        <f t="shared" si="40"/>
        <v>753000</v>
      </c>
      <c r="AS332" s="282">
        <f>100+100</f>
        <v>200</v>
      </c>
      <c r="AT332" s="282"/>
      <c r="AU332" s="282"/>
      <c r="AV332" s="282"/>
      <c r="AW332" s="282"/>
      <c r="AX332" s="282"/>
      <c r="AY332" s="158"/>
      <c r="BA332" s="282"/>
      <c r="BB332" s="282"/>
      <c r="BC332" s="282"/>
      <c r="BD332" s="282"/>
      <c r="BE332" s="282"/>
      <c r="BF332" s="279">
        <v>753000</v>
      </c>
      <c r="BT332" s="279" t="s">
        <v>205</v>
      </c>
      <c r="BU332" s="279" t="s">
        <v>206</v>
      </c>
    </row>
    <row r="333" s="280" customFormat="1" ht="36" customHeight="1" spans="1:71">
      <c r="A333" s="280" t="s">
        <v>31</v>
      </c>
      <c r="B333" s="280">
        <f>SUM(B23:B332)</f>
        <v>2</v>
      </c>
      <c r="E333" s="280">
        <f>SUM(E52:E332)</f>
        <v>0</v>
      </c>
      <c r="F333" s="280">
        <f>SUM(F52:F332)</f>
        <v>0</v>
      </c>
      <c r="I333" s="280">
        <f>SUM(I52:I332)</f>
        <v>0</v>
      </c>
      <c r="J333" s="441">
        <f>SUM(J4:J332)</f>
        <v>31331.37</v>
      </c>
      <c r="K333" s="441">
        <f>SUM(K4:K332)</f>
        <v>26966.54</v>
      </c>
      <c r="L333" s="441"/>
      <c r="M333" s="442">
        <f>SUM(M23:M332)</f>
        <v>158148449.8879</v>
      </c>
      <c r="N333" s="442"/>
      <c r="O333" s="441">
        <f>SUM(O23:O332)</f>
        <v>50180279.8</v>
      </c>
      <c r="P333" s="443"/>
      <c r="Q333" s="443"/>
      <c r="R333" s="442">
        <f>SUM(R4:R332)</f>
        <v>1235107</v>
      </c>
      <c r="S333" s="444"/>
      <c r="T333" s="444"/>
      <c r="U333" s="444"/>
      <c r="V333" s="442">
        <f t="shared" ref="V333:Z333" si="41">SUM(V4:V332)</f>
        <v>21691035</v>
      </c>
      <c r="W333" s="441"/>
      <c r="X333" s="442">
        <f t="shared" si="41"/>
        <v>42733155</v>
      </c>
      <c r="Y333" s="441"/>
      <c r="Z333" s="442">
        <f t="shared" si="41"/>
        <v>50115173</v>
      </c>
      <c r="AA333" s="441"/>
      <c r="AB333" s="442">
        <f t="shared" ref="AB333:AF333" si="42">SUM(AB4:AB332)</f>
        <v>25609844</v>
      </c>
      <c r="AC333" s="441"/>
      <c r="AD333" s="442">
        <f t="shared" si="42"/>
        <v>10931017</v>
      </c>
      <c r="AE333" s="441"/>
      <c r="AF333" s="442">
        <f t="shared" si="42"/>
        <v>2763442</v>
      </c>
      <c r="AG333" s="441"/>
      <c r="AH333" s="442">
        <f t="shared" ref="AH333:AK333" si="43">SUM(AH4:AH332)</f>
        <v>153843666</v>
      </c>
      <c r="AI333" s="442">
        <f t="shared" si="43"/>
        <v>0</v>
      </c>
      <c r="AJ333" s="442">
        <f t="shared" si="43"/>
        <v>0</v>
      </c>
      <c r="AK333" s="449">
        <f t="shared" si="43"/>
        <v>4872463.8879</v>
      </c>
      <c r="AL333" s="441"/>
      <c r="AM333" s="441"/>
      <c r="AN333" s="442">
        <f t="shared" ref="AN333:BN333" si="44">SUM(AN4:AN332)</f>
        <v>71724825</v>
      </c>
      <c r="AO333" s="441"/>
      <c r="AP333" s="441"/>
      <c r="AQ333" s="441"/>
      <c r="AR333" s="442">
        <f t="shared" si="44"/>
        <v>147937760</v>
      </c>
      <c r="AS333" s="442">
        <f t="shared" si="44"/>
        <v>9900</v>
      </c>
      <c r="AT333" s="442">
        <f t="shared" si="44"/>
        <v>10800</v>
      </c>
      <c r="AU333" s="442">
        <f t="shared" si="44"/>
        <v>1217345</v>
      </c>
      <c r="AV333" s="442">
        <f t="shared" si="44"/>
        <v>23244883</v>
      </c>
      <c r="AW333" s="442">
        <f t="shared" si="44"/>
        <v>11104011</v>
      </c>
      <c r="AX333" s="442">
        <f t="shared" si="44"/>
        <v>9615172</v>
      </c>
      <c r="AY333" s="442">
        <f t="shared" si="44"/>
        <v>15433544</v>
      </c>
      <c r="AZ333" s="442">
        <f t="shared" si="44"/>
        <v>10096008</v>
      </c>
      <c r="BA333" s="442">
        <f t="shared" si="44"/>
        <v>21808723</v>
      </c>
      <c r="BB333" s="442">
        <f t="shared" si="44"/>
        <v>14547779</v>
      </c>
      <c r="BC333" s="442">
        <f t="shared" si="44"/>
        <v>10937909</v>
      </c>
      <c r="BD333" s="442">
        <f t="shared" si="44"/>
        <v>8786716</v>
      </c>
      <c r="BE333" s="442">
        <f t="shared" si="44"/>
        <v>5341191</v>
      </c>
      <c r="BF333" s="442">
        <f t="shared" si="44"/>
        <v>2736000</v>
      </c>
      <c r="BG333" s="442">
        <f t="shared" si="44"/>
        <v>4296362</v>
      </c>
      <c r="BH333" s="442">
        <f t="shared" si="44"/>
        <v>1299350</v>
      </c>
      <c r="BI333" s="442">
        <f t="shared" si="44"/>
        <v>1550860</v>
      </c>
      <c r="BJ333" s="442">
        <f t="shared" si="44"/>
        <v>667000</v>
      </c>
      <c r="BK333" s="442">
        <f t="shared" si="44"/>
        <v>2131360</v>
      </c>
      <c r="BL333" s="442">
        <f t="shared" si="44"/>
        <v>1572402</v>
      </c>
      <c r="BM333" s="442">
        <f t="shared" si="44"/>
        <v>780000</v>
      </c>
      <c r="BN333" s="442">
        <f t="shared" si="44"/>
        <v>771145</v>
      </c>
      <c r="BO333" s="441"/>
      <c r="BP333" s="442">
        <f>SUM(BP23:BP332)</f>
        <v>6014.931</v>
      </c>
      <c r="BQ333" s="452"/>
      <c r="BR333" s="452"/>
      <c r="BS333" s="442">
        <f>SUM(BS23:BS332)</f>
        <v>0</v>
      </c>
    </row>
    <row r="334" s="279" customFormat="1" customHeight="1" spans="13:70">
      <c r="M334" s="282"/>
      <c r="N334" s="282"/>
      <c r="P334" s="284"/>
      <c r="Q334" s="284" t="s">
        <v>2719</v>
      </c>
      <c r="R334" s="282">
        <v>944867</v>
      </c>
      <c r="S334" s="285"/>
      <c r="T334" s="285"/>
      <c r="U334" s="285"/>
      <c r="V334" s="282"/>
      <c r="X334" s="282"/>
      <c r="Z334" s="282"/>
      <c r="AB334" s="282"/>
      <c r="AH334" s="282">
        <f>AH333/1.09</f>
        <v>141140977.981651</v>
      </c>
      <c r="AK334" s="287"/>
      <c r="AQ334" s="450"/>
      <c r="AR334" s="349"/>
      <c r="AS334" s="282"/>
      <c r="AT334" s="282"/>
      <c r="AU334" s="282"/>
      <c r="AV334" s="282"/>
      <c r="AW334" s="282"/>
      <c r="AX334" s="282"/>
      <c r="AY334" s="158"/>
      <c r="AZ334" s="131"/>
      <c r="BA334" s="282"/>
      <c r="BB334" s="282"/>
      <c r="BC334" s="282"/>
      <c r="BD334" s="282"/>
      <c r="BE334" s="282">
        <f>BE333+'画堂春锦苑1#2#3#5#7#楼住宅销售明细表'!BC440</f>
        <v>23680603</v>
      </c>
      <c r="BF334" s="282">
        <f>BF333+'画堂春锦苑1#2#3#5#7#楼住宅销售明细表'!BD440</f>
        <v>14744088</v>
      </c>
      <c r="BG334" s="282">
        <f>BG333+'画堂春锦苑1#2#3#5#7#楼住宅销售明细表'!BE440</f>
        <v>17542370</v>
      </c>
      <c r="BH334" s="282">
        <f>BH333+'画堂春锦苑1#2#3#5#7#楼住宅销售明细表'!BF440</f>
        <v>8892027</v>
      </c>
      <c r="BI334" s="282">
        <f>BI333+'画堂春锦苑1#2#3#5#7#楼住宅销售明细表'!BG440</f>
        <v>24731367</v>
      </c>
      <c r="BJ334" s="282">
        <f>BJ333+'画堂春锦苑1#2#3#5#7#楼住宅销售明细表'!BH440</f>
        <v>19278850</v>
      </c>
      <c r="BK334" s="282">
        <f>BK333+'画堂春锦苑1#2#3#5#7#楼住宅销售明细表'!BI440+'画堂春锦苑8#楼明细表'!AQ71</f>
        <v>15636944</v>
      </c>
      <c r="BL334" s="282"/>
      <c r="BM334" s="282"/>
      <c r="BN334" s="282">
        <f>BN333+'画堂春锦苑1#2#3#5#7#楼住宅销售明细表'!BM440+'画堂春锦苑8#楼明细表'!AU71</f>
        <v>9038284</v>
      </c>
      <c r="BP334" s="59">
        <f>BP333+'画堂春锦苑1#2#3#5#7#楼住宅销售明细表'!BO440+'画堂春锦苑8#楼明细表'!AW71</f>
        <v>67987.9422</v>
      </c>
      <c r="BQ334" s="59"/>
      <c r="BR334" s="59"/>
    </row>
    <row r="335" s="279" customFormat="1" customHeight="1" spans="13:57">
      <c r="M335" s="282"/>
      <c r="N335" s="282"/>
      <c r="P335" s="284"/>
      <c r="Q335" s="284" t="s">
        <v>61</v>
      </c>
      <c r="R335" s="282"/>
      <c r="S335" s="285" t="s">
        <v>2720</v>
      </c>
      <c r="T335" s="285"/>
      <c r="U335" s="285"/>
      <c r="V335" s="282"/>
      <c r="X335" s="282"/>
      <c r="Z335" s="282"/>
      <c r="AB335" s="282"/>
      <c r="AH335" s="282"/>
      <c r="AK335" s="287"/>
      <c r="AQ335" s="450"/>
      <c r="AR335" s="349"/>
      <c r="AS335" s="282"/>
      <c r="AT335" s="282"/>
      <c r="AU335" s="288"/>
      <c r="AV335" s="288"/>
      <c r="AW335" s="288"/>
      <c r="AX335" s="288"/>
      <c r="AY335" s="162"/>
      <c r="AZ335" s="162"/>
      <c r="BA335" s="288"/>
      <c r="BB335" s="282"/>
      <c r="BC335" s="282"/>
      <c r="BD335" s="282"/>
      <c r="BE335" s="282"/>
    </row>
    <row r="336" s="279" customFormat="1" customHeight="1" spans="13:57">
      <c r="M336" s="282"/>
      <c r="N336" s="282"/>
      <c r="P336" s="284"/>
      <c r="Q336" s="401" t="s">
        <v>2721</v>
      </c>
      <c r="R336" s="282"/>
      <c r="S336" s="285"/>
      <c r="T336" s="285"/>
      <c r="U336" s="285"/>
      <c r="V336" s="282"/>
      <c r="X336" s="282"/>
      <c r="Z336" s="282"/>
      <c r="AB336" s="282"/>
      <c r="AH336" s="282"/>
      <c r="AK336" s="287"/>
      <c r="AQ336" s="450"/>
      <c r="AR336" s="349"/>
      <c r="AS336" s="282"/>
      <c r="AT336" s="282"/>
      <c r="AU336" s="288"/>
      <c r="AV336" s="288"/>
      <c r="AW336" s="288"/>
      <c r="AX336" s="288"/>
      <c r="AY336" s="162"/>
      <c r="AZ336" s="162"/>
      <c r="BA336" s="288"/>
      <c r="BB336" s="282"/>
      <c r="BC336" s="282"/>
      <c r="BD336" s="282"/>
      <c r="BE336" s="282"/>
    </row>
    <row r="337" s="279" customFormat="1" customHeight="1" spans="4:57">
      <c r="D337" s="279" t="s">
        <v>2722</v>
      </c>
      <c r="E337" s="279" t="s">
        <v>2723</v>
      </c>
      <c r="M337" s="282"/>
      <c r="N337" s="282"/>
      <c r="P337" s="284" t="s">
        <v>34</v>
      </c>
      <c r="Q337" s="401" t="s">
        <v>57</v>
      </c>
      <c r="R337" s="445">
        <f>R5+R72+R78+R176+R177+R261</f>
        <v>290240</v>
      </c>
      <c r="S337" s="285" t="s">
        <v>2724</v>
      </c>
      <c r="T337" s="299">
        <v>14000</v>
      </c>
      <c r="U337" s="285"/>
      <c r="V337" s="282"/>
      <c r="X337" s="282"/>
      <c r="Z337" s="282"/>
      <c r="AB337" s="282"/>
      <c r="AH337" s="282" t="s">
        <v>2725</v>
      </c>
      <c r="AK337" s="287"/>
      <c r="AQ337" s="450"/>
      <c r="AR337" s="349"/>
      <c r="AS337" s="282"/>
      <c r="AT337" s="282"/>
      <c r="AU337" s="282"/>
      <c r="AV337" s="282"/>
      <c r="AW337" s="282"/>
      <c r="AX337" s="282"/>
      <c r="AY337" s="282"/>
      <c r="AZ337" s="282"/>
      <c r="BA337" s="282"/>
      <c r="BB337" s="282"/>
      <c r="BC337" s="282"/>
      <c r="BD337" s="282"/>
      <c r="BE337" s="282"/>
    </row>
    <row r="338" s="279" customFormat="1" customHeight="1" spans="3:57">
      <c r="C338" s="294"/>
      <c r="E338" s="294" t="s">
        <v>2726</v>
      </c>
      <c r="F338" s="279" t="s">
        <v>2727</v>
      </c>
      <c r="G338" s="279" t="s">
        <v>2728</v>
      </c>
      <c r="H338" s="279" t="s">
        <v>2729</v>
      </c>
      <c r="M338" s="282"/>
      <c r="N338" s="282"/>
      <c r="P338" s="284"/>
      <c r="Q338" s="446"/>
      <c r="R338" s="289">
        <f>R334+R336+R337</f>
        <v>1235107</v>
      </c>
      <c r="S338" s="285"/>
      <c r="T338" s="285"/>
      <c r="U338" s="285"/>
      <c r="V338" s="282"/>
      <c r="X338" s="282"/>
      <c r="Z338" s="282"/>
      <c r="AB338" s="282"/>
      <c r="AH338" s="282"/>
      <c r="AK338" s="287"/>
      <c r="AQ338" s="450"/>
      <c r="AR338" s="282"/>
      <c r="AS338" s="282"/>
      <c r="AT338" s="282"/>
      <c r="AU338" s="282"/>
      <c r="AV338" s="282"/>
      <c r="AW338" s="282"/>
      <c r="AX338" s="282"/>
      <c r="AY338" s="158"/>
      <c r="AZ338" s="131"/>
      <c r="BA338" s="282"/>
      <c r="BB338" s="282"/>
      <c r="BC338" s="282"/>
      <c r="BD338" s="282"/>
      <c r="BE338" s="282"/>
    </row>
    <row r="339" s="279" customFormat="1" customHeight="1" spans="3:57">
      <c r="C339" s="279" t="s">
        <v>2730</v>
      </c>
      <c r="D339" s="279">
        <v>6731.74</v>
      </c>
      <c r="E339" s="279">
        <v>5077.02</v>
      </c>
      <c r="F339" s="279">
        <v>286.77</v>
      </c>
      <c r="G339" s="279">
        <v>1367.95</v>
      </c>
      <c r="M339" s="282"/>
      <c r="N339" s="282"/>
      <c r="P339" s="284"/>
      <c r="Q339" s="284" t="s">
        <v>2731</v>
      </c>
      <c r="R339" s="317">
        <v>-2000</v>
      </c>
      <c r="S339" s="447"/>
      <c r="T339" s="447"/>
      <c r="U339" s="447"/>
      <c r="V339" s="282"/>
      <c r="X339" s="282"/>
      <c r="Z339" s="282"/>
      <c r="AB339" s="282"/>
      <c r="AH339" s="282"/>
      <c r="AK339" s="287"/>
      <c r="AQ339" s="450"/>
      <c r="AR339" s="282"/>
      <c r="AS339" s="282"/>
      <c r="AT339" s="282"/>
      <c r="AU339" s="282"/>
      <c r="AV339" s="282"/>
      <c r="AW339" s="282"/>
      <c r="AX339" s="282"/>
      <c r="AY339" s="158"/>
      <c r="AZ339" s="131"/>
      <c r="BA339" s="282"/>
      <c r="BB339" s="282"/>
      <c r="BC339" s="282"/>
      <c r="BD339" s="282"/>
      <c r="BE339" s="282"/>
    </row>
    <row r="340" s="279" customFormat="1" customHeight="1" spans="3:57">
      <c r="C340" s="279" t="s">
        <v>2732</v>
      </c>
      <c r="D340" s="279">
        <v>9068.14</v>
      </c>
      <c r="E340" s="279">
        <v>6638.33</v>
      </c>
      <c r="F340" s="279">
        <v>411.95</v>
      </c>
      <c r="G340" s="279">
        <v>2017.86</v>
      </c>
      <c r="M340" s="282"/>
      <c r="N340" s="282"/>
      <c r="P340" s="284"/>
      <c r="Q340" s="284"/>
      <c r="R340" s="282"/>
      <c r="S340" s="285"/>
      <c r="T340" s="285"/>
      <c r="U340" s="285"/>
      <c r="V340" s="282"/>
      <c r="X340" s="282"/>
      <c r="Z340" s="282"/>
      <c r="AB340" s="282"/>
      <c r="AH340" s="282"/>
      <c r="AK340" s="287"/>
      <c r="AQ340" s="450"/>
      <c r="AR340" s="282"/>
      <c r="AS340" s="282"/>
      <c r="AT340" s="282"/>
      <c r="AU340" s="282"/>
      <c r="AV340" s="282"/>
      <c r="AW340" s="282"/>
      <c r="AX340" s="282"/>
      <c r="AY340" s="158"/>
      <c r="AZ340" s="131"/>
      <c r="BA340" s="282"/>
      <c r="BB340" s="282"/>
      <c r="BC340" s="282"/>
      <c r="BD340" s="282"/>
      <c r="BE340" s="282"/>
    </row>
    <row r="341" s="279" customFormat="1" customHeight="1" spans="3:57">
      <c r="C341" s="279" t="s">
        <v>2733</v>
      </c>
      <c r="D341" s="279">
        <v>7776.27</v>
      </c>
      <c r="E341" s="279">
        <v>5453.36</v>
      </c>
      <c r="F341" s="279">
        <v>409.1</v>
      </c>
      <c r="G341" s="279">
        <v>1913.81</v>
      </c>
      <c r="M341" s="282"/>
      <c r="N341" s="282"/>
      <c r="P341" s="284"/>
      <c r="Q341" s="284"/>
      <c r="R341" s="282"/>
      <c r="S341" s="285"/>
      <c r="T341" s="285"/>
      <c r="U341" s="285"/>
      <c r="V341" s="282"/>
      <c r="X341" s="282"/>
      <c r="Z341" s="282"/>
      <c r="AB341" s="282"/>
      <c r="AH341" s="282"/>
      <c r="AK341" s="287"/>
      <c r="AQ341" s="450"/>
      <c r="AR341" s="282"/>
      <c r="AS341" s="282"/>
      <c r="AT341" s="282"/>
      <c r="AU341" s="282"/>
      <c r="AV341" s="282"/>
      <c r="AW341" s="282"/>
      <c r="AX341" s="282"/>
      <c r="AY341" s="158"/>
      <c r="AZ341" s="131"/>
      <c r="BA341" s="282"/>
      <c r="BB341" s="282"/>
      <c r="BC341" s="282"/>
      <c r="BD341" s="282"/>
      <c r="BE341" s="282"/>
    </row>
    <row r="342" s="279" customFormat="1" customHeight="1" spans="3:57">
      <c r="C342" s="279" t="s">
        <v>2734</v>
      </c>
      <c r="D342" s="279">
        <v>7751.6</v>
      </c>
      <c r="E342" s="279">
        <v>5453.36</v>
      </c>
      <c r="F342" s="279">
        <v>382.33</v>
      </c>
      <c r="G342" s="279">
        <v>1915.91</v>
      </c>
      <c r="M342" s="282"/>
      <c r="N342" s="282"/>
      <c r="P342" s="284"/>
      <c r="Q342" s="284"/>
      <c r="R342" s="282"/>
      <c r="S342" s="285"/>
      <c r="T342" s="285"/>
      <c r="U342" s="285"/>
      <c r="V342" s="282"/>
      <c r="X342" s="282"/>
      <c r="Z342" s="282"/>
      <c r="AB342" s="282"/>
      <c r="AH342" s="282"/>
      <c r="AK342" s="287"/>
      <c r="AQ342" s="450"/>
      <c r="AR342" s="282"/>
      <c r="AS342" s="282"/>
      <c r="AT342" s="282"/>
      <c r="AU342" s="282"/>
      <c r="AV342" s="282"/>
      <c r="AW342" s="282"/>
      <c r="AX342" s="282"/>
      <c r="AY342" s="158"/>
      <c r="AZ342" s="131"/>
      <c r="BA342" s="282"/>
      <c r="BB342" s="282"/>
      <c r="BC342" s="282"/>
      <c r="BD342" s="282"/>
      <c r="BE342" s="282"/>
    </row>
    <row r="343" s="279" customFormat="1" customHeight="1" spans="13:57">
      <c r="M343" s="282"/>
      <c r="N343" s="282"/>
      <c r="P343" s="284"/>
      <c r="Q343" s="284"/>
      <c r="R343" s="282"/>
      <c r="S343" s="285"/>
      <c r="T343" s="285"/>
      <c r="U343" s="285"/>
      <c r="V343" s="282"/>
      <c r="X343" s="282"/>
      <c r="Z343" s="282"/>
      <c r="AB343" s="282"/>
      <c r="AH343" s="282"/>
      <c r="AK343" s="287"/>
      <c r="AQ343" s="450"/>
      <c r="AR343" s="282"/>
      <c r="AS343" s="282"/>
      <c r="AT343" s="282"/>
      <c r="AU343" s="282"/>
      <c r="AV343" s="282"/>
      <c r="AW343" s="282"/>
      <c r="AX343" s="282"/>
      <c r="AY343" s="158"/>
      <c r="AZ343" s="131"/>
      <c r="BA343" s="282"/>
      <c r="BB343" s="282"/>
      <c r="BC343" s="282"/>
      <c r="BD343" s="282"/>
      <c r="BE343" s="282"/>
    </row>
    <row r="344" s="279" customFormat="1" customHeight="1" spans="13:57">
      <c r="M344" s="282"/>
      <c r="N344" s="282"/>
      <c r="P344" s="284"/>
      <c r="Q344" s="284"/>
      <c r="R344" s="282"/>
      <c r="S344" s="285"/>
      <c r="T344" s="285"/>
      <c r="U344" s="285"/>
      <c r="V344" s="282"/>
      <c r="X344" s="282"/>
      <c r="Z344" s="282"/>
      <c r="AB344" s="282"/>
      <c r="AH344" s="282"/>
      <c r="AK344" s="287"/>
      <c r="AQ344" s="450"/>
      <c r="AR344" s="282"/>
      <c r="AS344" s="282"/>
      <c r="AT344" s="282"/>
      <c r="AU344" s="282"/>
      <c r="AV344" s="282"/>
      <c r="AW344" s="282"/>
      <c r="AX344" s="282"/>
      <c r="AY344" s="158"/>
      <c r="AZ344" s="131"/>
      <c r="BA344" s="282"/>
      <c r="BB344" s="282"/>
      <c r="BC344" s="282"/>
      <c r="BD344" s="282"/>
      <c r="BE344" s="282"/>
    </row>
    <row r="345" s="279" customFormat="1" customHeight="1" spans="13:65">
      <c r="M345" s="282"/>
      <c r="N345" s="282"/>
      <c r="P345" s="284"/>
      <c r="Q345" s="284"/>
      <c r="R345" s="282"/>
      <c r="S345" s="285"/>
      <c r="T345" s="285"/>
      <c r="U345" s="285"/>
      <c r="V345" s="282"/>
      <c r="X345" s="282"/>
      <c r="Z345" s="282"/>
      <c r="AB345" s="282"/>
      <c r="AH345" s="282"/>
      <c r="AK345" s="287"/>
      <c r="AQ345" s="450"/>
      <c r="AR345" s="282"/>
      <c r="AS345" s="282"/>
      <c r="AT345" s="282"/>
      <c r="AU345" s="282"/>
      <c r="AV345" s="282"/>
      <c r="AW345" s="282"/>
      <c r="AX345" s="282"/>
      <c r="AY345" s="158"/>
      <c r="AZ345" s="131"/>
      <c r="BA345" s="282"/>
      <c r="BB345" s="282"/>
      <c r="BC345" s="282"/>
      <c r="BD345" s="282"/>
      <c r="BE345" s="282"/>
      <c r="BM345" s="279">
        <f>BM333+'画堂春锦苑1#2#3#5#7#楼住宅销售明细表'!BK440+'画堂春锦苑8#楼明细表'!AS71</f>
        <v>10402922</v>
      </c>
    </row>
    <row r="346" s="278" customFormat="1" customHeight="1" spans="13:82">
      <c r="M346" s="103"/>
      <c r="N346" s="103"/>
      <c r="P346" s="401"/>
      <c r="Q346" s="401"/>
      <c r="R346" s="103"/>
      <c r="S346" s="328"/>
      <c r="T346" s="328"/>
      <c r="U346" s="328"/>
      <c r="V346" s="103"/>
      <c r="X346" s="103"/>
      <c r="Z346" s="103"/>
      <c r="AB346" s="103"/>
      <c r="AH346" s="103"/>
      <c r="AK346" s="342"/>
      <c r="AQ346" s="451"/>
      <c r="AR346" s="103"/>
      <c r="AS346" s="103"/>
      <c r="AT346" s="103"/>
      <c r="AU346" s="103"/>
      <c r="AV346" s="103"/>
      <c r="AW346" s="103"/>
      <c r="AX346" s="103"/>
      <c r="AY346" s="168"/>
      <c r="AZ346" s="89"/>
      <c r="BA346" s="103"/>
      <c r="BB346" s="103"/>
      <c r="BC346" s="103"/>
      <c r="BD346" s="103"/>
      <c r="BE346" s="103"/>
      <c r="CD346" s="365"/>
    </row>
    <row r="347" s="278" customFormat="1" customHeight="1" spans="13:82">
      <c r="M347" s="103"/>
      <c r="N347" s="103"/>
      <c r="P347" s="401"/>
      <c r="Q347" s="401"/>
      <c r="R347" s="103"/>
      <c r="S347" s="328"/>
      <c r="T347" s="328"/>
      <c r="U347" s="328"/>
      <c r="V347" s="103"/>
      <c r="X347" s="103"/>
      <c r="Z347" s="103"/>
      <c r="AB347" s="103"/>
      <c r="AH347" s="103"/>
      <c r="AK347" s="342"/>
      <c r="AQ347" s="451"/>
      <c r="AR347" s="103"/>
      <c r="AS347" s="103"/>
      <c r="AT347" s="103"/>
      <c r="AU347" s="103"/>
      <c r="AV347" s="103"/>
      <c r="AW347" s="103"/>
      <c r="AX347" s="103"/>
      <c r="AY347" s="168"/>
      <c r="AZ347" s="89"/>
      <c r="BA347" s="103"/>
      <c r="BB347" s="103"/>
      <c r="BC347" s="103"/>
      <c r="BD347" s="103"/>
      <c r="BE347" s="103"/>
      <c r="CD347" s="365"/>
    </row>
    <row r="348" s="278" customFormat="1" customHeight="1" spans="13:82">
      <c r="M348" s="103"/>
      <c r="N348" s="103"/>
      <c r="P348" s="401"/>
      <c r="Q348" s="401"/>
      <c r="R348" s="103"/>
      <c r="S348" s="328"/>
      <c r="T348" s="328"/>
      <c r="U348" s="328"/>
      <c r="V348" s="103"/>
      <c r="X348" s="103"/>
      <c r="Z348" s="103"/>
      <c r="AB348" s="103"/>
      <c r="AH348" s="103"/>
      <c r="AK348" s="342"/>
      <c r="AQ348" s="451"/>
      <c r="AR348" s="103"/>
      <c r="AS348" s="103"/>
      <c r="AT348" s="103"/>
      <c r="AU348" s="103"/>
      <c r="AV348" s="103"/>
      <c r="AW348" s="103"/>
      <c r="AX348" s="103"/>
      <c r="AY348" s="168"/>
      <c r="AZ348" s="89"/>
      <c r="BA348" s="103"/>
      <c r="BB348" s="103"/>
      <c r="BC348" s="103"/>
      <c r="BD348" s="103"/>
      <c r="BE348" s="103"/>
      <c r="CD348" s="365"/>
    </row>
    <row r="349" s="278" customFormat="1" customHeight="1" spans="13:82">
      <c r="M349" s="103"/>
      <c r="N349" s="103"/>
      <c r="P349" s="401"/>
      <c r="Q349" s="401"/>
      <c r="R349" s="103"/>
      <c r="S349" s="328"/>
      <c r="T349" s="328"/>
      <c r="U349" s="328"/>
      <c r="V349" s="103"/>
      <c r="X349" s="103"/>
      <c r="Z349" s="103"/>
      <c r="AB349" s="103"/>
      <c r="AH349" s="103"/>
      <c r="AK349" s="342"/>
      <c r="AQ349" s="451"/>
      <c r="AR349" s="103"/>
      <c r="AS349" s="103"/>
      <c r="AT349" s="103"/>
      <c r="AU349" s="103"/>
      <c r="AV349" s="103"/>
      <c r="AW349" s="103"/>
      <c r="AX349" s="103"/>
      <c r="AY349" s="168"/>
      <c r="AZ349" s="89"/>
      <c r="BA349" s="103"/>
      <c r="BB349" s="103"/>
      <c r="BC349" s="103"/>
      <c r="BD349" s="103"/>
      <c r="BE349" s="103"/>
      <c r="CD349" s="365"/>
    </row>
    <row r="350" s="278" customFormat="1" customHeight="1" spans="13:82">
      <c r="M350" s="103"/>
      <c r="N350" s="103"/>
      <c r="P350" s="401"/>
      <c r="Q350" s="401"/>
      <c r="R350" s="103"/>
      <c r="S350" s="328"/>
      <c r="T350" s="328"/>
      <c r="U350" s="328"/>
      <c r="V350" s="103"/>
      <c r="X350" s="103"/>
      <c r="Z350" s="103"/>
      <c r="AB350" s="103"/>
      <c r="AH350" s="103"/>
      <c r="AK350" s="342"/>
      <c r="AQ350" s="451"/>
      <c r="AR350" s="103"/>
      <c r="AS350" s="103"/>
      <c r="AT350" s="103"/>
      <c r="AU350" s="103"/>
      <c r="AV350" s="103"/>
      <c r="AW350" s="103"/>
      <c r="AX350" s="103"/>
      <c r="AY350" s="168"/>
      <c r="AZ350" s="89"/>
      <c r="BA350" s="103"/>
      <c r="BB350" s="103"/>
      <c r="BC350" s="103"/>
      <c r="BD350" s="103"/>
      <c r="BE350" s="103"/>
      <c r="CD350" s="365"/>
    </row>
    <row r="351" s="278" customFormat="1" customHeight="1" spans="13:82">
      <c r="M351" s="103"/>
      <c r="N351" s="103"/>
      <c r="P351" s="401"/>
      <c r="Q351" s="401"/>
      <c r="R351" s="103"/>
      <c r="S351" s="328"/>
      <c r="T351" s="328"/>
      <c r="U351" s="328"/>
      <c r="V351" s="103"/>
      <c r="X351" s="103"/>
      <c r="Z351" s="103"/>
      <c r="AB351" s="103"/>
      <c r="AH351" s="103"/>
      <c r="AK351" s="342"/>
      <c r="AQ351" s="451"/>
      <c r="AR351" s="103"/>
      <c r="AS351" s="103"/>
      <c r="AT351" s="103"/>
      <c r="AU351" s="103"/>
      <c r="AV351" s="103"/>
      <c r="AW351" s="103"/>
      <c r="AX351" s="103"/>
      <c r="AY351" s="168"/>
      <c r="AZ351" s="89"/>
      <c r="BA351" s="103"/>
      <c r="BB351" s="103"/>
      <c r="BC351" s="103"/>
      <c r="BD351" s="103"/>
      <c r="BE351" s="103"/>
      <c r="CD351" s="365"/>
    </row>
    <row r="352" s="281" customFormat="1" customHeight="1" spans="1:82">
      <c r="A352" s="278"/>
      <c r="B352" s="278"/>
      <c r="C352" s="278"/>
      <c r="D352" s="278"/>
      <c r="E352" s="278"/>
      <c r="F352" s="278"/>
      <c r="G352" s="278"/>
      <c r="H352" s="278"/>
      <c r="I352" s="278"/>
      <c r="J352" s="278"/>
      <c r="K352" s="278"/>
      <c r="L352" s="278"/>
      <c r="M352" s="103"/>
      <c r="N352" s="103"/>
      <c r="O352" s="311"/>
      <c r="P352" s="401"/>
      <c r="Q352" s="401"/>
      <c r="R352" s="103"/>
      <c r="S352" s="328"/>
      <c r="T352" s="448"/>
      <c r="U352" s="328"/>
      <c r="V352" s="103"/>
      <c r="W352" s="278"/>
      <c r="X352" s="103"/>
      <c r="Y352" s="278"/>
      <c r="Z352" s="103"/>
      <c r="AA352" s="278"/>
      <c r="AB352" s="103"/>
      <c r="AC352" s="278"/>
      <c r="AD352" s="278"/>
      <c r="AE352" s="278"/>
      <c r="AF352" s="278"/>
      <c r="AG352" s="278"/>
      <c r="AH352" s="103"/>
      <c r="AI352" s="278"/>
      <c r="AJ352" s="278"/>
      <c r="AK352" s="342"/>
      <c r="AL352" s="278"/>
      <c r="AM352" s="278"/>
      <c r="AN352" s="278"/>
      <c r="AO352" s="278"/>
      <c r="AP352" s="278"/>
      <c r="AQ352" s="381"/>
      <c r="AR352" s="103"/>
      <c r="AS352" s="103"/>
      <c r="AT352" s="103"/>
      <c r="AU352" s="103"/>
      <c r="AV352" s="103"/>
      <c r="AW352" s="103"/>
      <c r="AX352" s="103"/>
      <c r="AY352" s="168"/>
      <c r="AZ352" s="89"/>
      <c r="BA352" s="103"/>
      <c r="BB352" s="103"/>
      <c r="BC352" s="103"/>
      <c r="BD352" s="103"/>
      <c r="BE352" s="103"/>
      <c r="BF352" s="278"/>
      <c r="BG352" s="278"/>
      <c r="BH352" s="278"/>
      <c r="BI352" s="278"/>
      <c r="BJ352" s="278"/>
      <c r="BK352" s="278"/>
      <c r="BL352" s="278"/>
      <c r="BM352" s="278"/>
      <c r="BN352" s="278"/>
      <c r="BO352" s="278"/>
      <c r="BP352" s="278"/>
      <c r="BQ352" s="278"/>
      <c r="BR352" s="278"/>
      <c r="BS352" s="278"/>
      <c r="BT352" s="278"/>
      <c r="BU352" s="278"/>
      <c r="BV352" s="278"/>
      <c r="BW352" s="278"/>
      <c r="BX352" s="278"/>
      <c r="BY352" s="278"/>
      <c r="BZ352" s="278"/>
      <c r="CA352" s="278"/>
      <c r="CB352" s="278"/>
      <c r="CC352" s="278"/>
      <c r="CD352" s="365"/>
    </row>
    <row r="353" s="281" customFormat="1" customHeight="1" spans="1:82">
      <c r="A353" s="278"/>
      <c r="B353" s="278"/>
      <c r="C353" s="278"/>
      <c r="D353" s="278"/>
      <c r="E353" s="278"/>
      <c r="F353" s="278"/>
      <c r="G353" s="278"/>
      <c r="H353" s="278"/>
      <c r="I353" s="278"/>
      <c r="J353" s="278"/>
      <c r="K353" s="278"/>
      <c r="L353" s="278"/>
      <c r="M353" s="103"/>
      <c r="N353" s="103"/>
      <c r="O353" s="311"/>
      <c r="P353" s="401"/>
      <c r="Q353" s="401"/>
      <c r="R353" s="103"/>
      <c r="S353" s="328"/>
      <c r="T353" s="448"/>
      <c r="U353" s="328"/>
      <c r="V353" s="103"/>
      <c r="W353" s="278"/>
      <c r="X353" s="103"/>
      <c r="Y353" s="278"/>
      <c r="Z353" s="103"/>
      <c r="AA353" s="278"/>
      <c r="AB353" s="103"/>
      <c r="AC353" s="278"/>
      <c r="AD353" s="278"/>
      <c r="AE353" s="278"/>
      <c r="AF353" s="278"/>
      <c r="AG353" s="278"/>
      <c r="AH353" s="103"/>
      <c r="AI353" s="278"/>
      <c r="AJ353" s="278"/>
      <c r="AK353" s="342"/>
      <c r="AL353" s="278"/>
      <c r="AM353" s="278"/>
      <c r="AN353" s="278"/>
      <c r="AO353" s="278"/>
      <c r="AP353" s="278"/>
      <c r="AQ353" s="381"/>
      <c r="AR353" s="103"/>
      <c r="AS353" s="103"/>
      <c r="AT353" s="103"/>
      <c r="AU353" s="103"/>
      <c r="AV353" s="103"/>
      <c r="AW353" s="103"/>
      <c r="AX353" s="103"/>
      <c r="AY353" s="168"/>
      <c r="AZ353" s="89"/>
      <c r="BA353" s="103"/>
      <c r="BB353" s="103"/>
      <c r="BC353" s="103"/>
      <c r="BD353" s="103"/>
      <c r="BE353" s="103"/>
      <c r="BF353" s="278"/>
      <c r="BG353" s="278"/>
      <c r="BH353" s="278"/>
      <c r="BI353" s="278"/>
      <c r="BJ353" s="278"/>
      <c r="BK353" s="278"/>
      <c r="BL353" s="278"/>
      <c r="BM353" s="278"/>
      <c r="BN353" s="278"/>
      <c r="BO353" s="278"/>
      <c r="BP353" s="278"/>
      <c r="BQ353" s="278"/>
      <c r="BR353" s="278"/>
      <c r="BS353" s="278"/>
      <c r="BT353" s="278"/>
      <c r="BU353" s="278"/>
      <c r="BV353" s="278"/>
      <c r="BW353" s="278"/>
      <c r="BX353" s="278"/>
      <c r="BY353" s="278"/>
      <c r="BZ353" s="278"/>
      <c r="CA353" s="278"/>
      <c r="CB353" s="278"/>
      <c r="CC353" s="278"/>
      <c r="CD353" s="365"/>
    </row>
    <row r="354" s="281" customFormat="1" customHeight="1" spans="1:82">
      <c r="A354" s="278"/>
      <c r="B354" s="278"/>
      <c r="C354" s="278"/>
      <c r="D354" s="278"/>
      <c r="E354" s="278"/>
      <c r="F354" s="278"/>
      <c r="G354" s="278"/>
      <c r="H354" s="278"/>
      <c r="I354" s="278"/>
      <c r="J354" s="278"/>
      <c r="K354" s="278"/>
      <c r="L354" s="278"/>
      <c r="M354" s="103"/>
      <c r="N354" s="103"/>
      <c r="O354" s="311"/>
      <c r="P354" s="401"/>
      <c r="Q354" s="401"/>
      <c r="R354" s="103"/>
      <c r="S354" s="328"/>
      <c r="T354" s="448"/>
      <c r="U354" s="328"/>
      <c r="V354" s="103"/>
      <c r="W354" s="278"/>
      <c r="X354" s="103"/>
      <c r="Y354" s="278"/>
      <c r="Z354" s="103"/>
      <c r="AA354" s="278"/>
      <c r="AB354" s="103"/>
      <c r="AC354" s="278"/>
      <c r="AD354" s="278"/>
      <c r="AE354" s="278"/>
      <c r="AF354" s="278"/>
      <c r="AG354" s="278"/>
      <c r="AH354" s="103"/>
      <c r="AI354" s="278"/>
      <c r="AJ354" s="278"/>
      <c r="AK354" s="342"/>
      <c r="AL354" s="278"/>
      <c r="AM354" s="278"/>
      <c r="AN354" s="278"/>
      <c r="AO354" s="278"/>
      <c r="AP354" s="278"/>
      <c r="AQ354" s="381"/>
      <c r="AR354" s="103"/>
      <c r="AS354" s="103"/>
      <c r="AT354" s="103"/>
      <c r="AU354" s="103"/>
      <c r="AV354" s="103"/>
      <c r="AW354" s="103"/>
      <c r="AX354" s="103"/>
      <c r="AY354" s="168"/>
      <c r="AZ354" s="89"/>
      <c r="BA354" s="103"/>
      <c r="BB354" s="103"/>
      <c r="BC354" s="103"/>
      <c r="BD354" s="103"/>
      <c r="BE354" s="103"/>
      <c r="BF354" s="278"/>
      <c r="BG354" s="278"/>
      <c r="BH354" s="278"/>
      <c r="BI354" s="278"/>
      <c r="BJ354" s="278"/>
      <c r="BK354" s="278"/>
      <c r="BL354" s="278"/>
      <c r="BM354" s="278"/>
      <c r="BN354" s="278"/>
      <c r="BO354" s="278"/>
      <c r="BP354" s="278"/>
      <c r="BQ354" s="278"/>
      <c r="BR354" s="278"/>
      <c r="BS354" s="278"/>
      <c r="BT354" s="278"/>
      <c r="BU354" s="278"/>
      <c r="BV354" s="278"/>
      <c r="BW354" s="278"/>
      <c r="BX354" s="278"/>
      <c r="BY354" s="278"/>
      <c r="BZ354" s="278"/>
      <c r="CA354" s="278"/>
      <c r="CB354" s="278"/>
      <c r="CC354" s="278"/>
      <c r="CD354" s="365"/>
    </row>
    <row r="355" s="281" customFormat="1" customHeight="1" spans="1:82">
      <c r="A355" s="278"/>
      <c r="B355" s="278"/>
      <c r="C355" s="278"/>
      <c r="D355" s="278"/>
      <c r="E355" s="278"/>
      <c r="F355" s="278"/>
      <c r="G355" s="278"/>
      <c r="H355" s="278"/>
      <c r="I355" s="278"/>
      <c r="J355" s="278"/>
      <c r="K355" s="278"/>
      <c r="L355" s="278"/>
      <c r="M355" s="103"/>
      <c r="N355" s="103"/>
      <c r="O355" s="311"/>
      <c r="P355" s="401"/>
      <c r="Q355" s="401"/>
      <c r="R355" s="103"/>
      <c r="S355" s="328"/>
      <c r="T355" s="448"/>
      <c r="U355" s="328"/>
      <c r="V355" s="103"/>
      <c r="W355" s="278"/>
      <c r="X355" s="103"/>
      <c r="Y355" s="278"/>
      <c r="Z355" s="103"/>
      <c r="AA355" s="278"/>
      <c r="AB355" s="103"/>
      <c r="AC355" s="278"/>
      <c r="AD355" s="278"/>
      <c r="AE355" s="278"/>
      <c r="AF355" s="278"/>
      <c r="AG355" s="278"/>
      <c r="AH355" s="103"/>
      <c r="AI355" s="278"/>
      <c r="AJ355" s="278"/>
      <c r="AK355" s="342"/>
      <c r="AL355" s="278"/>
      <c r="AM355" s="278"/>
      <c r="AN355" s="278"/>
      <c r="AO355" s="278"/>
      <c r="AP355" s="278"/>
      <c r="AQ355" s="381"/>
      <c r="AR355" s="103"/>
      <c r="AS355" s="103"/>
      <c r="AT355" s="103"/>
      <c r="AU355" s="103"/>
      <c r="AV355" s="103"/>
      <c r="AW355" s="103"/>
      <c r="AX355" s="103"/>
      <c r="AY355" s="168"/>
      <c r="AZ355" s="89"/>
      <c r="BA355" s="103"/>
      <c r="BB355" s="103"/>
      <c r="BC355" s="103"/>
      <c r="BD355" s="103"/>
      <c r="BE355" s="103"/>
      <c r="BF355" s="278"/>
      <c r="BG355" s="278"/>
      <c r="BH355" s="278"/>
      <c r="BI355" s="278"/>
      <c r="BJ355" s="278"/>
      <c r="BK355" s="278"/>
      <c r="BL355" s="278"/>
      <c r="BM355" s="278"/>
      <c r="BN355" s="278"/>
      <c r="BO355" s="278"/>
      <c r="BP355" s="278"/>
      <c r="BQ355" s="278"/>
      <c r="BR355" s="278"/>
      <c r="BS355" s="278"/>
      <c r="BT355" s="278"/>
      <c r="BU355" s="278"/>
      <c r="BV355" s="278"/>
      <c r="BW355" s="278"/>
      <c r="BX355" s="278"/>
      <c r="BY355" s="278"/>
      <c r="BZ355" s="278"/>
      <c r="CA355" s="278"/>
      <c r="CB355" s="278"/>
      <c r="CC355" s="278"/>
      <c r="CD355" s="365"/>
    </row>
  </sheetData>
  <autoFilter xmlns:etc="http://www.wps.cn/officeDocument/2017/etCustomData" ref="A3:CC345" etc:filterBottomFollowUsedRange="0">
    <extLst/>
  </autoFilter>
  <mergeCells count="54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Q3:BQ4"/>
    <mergeCell ref="BR3:BR4"/>
    <mergeCell ref="BS3:BS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457"/>
  <sheetViews>
    <sheetView workbookViewId="0">
      <pane ySplit="3" topLeftCell="A418" activePane="bottomLeft" state="frozen"/>
      <selection/>
      <selection pane="bottomLeft" activeCell="E427" sqref="E427"/>
    </sheetView>
  </sheetViews>
  <sheetFormatPr defaultColWidth="9" defaultRowHeight="34" customHeight="1"/>
  <cols>
    <col min="1" max="1" width="5.45833333333333" style="167" customWidth="1"/>
    <col min="2" max="2" width="4.875" style="89" customWidth="1"/>
    <col min="3" max="3" width="15.4666666666667" style="89" customWidth="1"/>
    <col min="4" max="4" width="15.15" style="89" customWidth="1"/>
    <col min="5" max="5" width="15.625" style="89" customWidth="1"/>
    <col min="6" max="6" width="22.9583333333333" style="89" customWidth="1"/>
    <col min="7" max="7" width="21.25" style="89" customWidth="1"/>
    <col min="8" max="8" width="13.375" style="89" customWidth="1"/>
    <col min="9" max="9" width="12.625" style="89" customWidth="1"/>
    <col min="10" max="10" width="12.3416666666667" style="89" customWidth="1"/>
    <col min="11" max="11" width="11.4" style="89" customWidth="1"/>
    <col min="12" max="12" width="12.3416666666667" style="89" customWidth="1"/>
    <col min="13" max="13" width="20.9333333333333" style="168" customWidth="1"/>
    <col min="14" max="14" width="14.625" style="169" customWidth="1"/>
    <col min="15" max="15" width="14.375" style="170" customWidth="1"/>
    <col min="16" max="17" width="14.375" style="89" customWidth="1"/>
    <col min="18" max="18" width="17.25" style="168" customWidth="1"/>
    <col min="19" max="19" width="16" style="171" customWidth="1"/>
    <col min="20" max="20" width="18.7666666666667" style="167" customWidth="1"/>
    <col min="21" max="21" width="16.5583333333333" style="171" customWidth="1"/>
    <col min="22" max="22" width="17.8083333333333" style="168" customWidth="1"/>
    <col min="23" max="23" width="16.25" style="89" customWidth="1"/>
    <col min="24" max="24" width="15.7333333333333" style="168" customWidth="1"/>
    <col min="25" max="25" width="13.9083333333333" style="89" customWidth="1"/>
    <col min="26" max="26" width="14.6916666666667" style="89" customWidth="1"/>
    <col min="27" max="27" width="15.0166666666667" style="89" customWidth="1"/>
    <col min="28" max="28" width="18.2833333333333" style="168" customWidth="1"/>
    <col min="29" max="33" width="14.25" style="89" customWidth="1"/>
    <col min="34" max="34" width="17.65" style="168" customWidth="1"/>
    <col min="35" max="35" width="15.4" style="89" customWidth="1"/>
    <col min="36" max="36" width="13.6" style="89" customWidth="1"/>
    <col min="37" max="37" width="17.025" style="89" customWidth="1"/>
    <col min="38" max="38" width="15.3083333333333" style="89" customWidth="1"/>
    <col min="39" max="39" width="26" style="89" customWidth="1"/>
    <col min="40" max="40" width="17.9416666666667" style="89" customWidth="1"/>
    <col min="41" max="41" width="17.8166666666667" style="89" customWidth="1"/>
    <col min="42" max="42" width="16.025" style="106" customWidth="1"/>
    <col min="43" max="43" width="12.6916666666667" style="168" customWidth="1"/>
    <col min="44" max="44" width="14.375" style="168" customWidth="1"/>
    <col min="45" max="45" width="11.6666666666667" style="168" customWidth="1"/>
    <col min="46" max="46" width="16.6666666666667" style="168" customWidth="1"/>
    <col min="47" max="47" width="15.3" style="168" customWidth="1"/>
    <col min="48" max="51" width="17" style="168" customWidth="1"/>
    <col min="52" max="52" width="15.3" style="168" customWidth="1"/>
    <col min="53" max="53" width="15.7833333333333" style="89" customWidth="1"/>
    <col min="54" max="54" width="15.7833333333333" style="168" customWidth="1"/>
    <col min="55" max="55" width="15.7833333333333" style="89" customWidth="1"/>
    <col min="56" max="66" width="18.5916666666667" style="89" customWidth="1"/>
    <col min="67" max="67" width="13.5916666666667" style="89" customWidth="1"/>
    <col min="68" max="68" width="9.53333333333333" style="89" customWidth="1"/>
    <col min="69" max="70" width="9" style="89" customWidth="1"/>
    <col min="71" max="71" width="10.375" style="89" customWidth="1"/>
    <col min="72" max="72" width="11.5" style="89" customWidth="1"/>
    <col min="73" max="73" width="12.9666666666667" style="89" customWidth="1"/>
    <col min="74" max="74" width="14" style="89" customWidth="1"/>
    <col min="75" max="16384" width="9" style="89"/>
  </cols>
  <sheetData>
    <row r="1" s="166" customFormat="1" customHeight="1" spans="1:65">
      <c r="A1" s="172" t="s">
        <v>2735</v>
      </c>
      <c r="J1" s="177"/>
      <c r="M1" s="178"/>
      <c r="N1" s="179"/>
      <c r="O1" s="177"/>
      <c r="R1" s="178"/>
      <c r="S1" s="194"/>
      <c r="T1" s="172"/>
      <c r="U1" s="194"/>
      <c r="V1" s="178"/>
      <c r="X1" s="178"/>
      <c r="Y1" s="196"/>
      <c r="AB1" s="178"/>
      <c r="AH1" s="178"/>
      <c r="AP1" s="199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B1" s="178"/>
      <c r="BE1" s="89"/>
      <c r="BF1" s="89"/>
      <c r="BG1" s="89"/>
      <c r="BH1" s="89"/>
      <c r="BI1" s="89"/>
      <c r="BJ1" s="89"/>
      <c r="BK1" s="89"/>
      <c r="BL1" s="89"/>
      <c r="BM1" s="89"/>
    </row>
    <row r="2" s="166" customFormat="1" ht="27" customHeight="1" spans="1:74">
      <c r="A2" s="172" t="s">
        <v>1</v>
      </c>
      <c r="B2" s="166" t="s">
        <v>125</v>
      </c>
      <c r="C2" s="173" t="s">
        <v>126</v>
      </c>
      <c r="D2" s="166" t="s">
        <v>127</v>
      </c>
      <c r="F2" s="166" t="s">
        <v>129</v>
      </c>
      <c r="G2" s="166" t="s">
        <v>130</v>
      </c>
      <c r="H2" s="166" t="s">
        <v>128</v>
      </c>
      <c r="I2" s="166" t="s">
        <v>132</v>
      </c>
      <c r="J2" s="180" t="s">
        <v>843</v>
      </c>
      <c r="K2" s="166" t="s">
        <v>134</v>
      </c>
      <c r="L2" s="166" t="s">
        <v>135</v>
      </c>
      <c r="M2" s="178" t="s">
        <v>136</v>
      </c>
      <c r="N2" s="181" t="s">
        <v>137</v>
      </c>
      <c r="O2" s="177" t="s">
        <v>139</v>
      </c>
      <c r="P2" s="182"/>
      <c r="Q2" s="182"/>
      <c r="R2" s="195" t="s">
        <v>140</v>
      </c>
      <c r="S2" s="194" t="s">
        <v>141</v>
      </c>
      <c r="T2" s="172" t="s">
        <v>142</v>
      </c>
      <c r="U2" s="194" t="s">
        <v>143</v>
      </c>
      <c r="V2" s="178" t="s">
        <v>144</v>
      </c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 t="s">
        <v>145</v>
      </c>
      <c r="AI2" s="173" t="s">
        <v>19</v>
      </c>
      <c r="AJ2" s="166" t="s">
        <v>147</v>
      </c>
      <c r="AK2" s="182" t="s">
        <v>22</v>
      </c>
      <c r="AL2" s="166" t="s">
        <v>148</v>
      </c>
      <c r="AM2" s="166" t="s">
        <v>10</v>
      </c>
      <c r="AN2" s="166" t="s">
        <v>845</v>
      </c>
      <c r="AO2" s="200" t="s">
        <v>158</v>
      </c>
      <c r="AP2" s="201" t="s">
        <v>159</v>
      </c>
      <c r="AQ2" s="195" t="s">
        <v>149</v>
      </c>
      <c r="AR2" s="202" t="s">
        <v>2736</v>
      </c>
      <c r="AS2" s="202" t="s">
        <v>2737</v>
      </c>
      <c r="AT2" s="202" t="s">
        <v>2738</v>
      </c>
      <c r="AU2" s="202" t="s">
        <v>2739</v>
      </c>
      <c r="AV2" s="202" t="s">
        <v>2740</v>
      </c>
      <c r="AW2" s="202" t="s">
        <v>2741</v>
      </c>
      <c r="AX2" s="202" t="s">
        <v>2742</v>
      </c>
      <c r="AY2" s="202" t="s">
        <v>2743</v>
      </c>
      <c r="AZ2" s="205" t="s">
        <v>2744</v>
      </c>
      <c r="BA2" s="205" t="s">
        <v>2745</v>
      </c>
      <c r="BB2" s="205" t="s">
        <v>2746</v>
      </c>
      <c r="BC2" s="205" t="s">
        <v>2747</v>
      </c>
      <c r="BD2" s="205" t="s">
        <v>2748</v>
      </c>
      <c r="BE2" s="206" t="s">
        <v>2749</v>
      </c>
      <c r="BF2" s="206" t="s">
        <v>2750</v>
      </c>
      <c r="BG2" s="206" t="s">
        <v>2751</v>
      </c>
      <c r="BH2" s="206" t="s">
        <v>2752</v>
      </c>
      <c r="BI2" s="206" t="s">
        <v>2753</v>
      </c>
      <c r="BJ2" s="206" t="s">
        <v>2754</v>
      </c>
      <c r="BK2" s="206" t="s">
        <v>2755</v>
      </c>
      <c r="BL2" s="206" t="s">
        <v>2756</v>
      </c>
      <c r="BM2" s="207" t="s">
        <v>2745</v>
      </c>
      <c r="BN2" s="205"/>
      <c r="BO2" s="208" t="s">
        <v>175</v>
      </c>
      <c r="BQ2" s="209" t="s">
        <v>73</v>
      </c>
      <c r="BR2" s="209" t="s">
        <v>176</v>
      </c>
      <c r="BT2" s="210"/>
      <c r="BU2" s="210"/>
      <c r="BV2" s="210"/>
    </row>
    <row r="3" s="166" customFormat="1" ht="21" customHeight="1" spans="1:74">
      <c r="A3" s="172"/>
      <c r="C3" s="173"/>
      <c r="E3" s="166" t="s">
        <v>868</v>
      </c>
      <c r="J3" s="177"/>
      <c r="M3" s="178"/>
      <c r="N3" s="181"/>
      <c r="O3" s="177" t="s">
        <v>178</v>
      </c>
      <c r="P3" s="182" t="s">
        <v>869</v>
      </c>
      <c r="Q3" s="182" t="s">
        <v>870</v>
      </c>
      <c r="R3" s="178"/>
      <c r="S3" s="194"/>
      <c r="T3" s="172"/>
      <c r="U3" s="194"/>
      <c r="V3" s="178" t="s">
        <v>180</v>
      </c>
      <c r="W3" s="166" t="s">
        <v>181</v>
      </c>
      <c r="X3" s="178" t="s">
        <v>182</v>
      </c>
      <c r="Y3" s="196" t="s">
        <v>181</v>
      </c>
      <c r="Z3" s="166" t="s">
        <v>183</v>
      </c>
      <c r="AA3" s="177" t="s">
        <v>181</v>
      </c>
      <c r="AB3" s="178" t="s">
        <v>184</v>
      </c>
      <c r="AC3" s="166" t="s">
        <v>181</v>
      </c>
      <c r="AD3" s="166" t="s">
        <v>185</v>
      </c>
      <c r="AE3" s="166" t="s">
        <v>181</v>
      </c>
      <c r="AF3" s="166" t="s">
        <v>186</v>
      </c>
      <c r="AG3" s="166" t="s">
        <v>181</v>
      </c>
      <c r="AH3" s="178"/>
      <c r="AK3" s="182"/>
      <c r="AO3" s="200"/>
      <c r="AP3" s="201"/>
      <c r="AQ3" s="195"/>
      <c r="AR3" s="202"/>
      <c r="AS3" s="202"/>
      <c r="AT3" s="202"/>
      <c r="AU3" s="202"/>
      <c r="AV3" s="202"/>
      <c r="AW3" s="202"/>
      <c r="AX3" s="202"/>
      <c r="AY3" s="202"/>
      <c r="AZ3" s="205"/>
      <c r="BA3" s="205"/>
      <c r="BB3" s="205"/>
      <c r="BC3" s="205"/>
      <c r="BD3" s="205"/>
      <c r="BE3" s="206"/>
      <c r="BF3" s="206"/>
      <c r="BG3" s="206"/>
      <c r="BH3" s="206"/>
      <c r="BI3" s="206"/>
      <c r="BJ3" s="206"/>
      <c r="BK3" s="206"/>
      <c r="BL3" s="206"/>
      <c r="BM3" s="207"/>
      <c r="BN3" s="205"/>
      <c r="BO3" s="208"/>
      <c r="BQ3" s="209"/>
      <c r="BR3" s="209"/>
      <c r="BS3" s="211"/>
      <c r="BT3" s="210"/>
      <c r="BU3" s="210"/>
      <c r="BV3" s="210"/>
    </row>
    <row r="4" s="89" customFormat="1" customHeight="1" spans="1:54">
      <c r="A4" s="167"/>
      <c r="C4" s="174"/>
      <c r="I4" s="183" t="s">
        <v>2757</v>
      </c>
      <c r="J4" s="170">
        <v>67.99</v>
      </c>
      <c r="M4" s="168"/>
      <c r="N4" s="168"/>
      <c r="O4" s="170"/>
      <c r="P4" s="184"/>
      <c r="Q4" s="184"/>
      <c r="R4" s="168"/>
      <c r="S4" s="171"/>
      <c r="T4" s="167"/>
      <c r="U4" s="171"/>
      <c r="V4" s="168"/>
      <c r="X4" s="168"/>
      <c r="Y4" s="197"/>
      <c r="AA4" s="170"/>
      <c r="AB4" s="168"/>
      <c r="AH4" s="168">
        <f>V4+X4+Z4+AB4+AD4+AF4</f>
        <v>0</v>
      </c>
      <c r="AK4" s="184"/>
      <c r="AO4" s="89">
        <f>SUM(AZ4:BN4)</f>
        <v>0</v>
      </c>
      <c r="AP4" s="203"/>
      <c r="AQ4" s="204">
        <f>AR4+AS4+AT4+AU4+AV4+AW4+AX4+AY4</f>
        <v>0</v>
      </c>
      <c r="AR4" s="168"/>
      <c r="AS4" s="168"/>
      <c r="AT4" s="168"/>
      <c r="AU4" s="168"/>
      <c r="AV4" s="168"/>
      <c r="AW4" s="168"/>
      <c r="AX4" s="168"/>
      <c r="AY4" s="168"/>
      <c r="AZ4" s="168"/>
      <c r="BB4" s="168"/>
    </row>
    <row r="5" s="89" customFormat="1" customHeight="1" spans="3:54">
      <c r="C5" s="174"/>
      <c r="I5" s="185" t="s">
        <v>2758</v>
      </c>
      <c r="J5" s="170">
        <v>18.22</v>
      </c>
      <c r="M5" s="168"/>
      <c r="N5" s="168"/>
      <c r="O5" s="170"/>
      <c r="P5" s="184"/>
      <c r="Q5" s="184"/>
      <c r="R5" s="168"/>
      <c r="S5" s="171"/>
      <c r="T5" s="167"/>
      <c r="U5" s="171"/>
      <c r="V5" s="168"/>
      <c r="X5" s="168"/>
      <c r="Y5" s="197"/>
      <c r="AA5" s="170"/>
      <c r="AB5" s="168"/>
      <c r="AH5" s="168">
        <f t="shared" ref="AH5:AH68" si="0">V5+X5+Z5+AB5+AD5+AF5</f>
        <v>0</v>
      </c>
      <c r="AK5" s="184"/>
      <c r="AO5" s="89">
        <f t="shared" ref="AO5:AO68" si="1">SUM(AZ5:BN5)</f>
        <v>0</v>
      </c>
      <c r="AP5" s="203"/>
      <c r="AQ5" s="204">
        <f t="shared" ref="AQ5:AQ68" si="2">AR5+AS5+AT5+AU5+AV5+AW5+AX5+AY5</f>
        <v>0</v>
      </c>
      <c r="AR5" s="168"/>
      <c r="AS5" s="168"/>
      <c r="AT5" s="168"/>
      <c r="AU5" s="168"/>
      <c r="AV5" s="168"/>
      <c r="AW5" s="168"/>
      <c r="AX5" s="168"/>
      <c r="AY5" s="168"/>
      <c r="AZ5" s="168"/>
      <c r="BB5" s="168"/>
    </row>
    <row r="6" s="89" customFormat="1" customHeight="1" spans="3:54">
      <c r="C6" s="174"/>
      <c r="I6" s="183" t="s">
        <v>2759</v>
      </c>
      <c r="J6" s="170">
        <v>15.71</v>
      </c>
      <c r="M6" s="168"/>
      <c r="N6" s="168"/>
      <c r="O6" s="170"/>
      <c r="P6" s="184"/>
      <c r="Q6" s="184"/>
      <c r="R6" s="168"/>
      <c r="S6" s="171"/>
      <c r="T6" s="167"/>
      <c r="U6" s="171"/>
      <c r="V6" s="168"/>
      <c r="X6" s="168"/>
      <c r="Y6" s="197"/>
      <c r="AA6" s="170"/>
      <c r="AB6" s="168"/>
      <c r="AH6" s="168">
        <f t="shared" si="0"/>
        <v>0</v>
      </c>
      <c r="AK6" s="184"/>
      <c r="AO6" s="89">
        <f t="shared" si="1"/>
        <v>0</v>
      </c>
      <c r="AP6" s="203"/>
      <c r="AQ6" s="204">
        <f t="shared" si="2"/>
        <v>0</v>
      </c>
      <c r="AR6" s="168"/>
      <c r="AS6" s="168"/>
      <c r="AT6" s="168"/>
      <c r="AU6" s="168"/>
      <c r="AV6" s="168"/>
      <c r="AW6" s="168"/>
      <c r="AX6" s="168"/>
      <c r="AY6" s="168"/>
      <c r="AZ6" s="168"/>
      <c r="BB6" s="168"/>
    </row>
    <row r="7" s="89" customFormat="1" customHeight="1" spans="3:54">
      <c r="C7" s="174"/>
      <c r="I7" s="186" t="s">
        <v>2760</v>
      </c>
      <c r="J7" s="170">
        <v>76.5</v>
      </c>
      <c r="M7" s="168"/>
      <c r="N7" s="168"/>
      <c r="O7" s="170"/>
      <c r="P7" s="184"/>
      <c r="Q7" s="184"/>
      <c r="R7" s="168"/>
      <c r="S7" s="171"/>
      <c r="T7" s="167"/>
      <c r="U7" s="171"/>
      <c r="V7" s="168"/>
      <c r="X7" s="168"/>
      <c r="Y7" s="197"/>
      <c r="AA7" s="170"/>
      <c r="AB7" s="168"/>
      <c r="AH7" s="168">
        <f t="shared" si="0"/>
        <v>0</v>
      </c>
      <c r="AK7" s="184"/>
      <c r="AO7" s="89">
        <f t="shared" si="1"/>
        <v>0</v>
      </c>
      <c r="AP7" s="203"/>
      <c r="AQ7" s="204">
        <f t="shared" si="2"/>
        <v>0</v>
      </c>
      <c r="AR7" s="168"/>
      <c r="AS7" s="168"/>
      <c r="AT7" s="168"/>
      <c r="AU7" s="168"/>
      <c r="AV7" s="168"/>
      <c r="AW7" s="168"/>
      <c r="AX7" s="168"/>
      <c r="AY7" s="168"/>
      <c r="AZ7" s="168"/>
      <c r="BB7" s="168"/>
    </row>
    <row r="8" s="89" customFormat="1" customHeight="1" spans="3:54">
      <c r="C8" s="174"/>
      <c r="I8" s="183" t="s">
        <v>2761</v>
      </c>
      <c r="J8" s="170">
        <v>76.19</v>
      </c>
      <c r="M8" s="168"/>
      <c r="N8" s="168"/>
      <c r="O8" s="170"/>
      <c r="P8" s="184"/>
      <c r="Q8" s="184"/>
      <c r="R8" s="168"/>
      <c r="S8" s="171"/>
      <c r="T8" s="167"/>
      <c r="U8" s="171"/>
      <c r="V8" s="168"/>
      <c r="X8" s="168"/>
      <c r="Y8" s="197"/>
      <c r="AA8" s="170"/>
      <c r="AB8" s="168"/>
      <c r="AH8" s="168">
        <f t="shared" si="0"/>
        <v>0</v>
      </c>
      <c r="AK8" s="184"/>
      <c r="AO8" s="89">
        <f t="shared" si="1"/>
        <v>0</v>
      </c>
      <c r="AP8" s="203"/>
      <c r="AQ8" s="204">
        <f t="shared" si="2"/>
        <v>0</v>
      </c>
      <c r="AR8" s="168"/>
      <c r="AS8" s="168"/>
      <c r="AT8" s="168"/>
      <c r="AU8" s="168"/>
      <c r="AV8" s="168"/>
      <c r="AW8" s="168"/>
      <c r="AX8" s="168"/>
      <c r="AY8" s="168"/>
      <c r="AZ8" s="168"/>
      <c r="BB8" s="168"/>
    </row>
    <row r="9" s="89" customFormat="1" customHeight="1" spans="3:54">
      <c r="C9" s="174"/>
      <c r="I9" s="185" t="s">
        <v>2762</v>
      </c>
      <c r="J9" s="170">
        <v>35.28</v>
      </c>
      <c r="M9" s="168"/>
      <c r="N9" s="168"/>
      <c r="O9" s="170"/>
      <c r="P9" s="184"/>
      <c r="Q9" s="184"/>
      <c r="R9" s="168"/>
      <c r="S9" s="171"/>
      <c r="T9" s="167"/>
      <c r="U9" s="171"/>
      <c r="V9" s="168"/>
      <c r="X9" s="168"/>
      <c r="Y9" s="197"/>
      <c r="AA9" s="170"/>
      <c r="AB9" s="168"/>
      <c r="AH9" s="168">
        <f t="shared" si="0"/>
        <v>0</v>
      </c>
      <c r="AK9" s="184"/>
      <c r="AO9" s="89">
        <f t="shared" si="1"/>
        <v>0</v>
      </c>
      <c r="AP9" s="203"/>
      <c r="AQ9" s="204">
        <f t="shared" si="2"/>
        <v>0</v>
      </c>
      <c r="AR9" s="168"/>
      <c r="AS9" s="168"/>
      <c r="AT9" s="168"/>
      <c r="AU9" s="168"/>
      <c r="AV9" s="168"/>
      <c r="AW9" s="168"/>
      <c r="AX9" s="168"/>
      <c r="AY9" s="168"/>
      <c r="AZ9" s="168"/>
      <c r="BB9" s="168"/>
    </row>
    <row r="10" s="89" customFormat="1" customHeight="1" spans="3:54">
      <c r="C10" s="174"/>
      <c r="I10" s="183" t="s">
        <v>2763</v>
      </c>
      <c r="J10" s="170">
        <v>18.22</v>
      </c>
      <c r="M10" s="168"/>
      <c r="N10" s="168"/>
      <c r="O10" s="170"/>
      <c r="P10" s="184"/>
      <c r="Q10" s="184"/>
      <c r="R10" s="168"/>
      <c r="S10" s="171"/>
      <c r="T10" s="167"/>
      <c r="U10" s="171"/>
      <c r="V10" s="168"/>
      <c r="X10" s="168"/>
      <c r="Y10" s="197"/>
      <c r="AA10" s="170"/>
      <c r="AB10" s="168"/>
      <c r="AH10" s="168">
        <f t="shared" si="0"/>
        <v>0</v>
      </c>
      <c r="AK10" s="184"/>
      <c r="AO10" s="89">
        <f t="shared" si="1"/>
        <v>0</v>
      </c>
      <c r="AP10" s="203"/>
      <c r="AQ10" s="204">
        <f t="shared" si="2"/>
        <v>0</v>
      </c>
      <c r="AR10" s="168"/>
      <c r="AS10" s="168"/>
      <c r="AT10" s="168"/>
      <c r="AU10" s="168"/>
      <c r="AV10" s="168"/>
      <c r="AW10" s="168"/>
      <c r="AX10" s="168"/>
      <c r="AY10" s="168"/>
      <c r="AZ10" s="168"/>
      <c r="BB10" s="168"/>
    </row>
    <row r="11" s="89" customFormat="1" customHeight="1" spans="3:54">
      <c r="C11" s="174"/>
      <c r="I11" s="183" t="s">
        <v>2764</v>
      </c>
      <c r="J11" s="170">
        <v>18.22</v>
      </c>
      <c r="M11" s="168"/>
      <c r="N11" s="168"/>
      <c r="O11" s="170"/>
      <c r="P11" s="184"/>
      <c r="Q11" s="184"/>
      <c r="R11" s="168"/>
      <c r="S11" s="171"/>
      <c r="T11" s="167"/>
      <c r="U11" s="171"/>
      <c r="V11" s="168"/>
      <c r="X11" s="168"/>
      <c r="Y11" s="197"/>
      <c r="AA11" s="170"/>
      <c r="AB11" s="168"/>
      <c r="AH11" s="168">
        <f t="shared" si="0"/>
        <v>0</v>
      </c>
      <c r="AK11" s="184"/>
      <c r="AO11" s="89">
        <f t="shared" si="1"/>
        <v>0</v>
      </c>
      <c r="AP11" s="203"/>
      <c r="AQ11" s="204">
        <f t="shared" si="2"/>
        <v>0</v>
      </c>
      <c r="AR11" s="168"/>
      <c r="AS11" s="168"/>
      <c r="AT11" s="168"/>
      <c r="AU11" s="168"/>
      <c r="AV11" s="168"/>
      <c r="AW11" s="168"/>
      <c r="AX11" s="168"/>
      <c r="AY11" s="168"/>
      <c r="AZ11" s="168"/>
      <c r="BB11" s="168"/>
    </row>
    <row r="12" s="89" customFormat="1" customHeight="1" spans="3:54">
      <c r="C12" s="174"/>
      <c r="I12" s="185" t="s">
        <v>2765</v>
      </c>
      <c r="J12" s="170">
        <v>35.28</v>
      </c>
      <c r="M12" s="168"/>
      <c r="N12" s="168"/>
      <c r="O12" s="170"/>
      <c r="P12" s="184"/>
      <c r="Q12" s="184"/>
      <c r="R12" s="168"/>
      <c r="S12" s="171"/>
      <c r="T12" s="167"/>
      <c r="U12" s="171"/>
      <c r="V12" s="168"/>
      <c r="X12" s="168"/>
      <c r="Y12" s="197"/>
      <c r="AA12" s="170"/>
      <c r="AB12" s="168"/>
      <c r="AH12" s="168">
        <f t="shared" si="0"/>
        <v>0</v>
      </c>
      <c r="AK12" s="184"/>
      <c r="AO12" s="89">
        <f t="shared" si="1"/>
        <v>0</v>
      </c>
      <c r="AP12" s="203"/>
      <c r="AQ12" s="204">
        <f t="shared" si="2"/>
        <v>0</v>
      </c>
      <c r="AR12" s="168"/>
      <c r="AS12" s="168"/>
      <c r="AT12" s="168"/>
      <c r="AU12" s="168"/>
      <c r="AV12" s="168"/>
      <c r="AW12" s="168"/>
      <c r="AX12" s="168"/>
      <c r="AY12" s="168"/>
      <c r="AZ12" s="168"/>
      <c r="BB12" s="168"/>
    </row>
    <row r="13" s="89" customFormat="1" customHeight="1" spans="3:54">
      <c r="C13" s="174"/>
      <c r="I13" s="183" t="s">
        <v>2766</v>
      </c>
      <c r="J13" s="170">
        <v>76.19</v>
      </c>
      <c r="M13" s="168"/>
      <c r="N13" s="168"/>
      <c r="O13" s="170"/>
      <c r="P13" s="184"/>
      <c r="Q13" s="184"/>
      <c r="R13" s="168"/>
      <c r="S13" s="171"/>
      <c r="T13" s="167"/>
      <c r="U13" s="171"/>
      <c r="V13" s="168"/>
      <c r="X13" s="168"/>
      <c r="Y13" s="197"/>
      <c r="AA13" s="170"/>
      <c r="AB13" s="168"/>
      <c r="AH13" s="168">
        <f t="shared" si="0"/>
        <v>0</v>
      </c>
      <c r="AK13" s="184"/>
      <c r="AO13" s="89">
        <f t="shared" si="1"/>
        <v>0</v>
      </c>
      <c r="AP13" s="203"/>
      <c r="AQ13" s="204">
        <f t="shared" si="2"/>
        <v>0</v>
      </c>
      <c r="AR13" s="168"/>
      <c r="AS13" s="168"/>
      <c r="AT13" s="168"/>
      <c r="AU13" s="168"/>
      <c r="AV13" s="168"/>
      <c r="AW13" s="168"/>
      <c r="AX13" s="168"/>
      <c r="AY13" s="168"/>
      <c r="AZ13" s="168"/>
      <c r="BB13" s="168"/>
    </row>
    <row r="14" s="89" customFormat="1" customHeight="1" spans="3:54">
      <c r="C14" s="174"/>
      <c r="I14" s="185" t="s">
        <v>2767</v>
      </c>
      <c r="J14" s="170">
        <v>76.19</v>
      </c>
      <c r="M14" s="168"/>
      <c r="N14" s="168"/>
      <c r="O14" s="170"/>
      <c r="P14" s="184"/>
      <c r="Q14" s="184"/>
      <c r="R14" s="168"/>
      <c r="S14" s="171"/>
      <c r="T14" s="167"/>
      <c r="U14" s="171"/>
      <c r="V14" s="168"/>
      <c r="X14" s="168"/>
      <c r="Y14" s="197"/>
      <c r="AA14" s="170"/>
      <c r="AB14" s="168"/>
      <c r="AH14" s="168">
        <f t="shared" si="0"/>
        <v>0</v>
      </c>
      <c r="AK14" s="184"/>
      <c r="AO14" s="89">
        <f t="shared" si="1"/>
        <v>0</v>
      </c>
      <c r="AP14" s="203"/>
      <c r="AQ14" s="204">
        <f t="shared" si="2"/>
        <v>0</v>
      </c>
      <c r="AR14" s="168"/>
      <c r="AS14" s="168"/>
      <c r="AT14" s="168"/>
      <c r="AU14" s="168"/>
      <c r="AV14" s="168"/>
      <c r="AW14" s="168"/>
      <c r="AX14" s="168"/>
      <c r="AY14" s="168"/>
      <c r="AZ14" s="168"/>
      <c r="BB14" s="168"/>
    </row>
    <row r="15" s="89" customFormat="1" customHeight="1" spans="3:54">
      <c r="C15" s="174"/>
      <c r="I15" s="183" t="s">
        <v>2768</v>
      </c>
      <c r="J15" s="170">
        <v>15.71</v>
      </c>
      <c r="M15" s="168"/>
      <c r="N15" s="168"/>
      <c r="O15" s="170"/>
      <c r="P15" s="184"/>
      <c r="Q15" s="184"/>
      <c r="R15" s="168"/>
      <c r="S15" s="171"/>
      <c r="T15" s="167"/>
      <c r="U15" s="171"/>
      <c r="V15" s="168"/>
      <c r="X15" s="168"/>
      <c r="Y15" s="197"/>
      <c r="AA15" s="170"/>
      <c r="AB15" s="168"/>
      <c r="AH15" s="168">
        <f t="shared" si="0"/>
        <v>0</v>
      </c>
      <c r="AK15" s="184"/>
      <c r="AO15" s="89">
        <f t="shared" si="1"/>
        <v>0</v>
      </c>
      <c r="AP15" s="203"/>
      <c r="AQ15" s="204">
        <f t="shared" si="2"/>
        <v>0</v>
      </c>
      <c r="AR15" s="168"/>
      <c r="AS15" s="168"/>
      <c r="AT15" s="168"/>
      <c r="AU15" s="168"/>
      <c r="AV15" s="168"/>
      <c r="AW15" s="168"/>
      <c r="AX15" s="168"/>
      <c r="AY15" s="168"/>
      <c r="AZ15" s="168"/>
      <c r="BB15" s="168"/>
    </row>
    <row r="16" s="89" customFormat="1" customHeight="1" spans="3:54">
      <c r="C16" s="174"/>
      <c r="I16" s="185" t="s">
        <v>2769</v>
      </c>
      <c r="J16" s="170">
        <v>18.22</v>
      </c>
      <c r="M16" s="168"/>
      <c r="N16" s="168"/>
      <c r="O16" s="170"/>
      <c r="P16" s="184"/>
      <c r="Q16" s="184"/>
      <c r="R16" s="168"/>
      <c r="S16" s="171"/>
      <c r="T16" s="167"/>
      <c r="U16" s="171"/>
      <c r="V16" s="168"/>
      <c r="X16" s="168"/>
      <c r="Y16" s="197"/>
      <c r="AA16" s="170"/>
      <c r="AB16" s="168"/>
      <c r="AH16" s="168">
        <f t="shared" si="0"/>
        <v>0</v>
      </c>
      <c r="AK16" s="184"/>
      <c r="AO16" s="89">
        <f t="shared" si="1"/>
        <v>0</v>
      </c>
      <c r="AP16" s="203"/>
      <c r="AQ16" s="204">
        <f t="shared" si="2"/>
        <v>0</v>
      </c>
      <c r="AR16" s="168"/>
      <c r="AS16" s="168"/>
      <c r="AT16" s="168"/>
      <c r="AU16" s="168"/>
      <c r="AV16" s="168"/>
      <c r="AW16" s="168"/>
      <c r="AX16" s="168"/>
      <c r="AY16" s="168"/>
      <c r="AZ16" s="168"/>
      <c r="BB16" s="168"/>
    </row>
    <row r="17" s="89" customFormat="1" customHeight="1" spans="3:54">
      <c r="C17" s="174"/>
      <c r="I17" s="183" t="s">
        <v>2770</v>
      </c>
      <c r="J17" s="170">
        <v>18.22</v>
      </c>
      <c r="M17" s="168"/>
      <c r="N17" s="168"/>
      <c r="O17" s="170"/>
      <c r="P17" s="184"/>
      <c r="Q17" s="184"/>
      <c r="R17" s="168"/>
      <c r="S17" s="171"/>
      <c r="T17" s="167"/>
      <c r="U17" s="171"/>
      <c r="V17" s="168"/>
      <c r="X17" s="168"/>
      <c r="Y17" s="197"/>
      <c r="AA17" s="170"/>
      <c r="AB17" s="168"/>
      <c r="AH17" s="168">
        <f t="shared" si="0"/>
        <v>0</v>
      </c>
      <c r="AK17" s="184"/>
      <c r="AO17" s="89">
        <f t="shared" si="1"/>
        <v>0</v>
      </c>
      <c r="AP17" s="203"/>
      <c r="AQ17" s="204">
        <f t="shared" si="2"/>
        <v>0</v>
      </c>
      <c r="AR17" s="168"/>
      <c r="AS17" s="168"/>
      <c r="AT17" s="168"/>
      <c r="AU17" s="168"/>
      <c r="AV17" s="168"/>
      <c r="AW17" s="168"/>
      <c r="AX17" s="168"/>
      <c r="AY17" s="168"/>
      <c r="AZ17" s="168"/>
      <c r="BB17" s="168"/>
    </row>
    <row r="18" s="89" customFormat="1" customHeight="1" spans="3:54">
      <c r="C18" s="174"/>
      <c r="I18" s="183" t="s">
        <v>2771</v>
      </c>
      <c r="J18" s="170">
        <v>54.15</v>
      </c>
      <c r="M18" s="168"/>
      <c r="N18" s="168"/>
      <c r="O18" s="170"/>
      <c r="P18" s="184"/>
      <c r="Q18" s="184"/>
      <c r="R18" s="168"/>
      <c r="S18" s="171"/>
      <c r="T18" s="167"/>
      <c r="U18" s="171"/>
      <c r="V18" s="168"/>
      <c r="X18" s="168"/>
      <c r="Y18" s="197"/>
      <c r="AA18" s="170"/>
      <c r="AB18" s="168"/>
      <c r="AH18" s="168">
        <f t="shared" si="0"/>
        <v>0</v>
      </c>
      <c r="AK18" s="184"/>
      <c r="AO18" s="89">
        <f t="shared" si="1"/>
        <v>0</v>
      </c>
      <c r="AP18" s="203"/>
      <c r="AQ18" s="204">
        <f t="shared" si="2"/>
        <v>0</v>
      </c>
      <c r="AR18" s="168"/>
      <c r="AS18" s="168"/>
      <c r="AT18" s="168"/>
      <c r="AU18" s="168"/>
      <c r="AV18" s="168"/>
      <c r="AW18" s="168"/>
      <c r="AX18" s="168"/>
      <c r="AY18" s="168"/>
      <c r="AZ18" s="168"/>
      <c r="BB18" s="168"/>
    </row>
    <row r="19" s="89" customFormat="1" customHeight="1" spans="3:54">
      <c r="C19" s="174"/>
      <c r="I19" s="183" t="s">
        <v>2772</v>
      </c>
      <c r="J19" s="170">
        <v>73.21</v>
      </c>
      <c r="M19" s="168"/>
      <c r="N19" s="168"/>
      <c r="O19" s="170"/>
      <c r="P19" s="184"/>
      <c r="Q19" s="184"/>
      <c r="R19" s="168"/>
      <c r="S19" s="171"/>
      <c r="T19" s="167"/>
      <c r="U19" s="171"/>
      <c r="V19" s="168"/>
      <c r="X19" s="168"/>
      <c r="Y19" s="197"/>
      <c r="AA19" s="170"/>
      <c r="AB19" s="168"/>
      <c r="AH19" s="168">
        <f t="shared" si="0"/>
        <v>0</v>
      </c>
      <c r="AK19" s="184"/>
      <c r="AO19" s="89">
        <f t="shared" si="1"/>
        <v>0</v>
      </c>
      <c r="AP19" s="203"/>
      <c r="AQ19" s="204">
        <f t="shared" si="2"/>
        <v>0</v>
      </c>
      <c r="AR19" s="168"/>
      <c r="AS19" s="168"/>
      <c r="AT19" s="168"/>
      <c r="AU19" s="168"/>
      <c r="AV19" s="168"/>
      <c r="AW19" s="168"/>
      <c r="AX19" s="168"/>
      <c r="AY19" s="168"/>
      <c r="AZ19" s="168"/>
      <c r="BB19" s="168"/>
    </row>
    <row r="20" s="89" customFormat="1" customHeight="1" spans="1:54">
      <c r="A20" s="167">
        <v>1</v>
      </c>
      <c r="C20" s="174"/>
      <c r="G20" s="89" t="s">
        <v>2773</v>
      </c>
      <c r="I20" s="185" t="s">
        <v>2774</v>
      </c>
      <c r="J20" s="89">
        <v>119.31</v>
      </c>
      <c r="M20" s="168"/>
      <c r="N20" s="168">
        <v>8442.5</v>
      </c>
      <c r="O20" s="170"/>
      <c r="P20" s="184"/>
      <c r="Q20" s="184"/>
      <c r="R20" s="168"/>
      <c r="S20" s="171"/>
      <c r="T20" s="725" t="s">
        <v>2047</v>
      </c>
      <c r="U20" s="171" t="s">
        <v>422</v>
      </c>
      <c r="V20" s="168">
        <f>2000-2000</f>
        <v>0</v>
      </c>
      <c r="W20" s="171" t="s">
        <v>245</v>
      </c>
      <c r="X20" s="168"/>
      <c r="Y20" s="197"/>
      <c r="AA20" s="170"/>
      <c r="AB20" s="168"/>
      <c r="AH20" s="168">
        <f t="shared" si="0"/>
        <v>0</v>
      </c>
      <c r="AK20" s="184"/>
      <c r="AO20" s="89">
        <f t="shared" si="1"/>
        <v>0</v>
      </c>
      <c r="AP20" s="203"/>
      <c r="AQ20" s="204">
        <f t="shared" si="2"/>
        <v>0</v>
      </c>
      <c r="AR20" s="168"/>
      <c r="AS20" s="168"/>
      <c r="AT20" s="168"/>
      <c r="AU20" s="168"/>
      <c r="AV20" s="168"/>
      <c r="AW20" s="168"/>
      <c r="AX20" s="168"/>
      <c r="AY20" s="168"/>
      <c r="AZ20" s="168"/>
      <c r="BB20" s="168"/>
    </row>
    <row r="21" s="131" customFormat="1" customHeight="1" spans="1:65">
      <c r="A21" s="175">
        <v>2</v>
      </c>
      <c r="B21" s="131"/>
      <c r="C21" s="144" t="s">
        <v>98</v>
      </c>
      <c r="D21" s="131">
        <v>20240005461</v>
      </c>
      <c r="F21" s="726" t="s">
        <v>2775</v>
      </c>
      <c r="G21" s="131" t="s">
        <v>2776</v>
      </c>
      <c r="H21" s="726" t="s">
        <v>2777</v>
      </c>
      <c r="I21" s="187" t="s">
        <v>2778</v>
      </c>
      <c r="J21" s="131">
        <v>119.13</v>
      </c>
      <c r="K21" s="131">
        <v>119.13</v>
      </c>
      <c r="L21" s="131">
        <f>M21/K21</f>
        <v>8226.30739528247</v>
      </c>
      <c r="M21" s="158">
        <v>980000</v>
      </c>
      <c r="N21" s="158">
        <v>8226.31</v>
      </c>
      <c r="O21" s="188"/>
      <c r="P21" s="189"/>
      <c r="Q21" s="189"/>
      <c r="R21" s="158">
        <v>380000</v>
      </c>
      <c r="S21" s="159" t="s">
        <v>609</v>
      </c>
      <c r="T21" s="175"/>
      <c r="U21" s="159" t="s">
        <v>408</v>
      </c>
      <c r="V21" s="158">
        <v>20000</v>
      </c>
      <c r="W21" s="159">
        <v>45536</v>
      </c>
      <c r="X21" s="158">
        <v>380000</v>
      </c>
      <c r="Y21" s="159" t="s">
        <v>609</v>
      </c>
      <c r="AA21" s="188"/>
      <c r="AB21" s="158"/>
      <c r="AH21" s="158">
        <f t="shared" si="0"/>
        <v>400000</v>
      </c>
      <c r="AK21" s="189">
        <f>M21-AH21</f>
        <v>580000</v>
      </c>
      <c r="AL21" s="131">
        <v>13899014069</v>
      </c>
      <c r="AO21" s="131">
        <f t="shared" si="1"/>
        <v>0</v>
      </c>
      <c r="AP21" s="161">
        <f>0.5%+0.04%+0.1%</f>
        <v>0.0064</v>
      </c>
      <c r="AQ21" s="192">
        <f t="shared" si="2"/>
        <v>0</v>
      </c>
      <c r="AR21" s="158"/>
      <c r="AS21" s="158"/>
      <c r="AT21" s="158"/>
      <c r="AU21" s="158"/>
      <c r="AV21" s="158"/>
      <c r="AW21" s="158"/>
      <c r="AX21" s="158"/>
      <c r="AY21" s="158"/>
      <c r="AZ21" s="158"/>
      <c r="BB21" s="158"/>
      <c r="BL21" s="89"/>
      <c r="BM21" s="89"/>
    </row>
    <row r="22" s="89" customFormat="1" customHeight="1" spans="1:54">
      <c r="A22" s="167">
        <v>3</v>
      </c>
      <c r="C22" s="174"/>
      <c r="I22" s="186" t="s">
        <v>2779</v>
      </c>
      <c r="J22" s="89">
        <v>117.91</v>
      </c>
      <c r="M22" s="168"/>
      <c r="N22" s="168">
        <v>5745.6</v>
      </c>
      <c r="O22" s="170"/>
      <c r="P22" s="184"/>
      <c r="Q22" s="184"/>
      <c r="R22" s="168"/>
      <c r="S22" s="171"/>
      <c r="T22" s="167"/>
      <c r="U22" s="171"/>
      <c r="V22" s="168"/>
      <c r="X22" s="168"/>
      <c r="Y22" s="197"/>
      <c r="AA22" s="170"/>
      <c r="AB22" s="168"/>
      <c r="AH22" s="168">
        <f t="shared" si="0"/>
        <v>0</v>
      </c>
      <c r="AK22" s="184"/>
      <c r="AO22" s="89">
        <f t="shared" si="1"/>
        <v>0</v>
      </c>
      <c r="AP22" s="203"/>
      <c r="AQ22" s="204">
        <f t="shared" si="2"/>
        <v>0</v>
      </c>
      <c r="AR22" s="168"/>
      <c r="AS22" s="168"/>
      <c r="AT22" s="168"/>
      <c r="AU22" s="168"/>
      <c r="AV22" s="168"/>
      <c r="AW22" s="168"/>
      <c r="AX22" s="168"/>
      <c r="AY22" s="168"/>
      <c r="AZ22" s="168"/>
      <c r="BB22" s="168"/>
    </row>
    <row r="23" s="131" customFormat="1" customHeight="1" spans="1:54">
      <c r="A23" s="175">
        <v>4</v>
      </c>
      <c r="C23" s="144" t="s">
        <v>113</v>
      </c>
      <c r="D23" s="131">
        <v>20240005733</v>
      </c>
      <c r="F23" s="726" t="s">
        <v>2780</v>
      </c>
      <c r="G23" s="131" t="s">
        <v>2781</v>
      </c>
      <c r="H23" s="726" t="s">
        <v>2782</v>
      </c>
      <c r="I23" s="187" t="s">
        <v>2783</v>
      </c>
      <c r="J23" s="131">
        <v>117.54</v>
      </c>
      <c r="K23" s="131">
        <v>117.54</v>
      </c>
      <c r="L23" s="131">
        <f>M23/K23</f>
        <v>5410.92394078612</v>
      </c>
      <c r="M23" s="158">
        <v>636000</v>
      </c>
      <c r="N23" s="190">
        <v>5410.92</v>
      </c>
      <c r="O23" s="188"/>
      <c r="P23" s="189"/>
      <c r="Q23" s="189"/>
      <c r="R23" s="158"/>
      <c r="S23" s="159"/>
      <c r="T23" s="175"/>
      <c r="U23" s="159" t="s">
        <v>226</v>
      </c>
      <c r="V23" s="158">
        <v>20000</v>
      </c>
      <c r="W23" s="159" t="s">
        <v>380</v>
      </c>
      <c r="X23" s="158">
        <v>72000</v>
      </c>
      <c r="Y23" s="159">
        <v>45550</v>
      </c>
      <c r="AA23" s="188"/>
      <c r="AB23" s="158"/>
      <c r="AH23" s="158">
        <f t="shared" si="0"/>
        <v>92000</v>
      </c>
      <c r="AK23" s="189">
        <f>M23-AH23</f>
        <v>544000</v>
      </c>
      <c r="AL23" s="131">
        <v>13279972119</v>
      </c>
      <c r="AM23" s="131" t="s">
        <v>2784</v>
      </c>
      <c r="AO23" s="131">
        <f t="shared" si="1"/>
        <v>0</v>
      </c>
      <c r="AP23" s="161">
        <f>0.7%+0.08%</f>
        <v>0.0078</v>
      </c>
      <c r="AQ23" s="192">
        <f t="shared" si="2"/>
        <v>0</v>
      </c>
      <c r="AR23" s="158"/>
      <c r="AS23" s="158"/>
      <c r="AT23" s="158"/>
      <c r="AU23" s="158"/>
      <c r="AV23" s="158"/>
      <c r="AW23" s="158"/>
      <c r="AX23" s="158"/>
      <c r="AY23" s="158"/>
      <c r="AZ23" s="158"/>
      <c r="BB23" s="158"/>
    </row>
    <row r="24" s="131" customFormat="1" customHeight="1" spans="1:69">
      <c r="A24" s="175">
        <v>5</v>
      </c>
      <c r="C24" s="144" t="s">
        <v>2785</v>
      </c>
      <c r="D24" s="131">
        <v>20240003958</v>
      </c>
      <c r="F24" s="726" t="s">
        <v>2786</v>
      </c>
      <c r="G24" s="131" t="s">
        <v>2787</v>
      </c>
      <c r="H24" s="726" t="s">
        <v>2788</v>
      </c>
      <c r="I24" s="191" t="s">
        <v>2789</v>
      </c>
      <c r="J24" s="131">
        <v>117.91</v>
      </c>
      <c r="K24" s="131">
        <v>117.91</v>
      </c>
      <c r="L24" s="131">
        <v>5784</v>
      </c>
      <c r="M24" s="158">
        <v>682000</v>
      </c>
      <c r="N24" s="192">
        <v>5784.07</v>
      </c>
      <c r="O24" s="188"/>
      <c r="P24" s="189"/>
      <c r="Q24" s="189"/>
      <c r="R24" s="158"/>
      <c r="S24" s="159"/>
      <c r="T24" s="175"/>
      <c r="U24" s="159" t="s">
        <v>422</v>
      </c>
      <c r="V24" s="158">
        <v>10000</v>
      </c>
      <c r="W24" s="159" t="s">
        <v>2790</v>
      </c>
      <c r="X24" s="158">
        <v>200000</v>
      </c>
      <c r="Y24" s="159" t="s">
        <v>2785</v>
      </c>
      <c r="Z24" s="158">
        <v>472000</v>
      </c>
      <c r="AA24" s="159" t="s">
        <v>2791</v>
      </c>
      <c r="AB24" s="158"/>
      <c r="AH24" s="158">
        <f t="shared" si="0"/>
        <v>682000</v>
      </c>
      <c r="AK24" s="189">
        <f>M24-AH24</f>
        <v>0</v>
      </c>
      <c r="AL24" s="131">
        <v>17789135370</v>
      </c>
      <c r="AO24" s="131">
        <f t="shared" si="1"/>
        <v>682000</v>
      </c>
      <c r="AP24" s="161">
        <f>0.7%+0.03%+0.08%</f>
        <v>0.0081</v>
      </c>
      <c r="AQ24" s="192">
        <f t="shared" si="2"/>
        <v>0</v>
      </c>
      <c r="AR24" s="158"/>
      <c r="AS24" s="158"/>
      <c r="AT24" s="158"/>
      <c r="AU24" s="158"/>
      <c r="AV24" s="158"/>
      <c r="AW24" s="158"/>
      <c r="AX24" s="158"/>
      <c r="AY24" s="158"/>
      <c r="AZ24" s="158"/>
      <c r="BB24" s="158"/>
      <c r="BK24" s="131">
        <v>210000</v>
      </c>
      <c r="BL24" s="131">
        <v>472000</v>
      </c>
      <c r="BQ24" s="131" t="s">
        <v>205</v>
      </c>
    </row>
    <row r="25" s="89" customFormat="1" customHeight="1" spans="1:54">
      <c r="A25" s="167">
        <v>6</v>
      </c>
      <c r="C25" s="174"/>
      <c r="I25" s="183" t="s">
        <v>2792</v>
      </c>
      <c r="J25" s="89">
        <v>117.54</v>
      </c>
      <c r="M25" s="168"/>
      <c r="N25" s="168">
        <v>5815.88</v>
      </c>
      <c r="O25" s="170"/>
      <c r="P25" s="184"/>
      <c r="Q25" s="184"/>
      <c r="R25" s="168"/>
      <c r="S25" s="171"/>
      <c r="T25" s="167"/>
      <c r="U25" s="171"/>
      <c r="V25" s="168"/>
      <c r="X25" s="168"/>
      <c r="Y25" s="197"/>
      <c r="AA25" s="170"/>
      <c r="AB25" s="168"/>
      <c r="AH25" s="168">
        <f t="shared" si="0"/>
        <v>0</v>
      </c>
      <c r="AK25" s="184"/>
      <c r="AO25" s="89">
        <f t="shared" si="1"/>
        <v>0</v>
      </c>
      <c r="AP25" s="203"/>
      <c r="AQ25" s="204">
        <f t="shared" si="2"/>
        <v>0</v>
      </c>
      <c r="AR25" s="168"/>
      <c r="AS25" s="168"/>
      <c r="AT25" s="168"/>
      <c r="AU25" s="168"/>
      <c r="AV25" s="168"/>
      <c r="AW25" s="168"/>
      <c r="AX25" s="168"/>
      <c r="AY25" s="168"/>
      <c r="AZ25" s="168"/>
      <c r="BB25" s="168"/>
    </row>
    <row r="26" s="89" customFormat="1" customHeight="1" spans="1:54">
      <c r="A26" s="167">
        <v>7</v>
      </c>
      <c r="C26" s="174"/>
      <c r="I26" s="185" t="s">
        <v>2793</v>
      </c>
      <c r="J26" s="89">
        <v>117.91</v>
      </c>
      <c r="M26" s="168"/>
      <c r="N26" s="168">
        <v>5825.88</v>
      </c>
      <c r="O26" s="170"/>
      <c r="P26" s="184"/>
      <c r="Q26" s="184"/>
      <c r="R26" s="168"/>
      <c r="S26" s="171"/>
      <c r="T26" s="167"/>
      <c r="U26" s="171"/>
      <c r="V26" s="168"/>
      <c r="X26" s="168"/>
      <c r="Y26" s="197"/>
      <c r="AA26" s="170"/>
      <c r="AB26" s="168"/>
      <c r="AH26" s="168">
        <f t="shared" si="0"/>
        <v>0</v>
      </c>
      <c r="AK26" s="184"/>
      <c r="AO26" s="89">
        <f t="shared" si="1"/>
        <v>0</v>
      </c>
      <c r="AP26" s="203"/>
      <c r="AQ26" s="204">
        <f t="shared" si="2"/>
        <v>0</v>
      </c>
      <c r="AR26" s="168"/>
      <c r="AS26" s="168"/>
      <c r="AT26" s="168"/>
      <c r="AU26" s="168"/>
      <c r="AV26" s="168"/>
      <c r="AW26" s="168"/>
      <c r="AX26" s="168"/>
      <c r="AY26" s="168"/>
      <c r="AZ26" s="168"/>
      <c r="BB26" s="168"/>
    </row>
    <row r="27" s="89" customFormat="1" customHeight="1" spans="1:54">
      <c r="A27" s="167">
        <v>8</v>
      </c>
      <c r="C27" s="174"/>
      <c r="I27" s="183" t="s">
        <v>2794</v>
      </c>
      <c r="J27" s="89">
        <v>117.54</v>
      </c>
      <c r="M27" s="168"/>
      <c r="N27" s="168">
        <v>5845.88</v>
      </c>
      <c r="O27" s="170"/>
      <c r="P27" s="184"/>
      <c r="Q27" s="184"/>
      <c r="R27" s="168"/>
      <c r="S27" s="171"/>
      <c r="T27" s="167"/>
      <c r="U27" s="171"/>
      <c r="V27" s="168"/>
      <c r="X27" s="168"/>
      <c r="Y27" s="197"/>
      <c r="AA27" s="170"/>
      <c r="AB27" s="168"/>
      <c r="AH27" s="168">
        <f t="shared" si="0"/>
        <v>0</v>
      </c>
      <c r="AK27" s="184"/>
      <c r="AO27" s="89">
        <f t="shared" si="1"/>
        <v>0</v>
      </c>
      <c r="AP27" s="203"/>
      <c r="AQ27" s="204">
        <f t="shared" si="2"/>
        <v>0</v>
      </c>
      <c r="AR27" s="168"/>
      <c r="AS27" s="168"/>
      <c r="AT27" s="168"/>
      <c r="AU27" s="168"/>
      <c r="AV27" s="168"/>
      <c r="AW27" s="168"/>
      <c r="AX27" s="168"/>
      <c r="AY27" s="168"/>
      <c r="AZ27" s="168"/>
      <c r="BB27" s="168"/>
    </row>
    <row r="28" s="131" customFormat="1" customHeight="1" spans="1:69">
      <c r="A28" s="175">
        <v>9</v>
      </c>
      <c r="C28" s="176">
        <v>45538</v>
      </c>
      <c r="D28" s="131">
        <v>20240005071</v>
      </c>
      <c r="F28" s="726" t="s">
        <v>2795</v>
      </c>
      <c r="G28" s="131" t="s">
        <v>2796</v>
      </c>
      <c r="H28" s="726" t="s">
        <v>2797</v>
      </c>
      <c r="I28" s="191" t="s">
        <v>2798</v>
      </c>
      <c r="J28" s="131">
        <v>117.91</v>
      </c>
      <c r="K28" s="131">
        <v>117.91</v>
      </c>
      <c r="L28" s="131">
        <f>M28/K28</f>
        <v>5549.99575947757</v>
      </c>
      <c r="M28" s="158">
        <v>654400</v>
      </c>
      <c r="N28" s="190">
        <v>5549.996</v>
      </c>
      <c r="O28" s="188"/>
      <c r="P28" s="189"/>
      <c r="Q28" s="189"/>
      <c r="R28" s="158">
        <v>375000</v>
      </c>
      <c r="S28" s="159" t="s">
        <v>434</v>
      </c>
      <c r="T28" s="175"/>
      <c r="U28" s="159" t="s">
        <v>226</v>
      </c>
      <c r="V28" s="158">
        <v>10000</v>
      </c>
      <c r="W28" s="159" t="s">
        <v>2799</v>
      </c>
      <c r="X28" s="158">
        <v>269400</v>
      </c>
      <c r="Y28" s="159">
        <v>45538</v>
      </c>
      <c r="Z28" s="158">
        <v>375000</v>
      </c>
      <c r="AA28" s="159" t="s">
        <v>434</v>
      </c>
      <c r="AB28" s="158"/>
      <c r="AH28" s="158">
        <f t="shared" si="0"/>
        <v>654400</v>
      </c>
      <c r="AK28" s="189">
        <f>M28-AH28</f>
        <v>0</v>
      </c>
      <c r="AL28" s="131">
        <v>18095839597</v>
      </c>
      <c r="AM28" s="131" t="s">
        <v>2800</v>
      </c>
      <c r="AO28" s="131">
        <f t="shared" si="1"/>
        <v>279400</v>
      </c>
      <c r="AP28" s="161">
        <f>0.7%+0.08%</f>
        <v>0.0078</v>
      </c>
      <c r="AQ28" s="192">
        <f t="shared" si="2"/>
        <v>0</v>
      </c>
      <c r="AR28" s="158"/>
      <c r="AS28" s="158"/>
      <c r="AT28" s="158"/>
      <c r="AU28" s="158"/>
      <c r="AV28" s="158"/>
      <c r="AW28" s="158"/>
      <c r="AX28" s="158"/>
      <c r="AY28" s="158"/>
      <c r="AZ28" s="158"/>
      <c r="BB28" s="158"/>
      <c r="BM28" s="131">
        <v>279400</v>
      </c>
      <c r="BO28" s="131">
        <f>AP28*BM28</f>
        <v>2179.32</v>
      </c>
      <c r="BQ28" s="131" t="s">
        <v>205</v>
      </c>
    </row>
    <row r="29" s="89" customFormat="1" customHeight="1" spans="1:54">
      <c r="A29" s="167">
        <v>10</v>
      </c>
      <c r="C29" s="174"/>
      <c r="I29" s="193" t="s">
        <v>2801</v>
      </c>
      <c r="J29" s="89">
        <v>117.54</v>
      </c>
      <c r="M29" s="168"/>
      <c r="N29" s="168">
        <v>5915.88</v>
      </c>
      <c r="O29" s="170"/>
      <c r="P29" s="184"/>
      <c r="Q29" s="184"/>
      <c r="R29" s="168"/>
      <c r="S29" s="171"/>
      <c r="T29" s="167"/>
      <c r="U29" s="171"/>
      <c r="V29" s="168"/>
      <c r="W29" s="171"/>
      <c r="X29" s="168"/>
      <c r="Y29" s="197"/>
      <c r="AA29" s="170"/>
      <c r="AB29" s="168"/>
      <c r="AH29" s="168">
        <f t="shared" si="0"/>
        <v>0</v>
      </c>
      <c r="AK29" s="184"/>
      <c r="AO29" s="89">
        <f t="shared" si="1"/>
        <v>0</v>
      </c>
      <c r="AP29" s="203"/>
      <c r="AQ29" s="204">
        <f t="shared" si="2"/>
        <v>100</v>
      </c>
      <c r="AR29" s="168"/>
      <c r="AS29" s="168"/>
      <c r="AT29" s="168"/>
      <c r="AU29" s="168"/>
      <c r="AV29" s="168"/>
      <c r="AW29" s="168"/>
      <c r="AX29" s="168"/>
      <c r="AY29" s="168">
        <v>100</v>
      </c>
      <c r="AZ29" s="168"/>
      <c r="BB29" s="168"/>
    </row>
    <row r="30" s="89" customFormat="1" customHeight="1" spans="1:54">
      <c r="A30" s="167">
        <v>11</v>
      </c>
      <c r="C30" s="174"/>
      <c r="I30" s="185" t="s">
        <v>2802</v>
      </c>
      <c r="J30" s="89">
        <v>117.91</v>
      </c>
      <c r="M30" s="168"/>
      <c r="N30" s="168">
        <v>5960.88</v>
      </c>
      <c r="O30" s="170"/>
      <c r="P30" s="184"/>
      <c r="Q30" s="184"/>
      <c r="R30" s="168"/>
      <c r="S30" s="171"/>
      <c r="T30" s="167"/>
      <c r="U30" s="171"/>
      <c r="V30" s="168"/>
      <c r="X30" s="168"/>
      <c r="Y30" s="197"/>
      <c r="AA30" s="170"/>
      <c r="AB30" s="168"/>
      <c r="AH30" s="168">
        <f t="shared" si="0"/>
        <v>0</v>
      </c>
      <c r="AK30" s="184"/>
      <c r="AO30" s="89">
        <f t="shared" si="1"/>
        <v>0</v>
      </c>
      <c r="AP30" s="203"/>
      <c r="AQ30" s="204">
        <f t="shared" si="2"/>
        <v>0</v>
      </c>
      <c r="AR30" s="168"/>
      <c r="AS30" s="168"/>
      <c r="AT30" s="168"/>
      <c r="AU30" s="168"/>
      <c r="AV30" s="168"/>
      <c r="AW30" s="168"/>
      <c r="AX30" s="168"/>
      <c r="AY30" s="168"/>
      <c r="AZ30" s="168"/>
      <c r="BB30" s="168"/>
    </row>
    <row r="31" s="131" customFormat="1" customHeight="1" spans="1:54">
      <c r="A31" s="175">
        <v>12</v>
      </c>
      <c r="C31" s="144"/>
      <c r="F31" s="726" t="s">
        <v>2803</v>
      </c>
      <c r="G31" s="131" t="s">
        <v>2804</v>
      </c>
      <c r="H31" s="726" t="s">
        <v>2805</v>
      </c>
      <c r="I31" s="187" t="s">
        <v>2806</v>
      </c>
      <c r="J31" s="131">
        <v>117.54</v>
      </c>
      <c r="K31" s="131">
        <v>117.54</v>
      </c>
      <c r="L31" s="131">
        <v>5980.88</v>
      </c>
      <c r="M31" s="158">
        <v>702993</v>
      </c>
      <c r="N31" s="158">
        <v>5980.88</v>
      </c>
      <c r="O31" s="188"/>
      <c r="P31" s="189"/>
      <c r="Q31" s="189"/>
      <c r="R31" s="158"/>
      <c r="S31" s="159"/>
      <c r="T31" s="727" t="s">
        <v>2807</v>
      </c>
      <c r="U31" s="159" t="s">
        <v>291</v>
      </c>
      <c r="V31" s="158">
        <v>2000</v>
      </c>
      <c r="W31" s="159" t="s">
        <v>2808</v>
      </c>
      <c r="X31" s="158">
        <v>18000</v>
      </c>
      <c r="Y31" s="159" t="s">
        <v>2809</v>
      </c>
      <c r="AA31" s="188"/>
      <c r="AB31" s="158"/>
      <c r="AH31" s="158">
        <f t="shared" si="0"/>
        <v>20000</v>
      </c>
      <c r="AK31" s="189">
        <f>M31-AH31</f>
        <v>682993</v>
      </c>
      <c r="AL31" s="131">
        <v>13779689564</v>
      </c>
      <c r="AO31" s="131">
        <f t="shared" si="1"/>
        <v>0</v>
      </c>
      <c r="AP31" s="161"/>
      <c r="AQ31" s="192">
        <f t="shared" si="2"/>
        <v>0</v>
      </c>
      <c r="AR31" s="158"/>
      <c r="AS31" s="158"/>
      <c r="AT31" s="158"/>
      <c r="AU31" s="158"/>
      <c r="AV31" s="158"/>
      <c r="AW31" s="158"/>
      <c r="AX31" s="158"/>
      <c r="AY31" s="158"/>
      <c r="AZ31" s="158"/>
      <c r="BB31" s="158"/>
    </row>
    <row r="32" s="89" customFormat="1" customHeight="1" spans="1:54">
      <c r="A32" s="167">
        <v>13</v>
      </c>
      <c r="C32" s="174"/>
      <c r="I32" s="185" t="s">
        <v>2810</v>
      </c>
      <c r="J32" s="89">
        <v>117.91</v>
      </c>
      <c r="M32" s="168"/>
      <c r="N32" s="168">
        <v>6005.88</v>
      </c>
      <c r="O32" s="170"/>
      <c r="P32" s="184"/>
      <c r="Q32" s="184"/>
      <c r="R32" s="168"/>
      <c r="S32" s="171"/>
      <c r="T32" s="167"/>
      <c r="U32" s="171"/>
      <c r="V32" s="168"/>
      <c r="X32" s="168"/>
      <c r="Y32" s="197"/>
      <c r="AA32" s="170"/>
      <c r="AB32" s="168"/>
      <c r="AH32" s="168">
        <f t="shared" si="0"/>
        <v>0</v>
      </c>
      <c r="AK32" s="184"/>
      <c r="AO32" s="89">
        <f t="shared" si="1"/>
        <v>0</v>
      </c>
      <c r="AP32" s="203"/>
      <c r="AQ32" s="204">
        <f t="shared" si="2"/>
        <v>0</v>
      </c>
      <c r="AR32" s="168"/>
      <c r="AS32" s="168"/>
      <c r="AT32" s="168"/>
      <c r="AU32" s="168"/>
      <c r="AV32" s="168"/>
      <c r="AW32" s="168"/>
      <c r="AX32" s="168"/>
      <c r="AY32" s="168"/>
      <c r="AZ32" s="168"/>
      <c r="BB32" s="168"/>
    </row>
    <row r="33" s="89" customFormat="1" customHeight="1" spans="1:54">
      <c r="A33" s="167">
        <v>14</v>
      </c>
      <c r="C33" s="174"/>
      <c r="I33" s="183" t="s">
        <v>2811</v>
      </c>
      <c r="J33" s="89">
        <v>117.54</v>
      </c>
      <c r="M33" s="168"/>
      <c r="N33" s="168">
        <v>6025.88</v>
      </c>
      <c r="O33" s="170"/>
      <c r="P33" s="184"/>
      <c r="Q33" s="184"/>
      <c r="R33" s="168"/>
      <c r="S33" s="171"/>
      <c r="T33" s="167"/>
      <c r="U33" s="171"/>
      <c r="V33" s="168"/>
      <c r="X33" s="168"/>
      <c r="Y33" s="197"/>
      <c r="AA33" s="170"/>
      <c r="AB33" s="168"/>
      <c r="AH33" s="168">
        <f t="shared" si="0"/>
        <v>0</v>
      </c>
      <c r="AK33" s="184"/>
      <c r="AO33" s="89">
        <f t="shared" si="1"/>
        <v>0</v>
      </c>
      <c r="AP33" s="203"/>
      <c r="AQ33" s="204">
        <f t="shared" si="2"/>
        <v>0</v>
      </c>
      <c r="AR33" s="168"/>
      <c r="AS33" s="168"/>
      <c r="AT33" s="168"/>
      <c r="AU33" s="168"/>
      <c r="AV33" s="168"/>
      <c r="AW33" s="168"/>
      <c r="AX33" s="168"/>
      <c r="AY33" s="168"/>
      <c r="AZ33" s="168"/>
      <c r="BB33" s="168"/>
    </row>
    <row r="34" s="89" customFormat="1" customHeight="1" spans="1:54">
      <c r="A34" s="167">
        <v>15</v>
      </c>
      <c r="C34" s="174"/>
      <c r="I34" s="185" t="s">
        <v>2812</v>
      </c>
      <c r="J34" s="89">
        <v>117.91</v>
      </c>
      <c r="M34" s="168"/>
      <c r="N34" s="168">
        <v>6030.88</v>
      </c>
      <c r="O34" s="170"/>
      <c r="P34" s="184"/>
      <c r="Q34" s="184"/>
      <c r="R34" s="168"/>
      <c r="S34" s="171"/>
      <c r="T34" s="167"/>
      <c r="U34" s="171"/>
      <c r="V34" s="168"/>
      <c r="X34" s="168"/>
      <c r="Y34" s="197"/>
      <c r="AA34" s="170"/>
      <c r="AB34" s="168"/>
      <c r="AH34" s="168">
        <f t="shared" si="0"/>
        <v>0</v>
      </c>
      <c r="AK34" s="184"/>
      <c r="AO34" s="89">
        <f t="shared" si="1"/>
        <v>0</v>
      </c>
      <c r="AP34" s="203"/>
      <c r="AQ34" s="204">
        <f t="shared" si="2"/>
        <v>0</v>
      </c>
      <c r="AR34" s="168"/>
      <c r="AS34" s="168"/>
      <c r="AT34" s="168"/>
      <c r="AU34" s="168"/>
      <c r="AV34" s="168"/>
      <c r="AW34" s="168"/>
      <c r="AX34" s="168"/>
      <c r="AY34" s="168"/>
      <c r="AZ34" s="168"/>
      <c r="BB34" s="168"/>
    </row>
    <row r="35" s="89" customFormat="1" customHeight="1" spans="1:54">
      <c r="A35" s="167">
        <v>16</v>
      </c>
      <c r="C35" s="174"/>
      <c r="I35" s="183" t="s">
        <v>2813</v>
      </c>
      <c r="J35" s="89">
        <v>117.54</v>
      </c>
      <c r="M35" s="168"/>
      <c r="N35" s="168">
        <v>6050.88</v>
      </c>
      <c r="O35" s="170"/>
      <c r="P35" s="184"/>
      <c r="Q35" s="184"/>
      <c r="R35" s="168"/>
      <c r="S35" s="171"/>
      <c r="T35" s="167"/>
      <c r="U35" s="171"/>
      <c r="V35" s="168"/>
      <c r="X35" s="168"/>
      <c r="Y35" s="197"/>
      <c r="AA35" s="170"/>
      <c r="AB35" s="168"/>
      <c r="AH35" s="168">
        <f t="shared" si="0"/>
        <v>0</v>
      </c>
      <c r="AK35" s="184"/>
      <c r="AO35" s="89">
        <f t="shared" si="1"/>
        <v>0</v>
      </c>
      <c r="AP35" s="203"/>
      <c r="AQ35" s="204">
        <f t="shared" si="2"/>
        <v>0</v>
      </c>
      <c r="AR35" s="168"/>
      <c r="AS35" s="168"/>
      <c r="AT35" s="168"/>
      <c r="AU35" s="168"/>
      <c r="AV35" s="168"/>
      <c r="AW35" s="168"/>
      <c r="AX35" s="168"/>
      <c r="AY35" s="168"/>
      <c r="AZ35" s="168"/>
      <c r="BB35" s="168"/>
    </row>
    <row r="36" s="131" customFormat="1" customHeight="1" spans="1:54">
      <c r="A36" s="175">
        <v>17</v>
      </c>
      <c r="C36" s="144"/>
      <c r="F36" s="726" t="s">
        <v>2814</v>
      </c>
      <c r="G36" s="131" t="s">
        <v>2815</v>
      </c>
      <c r="H36" s="726" t="s">
        <v>2816</v>
      </c>
      <c r="I36" s="191" t="s">
        <v>2817</v>
      </c>
      <c r="J36" s="131">
        <v>117.91</v>
      </c>
      <c r="K36" s="131">
        <v>117.91</v>
      </c>
      <c r="L36" s="131">
        <f>M36/K36</f>
        <v>6139.91179713341</v>
      </c>
      <c r="M36" s="158">
        <v>723957</v>
      </c>
      <c r="N36" s="158">
        <v>6055.88</v>
      </c>
      <c r="O36" s="188"/>
      <c r="P36" s="189"/>
      <c r="Q36" s="189"/>
      <c r="R36" s="158"/>
      <c r="S36" s="159"/>
      <c r="T36" s="175"/>
      <c r="U36" s="159" t="s">
        <v>291</v>
      </c>
      <c r="V36" s="158">
        <v>20000</v>
      </c>
      <c r="W36" s="159" t="s">
        <v>2818</v>
      </c>
      <c r="X36" s="158"/>
      <c r="Y36" s="198"/>
      <c r="AA36" s="188"/>
      <c r="AB36" s="158"/>
      <c r="AH36" s="158">
        <f t="shared" si="0"/>
        <v>20000</v>
      </c>
      <c r="AK36" s="189">
        <f>M36-AH36</f>
        <v>703957</v>
      </c>
      <c r="AL36" s="131">
        <v>18571641326</v>
      </c>
      <c r="AO36" s="131">
        <f t="shared" si="1"/>
        <v>0</v>
      </c>
      <c r="AP36" s="161">
        <f>0.5%+0.02%+0.08%</f>
        <v>0.006</v>
      </c>
      <c r="AQ36" s="192">
        <f t="shared" si="2"/>
        <v>0</v>
      </c>
      <c r="AR36" s="158"/>
      <c r="AS36" s="158"/>
      <c r="AT36" s="158"/>
      <c r="AU36" s="158"/>
      <c r="AV36" s="158"/>
      <c r="AW36" s="158"/>
      <c r="AX36" s="158"/>
      <c r="AY36" s="158"/>
      <c r="AZ36" s="158"/>
      <c r="BB36" s="158"/>
    </row>
    <row r="37" s="89" customFormat="1" customHeight="1" spans="1:54">
      <c r="A37" s="167">
        <v>18</v>
      </c>
      <c r="C37" s="174"/>
      <c r="I37" s="183" t="s">
        <v>2819</v>
      </c>
      <c r="J37" s="89">
        <v>117.54</v>
      </c>
      <c r="M37" s="168"/>
      <c r="N37" s="168">
        <v>6075.88</v>
      </c>
      <c r="O37" s="170"/>
      <c r="P37" s="184"/>
      <c r="Q37" s="184"/>
      <c r="R37" s="168"/>
      <c r="S37" s="171"/>
      <c r="T37" s="167"/>
      <c r="U37" s="171"/>
      <c r="V37" s="168"/>
      <c r="X37" s="168"/>
      <c r="Y37" s="197"/>
      <c r="AA37" s="170"/>
      <c r="AB37" s="168"/>
      <c r="AH37" s="168">
        <f t="shared" si="0"/>
        <v>0</v>
      </c>
      <c r="AK37" s="184"/>
      <c r="AO37" s="89">
        <f t="shared" si="1"/>
        <v>0</v>
      </c>
      <c r="AP37" s="203"/>
      <c r="AQ37" s="204">
        <f t="shared" si="2"/>
        <v>0</v>
      </c>
      <c r="AR37" s="168"/>
      <c r="AS37" s="168"/>
      <c r="AT37" s="168"/>
      <c r="AU37" s="168"/>
      <c r="AV37" s="168"/>
      <c r="AW37" s="168"/>
      <c r="AX37" s="168"/>
      <c r="AY37" s="168"/>
      <c r="AZ37" s="168"/>
      <c r="BB37" s="168"/>
    </row>
    <row r="38" s="89" customFormat="1" customHeight="1" spans="1:54">
      <c r="A38" s="167">
        <v>19</v>
      </c>
      <c r="C38" s="174"/>
      <c r="I38" s="185" t="s">
        <v>2820</v>
      </c>
      <c r="J38" s="89">
        <v>117.91</v>
      </c>
      <c r="M38" s="168"/>
      <c r="N38" s="168">
        <v>6075.88</v>
      </c>
      <c r="O38" s="170"/>
      <c r="P38" s="184"/>
      <c r="Q38" s="184"/>
      <c r="R38" s="168"/>
      <c r="S38" s="171"/>
      <c r="T38" s="167"/>
      <c r="U38" s="171"/>
      <c r="V38" s="168"/>
      <c r="X38" s="168"/>
      <c r="Y38" s="197"/>
      <c r="AA38" s="170"/>
      <c r="AB38" s="168"/>
      <c r="AH38" s="168">
        <f t="shared" si="0"/>
        <v>0</v>
      </c>
      <c r="AK38" s="184"/>
      <c r="AO38" s="89">
        <f t="shared" si="1"/>
        <v>0</v>
      </c>
      <c r="AP38" s="203"/>
      <c r="AQ38" s="204">
        <f t="shared" si="2"/>
        <v>0</v>
      </c>
      <c r="AR38" s="168"/>
      <c r="AS38" s="168"/>
      <c r="AT38" s="168"/>
      <c r="AU38" s="168"/>
      <c r="AV38" s="168"/>
      <c r="AW38" s="168"/>
      <c r="AX38" s="168"/>
      <c r="AY38" s="168"/>
      <c r="AZ38" s="168"/>
      <c r="BB38" s="168"/>
    </row>
    <row r="39" s="89" customFormat="1" customHeight="1" spans="1:54">
      <c r="A39" s="167">
        <v>20</v>
      </c>
      <c r="C39" s="174"/>
      <c r="I39" s="185" t="s">
        <v>2821</v>
      </c>
      <c r="J39" s="89">
        <v>117.54</v>
      </c>
      <c r="M39" s="168"/>
      <c r="N39" s="168">
        <v>6095.88</v>
      </c>
      <c r="O39" s="170"/>
      <c r="P39" s="184"/>
      <c r="Q39" s="184"/>
      <c r="R39" s="168"/>
      <c r="S39" s="171"/>
      <c r="T39" s="167"/>
      <c r="U39" s="171"/>
      <c r="V39" s="168"/>
      <c r="X39" s="168"/>
      <c r="Y39" s="197"/>
      <c r="AA39" s="170"/>
      <c r="AB39" s="168"/>
      <c r="AH39" s="168">
        <f t="shared" si="0"/>
        <v>0</v>
      </c>
      <c r="AK39" s="184"/>
      <c r="AO39" s="89">
        <f t="shared" si="1"/>
        <v>0</v>
      </c>
      <c r="AP39" s="203"/>
      <c r="AQ39" s="204">
        <f t="shared" si="2"/>
        <v>0</v>
      </c>
      <c r="AR39" s="168"/>
      <c r="AS39" s="168"/>
      <c r="AT39" s="168"/>
      <c r="AU39" s="168"/>
      <c r="AV39" s="168"/>
      <c r="AW39" s="168"/>
      <c r="AX39" s="168"/>
      <c r="AY39" s="168"/>
      <c r="AZ39" s="168"/>
      <c r="BB39" s="168"/>
    </row>
    <row r="40" s="131" customFormat="1" customHeight="1" spans="1:67">
      <c r="A40" s="175">
        <v>21</v>
      </c>
      <c r="C40" s="176">
        <v>45548</v>
      </c>
      <c r="D40" s="131">
        <v>20240005254</v>
      </c>
      <c r="F40" s="726" t="s">
        <v>2822</v>
      </c>
      <c r="G40" s="131" t="s">
        <v>2823</v>
      </c>
      <c r="H40" s="726" t="s">
        <v>2824</v>
      </c>
      <c r="I40" s="191" t="s">
        <v>2825</v>
      </c>
      <c r="J40" s="131">
        <v>117.91</v>
      </c>
      <c r="K40" s="131">
        <v>117.91</v>
      </c>
      <c r="L40" s="131">
        <f>M40/K40</f>
        <v>6784.83589178187</v>
      </c>
      <c r="M40" s="158">
        <v>800000</v>
      </c>
      <c r="N40" s="190">
        <v>6784.835</v>
      </c>
      <c r="O40" s="188"/>
      <c r="P40" s="189"/>
      <c r="Q40" s="189"/>
      <c r="R40" s="158"/>
      <c r="S40" s="159"/>
      <c r="T40" s="175"/>
      <c r="U40" s="159" t="s">
        <v>408</v>
      </c>
      <c r="V40" s="158">
        <v>20000</v>
      </c>
      <c r="W40" s="159" t="s">
        <v>2826</v>
      </c>
      <c r="X40" s="158">
        <v>100000</v>
      </c>
      <c r="Y40" s="159" t="s">
        <v>2827</v>
      </c>
      <c r="AA40" s="188"/>
      <c r="AB40" s="158"/>
      <c r="AH40" s="158">
        <f t="shared" si="0"/>
        <v>120000</v>
      </c>
      <c r="AK40" s="189">
        <f>M40-AH40</f>
        <v>680000</v>
      </c>
      <c r="AL40" s="131">
        <v>15840846835</v>
      </c>
      <c r="AM40" s="144" t="s">
        <v>2828</v>
      </c>
      <c r="AO40" s="131">
        <f t="shared" si="1"/>
        <v>120000</v>
      </c>
      <c r="AP40" s="161">
        <f>0.4%+0.02%+0.08%</f>
        <v>0.005</v>
      </c>
      <c r="AQ40" s="192">
        <f t="shared" si="2"/>
        <v>0</v>
      </c>
      <c r="AR40" s="158"/>
      <c r="AS40" s="158"/>
      <c r="AT40" s="158"/>
      <c r="AU40" s="158"/>
      <c r="AV40" s="158"/>
      <c r="AW40" s="158"/>
      <c r="AX40" s="158"/>
      <c r="AY40" s="158"/>
      <c r="AZ40" s="158"/>
      <c r="BB40" s="158"/>
      <c r="BM40" s="131">
        <v>120000</v>
      </c>
      <c r="BO40" s="131">
        <f>AP40*BM40</f>
        <v>600</v>
      </c>
    </row>
    <row r="41" s="89" customFormat="1" customHeight="1" spans="1:54">
      <c r="A41" s="167">
        <v>22</v>
      </c>
      <c r="C41" s="174"/>
      <c r="I41" s="185" t="s">
        <v>2829</v>
      </c>
      <c r="J41" s="89">
        <v>117.54</v>
      </c>
      <c r="M41" s="168"/>
      <c r="N41" s="168">
        <v>7122.5</v>
      </c>
      <c r="O41" s="170"/>
      <c r="P41" s="184"/>
      <c r="Q41" s="184"/>
      <c r="R41" s="168"/>
      <c r="S41" s="171"/>
      <c r="T41" s="167"/>
      <c r="U41" s="171"/>
      <c r="V41" s="168"/>
      <c r="X41" s="168"/>
      <c r="Y41" s="197"/>
      <c r="AA41" s="170"/>
      <c r="AB41" s="168"/>
      <c r="AH41" s="168">
        <f t="shared" si="0"/>
        <v>0</v>
      </c>
      <c r="AK41" s="184"/>
      <c r="AO41" s="89">
        <f t="shared" si="1"/>
        <v>0</v>
      </c>
      <c r="AP41" s="203"/>
      <c r="AQ41" s="204">
        <f t="shared" si="2"/>
        <v>0</v>
      </c>
      <c r="AR41" s="168"/>
      <c r="AS41" s="168"/>
      <c r="AT41" s="168"/>
      <c r="AU41" s="168"/>
      <c r="AV41" s="168"/>
      <c r="AW41" s="168"/>
      <c r="AX41" s="168"/>
      <c r="AY41" s="168"/>
      <c r="AZ41" s="168"/>
      <c r="BB41" s="168"/>
    </row>
    <row r="42" s="89" customFormat="1" customHeight="1" spans="1:54">
      <c r="A42" s="167">
        <v>23</v>
      </c>
      <c r="C42" s="174"/>
      <c r="I42" s="185" t="s">
        <v>2830</v>
      </c>
      <c r="J42" s="89">
        <v>119.13</v>
      </c>
      <c r="M42" s="168"/>
      <c r="N42" s="168">
        <v>8462.5</v>
      </c>
      <c r="O42" s="170"/>
      <c r="P42" s="184"/>
      <c r="Q42" s="184"/>
      <c r="R42" s="168"/>
      <c r="S42" s="171"/>
      <c r="T42" s="167"/>
      <c r="U42" s="171"/>
      <c r="V42" s="168"/>
      <c r="W42" s="171"/>
      <c r="X42" s="168"/>
      <c r="Y42" s="197"/>
      <c r="AA42" s="170"/>
      <c r="AB42" s="168"/>
      <c r="AH42" s="168">
        <f t="shared" si="0"/>
        <v>0</v>
      </c>
      <c r="AK42" s="184"/>
      <c r="AO42" s="89">
        <f t="shared" si="1"/>
        <v>0</v>
      </c>
      <c r="AP42" s="203"/>
      <c r="AQ42" s="204">
        <f t="shared" si="2"/>
        <v>0</v>
      </c>
      <c r="AR42" s="168"/>
      <c r="AS42" s="168"/>
      <c r="AT42" s="168"/>
      <c r="AU42" s="168"/>
      <c r="AV42" s="168"/>
      <c r="AW42" s="168"/>
      <c r="AX42" s="168"/>
      <c r="AY42" s="168"/>
      <c r="AZ42" s="168"/>
      <c r="BB42" s="168"/>
    </row>
    <row r="43" s="89" customFormat="1" customHeight="1" spans="1:54">
      <c r="A43" s="167">
        <v>24</v>
      </c>
      <c r="C43" s="174"/>
      <c r="I43" s="185" t="s">
        <v>2831</v>
      </c>
      <c r="J43" s="89">
        <v>118.93</v>
      </c>
      <c r="M43" s="168"/>
      <c r="N43" s="168">
        <v>8432.5</v>
      </c>
      <c r="O43" s="170"/>
      <c r="P43" s="184"/>
      <c r="Q43" s="184"/>
      <c r="R43" s="168"/>
      <c r="S43" s="171"/>
      <c r="T43" s="167"/>
      <c r="U43" s="171"/>
      <c r="V43" s="168"/>
      <c r="X43" s="168"/>
      <c r="Y43" s="197"/>
      <c r="AA43" s="170"/>
      <c r="AB43" s="168"/>
      <c r="AH43" s="168">
        <f t="shared" si="0"/>
        <v>0</v>
      </c>
      <c r="AK43" s="184"/>
      <c r="AO43" s="89">
        <f t="shared" si="1"/>
        <v>0</v>
      </c>
      <c r="AP43" s="203"/>
      <c r="AQ43" s="204">
        <f t="shared" si="2"/>
        <v>0</v>
      </c>
      <c r="AR43" s="168"/>
      <c r="AS43" s="168"/>
      <c r="AT43" s="168"/>
      <c r="AU43" s="168"/>
      <c r="AV43" s="168"/>
      <c r="AW43" s="168"/>
      <c r="AX43" s="168"/>
      <c r="AY43" s="168"/>
      <c r="AZ43" s="168"/>
      <c r="BB43" s="168"/>
    </row>
    <row r="44" s="89" customFormat="1" customHeight="1" spans="1:54">
      <c r="A44" s="167">
        <v>25</v>
      </c>
      <c r="C44" s="174"/>
      <c r="I44" s="185" t="s">
        <v>2832</v>
      </c>
      <c r="J44" s="89">
        <v>117.54</v>
      </c>
      <c r="M44" s="168"/>
      <c r="N44" s="168">
        <v>5790.6</v>
      </c>
      <c r="O44" s="170"/>
      <c r="P44" s="184"/>
      <c r="Q44" s="184"/>
      <c r="R44" s="168"/>
      <c r="S44" s="171"/>
      <c r="T44" s="167"/>
      <c r="U44" s="171"/>
      <c r="V44" s="168"/>
      <c r="X44" s="168"/>
      <c r="Y44" s="197"/>
      <c r="AA44" s="170"/>
      <c r="AB44" s="168"/>
      <c r="AH44" s="168">
        <f t="shared" si="0"/>
        <v>0</v>
      </c>
      <c r="AK44" s="184"/>
      <c r="AO44" s="89">
        <f t="shared" si="1"/>
        <v>0</v>
      </c>
      <c r="AP44" s="203"/>
      <c r="AQ44" s="204">
        <f t="shared" si="2"/>
        <v>0</v>
      </c>
      <c r="AR44" s="168"/>
      <c r="AS44" s="168"/>
      <c r="AT44" s="168"/>
      <c r="AU44" s="168"/>
      <c r="AV44" s="168"/>
      <c r="AW44" s="168"/>
      <c r="AX44" s="168"/>
      <c r="AY44" s="168"/>
      <c r="AZ44" s="168"/>
      <c r="BB44" s="168"/>
    </row>
    <row r="45" s="89" customFormat="1" customHeight="1" spans="1:54">
      <c r="A45" s="167">
        <v>26</v>
      </c>
      <c r="C45" s="174"/>
      <c r="I45" s="185" t="s">
        <v>2833</v>
      </c>
      <c r="J45" s="89">
        <v>117.54</v>
      </c>
      <c r="M45" s="168"/>
      <c r="N45" s="168">
        <v>5735.6</v>
      </c>
      <c r="O45" s="170"/>
      <c r="P45" s="184"/>
      <c r="Q45" s="184"/>
      <c r="R45" s="168"/>
      <c r="S45" s="171"/>
      <c r="T45" s="167"/>
      <c r="U45" s="171"/>
      <c r="V45" s="168"/>
      <c r="X45" s="168"/>
      <c r="Y45" s="197"/>
      <c r="AA45" s="170"/>
      <c r="AB45" s="168"/>
      <c r="AH45" s="168">
        <f t="shared" si="0"/>
        <v>0</v>
      </c>
      <c r="AK45" s="184"/>
      <c r="AO45" s="89">
        <f t="shared" si="1"/>
        <v>0</v>
      </c>
      <c r="AP45" s="203"/>
      <c r="AQ45" s="204">
        <f t="shared" si="2"/>
        <v>0</v>
      </c>
      <c r="AR45" s="168"/>
      <c r="AS45" s="168"/>
      <c r="AT45" s="168"/>
      <c r="AU45" s="168"/>
      <c r="AV45" s="168"/>
      <c r="AW45" s="168"/>
      <c r="AX45" s="168"/>
      <c r="AY45" s="168"/>
      <c r="AZ45" s="168"/>
      <c r="BB45" s="168"/>
    </row>
    <row r="46" s="89" customFormat="1" customHeight="1" spans="1:54">
      <c r="A46" s="167">
        <v>27</v>
      </c>
      <c r="C46" s="174"/>
      <c r="I46" s="185" t="s">
        <v>2834</v>
      </c>
      <c r="J46" s="89">
        <v>117.54</v>
      </c>
      <c r="M46" s="168"/>
      <c r="N46" s="168">
        <v>5840.88</v>
      </c>
      <c r="O46" s="170"/>
      <c r="P46" s="184"/>
      <c r="Q46" s="184"/>
      <c r="R46" s="168"/>
      <c r="S46" s="171"/>
      <c r="T46" s="167"/>
      <c r="U46" s="171"/>
      <c r="V46" s="168"/>
      <c r="X46" s="168"/>
      <c r="Y46" s="197"/>
      <c r="AA46" s="170"/>
      <c r="AB46" s="168"/>
      <c r="AH46" s="168">
        <f t="shared" si="0"/>
        <v>0</v>
      </c>
      <c r="AK46" s="184"/>
      <c r="AO46" s="89">
        <f t="shared" si="1"/>
        <v>0</v>
      </c>
      <c r="AP46" s="203"/>
      <c r="AQ46" s="204">
        <f t="shared" si="2"/>
        <v>0</v>
      </c>
      <c r="AR46" s="168"/>
      <c r="AS46" s="168"/>
      <c r="AT46" s="168"/>
      <c r="AU46" s="168"/>
      <c r="AV46" s="168"/>
      <c r="AW46" s="168"/>
      <c r="AX46" s="168"/>
      <c r="AY46" s="168"/>
      <c r="AZ46" s="168"/>
      <c r="BB46" s="168"/>
    </row>
    <row r="47" s="89" customFormat="1" customHeight="1" spans="1:54">
      <c r="A47" s="167">
        <v>28</v>
      </c>
      <c r="C47" s="174"/>
      <c r="I47" s="185" t="s">
        <v>2835</v>
      </c>
      <c r="J47" s="89">
        <v>117.54</v>
      </c>
      <c r="M47" s="168"/>
      <c r="N47" s="168">
        <v>5785.88</v>
      </c>
      <c r="O47" s="170"/>
      <c r="P47" s="184"/>
      <c r="Q47" s="184"/>
      <c r="R47" s="168"/>
      <c r="S47" s="171"/>
      <c r="T47" s="167"/>
      <c r="U47" s="171"/>
      <c r="V47" s="168"/>
      <c r="X47" s="168"/>
      <c r="Y47" s="197"/>
      <c r="AA47" s="170"/>
      <c r="AB47" s="168"/>
      <c r="AH47" s="168">
        <f t="shared" si="0"/>
        <v>0</v>
      </c>
      <c r="AK47" s="184"/>
      <c r="AO47" s="89">
        <f t="shared" si="1"/>
        <v>0</v>
      </c>
      <c r="AP47" s="203"/>
      <c r="AQ47" s="204">
        <f t="shared" si="2"/>
        <v>0</v>
      </c>
      <c r="AR47" s="168"/>
      <c r="AS47" s="168"/>
      <c r="AT47" s="168"/>
      <c r="AU47" s="168"/>
      <c r="AV47" s="168"/>
      <c r="AW47" s="168"/>
      <c r="AX47" s="168"/>
      <c r="AY47" s="168"/>
      <c r="AZ47" s="168"/>
      <c r="BB47" s="168"/>
    </row>
    <row r="48" s="89" customFormat="1" customHeight="1" spans="1:54">
      <c r="A48" s="167">
        <v>29</v>
      </c>
      <c r="C48" s="174"/>
      <c r="I48" s="185" t="s">
        <v>2836</v>
      </c>
      <c r="J48" s="89">
        <v>117.54</v>
      </c>
      <c r="M48" s="168"/>
      <c r="N48" s="168">
        <v>5870.88</v>
      </c>
      <c r="O48" s="170"/>
      <c r="P48" s="184"/>
      <c r="Q48" s="184"/>
      <c r="R48" s="168"/>
      <c r="S48" s="171"/>
      <c r="T48" s="167"/>
      <c r="U48" s="171"/>
      <c r="V48" s="168"/>
      <c r="X48" s="168"/>
      <c r="Y48" s="197"/>
      <c r="AA48" s="170"/>
      <c r="AB48" s="168"/>
      <c r="AH48" s="168">
        <f t="shared" si="0"/>
        <v>0</v>
      </c>
      <c r="AK48" s="184"/>
      <c r="AO48" s="89">
        <f t="shared" si="1"/>
        <v>0</v>
      </c>
      <c r="AP48" s="203"/>
      <c r="AQ48" s="204">
        <f t="shared" si="2"/>
        <v>0</v>
      </c>
      <c r="AR48" s="168"/>
      <c r="AS48" s="168"/>
      <c r="AT48" s="168"/>
      <c r="AU48" s="168"/>
      <c r="AV48" s="168"/>
      <c r="AW48" s="168"/>
      <c r="AX48" s="168"/>
      <c r="AY48" s="168"/>
      <c r="AZ48" s="168"/>
      <c r="BB48" s="168"/>
    </row>
    <row r="49" s="89" customFormat="1" customHeight="1" spans="1:54">
      <c r="A49" s="167">
        <v>30</v>
      </c>
      <c r="C49" s="174"/>
      <c r="I49" s="185" t="s">
        <v>2837</v>
      </c>
      <c r="J49" s="89">
        <v>117.54</v>
      </c>
      <c r="M49" s="168"/>
      <c r="N49" s="168">
        <v>5815.88</v>
      </c>
      <c r="O49" s="170"/>
      <c r="P49" s="184"/>
      <c r="Q49" s="184"/>
      <c r="R49" s="168"/>
      <c r="S49" s="171"/>
      <c r="T49" s="167"/>
      <c r="U49" s="171"/>
      <c r="V49" s="168"/>
      <c r="X49" s="168"/>
      <c r="Y49" s="197"/>
      <c r="AA49" s="170"/>
      <c r="AB49" s="168"/>
      <c r="AH49" s="168">
        <f t="shared" si="0"/>
        <v>0</v>
      </c>
      <c r="AK49" s="184"/>
      <c r="AO49" s="89">
        <f t="shared" si="1"/>
        <v>0</v>
      </c>
      <c r="AP49" s="203"/>
      <c r="AQ49" s="204">
        <f t="shared" si="2"/>
        <v>0</v>
      </c>
      <c r="AR49" s="168"/>
      <c r="AS49" s="168"/>
      <c r="AT49" s="168"/>
      <c r="AU49" s="168"/>
      <c r="AV49" s="168"/>
      <c r="AW49" s="168"/>
      <c r="AX49" s="168"/>
      <c r="AY49" s="168"/>
      <c r="AZ49" s="168"/>
      <c r="BB49" s="168"/>
    </row>
    <row r="50" s="131" customFormat="1" customHeight="1" spans="1:54">
      <c r="A50" s="175">
        <v>31</v>
      </c>
      <c r="B50" s="131"/>
      <c r="C50" s="144" t="s">
        <v>98</v>
      </c>
      <c r="D50" s="131">
        <v>20240005506</v>
      </c>
      <c r="F50" s="131" t="s">
        <v>2838</v>
      </c>
      <c r="G50" s="131" t="s">
        <v>2839</v>
      </c>
      <c r="H50" s="726" t="s">
        <v>2840</v>
      </c>
      <c r="I50" s="191" t="s">
        <v>2841</v>
      </c>
      <c r="J50" s="131">
        <v>117.54</v>
      </c>
      <c r="K50" s="131">
        <v>117.54</v>
      </c>
      <c r="L50" s="131">
        <f t="shared" ref="L50:L55" si="3">M50/K50</f>
        <v>5785.26459077761</v>
      </c>
      <c r="M50" s="158">
        <v>680000</v>
      </c>
      <c r="N50" s="158">
        <v>5785.265</v>
      </c>
      <c r="O50" s="188"/>
      <c r="P50" s="189"/>
      <c r="Q50" s="189"/>
      <c r="R50" s="158">
        <v>140000</v>
      </c>
      <c r="S50" s="159" t="s">
        <v>98</v>
      </c>
      <c r="T50" s="175"/>
      <c r="U50" s="159" t="s">
        <v>298</v>
      </c>
      <c r="V50" s="158">
        <v>110000</v>
      </c>
      <c r="W50" s="159" t="s">
        <v>2842</v>
      </c>
      <c r="X50" s="158">
        <v>140000</v>
      </c>
      <c r="Y50" s="159" t="s">
        <v>98</v>
      </c>
      <c r="AA50" s="188"/>
      <c r="AB50" s="158"/>
      <c r="AH50" s="158">
        <f t="shared" si="0"/>
        <v>250000</v>
      </c>
      <c r="AK50" s="189">
        <f t="shared" ref="AK50:AK55" si="4">M50-AH50</f>
        <v>430000</v>
      </c>
      <c r="AL50" s="131">
        <v>18233138794</v>
      </c>
      <c r="AM50" s="131" t="s">
        <v>2843</v>
      </c>
      <c r="AO50" s="131">
        <f t="shared" si="1"/>
        <v>0</v>
      </c>
      <c r="AP50" s="161">
        <f>0.4%+0.02%+0.1%</f>
        <v>0.0052</v>
      </c>
      <c r="AQ50" s="192">
        <f t="shared" si="2"/>
        <v>0</v>
      </c>
      <c r="AR50" s="158"/>
      <c r="AS50" s="158"/>
      <c r="AT50" s="158"/>
      <c r="AU50" s="158"/>
      <c r="AV50" s="158"/>
      <c r="AW50" s="158"/>
      <c r="AX50" s="158"/>
      <c r="AY50" s="158"/>
      <c r="AZ50" s="158"/>
      <c r="BB50" s="158"/>
    </row>
    <row r="51" s="131" customFormat="1" customHeight="1" spans="1:54">
      <c r="A51" s="175">
        <v>32</v>
      </c>
      <c r="C51" s="144" t="s">
        <v>2844</v>
      </c>
      <c r="D51" s="131">
        <v>20240003996</v>
      </c>
      <c r="F51" s="726" t="s">
        <v>2845</v>
      </c>
      <c r="G51" s="131" t="s">
        <v>2846</v>
      </c>
      <c r="I51" s="191" t="s">
        <v>2847</v>
      </c>
      <c r="J51" s="131">
        <v>117.54</v>
      </c>
      <c r="K51" s="131">
        <v>117.54</v>
      </c>
      <c r="L51" s="131">
        <f t="shared" si="3"/>
        <v>5938.40394759231</v>
      </c>
      <c r="M51" s="158">
        <v>698000</v>
      </c>
      <c r="N51" s="158">
        <v>5885.88</v>
      </c>
      <c r="O51" s="188"/>
      <c r="P51" s="189"/>
      <c r="Q51" s="189"/>
      <c r="R51" s="158">
        <v>58000</v>
      </c>
      <c r="S51" s="159" t="s">
        <v>2848</v>
      </c>
      <c r="T51" s="175"/>
      <c r="U51" s="159" t="s">
        <v>196</v>
      </c>
      <c r="V51" s="158">
        <v>142000</v>
      </c>
      <c r="W51" s="159" t="s">
        <v>2844</v>
      </c>
      <c r="X51" s="158">
        <v>58000</v>
      </c>
      <c r="Y51" s="159" t="s">
        <v>2848</v>
      </c>
      <c r="AA51" s="188"/>
      <c r="AB51" s="158"/>
      <c r="AH51" s="158">
        <f t="shared" si="0"/>
        <v>200000</v>
      </c>
      <c r="AK51" s="189">
        <f t="shared" si="4"/>
        <v>498000</v>
      </c>
      <c r="AL51" s="131">
        <v>19180421997</v>
      </c>
      <c r="AO51" s="131">
        <f t="shared" si="1"/>
        <v>0</v>
      </c>
      <c r="AP51" s="161">
        <f>0.7%+0.04%+0.08%</f>
        <v>0.0082</v>
      </c>
      <c r="AQ51" s="192">
        <f t="shared" si="2"/>
        <v>0</v>
      </c>
      <c r="AR51" s="158"/>
      <c r="AS51" s="158"/>
      <c r="AT51" s="158"/>
      <c r="AU51" s="158"/>
      <c r="AV51" s="158"/>
      <c r="AW51" s="158"/>
      <c r="AX51" s="158"/>
      <c r="AY51" s="158"/>
      <c r="AZ51" s="158"/>
      <c r="BB51" s="158"/>
    </row>
    <row r="52" s="89" customFormat="1" customHeight="1" spans="1:54">
      <c r="A52" s="167">
        <v>33</v>
      </c>
      <c r="C52" s="174"/>
      <c r="G52" s="89" t="s">
        <v>2849</v>
      </c>
      <c r="I52" s="185" t="s">
        <v>2850</v>
      </c>
      <c r="J52" s="89">
        <v>117.54</v>
      </c>
      <c r="M52" s="168"/>
      <c r="N52" s="168">
        <v>6005.88</v>
      </c>
      <c r="O52" s="170"/>
      <c r="P52" s="184"/>
      <c r="Q52" s="184"/>
      <c r="R52" s="168"/>
      <c r="S52" s="171"/>
      <c r="T52" s="725" t="s">
        <v>2851</v>
      </c>
      <c r="U52" s="171" t="s">
        <v>217</v>
      </c>
      <c r="V52" s="168">
        <v>2000</v>
      </c>
      <c r="W52" s="171" t="s">
        <v>385</v>
      </c>
      <c r="X52" s="168"/>
      <c r="Y52" s="197"/>
      <c r="AA52" s="170"/>
      <c r="AB52" s="168"/>
      <c r="AH52" s="168">
        <f t="shared" si="0"/>
        <v>2000</v>
      </c>
      <c r="AK52" s="184"/>
      <c r="AO52" s="89">
        <f t="shared" si="1"/>
        <v>0</v>
      </c>
      <c r="AP52" s="203"/>
      <c r="AQ52" s="204">
        <f t="shared" si="2"/>
        <v>0</v>
      </c>
      <c r="AR52" s="168"/>
      <c r="AS52" s="168"/>
      <c r="AT52" s="168"/>
      <c r="AU52" s="168"/>
      <c r="AV52" s="168"/>
      <c r="AW52" s="168"/>
      <c r="AX52" s="168"/>
      <c r="AY52" s="168"/>
      <c r="AZ52" s="168"/>
      <c r="BB52" s="168"/>
    </row>
    <row r="53" s="89" customFormat="1" customHeight="1" spans="1:54">
      <c r="A53" s="167">
        <v>34</v>
      </c>
      <c r="C53" s="174"/>
      <c r="I53" s="185" t="s">
        <v>2852</v>
      </c>
      <c r="J53" s="89">
        <v>117.54</v>
      </c>
      <c r="M53" s="168"/>
      <c r="N53" s="168">
        <v>5950.88</v>
      </c>
      <c r="O53" s="170"/>
      <c r="P53" s="184"/>
      <c r="Q53" s="184"/>
      <c r="R53" s="168"/>
      <c r="S53" s="171"/>
      <c r="T53" s="167"/>
      <c r="U53" s="171"/>
      <c r="V53" s="168"/>
      <c r="X53" s="168"/>
      <c r="Y53" s="197"/>
      <c r="AA53" s="170"/>
      <c r="AB53" s="168"/>
      <c r="AH53" s="168">
        <f t="shared" si="0"/>
        <v>0</v>
      </c>
      <c r="AK53" s="184"/>
      <c r="AO53" s="89">
        <f t="shared" si="1"/>
        <v>0</v>
      </c>
      <c r="AP53" s="203"/>
      <c r="AQ53" s="204">
        <f t="shared" si="2"/>
        <v>0</v>
      </c>
      <c r="AR53" s="168"/>
      <c r="AS53" s="168"/>
      <c r="AT53" s="168"/>
      <c r="AU53" s="168"/>
      <c r="AV53" s="168"/>
      <c r="AW53" s="168"/>
      <c r="AX53" s="168"/>
      <c r="AY53" s="168"/>
      <c r="AZ53" s="168"/>
      <c r="BB53" s="168"/>
    </row>
    <row r="54" s="131" customFormat="1" customHeight="1" spans="1:54">
      <c r="A54" s="175">
        <v>35</v>
      </c>
      <c r="B54" s="131"/>
      <c r="C54" s="144" t="s">
        <v>98</v>
      </c>
      <c r="D54" s="131">
        <v>20240005501</v>
      </c>
      <c r="F54" s="131" t="s">
        <v>2853</v>
      </c>
      <c r="G54" s="131" t="s">
        <v>2854</v>
      </c>
      <c r="H54" s="726" t="s">
        <v>2855</v>
      </c>
      <c r="I54" s="191" t="s">
        <v>2856</v>
      </c>
      <c r="J54" s="131">
        <v>117.54</v>
      </c>
      <c r="K54" s="131">
        <v>117.54</v>
      </c>
      <c r="L54" s="131">
        <f t="shared" si="3"/>
        <v>5819.29555895865</v>
      </c>
      <c r="M54" s="158">
        <v>684000</v>
      </c>
      <c r="N54" s="190">
        <v>5819.295</v>
      </c>
      <c r="O54" s="188"/>
      <c r="P54" s="189"/>
      <c r="Q54" s="189"/>
      <c r="R54" s="158">
        <f>67000+217000</f>
        <v>284000</v>
      </c>
      <c r="S54" s="159" t="s">
        <v>98</v>
      </c>
      <c r="T54" s="175"/>
      <c r="U54" s="159" t="s">
        <v>201</v>
      </c>
      <c r="V54" s="158">
        <v>20000</v>
      </c>
      <c r="W54" s="159" t="s">
        <v>2842</v>
      </c>
      <c r="X54" s="158">
        <v>217000</v>
      </c>
      <c r="Y54" s="159" t="s">
        <v>98</v>
      </c>
      <c r="Z54" s="131">
        <v>67000</v>
      </c>
      <c r="AA54" s="188" t="s">
        <v>290</v>
      </c>
      <c r="AB54" s="158"/>
      <c r="AH54" s="158">
        <f t="shared" si="0"/>
        <v>304000</v>
      </c>
      <c r="AK54" s="189">
        <f t="shared" si="4"/>
        <v>380000</v>
      </c>
      <c r="AL54" s="131">
        <v>15026057540</v>
      </c>
      <c r="AO54" s="131">
        <f t="shared" si="1"/>
        <v>0</v>
      </c>
      <c r="AP54" s="161">
        <f>0.6%+0.1%</f>
        <v>0.007</v>
      </c>
      <c r="AQ54" s="192">
        <f t="shared" si="2"/>
        <v>0</v>
      </c>
      <c r="AR54" s="158"/>
      <c r="AS54" s="158"/>
      <c r="AT54" s="158"/>
      <c r="AU54" s="158"/>
      <c r="AV54" s="158"/>
      <c r="AW54" s="158"/>
      <c r="AX54" s="158"/>
      <c r="AY54" s="158"/>
      <c r="AZ54" s="158"/>
      <c r="BB54" s="158"/>
    </row>
    <row r="55" s="131" customFormat="1" customHeight="1" spans="1:54">
      <c r="A55" s="175">
        <v>36</v>
      </c>
      <c r="B55" s="131"/>
      <c r="C55" s="144" t="s">
        <v>98</v>
      </c>
      <c r="D55" s="131">
        <v>20240005494</v>
      </c>
      <c r="F55" s="726" t="s">
        <v>2857</v>
      </c>
      <c r="G55" s="131" t="s">
        <v>2858</v>
      </c>
      <c r="I55" s="191" t="s">
        <v>2859</v>
      </c>
      <c r="J55" s="131">
        <v>117.54</v>
      </c>
      <c r="K55" s="131">
        <v>117.54</v>
      </c>
      <c r="L55" s="131">
        <v>5650</v>
      </c>
      <c r="M55" s="158">
        <v>664101</v>
      </c>
      <c r="N55" s="158">
        <v>5650</v>
      </c>
      <c r="O55" s="188"/>
      <c r="P55" s="189"/>
      <c r="Q55" s="189"/>
      <c r="R55" s="158">
        <f>150000+164101</f>
        <v>314101</v>
      </c>
      <c r="S55" s="159" t="s">
        <v>98</v>
      </c>
      <c r="T55" s="175"/>
      <c r="U55" s="159" t="s">
        <v>226</v>
      </c>
      <c r="V55" s="158">
        <v>20000</v>
      </c>
      <c r="W55" s="159" t="s">
        <v>2842</v>
      </c>
      <c r="X55" s="158">
        <f>150000+164101</f>
        <v>314101</v>
      </c>
      <c r="Y55" s="159" t="s">
        <v>98</v>
      </c>
      <c r="AA55" s="188"/>
      <c r="AB55" s="158"/>
      <c r="AH55" s="158">
        <f t="shared" si="0"/>
        <v>334101</v>
      </c>
      <c r="AK55" s="189">
        <f t="shared" si="4"/>
        <v>330000</v>
      </c>
      <c r="AL55" s="131">
        <v>18106436811</v>
      </c>
      <c r="AM55" s="131" t="s">
        <v>2860</v>
      </c>
      <c r="AO55" s="131">
        <f t="shared" si="1"/>
        <v>0</v>
      </c>
      <c r="AP55" s="161">
        <f>0.7%+0.1%</f>
        <v>0.008</v>
      </c>
      <c r="AQ55" s="192">
        <f t="shared" si="2"/>
        <v>0</v>
      </c>
      <c r="AR55" s="158"/>
      <c r="AS55" s="158"/>
      <c r="AT55" s="158"/>
      <c r="AU55" s="158"/>
      <c r="AV55" s="158"/>
      <c r="AW55" s="158"/>
      <c r="AX55" s="158"/>
      <c r="AY55" s="158"/>
      <c r="AZ55" s="158"/>
      <c r="BB55" s="158"/>
    </row>
    <row r="56" s="89" customFormat="1" customHeight="1" spans="1:54">
      <c r="A56" s="167">
        <v>37</v>
      </c>
      <c r="C56" s="174"/>
      <c r="I56" s="185" t="s">
        <v>2861</v>
      </c>
      <c r="J56" s="89">
        <v>117.54</v>
      </c>
      <c r="M56" s="168"/>
      <c r="N56" s="168">
        <v>6075.88</v>
      </c>
      <c r="O56" s="170"/>
      <c r="P56" s="184"/>
      <c r="Q56" s="184"/>
      <c r="R56" s="168"/>
      <c r="S56" s="171"/>
      <c r="T56" s="167"/>
      <c r="U56" s="171"/>
      <c r="V56" s="168"/>
      <c r="X56" s="168"/>
      <c r="Y56" s="197"/>
      <c r="AA56" s="170"/>
      <c r="AB56" s="168"/>
      <c r="AH56" s="168">
        <f t="shared" si="0"/>
        <v>0</v>
      </c>
      <c r="AK56" s="184"/>
      <c r="AO56" s="89">
        <f t="shared" si="1"/>
        <v>0</v>
      </c>
      <c r="AP56" s="203"/>
      <c r="AQ56" s="204">
        <f t="shared" si="2"/>
        <v>0</v>
      </c>
      <c r="AR56" s="168"/>
      <c r="AS56" s="168"/>
      <c r="AT56" s="168"/>
      <c r="AU56" s="168"/>
      <c r="AV56" s="168"/>
      <c r="AW56" s="168"/>
      <c r="AX56" s="168"/>
      <c r="AY56" s="168"/>
      <c r="AZ56" s="168"/>
      <c r="BB56" s="168"/>
    </row>
    <row r="57" s="89" customFormat="1" customHeight="1" spans="1:54">
      <c r="A57" s="167">
        <v>38</v>
      </c>
      <c r="C57" s="174"/>
      <c r="I57" s="186" t="s">
        <v>2862</v>
      </c>
      <c r="J57" s="89">
        <v>117.54</v>
      </c>
      <c r="M57" s="168"/>
      <c r="N57" s="168">
        <v>6020.88</v>
      </c>
      <c r="O57" s="170"/>
      <c r="P57" s="184"/>
      <c r="Q57" s="184"/>
      <c r="R57" s="168"/>
      <c r="S57" s="171"/>
      <c r="T57" s="167"/>
      <c r="U57" s="171"/>
      <c r="V57" s="168"/>
      <c r="X57" s="168"/>
      <c r="Y57" s="197"/>
      <c r="AA57" s="170"/>
      <c r="AB57" s="168"/>
      <c r="AH57" s="168">
        <f t="shared" si="0"/>
        <v>0</v>
      </c>
      <c r="AK57" s="184"/>
      <c r="AO57" s="89">
        <f t="shared" si="1"/>
        <v>0</v>
      </c>
      <c r="AP57" s="203"/>
      <c r="AQ57" s="204">
        <f t="shared" si="2"/>
        <v>0</v>
      </c>
      <c r="AR57" s="168"/>
      <c r="AS57" s="168"/>
      <c r="AT57" s="168"/>
      <c r="AU57" s="168"/>
      <c r="AV57" s="168"/>
      <c r="AW57" s="168"/>
      <c r="AX57" s="168"/>
      <c r="AY57" s="168"/>
      <c r="AZ57" s="168"/>
      <c r="BB57" s="168"/>
    </row>
    <row r="58" s="131" customFormat="1" customHeight="1" spans="1:54">
      <c r="A58" s="175">
        <v>39</v>
      </c>
      <c r="B58" s="131"/>
      <c r="C58" s="144" t="s">
        <v>113</v>
      </c>
      <c r="D58" s="131">
        <v>20240005759</v>
      </c>
      <c r="F58" s="726" t="s">
        <v>2863</v>
      </c>
      <c r="G58" s="131" t="s">
        <v>2864</v>
      </c>
      <c r="H58" s="726" t="s">
        <v>2865</v>
      </c>
      <c r="I58" s="187" t="s">
        <v>2866</v>
      </c>
      <c r="J58" s="131">
        <v>117.54</v>
      </c>
      <c r="K58" s="131">
        <v>117.54</v>
      </c>
      <c r="L58" s="131">
        <v>5878.85</v>
      </c>
      <c r="M58" s="158">
        <v>691000</v>
      </c>
      <c r="N58" s="158">
        <v>5878.85</v>
      </c>
      <c r="O58" s="188"/>
      <c r="P58" s="189"/>
      <c r="Q58" s="189"/>
      <c r="R58" s="158">
        <f>311000+10000</f>
        <v>321000</v>
      </c>
      <c r="S58" s="159" t="s">
        <v>98</v>
      </c>
      <c r="T58" s="175"/>
      <c r="U58" s="159" t="s">
        <v>411</v>
      </c>
      <c r="V58" s="158">
        <v>10000</v>
      </c>
      <c r="W58" s="159" t="s">
        <v>98</v>
      </c>
      <c r="X58" s="158">
        <v>311000</v>
      </c>
      <c r="Y58" s="198" t="s">
        <v>113</v>
      </c>
      <c r="AA58" s="188"/>
      <c r="AB58" s="158"/>
      <c r="AH58" s="158">
        <f t="shared" si="0"/>
        <v>321000</v>
      </c>
      <c r="AK58" s="189">
        <f>M58-AH58</f>
        <v>370000</v>
      </c>
      <c r="AL58" s="131">
        <v>18699662558</v>
      </c>
      <c r="AO58" s="131">
        <f t="shared" si="1"/>
        <v>0</v>
      </c>
      <c r="AP58" s="163">
        <f>0.6%+0.1%</f>
        <v>0.007</v>
      </c>
      <c r="AQ58" s="192">
        <f t="shared" si="2"/>
        <v>0</v>
      </c>
      <c r="AR58" s="158"/>
      <c r="AS58" s="158"/>
      <c r="AT58" s="158"/>
      <c r="AU58" s="158"/>
      <c r="AV58" s="158"/>
      <c r="AW58" s="158"/>
      <c r="AX58" s="158"/>
      <c r="AY58" s="158"/>
      <c r="AZ58" s="158"/>
      <c r="BB58" s="158"/>
    </row>
    <row r="59" s="89" customFormat="1" customHeight="1" spans="1:54">
      <c r="A59" s="167">
        <v>40</v>
      </c>
      <c r="C59" s="174"/>
      <c r="I59" s="183" t="s">
        <v>2867</v>
      </c>
      <c r="J59" s="89">
        <v>117.54</v>
      </c>
      <c r="M59" s="168"/>
      <c r="N59" s="168">
        <v>6045.88</v>
      </c>
      <c r="O59" s="170"/>
      <c r="P59" s="184"/>
      <c r="Q59" s="184"/>
      <c r="R59" s="168"/>
      <c r="S59" s="171"/>
      <c r="T59" s="167"/>
      <c r="U59" s="171"/>
      <c r="V59" s="168"/>
      <c r="X59" s="168"/>
      <c r="Y59" s="197"/>
      <c r="AA59" s="170"/>
      <c r="AB59" s="168"/>
      <c r="AH59" s="168">
        <f t="shared" si="0"/>
        <v>0</v>
      </c>
      <c r="AK59" s="184"/>
      <c r="AO59" s="89">
        <f t="shared" si="1"/>
        <v>0</v>
      </c>
      <c r="AP59" s="203"/>
      <c r="AQ59" s="204">
        <f t="shared" si="2"/>
        <v>0</v>
      </c>
      <c r="AR59" s="168"/>
      <c r="AS59" s="168"/>
      <c r="AT59" s="168"/>
      <c r="AU59" s="168"/>
      <c r="AV59" s="168"/>
      <c r="AW59" s="168"/>
      <c r="AX59" s="168"/>
      <c r="AY59" s="168"/>
      <c r="AZ59" s="168"/>
      <c r="BB59" s="168"/>
    </row>
    <row r="60" s="89" customFormat="1" customHeight="1" spans="1:54">
      <c r="A60" s="167">
        <v>41</v>
      </c>
      <c r="C60" s="174"/>
      <c r="I60" s="185" t="s">
        <v>2868</v>
      </c>
      <c r="J60" s="89">
        <v>117.54</v>
      </c>
      <c r="M60" s="168"/>
      <c r="N60" s="168">
        <v>6120.88</v>
      </c>
      <c r="O60" s="170"/>
      <c r="P60" s="184"/>
      <c r="Q60" s="184"/>
      <c r="R60" s="168"/>
      <c r="S60" s="171"/>
      <c r="T60" s="167"/>
      <c r="U60" s="171"/>
      <c r="V60" s="168"/>
      <c r="X60" s="168"/>
      <c r="Y60" s="197"/>
      <c r="AA60" s="170"/>
      <c r="AB60" s="168"/>
      <c r="AH60" s="168">
        <f t="shared" si="0"/>
        <v>0</v>
      </c>
      <c r="AK60" s="184"/>
      <c r="AO60" s="89">
        <f t="shared" si="1"/>
        <v>0</v>
      </c>
      <c r="AP60" s="203"/>
      <c r="AQ60" s="204">
        <f t="shared" si="2"/>
        <v>0</v>
      </c>
      <c r="AR60" s="168"/>
      <c r="AS60" s="168"/>
      <c r="AT60" s="168"/>
      <c r="AU60" s="168"/>
      <c r="AV60" s="168"/>
      <c r="AW60" s="168"/>
      <c r="AX60" s="168"/>
      <c r="AY60" s="168"/>
      <c r="AZ60" s="168"/>
      <c r="BB60" s="168"/>
    </row>
    <row r="61" s="89" customFormat="1" customHeight="1" spans="1:54">
      <c r="A61" s="167">
        <v>42</v>
      </c>
      <c r="C61" s="174"/>
      <c r="I61" s="183" t="s">
        <v>2869</v>
      </c>
      <c r="J61" s="89">
        <v>117.54</v>
      </c>
      <c r="M61" s="168"/>
      <c r="N61" s="168">
        <v>6065.88</v>
      </c>
      <c r="O61" s="170"/>
      <c r="P61" s="184"/>
      <c r="Q61" s="184"/>
      <c r="R61" s="168"/>
      <c r="S61" s="171"/>
      <c r="T61" s="167"/>
      <c r="U61" s="171"/>
      <c r="V61" s="168"/>
      <c r="X61" s="168"/>
      <c r="Y61" s="197"/>
      <c r="AA61" s="170"/>
      <c r="AB61" s="168"/>
      <c r="AH61" s="168">
        <f t="shared" si="0"/>
        <v>0</v>
      </c>
      <c r="AK61" s="184"/>
      <c r="AO61" s="89">
        <f t="shared" si="1"/>
        <v>0</v>
      </c>
      <c r="AP61" s="203"/>
      <c r="AQ61" s="204">
        <f t="shared" si="2"/>
        <v>0</v>
      </c>
      <c r="AR61" s="168"/>
      <c r="AS61" s="168"/>
      <c r="AT61" s="168"/>
      <c r="AU61" s="168"/>
      <c r="AV61" s="168"/>
      <c r="AW61" s="168"/>
      <c r="AX61" s="168"/>
      <c r="AY61" s="168"/>
      <c r="AZ61" s="168"/>
      <c r="BB61" s="168"/>
    </row>
    <row r="62" s="89" customFormat="1" customHeight="1" spans="1:54">
      <c r="A62" s="167">
        <v>43</v>
      </c>
      <c r="C62" s="174"/>
      <c r="I62" s="186" t="s">
        <v>2870</v>
      </c>
      <c r="J62" s="89">
        <v>117.54</v>
      </c>
      <c r="M62" s="168"/>
      <c r="N62" s="168">
        <v>7147.5</v>
      </c>
      <c r="O62" s="170"/>
      <c r="P62" s="184"/>
      <c r="Q62" s="184"/>
      <c r="R62" s="168"/>
      <c r="S62" s="171"/>
      <c r="T62" s="167"/>
      <c r="U62" s="171"/>
      <c r="V62" s="168"/>
      <c r="X62" s="168"/>
      <c r="Y62" s="197"/>
      <c r="AA62" s="170"/>
      <c r="AB62" s="168"/>
      <c r="AH62" s="168">
        <f t="shared" si="0"/>
        <v>0</v>
      </c>
      <c r="AK62" s="184"/>
      <c r="AO62" s="89">
        <f t="shared" si="1"/>
        <v>0</v>
      </c>
      <c r="AP62" s="203"/>
      <c r="AQ62" s="204">
        <f t="shared" si="2"/>
        <v>0</v>
      </c>
      <c r="AR62" s="168"/>
      <c r="AS62" s="168"/>
      <c r="AT62" s="168"/>
      <c r="AU62" s="168"/>
      <c r="AV62" s="168"/>
      <c r="AW62" s="168"/>
      <c r="AX62" s="168"/>
      <c r="AY62" s="168"/>
      <c r="AZ62" s="168"/>
      <c r="BB62" s="168"/>
    </row>
    <row r="63" s="89" customFormat="1" customHeight="1" spans="1:54">
      <c r="A63" s="167">
        <v>44</v>
      </c>
      <c r="C63" s="174"/>
      <c r="I63" s="183" t="s">
        <v>2871</v>
      </c>
      <c r="J63" s="89">
        <v>117.54</v>
      </c>
      <c r="M63" s="168"/>
      <c r="N63" s="168">
        <v>7092.5</v>
      </c>
      <c r="O63" s="170"/>
      <c r="P63" s="184"/>
      <c r="Q63" s="184"/>
      <c r="R63" s="168"/>
      <c r="S63" s="171"/>
      <c r="T63" s="167"/>
      <c r="U63" s="171"/>
      <c r="V63" s="168"/>
      <c r="X63" s="168"/>
      <c r="Y63" s="197"/>
      <c r="AA63" s="170"/>
      <c r="AB63" s="168"/>
      <c r="AH63" s="168">
        <f t="shared" si="0"/>
        <v>0</v>
      </c>
      <c r="AK63" s="184"/>
      <c r="AO63" s="89">
        <f t="shared" si="1"/>
        <v>0</v>
      </c>
      <c r="AP63" s="203"/>
      <c r="AQ63" s="204">
        <f t="shared" si="2"/>
        <v>0</v>
      </c>
      <c r="AR63" s="168"/>
      <c r="AS63" s="168"/>
      <c r="AT63" s="168"/>
      <c r="AU63" s="168"/>
      <c r="AV63" s="168"/>
      <c r="AW63" s="168"/>
      <c r="AX63" s="168"/>
      <c r="AY63" s="168"/>
      <c r="AZ63" s="168"/>
      <c r="BB63" s="168"/>
    </row>
    <row r="64" s="89" customFormat="1" customHeight="1" spans="1:54">
      <c r="A64" s="167">
        <v>45</v>
      </c>
      <c r="C64" s="174"/>
      <c r="I64" s="89" t="s">
        <v>2872</v>
      </c>
      <c r="J64" s="89">
        <v>118.93</v>
      </c>
      <c r="M64" s="168"/>
      <c r="N64" s="168">
        <v>7795.5</v>
      </c>
      <c r="O64" s="170"/>
      <c r="P64" s="184"/>
      <c r="Q64" s="184"/>
      <c r="R64" s="168"/>
      <c r="S64" s="171"/>
      <c r="T64" s="167"/>
      <c r="U64" s="171"/>
      <c r="V64" s="168"/>
      <c r="X64" s="168"/>
      <c r="Y64" s="197"/>
      <c r="AA64" s="170"/>
      <c r="AB64" s="168"/>
      <c r="AH64" s="168">
        <f t="shared" si="0"/>
        <v>0</v>
      </c>
      <c r="AK64" s="184"/>
      <c r="AO64" s="89">
        <f t="shared" si="1"/>
        <v>0</v>
      </c>
      <c r="AP64" s="203"/>
      <c r="AQ64" s="204">
        <f t="shared" si="2"/>
        <v>0</v>
      </c>
      <c r="AR64" s="168"/>
      <c r="AS64" s="168"/>
      <c r="AT64" s="168"/>
      <c r="AU64" s="168"/>
      <c r="AV64" s="168"/>
      <c r="AW64" s="168"/>
      <c r="AX64" s="168"/>
      <c r="AY64" s="168"/>
      <c r="AZ64" s="168"/>
      <c r="BB64" s="168"/>
    </row>
    <row r="65" s="89" customFormat="1" customHeight="1" spans="1:54">
      <c r="A65" s="167">
        <v>46</v>
      </c>
      <c r="C65" s="174"/>
      <c r="I65" s="89" t="s">
        <v>2873</v>
      </c>
      <c r="J65" s="89">
        <v>119.5</v>
      </c>
      <c r="M65" s="168"/>
      <c r="N65" s="168">
        <v>7382.5</v>
      </c>
      <c r="O65" s="170"/>
      <c r="P65" s="184"/>
      <c r="Q65" s="184"/>
      <c r="R65" s="168"/>
      <c r="S65" s="171"/>
      <c r="T65" s="167"/>
      <c r="U65" s="171"/>
      <c r="V65" s="168"/>
      <c r="X65" s="168"/>
      <c r="Y65" s="197"/>
      <c r="AA65" s="170"/>
      <c r="AB65" s="168"/>
      <c r="AH65" s="168">
        <f t="shared" si="0"/>
        <v>0</v>
      </c>
      <c r="AK65" s="184"/>
      <c r="AO65" s="89">
        <f t="shared" si="1"/>
        <v>0</v>
      </c>
      <c r="AP65" s="203"/>
      <c r="AQ65" s="204">
        <f t="shared" si="2"/>
        <v>0</v>
      </c>
      <c r="AR65" s="168"/>
      <c r="AS65" s="168"/>
      <c r="AT65" s="168"/>
      <c r="AU65" s="168"/>
      <c r="AV65" s="168"/>
      <c r="AW65" s="168"/>
      <c r="AX65" s="168"/>
      <c r="AY65" s="168"/>
      <c r="AZ65" s="168"/>
      <c r="BB65" s="168"/>
    </row>
    <row r="66" s="89" customFormat="1" customHeight="1" spans="1:54">
      <c r="A66" s="167">
        <v>47</v>
      </c>
      <c r="C66" s="174"/>
      <c r="I66" s="89" t="s">
        <v>2874</v>
      </c>
      <c r="J66" s="89">
        <v>117.54</v>
      </c>
      <c r="M66" s="168"/>
      <c r="N66" s="168">
        <v>5725.6</v>
      </c>
      <c r="O66" s="170"/>
      <c r="P66" s="184"/>
      <c r="Q66" s="184"/>
      <c r="R66" s="168"/>
      <c r="S66" s="171"/>
      <c r="T66" s="167"/>
      <c r="U66" s="171"/>
      <c r="V66" s="168"/>
      <c r="X66" s="168"/>
      <c r="Y66" s="197"/>
      <c r="AA66" s="170"/>
      <c r="AB66" s="168"/>
      <c r="AH66" s="168">
        <f t="shared" si="0"/>
        <v>0</v>
      </c>
      <c r="AK66" s="184"/>
      <c r="AO66" s="89">
        <f t="shared" si="1"/>
        <v>0</v>
      </c>
      <c r="AP66" s="203"/>
      <c r="AQ66" s="204">
        <f t="shared" si="2"/>
        <v>0</v>
      </c>
      <c r="AR66" s="168"/>
      <c r="AS66" s="168"/>
      <c r="AT66" s="168"/>
      <c r="AU66" s="168"/>
      <c r="AV66" s="168"/>
      <c r="AW66" s="168"/>
      <c r="AX66" s="168"/>
      <c r="AY66" s="168"/>
      <c r="AZ66" s="168"/>
      <c r="BB66" s="168"/>
    </row>
    <row r="67" s="89" customFormat="1" customHeight="1" spans="1:54">
      <c r="A67" s="167">
        <v>48</v>
      </c>
      <c r="C67" s="174"/>
      <c r="E67" s="89" t="s">
        <v>2875</v>
      </c>
      <c r="I67" s="89" t="s">
        <v>2876</v>
      </c>
      <c r="J67" s="89">
        <v>117.91</v>
      </c>
      <c r="M67" s="168"/>
      <c r="N67" s="168">
        <v>5690.6</v>
      </c>
      <c r="O67" s="170"/>
      <c r="P67" s="184"/>
      <c r="Q67" s="184"/>
      <c r="R67" s="168"/>
      <c r="S67" s="171"/>
      <c r="T67" s="167"/>
      <c r="U67" s="171"/>
      <c r="V67" s="168"/>
      <c r="X67" s="168"/>
      <c r="Y67" s="197"/>
      <c r="AA67" s="170"/>
      <c r="AB67" s="168"/>
      <c r="AH67" s="168">
        <f t="shared" si="0"/>
        <v>0</v>
      </c>
      <c r="AK67" s="184"/>
      <c r="AO67" s="89">
        <f t="shared" si="1"/>
        <v>0</v>
      </c>
      <c r="AP67" s="203"/>
      <c r="AQ67" s="204">
        <f t="shared" si="2"/>
        <v>0</v>
      </c>
      <c r="AR67" s="168"/>
      <c r="AS67" s="168"/>
      <c r="AT67" s="168"/>
      <c r="AU67" s="168"/>
      <c r="AV67" s="168"/>
      <c r="AW67" s="168"/>
      <c r="AX67" s="168"/>
      <c r="AY67" s="168"/>
      <c r="AZ67" s="168"/>
      <c r="BB67" s="168"/>
    </row>
    <row r="68" s="89" customFormat="1" customHeight="1" spans="1:54">
      <c r="A68" s="167">
        <v>49</v>
      </c>
      <c r="C68" s="174"/>
      <c r="I68" s="89" t="s">
        <v>2877</v>
      </c>
      <c r="J68" s="89">
        <v>117.54</v>
      </c>
      <c r="M68" s="168"/>
      <c r="N68" s="168">
        <v>5775.88</v>
      </c>
      <c r="O68" s="170"/>
      <c r="P68" s="184"/>
      <c r="Q68" s="184"/>
      <c r="R68" s="168"/>
      <c r="S68" s="171"/>
      <c r="T68" s="167"/>
      <c r="U68" s="171"/>
      <c r="V68" s="168"/>
      <c r="X68" s="168"/>
      <c r="Y68" s="197"/>
      <c r="AA68" s="170"/>
      <c r="AB68" s="168"/>
      <c r="AH68" s="168">
        <f t="shared" si="0"/>
        <v>0</v>
      </c>
      <c r="AK68" s="184"/>
      <c r="AO68" s="89">
        <f t="shared" si="1"/>
        <v>0</v>
      </c>
      <c r="AP68" s="203"/>
      <c r="AQ68" s="204">
        <f t="shared" si="2"/>
        <v>0</v>
      </c>
      <c r="AR68" s="168"/>
      <c r="AS68" s="168"/>
      <c r="AT68" s="168"/>
      <c r="AU68" s="168"/>
      <c r="AV68" s="168"/>
      <c r="AW68" s="168"/>
      <c r="AX68" s="168"/>
      <c r="AY68" s="168"/>
      <c r="AZ68" s="168"/>
      <c r="BB68" s="168"/>
    </row>
    <row r="69" s="89" customFormat="1" customHeight="1" spans="1:54">
      <c r="A69" s="167">
        <v>50</v>
      </c>
      <c r="C69" s="174"/>
      <c r="I69" s="89" t="s">
        <v>2878</v>
      </c>
      <c r="J69" s="89">
        <v>117.91</v>
      </c>
      <c r="M69" s="168"/>
      <c r="N69" s="168">
        <v>5740.88</v>
      </c>
      <c r="O69" s="170"/>
      <c r="P69" s="184"/>
      <c r="Q69" s="184"/>
      <c r="R69" s="168"/>
      <c r="S69" s="171"/>
      <c r="T69" s="167"/>
      <c r="U69" s="171"/>
      <c r="V69" s="168"/>
      <c r="X69" s="168"/>
      <c r="Y69" s="197"/>
      <c r="AA69" s="170"/>
      <c r="AB69" s="168"/>
      <c r="AH69" s="168">
        <f t="shared" ref="AH69:AH132" si="5">V69+X69+Z69+AB69+AD69+AF69</f>
        <v>0</v>
      </c>
      <c r="AK69" s="184"/>
      <c r="AO69" s="89">
        <f t="shared" ref="AO69:AO132" si="6">SUM(AZ69:BN69)</f>
        <v>0</v>
      </c>
      <c r="AP69" s="203"/>
      <c r="AQ69" s="204">
        <f t="shared" ref="AQ69:AQ132" si="7">AR69+AS69+AT69+AU69+AV69+AW69+AX69+AY69</f>
        <v>0</v>
      </c>
      <c r="AR69" s="168"/>
      <c r="AS69" s="168"/>
      <c r="AT69" s="168"/>
      <c r="AU69" s="168"/>
      <c r="AV69" s="168"/>
      <c r="AW69" s="168"/>
      <c r="AX69" s="168"/>
      <c r="AY69" s="168"/>
      <c r="AZ69" s="168"/>
      <c r="BB69" s="168"/>
    </row>
    <row r="70" s="89" customFormat="1" customHeight="1" spans="1:54">
      <c r="A70" s="167">
        <v>51</v>
      </c>
      <c r="C70" s="174"/>
      <c r="I70" s="89" t="s">
        <v>2879</v>
      </c>
      <c r="J70" s="89">
        <v>117.54</v>
      </c>
      <c r="M70" s="168"/>
      <c r="N70" s="168">
        <v>5805.88</v>
      </c>
      <c r="O70" s="170"/>
      <c r="P70" s="184"/>
      <c r="Q70" s="184"/>
      <c r="R70" s="168"/>
      <c r="S70" s="171"/>
      <c r="T70" s="167"/>
      <c r="U70" s="171"/>
      <c r="V70" s="168"/>
      <c r="X70" s="168"/>
      <c r="Y70" s="197"/>
      <c r="AA70" s="170"/>
      <c r="AB70" s="168"/>
      <c r="AH70" s="168">
        <f t="shared" si="5"/>
        <v>0</v>
      </c>
      <c r="AK70" s="184"/>
      <c r="AO70" s="89">
        <f t="shared" si="6"/>
        <v>0</v>
      </c>
      <c r="AP70" s="203"/>
      <c r="AQ70" s="204">
        <f t="shared" si="7"/>
        <v>0</v>
      </c>
      <c r="AR70" s="168"/>
      <c r="AS70" s="168"/>
      <c r="AT70" s="168"/>
      <c r="AU70" s="168"/>
      <c r="AV70" s="168"/>
      <c r="AW70" s="168"/>
      <c r="AX70" s="168"/>
      <c r="AY70" s="168"/>
      <c r="AZ70" s="168"/>
      <c r="BB70" s="168"/>
    </row>
    <row r="71" s="89" customFormat="1" customHeight="1" spans="1:54">
      <c r="A71" s="167">
        <v>52</v>
      </c>
      <c r="C71" s="174"/>
      <c r="I71" s="89" t="s">
        <v>2880</v>
      </c>
      <c r="J71" s="89">
        <v>117.91</v>
      </c>
      <c r="M71" s="168"/>
      <c r="N71" s="168">
        <v>5770.88</v>
      </c>
      <c r="O71" s="170"/>
      <c r="P71" s="184"/>
      <c r="Q71" s="184"/>
      <c r="R71" s="168"/>
      <c r="S71" s="171"/>
      <c r="T71" s="167"/>
      <c r="U71" s="171"/>
      <c r="V71" s="168"/>
      <c r="X71" s="168"/>
      <c r="Y71" s="197"/>
      <c r="AA71" s="170"/>
      <c r="AB71" s="168"/>
      <c r="AH71" s="168">
        <f t="shared" si="5"/>
        <v>0</v>
      </c>
      <c r="AK71" s="184"/>
      <c r="AO71" s="89">
        <f t="shared" si="6"/>
        <v>0</v>
      </c>
      <c r="AP71" s="203"/>
      <c r="AQ71" s="204">
        <f t="shared" si="7"/>
        <v>0</v>
      </c>
      <c r="AR71" s="168"/>
      <c r="AS71" s="168"/>
      <c r="AT71" s="168"/>
      <c r="AU71" s="168"/>
      <c r="AV71" s="168"/>
      <c r="AW71" s="168"/>
      <c r="AX71" s="168"/>
      <c r="AY71" s="168"/>
      <c r="AZ71" s="168"/>
      <c r="BB71" s="168"/>
    </row>
    <row r="72" s="89" customFormat="1" customHeight="1" spans="1:54">
      <c r="A72" s="167">
        <v>53</v>
      </c>
      <c r="C72" s="174"/>
      <c r="I72" s="89" t="s">
        <v>2881</v>
      </c>
      <c r="J72" s="89">
        <v>117.54</v>
      </c>
      <c r="M72" s="168"/>
      <c r="N72" s="168">
        <v>5875.88</v>
      </c>
      <c r="O72" s="170"/>
      <c r="P72" s="184"/>
      <c r="Q72" s="184"/>
      <c r="R72" s="168"/>
      <c r="S72" s="171"/>
      <c r="T72" s="167"/>
      <c r="U72" s="171"/>
      <c r="V72" s="168"/>
      <c r="X72" s="168"/>
      <c r="Y72" s="197"/>
      <c r="AA72" s="170"/>
      <c r="AB72" s="168"/>
      <c r="AH72" s="168">
        <f t="shared" si="5"/>
        <v>0</v>
      </c>
      <c r="AK72" s="184"/>
      <c r="AO72" s="89">
        <f t="shared" si="6"/>
        <v>0</v>
      </c>
      <c r="AP72" s="203"/>
      <c r="AQ72" s="204">
        <f t="shared" si="7"/>
        <v>0</v>
      </c>
      <c r="AR72" s="168"/>
      <c r="AS72" s="168"/>
      <c r="AT72" s="168"/>
      <c r="AU72" s="168"/>
      <c r="AV72" s="168"/>
      <c r="AW72" s="168"/>
      <c r="AX72" s="168"/>
      <c r="AY72" s="168"/>
      <c r="AZ72" s="168"/>
      <c r="BB72" s="168"/>
    </row>
    <row r="73" s="89" customFormat="1" customHeight="1" spans="1:54">
      <c r="A73" s="167">
        <v>54</v>
      </c>
      <c r="C73" s="174"/>
      <c r="I73" s="89" t="s">
        <v>2882</v>
      </c>
      <c r="J73" s="89">
        <v>117.91</v>
      </c>
      <c r="M73" s="168"/>
      <c r="N73" s="168">
        <v>5840.88</v>
      </c>
      <c r="O73" s="170"/>
      <c r="P73" s="184"/>
      <c r="Q73" s="184"/>
      <c r="R73" s="168"/>
      <c r="S73" s="171"/>
      <c r="T73" s="167"/>
      <c r="U73" s="171"/>
      <c r="V73" s="168"/>
      <c r="X73" s="168"/>
      <c r="Y73" s="197"/>
      <c r="AA73" s="170"/>
      <c r="AB73" s="168"/>
      <c r="AH73" s="168">
        <f t="shared" si="5"/>
        <v>0</v>
      </c>
      <c r="AK73" s="184"/>
      <c r="AO73" s="89">
        <f t="shared" si="6"/>
        <v>0</v>
      </c>
      <c r="AP73" s="203"/>
      <c r="AQ73" s="204">
        <f t="shared" si="7"/>
        <v>0</v>
      </c>
      <c r="AR73" s="168"/>
      <c r="AS73" s="168"/>
      <c r="AT73" s="168"/>
      <c r="AU73" s="168"/>
      <c r="AV73" s="168"/>
      <c r="AW73" s="168"/>
      <c r="AX73" s="168"/>
      <c r="AY73" s="168"/>
      <c r="AZ73" s="168"/>
      <c r="BB73" s="168"/>
    </row>
    <row r="74" s="89" customFormat="1" customHeight="1" spans="1:54">
      <c r="A74" s="167">
        <v>55</v>
      </c>
      <c r="C74" s="174"/>
      <c r="I74" s="89" t="s">
        <v>2883</v>
      </c>
      <c r="J74" s="89">
        <v>117.54</v>
      </c>
      <c r="M74" s="168"/>
      <c r="N74" s="168">
        <v>5940.88</v>
      </c>
      <c r="O74" s="170"/>
      <c r="P74" s="184"/>
      <c r="Q74" s="184"/>
      <c r="R74" s="168"/>
      <c r="S74" s="171"/>
      <c r="T74" s="167"/>
      <c r="U74" s="171"/>
      <c r="V74" s="168"/>
      <c r="X74" s="168"/>
      <c r="Y74" s="197"/>
      <c r="AA74" s="170"/>
      <c r="AB74" s="168"/>
      <c r="AH74" s="168">
        <f t="shared" si="5"/>
        <v>0</v>
      </c>
      <c r="AK74" s="184"/>
      <c r="AO74" s="89">
        <f t="shared" si="6"/>
        <v>0</v>
      </c>
      <c r="AP74" s="203"/>
      <c r="AQ74" s="204">
        <f t="shared" si="7"/>
        <v>0</v>
      </c>
      <c r="AR74" s="168"/>
      <c r="AS74" s="168"/>
      <c r="AT74" s="168"/>
      <c r="AU74" s="168"/>
      <c r="AV74" s="168"/>
      <c r="AW74" s="168"/>
      <c r="AX74" s="168"/>
      <c r="AY74" s="168"/>
      <c r="AZ74" s="168"/>
      <c r="BB74" s="168"/>
    </row>
    <row r="75" s="89" customFormat="1" customHeight="1" spans="1:54">
      <c r="A75" s="167">
        <v>56</v>
      </c>
      <c r="C75" s="174"/>
      <c r="I75" s="89" t="s">
        <v>2884</v>
      </c>
      <c r="J75" s="89">
        <v>117.91</v>
      </c>
      <c r="M75" s="168"/>
      <c r="N75" s="168">
        <v>5905.88</v>
      </c>
      <c r="O75" s="170"/>
      <c r="P75" s="184"/>
      <c r="Q75" s="184"/>
      <c r="R75" s="168"/>
      <c r="S75" s="171"/>
      <c r="T75" s="167"/>
      <c r="U75" s="171"/>
      <c r="V75" s="168"/>
      <c r="X75" s="168"/>
      <c r="Y75" s="197"/>
      <c r="AA75" s="170"/>
      <c r="AB75" s="168"/>
      <c r="AH75" s="168">
        <f t="shared" si="5"/>
        <v>0</v>
      </c>
      <c r="AK75" s="184"/>
      <c r="AO75" s="89">
        <f t="shared" si="6"/>
        <v>0</v>
      </c>
      <c r="AP75" s="203"/>
      <c r="AQ75" s="204">
        <f t="shared" si="7"/>
        <v>0</v>
      </c>
      <c r="AR75" s="168"/>
      <c r="AS75" s="168"/>
      <c r="AT75" s="168"/>
      <c r="AU75" s="168"/>
      <c r="AV75" s="168"/>
      <c r="AW75" s="168"/>
      <c r="AX75" s="168"/>
      <c r="AY75" s="168"/>
      <c r="AZ75" s="168"/>
      <c r="BB75" s="168"/>
    </row>
    <row r="76" s="89" customFormat="1" customHeight="1" spans="1:54">
      <c r="A76" s="167">
        <v>57</v>
      </c>
      <c r="C76" s="174"/>
      <c r="I76" s="89" t="s">
        <v>2885</v>
      </c>
      <c r="J76" s="89">
        <v>117.54</v>
      </c>
      <c r="M76" s="168"/>
      <c r="N76" s="168">
        <v>5985.88</v>
      </c>
      <c r="O76" s="170"/>
      <c r="P76" s="184"/>
      <c r="Q76" s="184"/>
      <c r="R76" s="168"/>
      <c r="S76" s="171"/>
      <c r="T76" s="167"/>
      <c r="U76" s="171"/>
      <c r="V76" s="168"/>
      <c r="X76" s="168"/>
      <c r="Y76" s="197"/>
      <c r="AA76" s="170"/>
      <c r="AB76" s="168"/>
      <c r="AH76" s="168">
        <f t="shared" si="5"/>
        <v>0</v>
      </c>
      <c r="AK76" s="184"/>
      <c r="AO76" s="89">
        <f t="shared" si="6"/>
        <v>0</v>
      </c>
      <c r="AP76" s="203"/>
      <c r="AQ76" s="204">
        <f t="shared" si="7"/>
        <v>0</v>
      </c>
      <c r="AR76" s="168"/>
      <c r="AS76" s="168"/>
      <c r="AT76" s="168"/>
      <c r="AU76" s="168"/>
      <c r="AV76" s="168"/>
      <c r="AW76" s="168"/>
      <c r="AX76" s="168"/>
      <c r="AY76" s="168"/>
      <c r="AZ76" s="168"/>
      <c r="BB76" s="168"/>
    </row>
    <row r="77" s="89" customFormat="1" customHeight="1" spans="1:54">
      <c r="A77" s="167">
        <v>58</v>
      </c>
      <c r="C77" s="174"/>
      <c r="I77" s="89" t="s">
        <v>2886</v>
      </c>
      <c r="J77" s="89">
        <v>117.91</v>
      </c>
      <c r="M77" s="168"/>
      <c r="N77" s="168">
        <v>5950.88</v>
      </c>
      <c r="O77" s="170"/>
      <c r="P77" s="184"/>
      <c r="Q77" s="184"/>
      <c r="R77" s="168"/>
      <c r="S77" s="171"/>
      <c r="T77" s="167"/>
      <c r="U77" s="171"/>
      <c r="V77" s="168"/>
      <c r="X77" s="168"/>
      <c r="Y77" s="197"/>
      <c r="AA77" s="170"/>
      <c r="AB77" s="168"/>
      <c r="AH77" s="168">
        <f t="shared" si="5"/>
        <v>0</v>
      </c>
      <c r="AK77" s="184"/>
      <c r="AO77" s="89">
        <f t="shared" si="6"/>
        <v>0</v>
      </c>
      <c r="AP77" s="203"/>
      <c r="AQ77" s="204">
        <f t="shared" si="7"/>
        <v>0</v>
      </c>
      <c r="AR77" s="168"/>
      <c r="AS77" s="168"/>
      <c r="AT77" s="168"/>
      <c r="AU77" s="168"/>
      <c r="AV77" s="168"/>
      <c r="AW77" s="168"/>
      <c r="AX77" s="168"/>
      <c r="AY77" s="168"/>
      <c r="AZ77" s="168"/>
      <c r="BB77" s="168"/>
    </row>
    <row r="78" s="89" customFormat="1" customHeight="1" spans="1:54">
      <c r="A78" s="167">
        <v>59</v>
      </c>
      <c r="C78" s="174"/>
      <c r="I78" s="89" t="s">
        <v>2887</v>
      </c>
      <c r="J78" s="89">
        <v>117.54</v>
      </c>
      <c r="M78" s="168"/>
      <c r="N78" s="168">
        <v>6010.88</v>
      </c>
      <c r="O78" s="170"/>
      <c r="P78" s="184"/>
      <c r="Q78" s="184"/>
      <c r="R78" s="168"/>
      <c r="S78" s="171"/>
      <c r="T78" s="167"/>
      <c r="U78" s="171"/>
      <c r="V78" s="168"/>
      <c r="X78" s="168"/>
      <c r="Y78" s="197"/>
      <c r="AA78" s="170"/>
      <c r="AB78" s="168"/>
      <c r="AH78" s="168">
        <f t="shared" si="5"/>
        <v>0</v>
      </c>
      <c r="AK78" s="184"/>
      <c r="AO78" s="89">
        <f t="shared" si="6"/>
        <v>0</v>
      </c>
      <c r="AP78" s="203"/>
      <c r="AQ78" s="204">
        <f t="shared" si="7"/>
        <v>0</v>
      </c>
      <c r="AR78" s="168"/>
      <c r="AS78" s="168"/>
      <c r="AT78" s="168"/>
      <c r="AU78" s="168"/>
      <c r="AV78" s="168"/>
      <c r="AW78" s="168"/>
      <c r="AX78" s="168"/>
      <c r="AY78" s="168"/>
      <c r="AZ78" s="168"/>
      <c r="BB78" s="168"/>
    </row>
    <row r="79" s="89" customFormat="1" customHeight="1" spans="1:54">
      <c r="A79" s="167">
        <v>60</v>
      </c>
      <c r="C79" s="174"/>
      <c r="I79" s="89" t="s">
        <v>2888</v>
      </c>
      <c r="J79" s="89">
        <v>117.91</v>
      </c>
      <c r="M79" s="168"/>
      <c r="N79" s="168">
        <v>5975.88</v>
      </c>
      <c r="O79" s="170"/>
      <c r="P79" s="184"/>
      <c r="Q79" s="184"/>
      <c r="R79" s="168"/>
      <c r="S79" s="171"/>
      <c r="T79" s="167"/>
      <c r="U79" s="171"/>
      <c r="V79" s="168"/>
      <c r="X79" s="168"/>
      <c r="Y79" s="197"/>
      <c r="AA79" s="170"/>
      <c r="AB79" s="168"/>
      <c r="AH79" s="168">
        <f t="shared" si="5"/>
        <v>0</v>
      </c>
      <c r="AK79" s="184"/>
      <c r="AO79" s="89">
        <f t="shared" si="6"/>
        <v>0</v>
      </c>
      <c r="AP79" s="203"/>
      <c r="AQ79" s="204">
        <f t="shared" si="7"/>
        <v>0</v>
      </c>
      <c r="AR79" s="168"/>
      <c r="AS79" s="168"/>
      <c r="AT79" s="168"/>
      <c r="AU79" s="168"/>
      <c r="AV79" s="168"/>
      <c r="AW79" s="168"/>
      <c r="AX79" s="168"/>
      <c r="AY79" s="168"/>
      <c r="AZ79" s="168"/>
      <c r="BB79" s="168"/>
    </row>
    <row r="80" s="89" customFormat="1" customHeight="1" spans="1:54">
      <c r="A80" s="167">
        <v>61</v>
      </c>
      <c r="C80" s="174"/>
      <c r="I80" s="89" t="s">
        <v>2889</v>
      </c>
      <c r="J80" s="89">
        <v>117.54</v>
      </c>
      <c r="M80" s="168"/>
      <c r="N80" s="168">
        <v>6035.88</v>
      </c>
      <c r="O80" s="170"/>
      <c r="P80" s="184"/>
      <c r="Q80" s="184"/>
      <c r="R80" s="168"/>
      <c r="S80" s="171"/>
      <c r="T80" s="167"/>
      <c r="U80" s="171"/>
      <c r="V80" s="168"/>
      <c r="X80" s="168"/>
      <c r="Y80" s="197"/>
      <c r="AA80" s="170"/>
      <c r="AB80" s="168"/>
      <c r="AH80" s="168">
        <f t="shared" si="5"/>
        <v>0</v>
      </c>
      <c r="AK80" s="184"/>
      <c r="AO80" s="89">
        <f t="shared" si="6"/>
        <v>0</v>
      </c>
      <c r="AP80" s="203"/>
      <c r="AQ80" s="204">
        <f t="shared" si="7"/>
        <v>0</v>
      </c>
      <c r="AR80" s="168"/>
      <c r="AS80" s="168"/>
      <c r="AT80" s="168"/>
      <c r="AU80" s="168"/>
      <c r="AV80" s="168"/>
      <c r="AW80" s="168"/>
      <c r="AX80" s="168"/>
      <c r="AY80" s="168"/>
      <c r="AZ80" s="168"/>
      <c r="BB80" s="168"/>
    </row>
    <row r="81" s="89" customFormat="1" customHeight="1" spans="1:54">
      <c r="A81" s="167">
        <v>62</v>
      </c>
      <c r="C81" s="174"/>
      <c r="I81" s="89" t="s">
        <v>2890</v>
      </c>
      <c r="J81" s="89">
        <v>117.91</v>
      </c>
      <c r="M81" s="168"/>
      <c r="N81" s="168">
        <v>6000.88</v>
      </c>
      <c r="O81" s="170"/>
      <c r="P81" s="184"/>
      <c r="Q81" s="184"/>
      <c r="R81" s="168"/>
      <c r="S81" s="171"/>
      <c r="T81" s="167"/>
      <c r="U81" s="171"/>
      <c r="V81" s="168"/>
      <c r="X81" s="168"/>
      <c r="Y81" s="197"/>
      <c r="AA81" s="170"/>
      <c r="AB81" s="168"/>
      <c r="AH81" s="168">
        <f t="shared" si="5"/>
        <v>0</v>
      </c>
      <c r="AK81" s="184"/>
      <c r="AO81" s="89">
        <f t="shared" si="6"/>
        <v>0</v>
      </c>
      <c r="AP81" s="203"/>
      <c r="AQ81" s="204">
        <f t="shared" si="7"/>
        <v>0</v>
      </c>
      <c r="AR81" s="168"/>
      <c r="AS81" s="168"/>
      <c r="AT81" s="168"/>
      <c r="AU81" s="168"/>
      <c r="AV81" s="168"/>
      <c r="AW81" s="168"/>
      <c r="AX81" s="168"/>
      <c r="AY81" s="168"/>
      <c r="AZ81" s="168"/>
      <c r="BB81" s="168"/>
    </row>
    <row r="82" s="89" customFormat="1" customHeight="1" spans="1:54">
      <c r="A82" s="167">
        <v>63</v>
      </c>
      <c r="C82" s="174"/>
      <c r="I82" s="89" t="s">
        <v>2891</v>
      </c>
      <c r="J82" s="89">
        <v>117.54</v>
      </c>
      <c r="M82" s="168"/>
      <c r="N82" s="168">
        <v>6055.89</v>
      </c>
      <c r="O82" s="170"/>
      <c r="P82" s="184"/>
      <c r="Q82" s="184"/>
      <c r="R82" s="168"/>
      <c r="S82" s="171"/>
      <c r="T82" s="167"/>
      <c r="U82" s="171"/>
      <c r="V82" s="168"/>
      <c r="X82" s="168"/>
      <c r="Y82" s="197"/>
      <c r="AA82" s="170"/>
      <c r="AB82" s="168"/>
      <c r="AH82" s="168">
        <f t="shared" si="5"/>
        <v>0</v>
      </c>
      <c r="AK82" s="184"/>
      <c r="AO82" s="89">
        <f t="shared" si="6"/>
        <v>0</v>
      </c>
      <c r="AP82" s="203"/>
      <c r="AQ82" s="204">
        <f t="shared" si="7"/>
        <v>0</v>
      </c>
      <c r="AR82" s="168"/>
      <c r="AS82" s="168"/>
      <c r="AT82" s="168"/>
      <c r="AU82" s="168"/>
      <c r="AV82" s="168"/>
      <c r="AW82" s="168"/>
      <c r="AX82" s="168"/>
      <c r="AY82" s="168"/>
      <c r="AZ82" s="168"/>
      <c r="BB82" s="168"/>
    </row>
    <row r="83" s="89" customFormat="1" customHeight="1" spans="1:54">
      <c r="A83" s="167">
        <v>64</v>
      </c>
      <c r="C83" s="174"/>
      <c r="I83" s="89" t="s">
        <v>2892</v>
      </c>
      <c r="J83" s="89">
        <v>117.91</v>
      </c>
      <c r="M83" s="168"/>
      <c r="N83" s="168">
        <v>6020.88</v>
      </c>
      <c r="O83" s="170"/>
      <c r="P83" s="184"/>
      <c r="Q83" s="184"/>
      <c r="R83" s="168"/>
      <c r="S83" s="171"/>
      <c r="T83" s="167"/>
      <c r="U83" s="171"/>
      <c r="V83" s="168"/>
      <c r="X83" s="168"/>
      <c r="Y83" s="197"/>
      <c r="AA83" s="170"/>
      <c r="AB83" s="168"/>
      <c r="AH83" s="168">
        <f t="shared" si="5"/>
        <v>0</v>
      </c>
      <c r="AK83" s="184"/>
      <c r="AO83" s="89">
        <f t="shared" si="6"/>
        <v>0</v>
      </c>
      <c r="AP83" s="203"/>
      <c r="AQ83" s="204">
        <f t="shared" si="7"/>
        <v>0</v>
      </c>
      <c r="AR83" s="168"/>
      <c r="AS83" s="168"/>
      <c r="AT83" s="168"/>
      <c r="AU83" s="168"/>
      <c r="AV83" s="168"/>
      <c r="AW83" s="168"/>
      <c r="AX83" s="168"/>
      <c r="AY83" s="168"/>
      <c r="AZ83" s="168"/>
      <c r="BB83" s="168"/>
    </row>
    <row r="84" s="89" customFormat="1" customHeight="1" spans="1:54">
      <c r="A84" s="167">
        <v>65</v>
      </c>
      <c r="C84" s="174"/>
      <c r="I84" s="89" t="s">
        <v>2893</v>
      </c>
      <c r="J84" s="89">
        <v>117.54</v>
      </c>
      <c r="M84" s="168"/>
      <c r="N84" s="168">
        <v>7082.5</v>
      </c>
      <c r="O84" s="170"/>
      <c r="P84" s="184"/>
      <c r="Q84" s="184"/>
      <c r="R84" s="168"/>
      <c r="S84" s="171"/>
      <c r="T84" s="167"/>
      <c r="U84" s="171"/>
      <c r="V84" s="168"/>
      <c r="X84" s="168"/>
      <c r="Y84" s="197"/>
      <c r="AA84" s="170"/>
      <c r="AB84" s="168"/>
      <c r="AH84" s="168">
        <f t="shared" si="5"/>
        <v>0</v>
      </c>
      <c r="AK84" s="184"/>
      <c r="AO84" s="89">
        <f t="shared" si="6"/>
        <v>0</v>
      </c>
      <c r="AP84" s="203"/>
      <c r="AQ84" s="204">
        <f t="shared" si="7"/>
        <v>0</v>
      </c>
      <c r="AR84" s="168"/>
      <c r="AS84" s="168"/>
      <c r="AT84" s="168"/>
      <c r="AU84" s="168"/>
      <c r="AV84" s="168"/>
      <c r="AW84" s="168"/>
      <c r="AX84" s="168"/>
      <c r="AY84" s="168"/>
      <c r="AZ84" s="168"/>
      <c r="BB84" s="168"/>
    </row>
    <row r="85" s="89" customFormat="1" customHeight="1" spans="1:54">
      <c r="A85" s="167">
        <v>66</v>
      </c>
      <c r="C85" s="174"/>
      <c r="I85" s="89" t="s">
        <v>2894</v>
      </c>
      <c r="J85" s="89">
        <v>117.91</v>
      </c>
      <c r="M85" s="168"/>
      <c r="N85" s="168">
        <v>7047.5</v>
      </c>
      <c r="O85" s="170"/>
      <c r="P85" s="184"/>
      <c r="Q85" s="184"/>
      <c r="R85" s="168"/>
      <c r="S85" s="171"/>
      <c r="T85" s="167"/>
      <c r="U85" s="171"/>
      <c r="V85" s="168"/>
      <c r="X85" s="168"/>
      <c r="Y85" s="197"/>
      <c r="AA85" s="170"/>
      <c r="AB85" s="168"/>
      <c r="AH85" s="168">
        <f t="shared" si="5"/>
        <v>0</v>
      </c>
      <c r="AK85" s="184"/>
      <c r="AO85" s="89">
        <f t="shared" si="6"/>
        <v>0</v>
      </c>
      <c r="AP85" s="203"/>
      <c r="AQ85" s="204">
        <f t="shared" si="7"/>
        <v>0</v>
      </c>
      <c r="AR85" s="168"/>
      <c r="AS85" s="168"/>
      <c r="AT85" s="168"/>
      <c r="AU85" s="168"/>
      <c r="AV85" s="168"/>
      <c r="AW85" s="168"/>
      <c r="AX85" s="168"/>
      <c r="AY85" s="168"/>
      <c r="AZ85" s="168"/>
      <c r="BB85" s="168"/>
    </row>
    <row r="86" s="89" customFormat="1" customHeight="1" spans="3:54">
      <c r="C86" s="174"/>
      <c r="I86" s="185" t="s">
        <v>2895</v>
      </c>
      <c r="J86" s="170">
        <v>275.94</v>
      </c>
      <c r="M86" s="168"/>
      <c r="N86" s="168"/>
      <c r="O86" s="170"/>
      <c r="P86" s="184"/>
      <c r="Q86" s="184"/>
      <c r="R86" s="168"/>
      <c r="S86" s="171"/>
      <c r="T86" s="167"/>
      <c r="U86" s="171"/>
      <c r="V86" s="168"/>
      <c r="X86" s="168"/>
      <c r="Y86" s="197"/>
      <c r="AA86" s="170"/>
      <c r="AB86" s="168"/>
      <c r="AH86" s="168">
        <f t="shared" si="5"/>
        <v>0</v>
      </c>
      <c r="AK86" s="184"/>
      <c r="AO86" s="89">
        <f t="shared" si="6"/>
        <v>0</v>
      </c>
      <c r="AP86" s="203"/>
      <c r="AQ86" s="204">
        <f t="shared" si="7"/>
        <v>0</v>
      </c>
      <c r="AR86" s="168"/>
      <c r="AS86" s="168"/>
      <c r="AT86" s="168"/>
      <c r="AU86" s="168"/>
      <c r="AV86" s="168"/>
      <c r="AW86" s="168"/>
      <c r="AX86" s="168"/>
      <c r="AY86" s="168"/>
      <c r="AZ86" s="168"/>
      <c r="BB86" s="168"/>
    </row>
    <row r="87" s="89" customFormat="1" customHeight="1" spans="3:54">
      <c r="C87" s="174"/>
      <c r="I87" s="183" t="s">
        <v>2896</v>
      </c>
      <c r="J87" s="170">
        <v>35.22</v>
      </c>
      <c r="M87" s="168"/>
      <c r="N87" s="168"/>
      <c r="O87" s="170"/>
      <c r="P87" s="184"/>
      <c r="Q87" s="184"/>
      <c r="R87" s="168"/>
      <c r="S87" s="171"/>
      <c r="T87" s="167"/>
      <c r="U87" s="171"/>
      <c r="V87" s="168"/>
      <c r="X87" s="168"/>
      <c r="Y87" s="197"/>
      <c r="AA87" s="170"/>
      <c r="AB87" s="168"/>
      <c r="AH87" s="168">
        <f t="shared" si="5"/>
        <v>0</v>
      </c>
      <c r="AK87" s="184"/>
      <c r="AO87" s="89">
        <f t="shared" si="6"/>
        <v>0</v>
      </c>
      <c r="AP87" s="203"/>
      <c r="AQ87" s="204">
        <f t="shared" si="7"/>
        <v>0</v>
      </c>
      <c r="AR87" s="168"/>
      <c r="AS87" s="168"/>
      <c r="AT87" s="168"/>
      <c r="AU87" s="168"/>
      <c r="AV87" s="168"/>
      <c r="AW87" s="168"/>
      <c r="AX87" s="168"/>
      <c r="AY87" s="168"/>
      <c r="AZ87" s="168"/>
      <c r="BB87" s="168"/>
    </row>
    <row r="88" s="89" customFormat="1" customHeight="1" spans="3:54">
      <c r="C88" s="174"/>
      <c r="I88" s="185" t="s">
        <v>2897</v>
      </c>
      <c r="J88" s="170">
        <v>34.37</v>
      </c>
      <c r="M88" s="168"/>
      <c r="N88" s="168"/>
      <c r="O88" s="170"/>
      <c r="P88" s="184"/>
      <c r="Q88" s="184"/>
      <c r="R88" s="168"/>
      <c r="S88" s="171"/>
      <c r="T88" s="167"/>
      <c r="U88" s="171"/>
      <c r="V88" s="168"/>
      <c r="X88" s="168"/>
      <c r="Y88" s="197"/>
      <c r="AA88" s="170"/>
      <c r="AB88" s="168"/>
      <c r="AH88" s="168">
        <f t="shared" si="5"/>
        <v>0</v>
      </c>
      <c r="AK88" s="184"/>
      <c r="AO88" s="89">
        <f t="shared" si="6"/>
        <v>0</v>
      </c>
      <c r="AP88" s="203"/>
      <c r="AQ88" s="204">
        <f t="shared" si="7"/>
        <v>0</v>
      </c>
      <c r="AR88" s="168"/>
      <c r="AS88" s="168"/>
      <c r="AT88" s="168"/>
      <c r="AU88" s="168"/>
      <c r="AV88" s="168"/>
      <c r="AW88" s="168"/>
      <c r="AX88" s="168"/>
      <c r="AY88" s="168"/>
      <c r="AZ88" s="168"/>
      <c r="BB88" s="168"/>
    </row>
    <row r="89" s="89" customFormat="1" customHeight="1" spans="3:54">
      <c r="C89" s="174"/>
      <c r="I89" s="183" t="s">
        <v>2898</v>
      </c>
      <c r="J89" s="170">
        <v>34.71</v>
      </c>
      <c r="M89" s="168"/>
      <c r="N89" s="168"/>
      <c r="O89" s="170"/>
      <c r="P89" s="184"/>
      <c r="Q89" s="184"/>
      <c r="R89" s="168"/>
      <c r="S89" s="171"/>
      <c r="T89" s="167"/>
      <c r="U89" s="171"/>
      <c r="V89" s="168"/>
      <c r="X89" s="168"/>
      <c r="Y89" s="197"/>
      <c r="AA89" s="170"/>
      <c r="AB89" s="168"/>
      <c r="AH89" s="168">
        <f t="shared" si="5"/>
        <v>0</v>
      </c>
      <c r="AK89" s="184"/>
      <c r="AO89" s="89">
        <f t="shared" si="6"/>
        <v>0</v>
      </c>
      <c r="AP89" s="203"/>
      <c r="AQ89" s="204">
        <f t="shared" si="7"/>
        <v>0</v>
      </c>
      <c r="AR89" s="168"/>
      <c r="AS89" s="168"/>
      <c r="AT89" s="168"/>
      <c r="AU89" s="168"/>
      <c r="AV89" s="168"/>
      <c r="AW89" s="168"/>
      <c r="AX89" s="168"/>
      <c r="AY89" s="168"/>
      <c r="AZ89" s="168"/>
      <c r="BB89" s="168"/>
    </row>
    <row r="90" s="89" customFormat="1" customHeight="1" spans="3:54">
      <c r="C90" s="174"/>
      <c r="I90" s="185" t="s">
        <v>2899</v>
      </c>
      <c r="J90" s="170">
        <v>29.37</v>
      </c>
      <c r="M90" s="168"/>
      <c r="N90" s="168"/>
      <c r="O90" s="170"/>
      <c r="P90" s="184"/>
      <c r="Q90" s="184"/>
      <c r="R90" s="168"/>
      <c r="S90" s="171"/>
      <c r="T90" s="167"/>
      <c r="U90" s="171"/>
      <c r="V90" s="168"/>
      <c r="X90" s="168"/>
      <c r="Y90" s="197"/>
      <c r="AA90" s="170"/>
      <c r="AB90" s="168"/>
      <c r="AH90" s="168">
        <f t="shared" si="5"/>
        <v>0</v>
      </c>
      <c r="AK90" s="184"/>
      <c r="AO90" s="89">
        <f t="shared" si="6"/>
        <v>0</v>
      </c>
      <c r="AP90" s="203"/>
      <c r="AQ90" s="204">
        <f t="shared" si="7"/>
        <v>0</v>
      </c>
      <c r="AR90" s="168"/>
      <c r="AS90" s="168"/>
      <c r="AT90" s="168"/>
      <c r="AU90" s="168"/>
      <c r="AV90" s="168"/>
      <c r="AW90" s="168"/>
      <c r="AX90" s="168"/>
      <c r="AY90" s="168"/>
      <c r="AZ90" s="168"/>
      <c r="BB90" s="168"/>
    </row>
    <row r="91" s="89" customFormat="1" customHeight="1" spans="3:54">
      <c r="C91" s="174"/>
      <c r="I91" s="185" t="s">
        <v>2900</v>
      </c>
      <c r="J91" s="170">
        <v>20.09</v>
      </c>
      <c r="M91" s="168"/>
      <c r="N91" s="168"/>
      <c r="O91" s="170"/>
      <c r="P91" s="184"/>
      <c r="Q91" s="184"/>
      <c r="R91" s="168"/>
      <c r="S91" s="171"/>
      <c r="T91" s="167"/>
      <c r="U91" s="171"/>
      <c r="V91" s="168"/>
      <c r="X91" s="168"/>
      <c r="Y91" s="197"/>
      <c r="AA91" s="170"/>
      <c r="AB91" s="168"/>
      <c r="AH91" s="168">
        <f t="shared" si="5"/>
        <v>0</v>
      </c>
      <c r="AK91" s="184"/>
      <c r="AO91" s="89">
        <f t="shared" si="6"/>
        <v>0</v>
      </c>
      <c r="AP91" s="203"/>
      <c r="AQ91" s="204">
        <f t="shared" si="7"/>
        <v>0</v>
      </c>
      <c r="AR91" s="168"/>
      <c r="AS91" s="168"/>
      <c r="AT91" s="168"/>
      <c r="AU91" s="168"/>
      <c r="AV91" s="168"/>
      <c r="AW91" s="168"/>
      <c r="AX91" s="168"/>
      <c r="AY91" s="168"/>
      <c r="AZ91" s="168"/>
      <c r="BB91" s="168"/>
    </row>
    <row r="92" s="89" customFormat="1" customHeight="1" spans="3:54">
      <c r="C92" s="174"/>
      <c r="I92" s="185" t="s">
        <v>2901</v>
      </c>
      <c r="J92" s="170">
        <v>15.74</v>
      </c>
      <c r="M92" s="168"/>
      <c r="N92" s="168"/>
      <c r="O92" s="170"/>
      <c r="P92" s="184"/>
      <c r="Q92" s="184"/>
      <c r="R92" s="168"/>
      <c r="S92" s="171"/>
      <c r="T92" s="167"/>
      <c r="U92" s="171"/>
      <c r="V92" s="168"/>
      <c r="X92" s="168"/>
      <c r="Y92" s="197"/>
      <c r="AA92" s="170"/>
      <c r="AB92" s="168"/>
      <c r="AH92" s="168">
        <f t="shared" si="5"/>
        <v>0</v>
      </c>
      <c r="AK92" s="184"/>
      <c r="AO92" s="89">
        <f t="shared" si="6"/>
        <v>0</v>
      </c>
      <c r="AP92" s="203"/>
      <c r="AQ92" s="204">
        <f t="shared" si="7"/>
        <v>0</v>
      </c>
      <c r="AR92" s="168"/>
      <c r="AS92" s="168"/>
      <c r="AT92" s="168"/>
      <c r="AU92" s="168"/>
      <c r="AV92" s="168"/>
      <c r="AW92" s="168"/>
      <c r="AX92" s="168"/>
      <c r="AY92" s="168"/>
      <c r="AZ92" s="168"/>
      <c r="BB92" s="168"/>
    </row>
    <row r="93" s="89" customFormat="1" customHeight="1" spans="3:54">
      <c r="C93" s="174"/>
      <c r="I93" s="185" t="s">
        <v>2902</v>
      </c>
      <c r="J93" s="170">
        <v>13.71</v>
      </c>
      <c r="M93" s="168"/>
      <c r="N93" s="168"/>
      <c r="O93" s="170"/>
      <c r="P93" s="184"/>
      <c r="Q93" s="184"/>
      <c r="R93" s="168"/>
      <c r="S93" s="171"/>
      <c r="T93" s="167"/>
      <c r="U93" s="171"/>
      <c r="V93" s="168"/>
      <c r="X93" s="168"/>
      <c r="Y93" s="197"/>
      <c r="AA93" s="170"/>
      <c r="AB93" s="168"/>
      <c r="AH93" s="168">
        <f t="shared" si="5"/>
        <v>0</v>
      </c>
      <c r="AK93" s="184"/>
      <c r="AO93" s="89">
        <f t="shared" si="6"/>
        <v>0</v>
      </c>
      <c r="AP93" s="203"/>
      <c r="AQ93" s="204">
        <f t="shared" si="7"/>
        <v>0</v>
      </c>
      <c r="AR93" s="168"/>
      <c r="AS93" s="168"/>
      <c r="AT93" s="168"/>
      <c r="AU93" s="168"/>
      <c r="AV93" s="168"/>
      <c r="AW93" s="168"/>
      <c r="AX93" s="168"/>
      <c r="AY93" s="168"/>
      <c r="AZ93" s="168"/>
      <c r="BB93" s="168"/>
    </row>
    <row r="94" s="89" customFormat="1" customHeight="1" spans="3:54">
      <c r="C94" s="174"/>
      <c r="I94" s="185" t="s">
        <v>2903</v>
      </c>
      <c r="J94" s="170">
        <v>16.75</v>
      </c>
      <c r="M94" s="168"/>
      <c r="N94" s="168"/>
      <c r="O94" s="170"/>
      <c r="P94" s="184"/>
      <c r="Q94" s="184"/>
      <c r="R94" s="168"/>
      <c r="S94" s="171"/>
      <c r="T94" s="167"/>
      <c r="U94" s="171"/>
      <c r="V94" s="168"/>
      <c r="X94" s="168"/>
      <c r="Y94" s="197"/>
      <c r="AA94" s="170"/>
      <c r="AB94" s="168"/>
      <c r="AH94" s="168">
        <f t="shared" si="5"/>
        <v>0</v>
      </c>
      <c r="AK94" s="184"/>
      <c r="AO94" s="89">
        <f t="shared" si="6"/>
        <v>0</v>
      </c>
      <c r="AP94" s="203"/>
      <c r="AQ94" s="204">
        <f t="shared" si="7"/>
        <v>0</v>
      </c>
      <c r="AR94" s="168"/>
      <c r="AS94" s="168"/>
      <c r="AT94" s="168"/>
      <c r="AU94" s="168"/>
      <c r="AV94" s="168"/>
      <c r="AW94" s="168"/>
      <c r="AX94" s="168"/>
      <c r="AY94" s="168"/>
      <c r="AZ94" s="168"/>
      <c r="BB94" s="168"/>
    </row>
    <row r="95" s="89" customFormat="1" customHeight="1" spans="3:54">
      <c r="C95" s="174"/>
      <c r="I95" s="185" t="s">
        <v>2904</v>
      </c>
      <c r="J95" s="170">
        <v>9.62</v>
      </c>
      <c r="M95" s="168"/>
      <c r="N95" s="168"/>
      <c r="O95" s="170"/>
      <c r="P95" s="184"/>
      <c r="Q95" s="184"/>
      <c r="R95" s="168"/>
      <c r="S95" s="171"/>
      <c r="T95" s="167"/>
      <c r="U95" s="171"/>
      <c r="V95" s="168"/>
      <c r="X95" s="168"/>
      <c r="Y95" s="197"/>
      <c r="AA95" s="170"/>
      <c r="AB95" s="168"/>
      <c r="AH95" s="168">
        <f t="shared" si="5"/>
        <v>0</v>
      </c>
      <c r="AK95" s="184"/>
      <c r="AO95" s="89">
        <f t="shared" si="6"/>
        <v>0</v>
      </c>
      <c r="AP95" s="203"/>
      <c r="AQ95" s="204">
        <f t="shared" si="7"/>
        <v>0</v>
      </c>
      <c r="AR95" s="168"/>
      <c r="AS95" s="168"/>
      <c r="AT95" s="168"/>
      <c r="AU95" s="168"/>
      <c r="AV95" s="168"/>
      <c r="AW95" s="168"/>
      <c r="AX95" s="168"/>
      <c r="AY95" s="168"/>
      <c r="AZ95" s="168"/>
      <c r="BB95" s="168"/>
    </row>
    <row r="96" s="89" customFormat="1" customHeight="1" spans="3:54">
      <c r="C96" s="174"/>
      <c r="I96" s="185" t="s">
        <v>2905</v>
      </c>
      <c r="J96" s="170">
        <v>17.99</v>
      </c>
      <c r="M96" s="168"/>
      <c r="N96" s="168"/>
      <c r="O96" s="170"/>
      <c r="P96" s="184"/>
      <c r="Q96" s="184"/>
      <c r="R96" s="168"/>
      <c r="S96" s="171"/>
      <c r="T96" s="167"/>
      <c r="U96" s="171"/>
      <c r="V96" s="168"/>
      <c r="X96" s="168"/>
      <c r="Y96" s="197"/>
      <c r="AA96" s="170"/>
      <c r="AB96" s="168"/>
      <c r="AH96" s="168">
        <f t="shared" si="5"/>
        <v>0</v>
      </c>
      <c r="AK96" s="184"/>
      <c r="AO96" s="89">
        <f t="shared" si="6"/>
        <v>0</v>
      </c>
      <c r="AP96" s="203"/>
      <c r="AQ96" s="204">
        <f t="shared" si="7"/>
        <v>0</v>
      </c>
      <c r="AR96" s="168"/>
      <c r="AS96" s="168"/>
      <c r="AT96" s="168"/>
      <c r="AU96" s="168"/>
      <c r="AV96" s="168"/>
      <c r="AW96" s="168"/>
      <c r="AX96" s="168"/>
      <c r="AY96" s="168"/>
      <c r="AZ96" s="168"/>
      <c r="BB96" s="168"/>
    </row>
    <row r="97" s="89" customFormat="1" customHeight="1" spans="3:54">
      <c r="C97" s="174"/>
      <c r="I97" s="185" t="s">
        <v>2906</v>
      </c>
      <c r="J97" s="170">
        <v>65.33</v>
      </c>
      <c r="M97" s="168"/>
      <c r="N97" s="168"/>
      <c r="O97" s="170"/>
      <c r="P97" s="184"/>
      <c r="Q97" s="184"/>
      <c r="R97" s="168"/>
      <c r="S97" s="171"/>
      <c r="T97" s="167"/>
      <c r="U97" s="171"/>
      <c r="V97" s="168"/>
      <c r="X97" s="168"/>
      <c r="Y97" s="197"/>
      <c r="AA97" s="170"/>
      <c r="AB97" s="168"/>
      <c r="AH97" s="168">
        <f t="shared" si="5"/>
        <v>0</v>
      </c>
      <c r="AK97" s="184"/>
      <c r="AO97" s="89">
        <f t="shared" si="6"/>
        <v>0</v>
      </c>
      <c r="AP97" s="203"/>
      <c r="AQ97" s="204">
        <f t="shared" si="7"/>
        <v>0</v>
      </c>
      <c r="AR97" s="168"/>
      <c r="AS97" s="168"/>
      <c r="AT97" s="168"/>
      <c r="AU97" s="168"/>
      <c r="AV97" s="168"/>
      <c r="AW97" s="168"/>
      <c r="AX97" s="168"/>
      <c r="AY97" s="168"/>
      <c r="AZ97" s="168"/>
      <c r="BB97" s="168"/>
    </row>
    <row r="98" s="89" customFormat="1" customHeight="1" spans="3:54">
      <c r="C98" s="174"/>
      <c r="I98" s="185" t="s">
        <v>2907</v>
      </c>
      <c r="J98" s="170">
        <v>160.57</v>
      </c>
      <c r="M98" s="168"/>
      <c r="N98" s="168"/>
      <c r="O98" s="170"/>
      <c r="P98" s="184"/>
      <c r="Q98" s="184"/>
      <c r="R98" s="168"/>
      <c r="S98" s="171"/>
      <c r="T98" s="167"/>
      <c r="U98" s="171"/>
      <c r="V98" s="168"/>
      <c r="X98" s="168"/>
      <c r="Y98" s="197"/>
      <c r="AA98" s="170"/>
      <c r="AB98" s="168"/>
      <c r="AH98" s="168">
        <f t="shared" si="5"/>
        <v>0</v>
      </c>
      <c r="AK98" s="184"/>
      <c r="AO98" s="89">
        <f t="shared" si="6"/>
        <v>0</v>
      </c>
      <c r="AP98" s="203"/>
      <c r="AQ98" s="204">
        <f t="shared" si="7"/>
        <v>0</v>
      </c>
      <c r="AR98" s="168"/>
      <c r="AS98" s="168"/>
      <c r="AT98" s="168"/>
      <c r="AU98" s="168"/>
      <c r="AV98" s="168"/>
      <c r="AW98" s="168"/>
      <c r="AX98" s="168"/>
      <c r="AY98" s="168"/>
      <c r="AZ98" s="168"/>
      <c r="BB98" s="168"/>
    </row>
    <row r="99" s="89" customFormat="1" customHeight="1" spans="3:54">
      <c r="C99" s="174"/>
      <c r="I99" s="185" t="s">
        <v>2908</v>
      </c>
      <c r="J99" s="170">
        <v>156.43</v>
      </c>
      <c r="M99" s="168"/>
      <c r="N99" s="168"/>
      <c r="O99" s="170"/>
      <c r="P99" s="184"/>
      <c r="Q99" s="184"/>
      <c r="R99" s="168"/>
      <c r="S99" s="171"/>
      <c r="T99" s="167"/>
      <c r="U99" s="171"/>
      <c r="V99" s="168"/>
      <c r="X99" s="168"/>
      <c r="Y99" s="197"/>
      <c r="AA99" s="170"/>
      <c r="AB99" s="168"/>
      <c r="AH99" s="168">
        <f t="shared" si="5"/>
        <v>0</v>
      </c>
      <c r="AK99" s="184"/>
      <c r="AO99" s="89">
        <f t="shared" si="6"/>
        <v>0</v>
      </c>
      <c r="AP99" s="203"/>
      <c r="AQ99" s="204">
        <f t="shared" si="7"/>
        <v>0</v>
      </c>
      <c r="AR99" s="168"/>
      <c r="AS99" s="168"/>
      <c r="AT99" s="168"/>
      <c r="AU99" s="168"/>
      <c r="AV99" s="168"/>
      <c r="AW99" s="168"/>
      <c r="AX99" s="168"/>
      <c r="AY99" s="168"/>
      <c r="AZ99" s="168"/>
      <c r="BB99" s="168"/>
    </row>
    <row r="100" s="89" customFormat="1" customHeight="1" spans="3:54">
      <c r="C100" s="174"/>
      <c r="I100" s="185" t="s">
        <v>2909</v>
      </c>
      <c r="J100" s="170">
        <v>64.08</v>
      </c>
      <c r="M100" s="168"/>
      <c r="N100" s="168"/>
      <c r="O100" s="170"/>
      <c r="P100" s="184"/>
      <c r="Q100" s="184"/>
      <c r="R100" s="168"/>
      <c r="S100" s="171"/>
      <c r="T100" s="167"/>
      <c r="U100" s="171"/>
      <c r="V100" s="168"/>
      <c r="X100" s="168"/>
      <c r="Y100" s="197"/>
      <c r="AA100" s="170"/>
      <c r="AB100" s="168"/>
      <c r="AH100" s="168">
        <f t="shared" si="5"/>
        <v>0</v>
      </c>
      <c r="AK100" s="184"/>
      <c r="AO100" s="89">
        <f t="shared" si="6"/>
        <v>0</v>
      </c>
      <c r="AP100" s="203"/>
      <c r="AQ100" s="204">
        <f t="shared" si="7"/>
        <v>0</v>
      </c>
      <c r="AR100" s="168"/>
      <c r="AS100" s="168"/>
      <c r="AT100" s="168"/>
      <c r="AU100" s="168"/>
      <c r="AV100" s="168"/>
      <c r="AW100" s="168"/>
      <c r="AX100" s="168"/>
      <c r="AY100" s="168"/>
      <c r="AZ100" s="168"/>
      <c r="BB100" s="168"/>
    </row>
    <row r="101" s="131" customFormat="1" customHeight="1" spans="1:74">
      <c r="A101" s="175">
        <v>67</v>
      </c>
      <c r="C101" s="144" t="s">
        <v>2910</v>
      </c>
      <c r="D101" s="131">
        <v>20240002219</v>
      </c>
      <c r="F101" s="726" t="s">
        <v>2911</v>
      </c>
      <c r="G101" s="144" t="s">
        <v>2912</v>
      </c>
      <c r="H101" s="726" t="s">
        <v>2913</v>
      </c>
      <c r="I101" s="131" t="s">
        <v>2914</v>
      </c>
      <c r="J101" s="131">
        <v>102.67</v>
      </c>
      <c r="K101" s="131">
        <v>102.67</v>
      </c>
      <c r="L101" s="131">
        <v>4967.37</v>
      </c>
      <c r="M101" s="158">
        <v>510000</v>
      </c>
      <c r="N101" s="158">
        <v>4895</v>
      </c>
      <c r="O101" s="188"/>
      <c r="P101" s="189"/>
      <c r="Q101" s="189"/>
      <c r="R101" s="158"/>
      <c r="S101" s="159"/>
      <c r="T101" s="175"/>
      <c r="U101" s="213" t="s">
        <v>2915</v>
      </c>
      <c r="V101" s="158">
        <f>10000-10000</f>
        <v>0</v>
      </c>
      <c r="W101" s="159" t="s">
        <v>426</v>
      </c>
      <c r="X101" s="158">
        <v>10000</v>
      </c>
      <c r="Y101" s="159" t="s">
        <v>2916</v>
      </c>
      <c r="Z101" s="158">
        <v>143000</v>
      </c>
      <c r="AA101" s="159" t="s">
        <v>2910</v>
      </c>
      <c r="AB101" s="158">
        <v>357000</v>
      </c>
      <c r="AC101" s="159" t="s">
        <v>518</v>
      </c>
      <c r="AH101" s="158">
        <f t="shared" si="5"/>
        <v>510000</v>
      </c>
      <c r="AK101" s="189">
        <f>M101-AH101</f>
        <v>0</v>
      </c>
      <c r="AL101" s="131">
        <v>18799828687</v>
      </c>
      <c r="AO101" s="131">
        <f t="shared" si="6"/>
        <v>510000</v>
      </c>
      <c r="AP101" s="161">
        <f>0.7%+0.04%+0.12%</f>
        <v>0.0086</v>
      </c>
      <c r="AQ101" s="192">
        <f t="shared" si="7"/>
        <v>0</v>
      </c>
      <c r="AR101" s="158"/>
      <c r="AS101" s="158"/>
      <c r="AT101" s="158"/>
      <c r="AU101" s="158"/>
      <c r="AV101" s="158"/>
      <c r="AW101" s="158"/>
      <c r="AX101" s="158"/>
      <c r="AY101" s="158"/>
      <c r="AZ101" s="158"/>
      <c r="BB101" s="158"/>
      <c r="BH101" s="131">
        <v>153000</v>
      </c>
      <c r="BI101" s="131">
        <v>357000</v>
      </c>
      <c r="BQ101" s="131" t="s">
        <v>205</v>
      </c>
      <c r="BR101" s="131" t="s">
        <v>206</v>
      </c>
      <c r="BV101" s="131">
        <f>BT101-BU101</f>
        <v>0</v>
      </c>
    </row>
    <row r="102" s="89" customFormat="1" customHeight="1" spans="1:54">
      <c r="A102" s="167">
        <v>68</v>
      </c>
      <c r="C102" s="174"/>
      <c r="I102" s="89" t="s">
        <v>2917</v>
      </c>
      <c r="J102" s="89">
        <v>86.14</v>
      </c>
      <c r="M102" s="168"/>
      <c r="N102" s="168">
        <v>4925</v>
      </c>
      <c r="O102" s="170"/>
      <c r="P102" s="184"/>
      <c r="Q102" s="184"/>
      <c r="R102" s="168"/>
      <c r="S102" s="171"/>
      <c r="T102" s="167"/>
      <c r="U102" s="171"/>
      <c r="V102" s="168"/>
      <c r="X102" s="168"/>
      <c r="Y102" s="197"/>
      <c r="AA102" s="170"/>
      <c r="AB102" s="168"/>
      <c r="AH102" s="168">
        <f t="shared" si="5"/>
        <v>0</v>
      </c>
      <c r="AK102" s="184"/>
      <c r="AO102" s="89">
        <f t="shared" si="6"/>
        <v>0</v>
      </c>
      <c r="AP102" s="203"/>
      <c r="AQ102" s="204">
        <f t="shared" si="7"/>
        <v>0</v>
      </c>
      <c r="AR102" s="168"/>
      <c r="AS102" s="168"/>
      <c r="AT102" s="168"/>
      <c r="AU102" s="168"/>
      <c r="AV102" s="168"/>
      <c r="AW102" s="168"/>
      <c r="AX102" s="168"/>
      <c r="AY102" s="168"/>
      <c r="AZ102" s="168"/>
      <c r="BB102" s="168"/>
    </row>
    <row r="103" s="89" customFormat="1" customHeight="1" spans="1:54">
      <c r="A103" s="167">
        <v>69</v>
      </c>
      <c r="C103" s="174"/>
      <c r="I103" s="89" t="s">
        <v>2918</v>
      </c>
      <c r="J103" s="89">
        <v>153.46</v>
      </c>
      <c r="M103" s="168"/>
      <c r="N103" s="168">
        <v>4905</v>
      </c>
      <c r="O103" s="170"/>
      <c r="P103" s="184"/>
      <c r="Q103" s="184"/>
      <c r="R103" s="168"/>
      <c r="S103" s="171"/>
      <c r="T103" s="167"/>
      <c r="U103" s="171"/>
      <c r="V103" s="168"/>
      <c r="X103" s="168"/>
      <c r="Y103" s="197"/>
      <c r="AA103" s="170"/>
      <c r="AB103" s="168"/>
      <c r="AH103" s="168">
        <f t="shared" si="5"/>
        <v>0</v>
      </c>
      <c r="AK103" s="184"/>
      <c r="AO103" s="89">
        <f t="shared" si="6"/>
        <v>0</v>
      </c>
      <c r="AP103" s="203"/>
      <c r="AQ103" s="204">
        <f t="shared" si="7"/>
        <v>0</v>
      </c>
      <c r="AR103" s="168"/>
      <c r="AS103" s="168"/>
      <c r="AT103" s="168"/>
      <c r="AU103" s="168"/>
      <c r="AV103" s="168"/>
      <c r="AW103" s="168"/>
      <c r="AX103" s="168"/>
      <c r="AY103" s="168"/>
      <c r="AZ103" s="168"/>
      <c r="BB103" s="168"/>
    </row>
    <row r="104" s="131" customFormat="1" customHeight="1" spans="1:70">
      <c r="A104" s="175">
        <v>70</v>
      </c>
      <c r="C104" s="176">
        <v>45416</v>
      </c>
      <c r="D104" s="131">
        <v>20240002551</v>
      </c>
      <c r="F104" s="726" t="s">
        <v>2919</v>
      </c>
      <c r="G104" s="131" t="s">
        <v>2920</v>
      </c>
      <c r="H104" s="726" t="s">
        <v>2921</v>
      </c>
      <c r="I104" s="131" t="s">
        <v>2922</v>
      </c>
      <c r="J104" s="131">
        <v>115.78</v>
      </c>
      <c r="K104" s="131">
        <v>115.78</v>
      </c>
      <c r="L104" s="131">
        <v>5052.7</v>
      </c>
      <c r="M104" s="158">
        <v>585000</v>
      </c>
      <c r="N104" s="158">
        <v>4925</v>
      </c>
      <c r="O104" s="188"/>
      <c r="P104" s="189"/>
      <c r="Q104" s="189"/>
      <c r="R104" s="158"/>
      <c r="S104" s="159"/>
      <c r="T104" s="175"/>
      <c r="U104" s="159" t="s">
        <v>411</v>
      </c>
      <c r="V104" s="158">
        <v>20000</v>
      </c>
      <c r="W104" s="159" t="s">
        <v>2923</v>
      </c>
      <c r="X104" s="158">
        <f>115000+170000</f>
        <v>285000</v>
      </c>
      <c r="Y104" s="198" t="s">
        <v>202</v>
      </c>
      <c r="Z104" s="158">
        <v>280000</v>
      </c>
      <c r="AA104" s="159" t="s">
        <v>327</v>
      </c>
      <c r="AB104" s="158"/>
      <c r="AH104" s="158">
        <f t="shared" si="5"/>
        <v>585000</v>
      </c>
      <c r="AK104" s="189">
        <f>M104-AH104</f>
        <v>0</v>
      </c>
      <c r="AL104" s="131">
        <v>19999463937</v>
      </c>
      <c r="AO104" s="131">
        <f t="shared" si="6"/>
        <v>585000</v>
      </c>
      <c r="AP104" s="161">
        <f>0.7%+0.12%</f>
        <v>0.0082</v>
      </c>
      <c r="AQ104" s="192">
        <f t="shared" si="7"/>
        <v>0</v>
      </c>
      <c r="AR104" s="158"/>
      <c r="AS104" s="158"/>
      <c r="AT104" s="158"/>
      <c r="AU104" s="158"/>
      <c r="AV104" s="158"/>
      <c r="AW104" s="158"/>
      <c r="AX104" s="158"/>
      <c r="AY104" s="158"/>
      <c r="AZ104" s="158"/>
      <c r="BB104" s="158"/>
      <c r="BI104" s="131">
        <v>585000</v>
      </c>
      <c r="BQ104" s="131" t="s">
        <v>205</v>
      </c>
      <c r="BR104" s="131" t="s">
        <v>206</v>
      </c>
    </row>
    <row r="105" s="131" customFormat="1" customHeight="1" spans="1:54">
      <c r="A105" s="175">
        <v>71</v>
      </c>
      <c r="C105" s="144"/>
      <c r="G105" s="131" t="s">
        <v>2924</v>
      </c>
      <c r="I105" s="131" t="s">
        <v>2925</v>
      </c>
      <c r="J105" s="131">
        <v>86.14</v>
      </c>
      <c r="K105" s="131">
        <v>86.14</v>
      </c>
      <c r="L105" s="131">
        <v>4875.78</v>
      </c>
      <c r="M105" s="158">
        <v>420000</v>
      </c>
      <c r="N105" s="158">
        <v>4875.78</v>
      </c>
      <c r="O105" s="188"/>
      <c r="P105" s="189"/>
      <c r="Q105" s="189"/>
      <c r="R105" s="158"/>
      <c r="S105" s="159"/>
      <c r="T105" s="175"/>
      <c r="U105" s="159" t="s">
        <v>529</v>
      </c>
      <c r="V105" s="158">
        <v>30000</v>
      </c>
      <c r="W105" s="159" t="s">
        <v>2926</v>
      </c>
      <c r="X105" s="158"/>
      <c r="Y105" s="198"/>
      <c r="AA105" s="188"/>
      <c r="AB105" s="158"/>
      <c r="AH105" s="158">
        <f t="shared" si="5"/>
        <v>30000</v>
      </c>
      <c r="AK105" s="189">
        <f>M105-AH105</f>
        <v>390000</v>
      </c>
      <c r="AO105" s="131">
        <f t="shared" si="6"/>
        <v>0</v>
      </c>
      <c r="AP105" s="161">
        <f>0.4%+0.12%</f>
        <v>0.0052</v>
      </c>
      <c r="AQ105" s="192">
        <f t="shared" si="7"/>
        <v>0</v>
      </c>
      <c r="AR105" s="158"/>
      <c r="AS105" s="158"/>
      <c r="AT105" s="158"/>
      <c r="AU105" s="158"/>
      <c r="AV105" s="158"/>
      <c r="AW105" s="158"/>
      <c r="AX105" s="158"/>
      <c r="AY105" s="158"/>
      <c r="AZ105" s="158"/>
      <c r="BB105" s="158"/>
    </row>
    <row r="106" s="131" customFormat="1" customHeight="1" spans="1:70">
      <c r="A106" s="175">
        <v>72</v>
      </c>
      <c r="C106" s="144" t="s">
        <v>2927</v>
      </c>
      <c r="D106" s="131">
        <v>20240003446</v>
      </c>
      <c r="F106" s="726" t="s">
        <v>2928</v>
      </c>
      <c r="G106" s="131" t="s">
        <v>2929</v>
      </c>
      <c r="H106" s="726" t="s">
        <v>2930</v>
      </c>
      <c r="I106" s="131" t="s">
        <v>2931</v>
      </c>
      <c r="J106" s="131">
        <v>153.46</v>
      </c>
      <c r="K106" s="131">
        <v>153.46</v>
      </c>
      <c r="L106" s="131">
        <v>5035</v>
      </c>
      <c r="M106" s="158">
        <v>772671</v>
      </c>
      <c r="N106" s="158">
        <v>4935</v>
      </c>
      <c r="O106" s="188"/>
      <c r="P106" s="189"/>
      <c r="Q106" s="189"/>
      <c r="R106" s="158"/>
      <c r="S106" s="159"/>
      <c r="T106" s="175"/>
      <c r="U106" s="159" t="s">
        <v>291</v>
      </c>
      <c r="V106" s="158">
        <v>10000</v>
      </c>
      <c r="W106" s="159" t="s">
        <v>2932</v>
      </c>
      <c r="X106" s="158">
        <v>112671</v>
      </c>
      <c r="Y106" s="198" t="s">
        <v>2927</v>
      </c>
      <c r="Z106" s="131">
        <v>650000</v>
      </c>
      <c r="AA106" s="188" t="s">
        <v>2933</v>
      </c>
      <c r="AB106" s="158"/>
      <c r="AH106" s="158">
        <f t="shared" si="5"/>
        <v>772671</v>
      </c>
      <c r="AK106" s="189">
        <f>M106-AH106</f>
        <v>0</v>
      </c>
      <c r="AL106" s="131">
        <v>18139079120</v>
      </c>
      <c r="AO106" s="131">
        <f t="shared" si="6"/>
        <v>772671</v>
      </c>
      <c r="AP106" s="161">
        <f>0.5%+0.02%+0.08%</f>
        <v>0.006</v>
      </c>
      <c r="AQ106" s="192">
        <f t="shared" si="7"/>
        <v>0</v>
      </c>
      <c r="AR106" s="158"/>
      <c r="AS106" s="158"/>
      <c r="AT106" s="158"/>
      <c r="AU106" s="158"/>
      <c r="AV106" s="158"/>
      <c r="AW106" s="158"/>
      <c r="AX106" s="158"/>
      <c r="AY106" s="158"/>
      <c r="AZ106" s="158"/>
      <c r="BB106" s="158"/>
      <c r="BJ106" s="131">
        <v>772671</v>
      </c>
      <c r="BQ106" s="131" t="s">
        <v>205</v>
      </c>
      <c r="BR106" s="131" t="s">
        <v>206</v>
      </c>
    </row>
    <row r="107" s="131" customFormat="1" customHeight="1" spans="1:69">
      <c r="A107" s="175">
        <v>73</v>
      </c>
      <c r="C107" s="144"/>
      <c r="F107" s="726" t="s">
        <v>2934</v>
      </c>
      <c r="G107" s="131" t="s">
        <v>2935</v>
      </c>
      <c r="H107" s="726" t="s">
        <v>2936</v>
      </c>
      <c r="I107" s="131" t="s">
        <v>2937</v>
      </c>
      <c r="J107" s="131">
        <v>115.78</v>
      </c>
      <c r="K107" s="131">
        <v>115.78</v>
      </c>
      <c r="L107" s="131">
        <v>5068</v>
      </c>
      <c r="M107" s="158">
        <v>586773</v>
      </c>
      <c r="N107" s="158">
        <v>4968</v>
      </c>
      <c r="O107" s="188"/>
      <c r="P107" s="189"/>
      <c r="Q107" s="189"/>
      <c r="R107" s="158"/>
      <c r="S107" s="159"/>
      <c r="T107" s="727" t="s">
        <v>2938</v>
      </c>
      <c r="U107" s="159" t="s">
        <v>211</v>
      </c>
      <c r="V107" s="158">
        <v>2000</v>
      </c>
      <c r="W107" s="159" t="s">
        <v>736</v>
      </c>
      <c r="X107" s="158">
        <v>18000</v>
      </c>
      <c r="Y107" s="198" t="s">
        <v>385</v>
      </c>
      <c r="Z107" s="158">
        <v>20000</v>
      </c>
      <c r="AA107" s="159" t="s">
        <v>2939</v>
      </c>
      <c r="AB107" s="158">
        <v>47773</v>
      </c>
      <c r="AC107" s="159">
        <v>45550</v>
      </c>
      <c r="AH107" s="158">
        <f t="shared" si="5"/>
        <v>87773</v>
      </c>
      <c r="AK107" s="189">
        <f>M107-AH107</f>
        <v>499000</v>
      </c>
      <c r="AL107" s="131">
        <v>15099483259</v>
      </c>
      <c r="AO107" s="131">
        <f t="shared" si="6"/>
        <v>0</v>
      </c>
      <c r="AP107" s="161">
        <f>0.4%+0.02%+0.08%</f>
        <v>0.005</v>
      </c>
      <c r="AQ107" s="192">
        <f t="shared" si="7"/>
        <v>0</v>
      </c>
      <c r="AR107" s="158"/>
      <c r="AS107" s="158"/>
      <c r="AT107" s="158"/>
      <c r="AU107" s="158"/>
      <c r="AV107" s="158"/>
      <c r="AW107" s="158"/>
      <c r="AX107" s="158"/>
      <c r="AY107" s="158"/>
      <c r="AZ107" s="158"/>
      <c r="BB107" s="158"/>
      <c r="BQ107" s="131" t="s">
        <v>205</v>
      </c>
    </row>
    <row r="108" s="131" customFormat="1" customHeight="1" spans="1:70">
      <c r="A108" s="175">
        <v>74</v>
      </c>
      <c r="C108" s="144" t="s">
        <v>928</v>
      </c>
      <c r="D108" s="131">
        <v>20240001879</v>
      </c>
      <c r="F108" s="726" t="s">
        <v>2940</v>
      </c>
      <c r="G108" s="131" t="s">
        <v>2941</v>
      </c>
      <c r="H108" s="726" t="s">
        <v>2942</v>
      </c>
      <c r="I108" s="131" t="s">
        <v>2943</v>
      </c>
      <c r="J108" s="131">
        <v>86.14</v>
      </c>
      <c r="K108" s="131">
        <v>86.14</v>
      </c>
      <c r="L108" s="131">
        <v>5026.7</v>
      </c>
      <c r="M108" s="158">
        <v>433000</v>
      </c>
      <c r="N108" s="158">
        <v>4998</v>
      </c>
      <c r="O108" s="188"/>
      <c r="P108" s="189"/>
      <c r="Q108" s="189"/>
      <c r="R108" s="158"/>
      <c r="S108" s="159"/>
      <c r="T108" s="175"/>
      <c r="U108" s="159" t="s">
        <v>201</v>
      </c>
      <c r="V108" s="158">
        <v>10000</v>
      </c>
      <c r="W108" s="159" t="s">
        <v>2916</v>
      </c>
      <c r="X108" s="158">
        <v>83000</v>
      </c>
      <c r="Y108" s="159" t="s">
        <v>928</v>
      </c>
      <c r="Z108" s="131">
        <v>340000</v>
      </c>
      <c r="AA108" s="188" t="s">
        <v>2944</v>
      </c>
      <c r="AB108" s="158"/>
      <c r="AH108" s="158">
        <f t="shared" si="5"/>
        <v>433000</v>
      </c>
      <c r="AK108" s="189">
        <f>M108-AH108</f>
        <v>0</v>
      </c>
      <c r="AL108" s="131">
        <v>19199168756</v>
      </c>
      <c r="AO108" s="131">
        <f t="shared" si="6"/>
        <v>433000</v>
      </c>
      <c r="AP108" s="161">
        <f>0.6%+0.12%</f>
        <v>0.0072</v>
      </c>
      <c r="AQ108" s="192">
        <f t="shared" si="7"/>
        <v>0</v>
      </c>
      <c r="AR108" s="158"/>
      <c r="AS108" s="158"/>
      <c r="AT108" s="158"/>
      <c r="AU108" s="158"/>
      <c r="AV108" s="158"/>
      <c r="AW108" s="158"/>
      <c r="AX108" s="158"/>
      <c r="AY108" s="158"/>
      <c r="AZ108" s="158"/>
      <c r="BB108" s="158"/>
      <c r="BH108" s="131">
        <v>433000</v>
      </c>
      <c r="BQ108" s="131" t="s">
        <v>205</v>
      </c>
      <c r="BR108" s="131" t="s">
        <v>206</v>
      </c>
    </row>
    <row r="109" s="131" customFormat="1" customHeight="1" spans="1:70">
      <c r="A109" s="175">
        <v>75</v>
      </c>
      <c r="C109" s="144" t="s">
        <v>2945</v>
      </c>
      <c r="D109" s="131">
        <v>20240000294</v>
      </c>
      <c r="F109" s="726" t="s">
        <v>2946</v>
      </c>
      <c r="G109" s="131" t="s">
        <v>2947</v>
      </c>
      <c r="H109" s="726" t="s">
        <v>2948</v>
      </c>
      <c r="I109" s="131" t="s">
        <v>2949</v>
      </c>
      <c r="J109" s="131">
        <v>153.46</v>
      </c>
      <c r="K109" s="131">
        <v>153.46</v>
      </c>
      <c r="L109" s="131">
        <v>5000</v>
      </c>
      <c r="M109" s="158">
        <v>767300</v>
      </c>
      <c r="N109" s="158">
        <v>4978</v>
      </c>
      <c r="O109" s="188"/>
      <c r="P109" s="189"/>
      <c r="Q109" s="189"/>
      <c r="R109" s="158"/>
      <c r="S109" s="159"/>
      <c r="T109" s="175"/>
      <c r="U109" s="159" t="s">
        <v>226</v>
      </c>
      <c r="V109" s="158">
        <v>20000</v>
      </c>
      <c r="W109" s="159" t="s">
        <v>456</v>
      </c>
      <c r="X109" s="158">
        <v>132300</v>
      </c>
      <c r="Y109" s="198" t="s">
        <v>2945</v>
      </c>
      <c r="Z109" s="131">
        <v>39000</v>
      </c>
      <c r="AA109" s="188" t="s">
        <v>2358</v>
      </c>
      <c r="AB109" s="158">
        <v>576000</v>
      </c>
      <c r="AC109" s="159" t="s">
        <v>325</v>
      </c>
      <c r="AH109" s="158">
        <f t="shared" si="5"/>
        <v>767300</v>
      </c>
      <c r="AK109" s="189">
        <f t="shared" ref="AK109:AK115" si="8">M109-AH109</f>
        <v>0</v>
      </c>
      <c r="AL109" s="131">
        <v>17881704475</v>
      </c>
      <c r="AO109" s="131">
        <f t="shared" si="6"/>
        <v>767300</v>
      </c>
      <c r="AP109" s="161">
        <f>0.7%+0.04%+0.12%</f>
        <v>0.0086</v>
      </c>
      <c r="AQ109" s="192">
        <f t="shared" si="7"/>
        <v>0</v>
      </c>
      <c r="AR109" s="158"/>
      <c r="AS109" s="158"/>
      <c r="AT109" s="158"/>
      <c r="AU109" s="158"/>
      <c r="AV109" s="158"/>
      <c r="AW109" s="158"/>
      <c r="AX109" s="158"/>
      <c r="AY109" s="158"/>
      <c r="AZ109" s="158"/>
      <c r="BB109" s="158"/>
      <c r="BE109" s="131">
        <v>191300</v>
      </c>
      <c r="BG109" s="131">
        <v>576000</v>
      </c>
      <c r="BQ109" s="131" t="s">
        <v>205</v>
      </c>
      <c r="BR109" s="131" t="s">
        <v>206</v>
      </c>
    </row>
    <row r="110" s="131" customFormat="1" customHeight="1" spans="1:70">
      <c r="A110" s="175">
        <v>76</v>
      </c>
      <c r="C110" s="144" t="s">
        <v>2950</v>
      </c>
      <c r="D110" s="131">
        <v>20240001102</v>
      </c>
      <c r="F110" s="726" t="s">
        <v>2951</v>
      </c>
      <c r="G110" s="131" t="s">
        <v>2952</v>
      </c>
      <c r="H110" s="726" t="s">
        <v>2953</v>
      </c>
      <c r="I110" s="131" t="s">
        <v>2954</v>
      </c>
      <c r="J110" s="131">
        <v>115.78</v>
      </c>
      <c r="K110" s="131">
        <v>115.78</v>
      </c>
      <c r="L110" s="131">
        <f>M110/K110</f>
        <v>5095.87148039385</v>
      </c>
      <c r="M110" s="158">
        <v>590000</v>
      </c>
      <c r="N110" s="158">
        <v>5004</v>
      </c>
      <c r="O110" s="188"/>
      <c r="P110" s="189"/>
      <c r="Q110" s="189"/>
      <c r="R110" s="158"/>
      <c r="S110" s="159"/>
      <c r="T110" s="175"/>
      <c r="U110" s="159" t="s">
        <v>422</v>
      </c>
      <c r="V110" s="158">
        <v>10000</v>
      </c>
      <c r="W110" s="159" t="s">
        <v>2955</v>
      </c>
      <c r="X110" s="158">
        <v>108000</v>
      </c>
      <c r="Y110" s="159" t="s">
        <v>2950</v>
      </c>
      <c r="Z110" s="131">
        <v>472000</v>
      </c>
      <c r="AA110" s="188" t="s">
        <v>252</v>
      </c>
      <c r="AB110" s="158"/>
      <c r="AH110" s="158">
        <f t="shared" si="5"/>
        <v>590000</v>
      </c>
      <c r="AK110" s="189">
        <f t="shared" si="8"/>
        <v>0</v>
      </c>
      <c r="AL110" s="131">
        <v>13667567161</v>
      </c>
      <c r="AO110" s="131">
        <f t="shared" si="6"/>
        <v>590000</v>
      </c>
      <c r="AP110" s="161">
        <f>0.7%+0.05%+0.14%</f>
        <v>0.0089</v>
      </c>
      <c r="AQ110" s="192">
        <f t="shared" si="7"/>
        <v>0</v>
      </c>
      <c r="AR110" s="158"/>
      <c r="AS110" s="158"/>
      <c r="AT110" s="158"/>
      <c r="AU110" s="158"/>
      <c r="AV110" s="158"/>
      <c r="AW110" s="158"/>
      <c r="AX110" s="158"/>
      <c r="AY110" s="158"/>
      <c r="AZ110" s="158"/>
      <c r="BB110" s="158"/>
      <c r="BG110" s="131">
        <v>590000</v>
      </c>
      <c r="BQ110" s="131" t="s">
        <v>205</v>
      </c>
      <c r="BR110" s="131" t="s">
        <v>206</v>
      </c>
    </row>
    <row r="111" s="131" customFormat="1" customHeight="1" spans="1:70">
      <c r="A111" s="175">
        <v>77</v>
      </c>
      <c r="C111" s="176">
        <v>45426</v>
      </c>
      <c r="D111" s="131">
        <v>20240002843</v>
      </c>
      <c r="G111" s="144" t="s">
        <v>2956</v>
      </c>
      <c r="H111" s="131" t="s">
        <v>2957</v>
      </c>
      <c r="I111" s="131" t="s">
        <v>2958</v>
      </c>
      <c r="J111" s="131">
        <v>86.14</v>
      </c>
      <c r="K111" s="131">
        <v>86.14</v>
      </c>
      <c r="L111" s="131">
        <f>M111/K111</f>
        <v>5038.3097283492</v>
      </c>
      <c r="M111" s="158">
        <v>434000</v>
      </c>
      <c r="N111" s="158">
        <v>5034</v>
      </c>
      <c r="O111" s="188"/>
      <c r="P111" s="189"/>
      <c r="Q111" s="189"/>
      <c r="R111" s="158"/>
      <c r="S111" s="159"/>
      <c r="T111" s="175"/>
      <c r="U111" s="159"/>
      <c r="V111" s="158">
        <v>10707</v>
      </c>
      <c r="W111" s="159" t="s">
        <v>2959</v>
      </c>
      <c r="X111" s="158">
        <v>423293</v>
      </c>
      <c r="Y111" s="198" t="s">
        <v>2959</v>
      </c>
      <c r="AA111" s="188"/>
      <c r="AB111" s="158"/>
      <c r="AH111" s="158">
        <f t="shared" si="5"/>
        <v>434000</v>
      </c>
      <c r="AK111" s="189">
        <f t="shared" si="8"/>
        <v>0</v>
      </c>
      <c r="AM111" s="144" t="s">
        <v>2960</v>
      </c>
      <c r="AO111" s="131">
        <f t="shared" si="6"/>
        <v>434000</v>
      </c>
      <c r="AP111" s="161" t="s">
        <v>2961</v>
      </c>
      <c r="AQ111" s="192">
        <f t="shared" si="7"/>
        <v>0</v>
      </c>
      <c r="AR111" s="158"/>
      <c r="AS111" s="158"/>
      <c r="AT111" s="158"/>
      <c r="AU111" s="158"/>
      <c r="AV111" s="158"/>
      <c r="AW111" s="158"/>
      <c r="AX111" s="158"/>
      <c r="AY111" s="158"/>
      <c r="AZ111" s="158"/>
      <c r="BB111" s="158"/>
      <c r="BI111" s="131">
        <v>434000</v>
      </c>
      <c r="BQ111" s="131" t="s">
        <v>205</v>
      </c>
      <c r="BR111" s="131" t="s">
        <v>206</v>
      </c>
    </row>
    <row r="112" s="131" customFormat="1" customHeight="1" spans="1:70">
      <c r="A112" s="175">
        <v>78</v>
      </c>
      <c r="C112" s="144" t="s">
        <v>467</v>
      </c>
      <c r="D112" s="131">
        <v>20240000209</v>
      </c>
      <c r="F112" s="726" t="s">
        <v>2962</v>
      </c>
      <c r="G112" s="144" t="s">
        <v>2963</v>
      </c>
      <c r="H112" s="726" t="s">
        <v>2964</v>
      </c>
      <c r="I112" s="131" t="s">
        <v>2965</v>
      </c>
      <c r="J112" s="131">
        <v>132.34</v>
      </c>
      <c r="K112" s="131">
        <v>132.34</v>
      </c>
      <c r="L112" s="131">
        <v>5076.22</v>
      </c>
      <c r="M112" s="158">
        <v>671787</v>
      </c>
      <c r="N112" s="158">
        <v>5014</v>
      </c>
      <c r="O112" s="188"/>
      <c r="P112" s="189"/>
      <c r="Q112" s="189"/>
      <c r="R112" s="158"/>
      <c r="S112" s="159"/>
      <c r="T112" s="728" t="s">
        <v>2966</v>
      </c>
      <c r="U112" s="213" t="s">
        <v>1811</v>
      </c>
      <c r="V112" s="158">
        <v>2000</v>
      </c>
      <c r="W112" s="213" t="s">
        <v>229</v>
      </c>
      <c r="X112" s="158">
        <v>18000</v>
      </c>
      <c r="Y112" s="159" t="s">
        <v>426</v>
      </c>
      <c r="Z112" s="131">
        <v>181787</v>
      </c>
      <c r="AA112" s="188" t="s">
        <v>467</v>
      </c>
      <c r="AB112" s="158">
        <v>470000</v>
      </c>
      <c r="AC112" s="131" t="s">
        <v>586</v>
      </c>
      <c r="AH112" s="158">
        <f t="shared" si="5"/>
        <v>671787</v>
      </c>
      <c r="AK112" s="189">
        <f t="shared" si="8"/>
        <v>0</v>
      </c>
      <c r="AL112" s="131">
        <v>18690680552</v>
      </c>
      <c r="AO112" s="131">
        <f t="shared" si="6"/>
        <v>671787</v>
      </c>
      <c r="AP112" s="161">
        <f>0.4%+0.02%+0.08%</f>
        <v>0.005</v>
      </c>
      <c r="AQ112" s="192">
        <f t="shared" si="7"/>
        <v>0</v>
      </c>
      <c r="AR112" s="158"/>
      <c r="AS112" s="158"/>
      <c r="AT112" s="158"/>
      <c r="AU112" s="158"/>
      <c r="AV112" s="158"/>
      <c r="AW112" s="158"/>
      <c r="AX112" s="158"/>
      <c r="AY112" s="158"/>
      <c r="AZ112" s="158"/>
      <c r="BB112" s="158"/>
      <c r="BE112" s="131">
        <v>671787</v>
      </c>
      <c r="BQ112" s="131" t="s">
        <v>205</v>
      </c>
      <c r="BR112" s="131" t="s">
        <v>206</v>
      </c>
    </row>
    <row r="113" s="131" customFormat="1" customHeight="1" spans="1:70">
      <c r="A113" s="175">
        <v>79</v>
      </c>
      <c r="C113" s="144" t="s">
        <v>467</v>
      </c>
      <c r="D113" s="131">
        <v>20240000198</v>
      </c>
      <c r="F113" s="726" t="s">
        <v>2967</v>
      </c>
      <c r="G113" s="131" t="s">
        <v>2968</v>
      </c>
      <c r="H113" s="726" t="s">
        <v>2969</v>
      </c>
      <c r="I113" s="131" t="s">
        <v>2970</v>
      </c>
      <c r="J113" s="131">
        <v>115.78</v>
      </c>
      <c r="K113" s="131">
        <v>115.78</v>
      </c>
      <c r="L113" s="131">
        <v>5110</v>
      </c>
      <c r="M113" s="158">
        <v>591636</v>
      </c>
      <c r="N113" s="158">
        <v>5065</v>
      </c>
      <c r="O113" s="188"/>
      <c r="P113" s="189"/>
      <c r="Q113" s="189"/>
      <c r="R113" s="158"/>
      <c r="S113" s="159"/>
      <c r="T113" s="175"/>
      <c r="U113" s="159" t="s">
        <v>411</v>
      </c>
      <c r="V113" s="158">
        <v>20000</v>
      </c>
      <c r="W113" s="159" t="s">
        <v>471</v>
      </c>
      <c r="X113" s="158">
        <v>161636</v>
      </c>
      <c r="Y113" s="198" t="s">
        <v>467</v>
      </c>
      <c r="Z113" s="131">
        <v>410000</v>
      </c>
      <c r="AA113" s="188" t="s">
        <v>586</v>
      </c>
      <c r="AB113" s="158"/>
      <c r="AH113" s="158">
        <f t="shared" si="5"/>
        <v>591636</v>
      </c>
      <c r="AK113" s="189">
        <f t="shared" si="8"/>
        <v>0</v>
      </c>
      <c r="AL113" s="131">
        <v>18299827379</v>
      </c>
      <c r="AO113" s="131">
        <f t="shared" si="6"/>
        <v>591636</v>
      </c>
      <c r="AP113" s="161">
        <f>0.7%+0.12%</f>
        <v>0.0082</v>
      </c>
      <c r="AQ113" s="192">
        <f t="shared" si="7"/>
        <v>0</v>
      </c>
      <c r="AR113" s="158"/>
      <c r="AS113" s="158"/>
      <c r="AT113" s="158"/>
      <c r="AU113" s="158"/>
      <c r="AV113" s="158"/>
      <c r="AW113" s="158"/>
      <c r="AX113" s="158"/>
      <c r="AY113" s="158"/>
      <c r="AZ113" s="158"/>
      <c r="BB113" s="158"/>
      <c r="BE113" s="131">
        <v>591636</v>
      </c>
      <c r="BQ113" s="131" t="s">
        <v>205</v>
      </c>
      <c r="BR113" s="131" t="s">
        <v>206</v>
      </c>
    </row>
    <row r="114" s="131" customFormat="1" customHeight="1" spans="1:70">
      <c r="A114" s="175">
        <v>80</v>
      </c>
      <c r="C114" s="176">
        <v>45401</v>
      </c>
      <c r="D114" s="131">
        <v>20240002198</v>
      </c>
      <c r="F114" s="726" t="s">
        <v>2971</v>
      </c>
      <c r="G114" s="144" t="s">
        <v>2972</v>
      </c>
      <c r="H114" s="726" t="s">
        <v>2973</v>
      </c>
      <c r="I114" s="131" t="s">
        <v>2974</v>
      </c>
      <c r="J114" s="131">
        <v>86.14</v>
      </c>
      <c r="K114" s="131">
        <v>86.14</v>
      </c>
      <c r="L114" s="131">
        <v>5195</v>
      </c>
      <c r="M114" s="158">
        <v>447497</v>
      </c>
      <c r="N114" s="158">
        <v>5095</v>
      </c>
      <c r="O114" s="188"/>
      <c r="P114" s="189"/>
      <c r="Q114" s="189"/>
      <c r="R114" s="158"/>
      <c r="S114" s="159"/>
      <c r="T114" s="214" t="s">
        <v>2975</v>
      </c>
      <c r="U114" s="213" t="s">
        <v>2976</v>
      </c>
      <c r="V114" s="158">
        <f>2000-2000</f>
        <v>0</v>
      </c>
      <c r="W114" s="159" t="s">
        <v>2513</v>
      </c>
      <c r="X114" s="158">
        <v>2000</v>
      </c>
      <c r="Y114" s="159" t="s">
        <v>456</v>
      </c>
      <c r="Z114" s="131">
        <v>18000</v>
      </c>
      <c r="AA114" s="188" t="s">
        <v>2977</v>
      </c>
      <c r="AB114" s="158">
        <v>427497</v>
      </c>
      <c r="AC114" s="159" t="s">
        <v>203</v>
      </c>
      <c r="AH114" s="158">
        <f t="shared" si="5"/>
        <v>447497</v>
      </c>
      <c r="AK114" s="189">
        <f t="shared" si="8"/>
        <v>0</v>
      </c>
      <c r="AL114" s="131">
        <v>13779327826</v>
      </c>
      <c r="AO114" s="131">
        <f t="shared" si="6"/>
        <v>447497</v>
      </c>
      <c r="AP114" s="161">
        <f>0.4%+0.03%+0.12%</f>
        <v>0.0055</v>
      </c>
      <c r="AQ114" s="192">
        <f t="shared" si="7"/>
        <v>0</v>
      </c>
      <c r="AR114" s="158"/>
      <c r="AS114" s="158"/>
      <c r="AT114" s="158"/>
      <c r="AU114" s="158"/>
      <c r="AV114" s="158"/>
      <c r="AW114" s="158"/>
      <c r="AX114" s="158"/>
      <c r="AY114" s="158"/>
      <c r="AZ114" s="158"/>
      <c r="BB114" s="158"/>
      <c r="BH114" s="131">
        <v>447497</v>
      </c>
      <c r="BQ114" s="131" t="s">
        <v>205</v>
      </c>
      <c r="BR114" s="131" t="s">
        <v>206</v>
      </c>
    </row>
    <row r="115" s="131" customFormat="1" customHeight="1" spans="1:70">
      <c r="A115" s="175">
        <v>81</v>
      </c>
      <c r="C115" s="176">
        <v>45341</v>
      </c>
      <c r="D115" s="131">
        <v>20240000866</v>
      </c>
      <c r="F115" s="726" t="s">
        <v>2978</v>
      </c>
      <c r="G115" s="131" t="s">
        <v>2979</v>
      </c>
      <c r="H115" s="726" t="s">
        <v>2980</v>
      </c>
      <c r="I115" s="131" t="s">
        <v>2981</v>
      </c>
      <c r="J115" s="131">
        <v>132.34</v>
      </c>
      <c r="K115" s="131">
        <v>132.34</v>
      </c>
      <c r="L115" s="131">
        <v>5123.17</v>
      </c>
      <c r="M115" s="158">
        <v>678000</v>
      </c>
      <c r="N115" s="158">
        <v>5065</v>
      </c>
      <c r="O115" s="188"/>
      <c r="P115" s="189"/>
      <c r="Q115" s="189"/>
      <c r="R115" s="158"/>
      <c r="S115" s="159"/>
      <c r="T115" s="175"/>
      <c r="U115" s="159" t="s">
        <v>226</v>
      </c>
      <c r="V115" s="158">
        <v>20000</v>
      </c>
      <c r="W115" s="159" t="s">
        <v>2808</v>
      </c>
      <c r="X115" s="158">
        <v>118000</v>
      </c>
      <c r="Y115" s="159" t="s">
        <v>2982</v>
      </c>
      <c r="Z115" s="158">
        <v>540000</v>
      </c>
      <c r="AA115" s="159">
        <v>45539</v>
      </c>
      <c r="AB115" s="158"/>
      <c r="AH115" s="158">
        <f t="shared" si="5"/>
        <v>678000</v>
      </c>
      <c r="AK115" s="189">
        <f t="shared" si="8"/>
        <v>0</v>
      </c>
      <c r="AL115" s="131">
        <v>19190819297</v>
      </c>
      <c r="AO115" s="131">
        <f t="shared" si="6"/>
        <v>678000</v>
      </c>
      <c r="AP115" s="161">
        <f>0.7%+0.04%+0.12%</f>
        <v>0.0086</v>
      </c>
      <c r="AQ115" s="192">
        <f t="shared" si="7"/>
        <v>0</v>
      </c>
      <c r="AR115" s="158"/>
      <c r="AS115" s="158"/>
      <c r="AT115" s="158"/>
      <c r="AU115" s="158"/>
      <c r="AV115" s="158"/>
      <c r="AW115" s="158"/>
      <c r="AX115" s="158"/>
      <c r="AY115" s="158"/>
      <c r="AZ115" s="158"/>
      <c r="BB115" s="158"/>
      <c r="BF115" s="131">
        <v>138000</v>
      </c>
      <c r="BM115" s="131">
        <v>540000</v>
      </c>
      <c r="BO115" s="131">
        <f>AP115*BM115</f>
        <v>4644</v>
      </c>
      <c r="BQ115" s="131" t="s">
        <v>205</v>
      </c>
      <c r="BR115" s="131" t="s">
        <v>206</v>
      </c>
    </row>
    <row r="116" s="131" customFormat="1" customHeight="1" spans="1:70">
      <c r="A116" s="175">
        <v>82</v>
      </c>
      <c r="C116" s="144" t="s">
        <v>456</v>
      </c>
      <c r="D116" s="131">
        <v>20240000136</v>
      </c>
      <c r="F116" s="726" t="s">
        <v>2983</v>
      </c>
      <c r="G116" s="131" t="s">
        <v>2984</v>
      </c>
      <c r="H116" s="726" t="s">
        <v>2985</v>
      </c>
      <c r="I116" s="131" t="s">
        <v>2986</v>
      </c>
      <c r="J116" s="131">
        <v>115.78</v>
      </c>
      <c r="K116" s="131">
        <v>115.78</v>
      </c>
      <c r="L116" s="131">
        <v>5182.24</v>
      </c>
      <c r="M116" s="158">
        <v>600000</v>
      </c>
      <c r="N116" s="158">
        <v>5145</v>
      </c>
      <c r="O116" s="188"/>
      <c r="P116" s="189"/>
      <c r="Q116" s="189"/>
      <c r="R116" s="158"/>
      <c r="S116" s="159"/>
      <c r="T116" s="175"/>
      <c r="U116" s="159" t="s">
        <v>201</v>
      </c>
      <c r="V116" s="158">
        <v>20000</v>
      </c>
      <c r="W116" s="159" t="s">
        <v>426</v>
      </c>
      <c r="X116" s="158">
        <f>460000+120000</f>
        <v>580000</v>
      </c>
      <c r="Y116" s="198" t="s">
        <v>456</v>
      </c>
      <c r="AA116" s="188"/>
      <c r="AB116" s="158"/>
      <c r="AH116" s="158">
        <f t="shared" si="5"/>
        <v>600000</v>
      </c>
      <c r="AK116" s="189">
        <f t="shared" ref="AK116:AK124" si="9">M116-AH116</f>
        <v>0</v>
      </c>
      <c r="AL116" s="131">
        <v>15199931388</v>
      </c>
      <c r="AO116" s="131">
        <f t="shared" si="6"/>
        <v>600000</v>
      </c>
      <c r="AP116" s="161">
        <f>0.7%+0.08%</f>
        <v>0.0078</v>
      </c>
      <c r="AQ116" s="192">
        <f t="shared" si="7"/>
        <v>0</v>
      </c>
      <c r="AR116" s="158"/>
      <c r="AS116" s="158"/>
      <c r="AT116" s="158"/>
      <c r="AU116" s="158"/>
      <c r="AV116" s="158"/>
      <c r="AW116" s="158"/>
      <c r="AX116" s="158"/>
      <c r="AY116" s="158"/>
      <c r="AZ116" s="158"/>
      <c r="BB116" s="158"/>
      <c r="BE116" s="131">
        <v>600000</v>
      </c>
      <c r="BQ116" s="131" t="s">
        <v>205</v>
      </c>
      <c r="BR116" s="131" t="s">
        <v>206</v>
      </c>
    </row>
    <row r="117" s="131" customFormat="1" customHeight="1" spans="1:70">
      <c r="A117" s="175">
        <v>83</v>
      </c>
      <c r="C117" s="176">
        <v>45414</v>
      </c>
      <c r="D117" s="131">
        <v>20240002487</v>
      </c>
      <c r="F117" s="131" t="s">
        <v>2987</v>
      </c>
      <c r="G117" s="131" t="s">
        <v>2988</v>
      </c>
      <c r="I117" s="131" t="s">
        <v>2989</v>
      </c>
      <c r="J117" s="131">
        <v>86.14</v>
      </c>
      <c r="K117" s="131">
        <v>86.14</v>
      </c>
      <c r="L117" s="131">
        <f>M117/K117</f>
        <v>5224.05386579986</v>
      </c>
      <c r="M117" s="158">
        <v>450000</v>
      </c>
      <c r="N117" s="158">
        <v>5175</v>
      </c>
      <c r="O117" s="188"/>
      <c r="P117" s="189"/>
      <c r="Q117" s="189"/>
      <c r="R117" s="158"/>
      <c r="S117" s="159"/>
      <c r="T117" s="175"/>
      <c r="U117" s="159" t="s">
        <v>1075</v>
      </c>
      <c r="V117" s="158">
        <v>150000</v>
      </c>
      <c r="W117" s="159" t="s">
        <v>2990</v>
      </c>
      <c r="X117" s="158">
        <v>300000</v>
      </c>
      <c r="Y117" s="198" t="s">
        <v>1819</v>
      </c>
      <c r="AA117" s="188"/>
      <c r="AB117" s="158"/>
      <c r="AH117" s="158">
        <f t="shared" si="5"/>
        <v>450000</v>
      </c>
      <c r="AK117" s="189">
        <f t="shared" si="9"/>
        <v>0</v>
      </c>
      <c r="AL117" s="131">
        <v>13565971091</v>
      </c>
      <c r="AO117" s="131">
        <f t="shared" si="6"/>
        <v>450000</v>
      </c>
      <c r="AP117" s="161">
        <f>0.4%+0.02%+0.08%</f>
        <v>0.005</v>
      </c>
      <c r="AQ117" s="192">
        <f t="shared" si="7"/>
        <v>0</v>
      </c>
      <c r="AR117" s="158"/>
      <c r="AS117" s="158"/>
      <c r="AT117" s="158"/>
      <c r="AU117" s="158"/>
      <c r="AV117" s="158"/>
      <c r="AW117" s="158"/>
      <c r="AX117" s="158"/>
      <c r="AY117" s="158"/>
      <c r="AZ117" s="158"/>
      <c r="BB117" s="158"/>
      <c r="BI117" s="131">
        <v>450000</v>
      </c>
      <c r="BQ117" s="131" t="s">
        <v>205</v>
      </c>
      <c r="BR117" s="131" t="s">
        <v>206</v>
      </c>
    </row>
    <row r="118" s="131" customFormat="1" ht="44" customHeight="1" spans="1:70">
      <c r="A118" s="175">
        <v>84</v>
      </c>
      <c r="C118" s="144" t="s">
        <v>442</v>
      </c>
      <c r="D118" s="131">
        <v>20230010724</v>
      </c>
      <c r="F118" s="726" t="s">
        <v>2991</v>
      </c>
      <c r="G118" s="131" t="s">
        <v>2992</v>
      </c>
      <c r="H118" s="726" t="s">
        <v>2993</v>
      </c>
      <c r="I118" s="131" t="s">
        <v>2994</v>
      </c>
      <c r="J118" s="131">
        <v>132.34</v>
      </c>
      <c r="K118" s="131">
        <v>132.34</v>
      </c>
      <c r="L118" s="131">
        <v>5200</v>
      </c>
      <c r="M118" s="158">
        <v>688168</v>
      </c>
      <c r="N118" s="158">
        <v>5125</v>
      </c>
      <c r="O118" s="188"/>
      <c r="P118" s="189"/>
      <c r="Q118" s="189"/>
      <c r="R118" s="158"/>
      <c r="S118" s="159"/>
      <c r="T118" s="727" t="s">
        <v>1963</v>
      </c>
      <c r="U118" s="159" t="s">
        <v>217</v>
      </c>
      <c r="V118" s="158">
        <v>10000</v>
      </c>
      <c r="W118" s="159" t="s">
        <v>635</v>
      </c>
      <c r="X118" s="158">
        <v>10000</v>
      </c>
      <c r="Y118" s="159" t="s">
        <v>385</v>
      </c>
      <c r="Z118" s="158">
        <v>48168</v>
      </c>
      <c r="AA118" s="159" t="s">
        <v>426</v>
      </c>
      <c r="AB118" s="158">
        <v>70000</v>
      </c>
      <c r="AC118" s="131" t="s">
        <v>2995</v>
      </c>
      <c r="AD118" s="158">
        <v>550000</v>
      </c>
      <c r="AE118" s="159" t="s">
        <v>2996</v>
      </c>
      <c r="AH118" s="158">
        <f t="shared" si="5"/>
        <v>688168</v>
      </c>
      <c r="AK118" s="189">
        <f t="shared" si="9"/>
        <v>0</v>
      </c>
      <c r="AL118" s="131">
        <v>15276150544</v>
      </c>
      <c r="AO118" s="131">
        <f t="shared" si="6"/>
        <v>688168</v>
      </c>
      <c r="AP118" s="161">
        <f>0.5%+0.02%+0.08%</f>
        <v>0.006</v>
      </c>
      <c r="AQ118" s="192">
        <f t="shared" si="7"/>
        <v>100</v>
      </c>
      <c r="AR118" s="158"/>
      <c r="AS118" s="158"/>
      <c r="AT118" s="158"/>
      <c r="AU118" s="158"/>
      <c r="AV118" s="158"/>
      <c r="AW118" s="158"/>
      <c r="AX118" s="158"/>
      <c r="AY118" s="158">
        <v>100</v>
      </c>
      <c r="AZ118" s="158"/>
      <c r="BB118" s="158"/>
      <c r="BE118" s="131">
        <v>138168</v>
      </c>
      <c r="BG118" s="131">
        <v>550000</v>
      </c>
      <c r="BQ118" s="131" t="s">
        <v>205</v>
      </c>
      <c r="BR118" s="131" t="s">
        <v>206</v>
      </c>
    </row>
    <row r="119" s="131" customFormat="1" ht="46" customHeight="1" spans="1:70">
      <c r="A119" s="175">
        <v>85</v>
      </c>
      <c r="C119" s="144" t="s">
        <v>2358</v>
      </c>
      <c r="D119" s="131">
        <v>20240000484</v>
      </c>
      <c r="F119" s="726" t="s">
        <v>2997</v>
      </c>
      <c r="G119" s="144" t="s">
        <v>2998</v>
      </c>
      <c r="I119" s="131" t="s">
        <v>2999</v>
      </c>
      <c r="J119" s="131">
        <v>115.78</v>
      </c>
      <c r="K119" s="131">
        <v>115.78</v>
      </c>
      <c r="L119" s="131">
        <f>M119/K119</f>
        <v>5306.99602694766</v>
      </c>
      <c r="M119" s="158">
        <v>614444</v>
      </c>
      <c r="N119" s="158">
        <v>5207</v>
      </c>
      <c r="O119" s="188"/>
      <c r="P119" s="189"/>
      <c r="Q119" s="189"/>
      <c r="R119" s="158"/>
      <c r="S119" s="159"/>
      <c r="T119" s="728" t="s">
        <v>3000</v>
      </c>
      <c r="U119" s="213" t="s">
        <v>3001</v>
      </c>
      <c r="V119" s="158">
        <f>2000-2000</f>
        <v>0</v>
      </c>
      <c r="W119" s="159" t="s">
        <v>736</v>
      </c>
      <c r="X119" s="158">
        <v>2000</v>
      </c>
      <c r="Y119" s="159" t="s">
        <v>1835</v>
      </c>
      <c r="Z119" s="158">
        <v>18000</v>
      </c>
      <c r="AA119" s="198" t="s">
        <v>385</v>
      </c>
      <c r="AB119" s="158">
        <v>41444</v>
      </c>
      <c r="AC119" s="159" t="s">
        <v>2224</v>
      </c>
      <c r="AD119" s="131">
        <v>63000</v>
      </c>
      <c r="AE119" s="131" t="s">
        <v>3002</v>
      </c>
      <c r="AF119" s="158">
        <v>490000</v>
      </c>
      <c r="AG119" s="159" t="s">
        <v>928</v>
      </c>
      <c r="AH119" s="158">
        <f t="shared" si="5"/>
        <v>614444</v>
      </c>
      <c r="AK119" s="189">
        <f t="shared" si="9"/>
        <v>0</v>
      </c>
      <c r="AL119" s="131">
        <v>18690878909</v>
      </c>
      <c r="AO119" s="131">
        <f t="shared" si="6"/>
        <v>614444</v>
      </c>
      <c r="AP119" s="161">
        <f>0.4%+0.08%</f>
        <v>0.0048</v>
      </c>
      <c r="AQ119" s="192">
        <f t="shared" si="7"/>
        <v>0</v>
      </c>
      <c r="AR119" s="158"/>
      <c r="AS119" s="158"/>
      <c r="AT119" s="158"/>
      <c r="AU119" s="158"/>
      <c r="AV119" s="158"/>
      <c r="AW119" s="158"/>
      <c r="AX119" s="158"/>
      <c r="AY119" s="158"/>
      <c r="AZ119" s="158"/>
      <c r="BB119" s="158"/>
      <c r="BE119" s="131">
        <v>124444</v>
      </c>
      <c r="BH119" s="131">
        <v>490000</v>
      </c>
      <c r="BQ119" s="131" t="s">
        <v>205</v>
      </c>
      <c r="BR119" s="131" t="s">
        <v>206</v>
      </c>
    </row>
    <row r="120" s="131" customFormat="1" customHeight="1" spans="1:54">
      <c r="A120" s="175">
        <v>86</v>
      </c>
      <c r="C120" s="144"/>
      <c r="F120" s="726" t="s">
        <v>3003</v>
      </c>
      <c r="G120" s="144" t="s">
        <v>3004</v>
      </c>
      <c r="H120" s="726" t="s">
        <v>3005</v>
      </c>
      <c r="I120" s="131" t="s">
        <v>3006</v>
      </c>
      <c r="J120" s="131">
        <v>86.14</v>
      </c>
      <c r="K120" s="131">
        <v>86.14</v>
      </c>
      <c r="L120" s="131">
        <v>5096.35</v>
      </c>
      <c r="M120" s="158">
        <v>439000</v>
      </c>
      <c r="N120" s="212">
        <v>5096.355</v>
      </c>
      <c r="O120" s="188"/>
      <c r="P120" s="189"/>
      <c r="Q120" s="189"/>
      <c r="R120" s="158"/>
      <c r="S120" s="159"/>
      <c r="T120" s="175"/>
      <c r="U120" s="159" t="s">
        <v>226</v>
      </c>
      <c r="V120" s="158">
        <f>10000-10000</f>
        <v>0</v>
      </c>
      <c r="W120" s="159" t="s">
        <v>417</v>
      </c>
      <c r="X120" s="158">
        <v>5000</v>
      </c>
      <c r="Y120" s="159" t="s">
        <v>2927</v>
      </c>
      <c r="Z120" s="131">
        <v>5000</v>
      </c>
      <c r="AA120" s="188" t="s">
        <v>514</v>
      </c>
      <c r="AB120" s="158"/>
      <c r="AH120" s="158">
        <f t="shared" si="5"/>
        <v>10000</v>
      </c>
      <c r="AK120" s="189">
        <f t="shared" si="9"/>
        <v>429000</v>
      </c>
      <c r="AL120" s="131">
        <v>17339900530</v>
      </c>
      <c r="AM120" s="131" t="s">
        <v>3007</v>
      </c>
      <c r="AO120" s="131">
        <f t="shared" si="6"/>
        <v>0</v>
      </c>
      <c r="AP120" s="161">
        <f>0.7%+0.08%</f>
        <v>0.0078</v>
      </c>
      <c r="AQ120" s="192">
        <f t="shared" si="7"/>
        <v>0</v>
      </c>
      <c r="AR120" s="158"/>
      <c r="AS120" s="158"/>
      <c r="AT120" s="158"/>
      <c r="AU120" s="158"/>
      <c r="AV120" s="158"/>
      <c r="AW120" s="158"/>
      <c r="AX120" s="158"/>
      <c r="AY120" s="158"/>
      <c r="AZ120" s="158"/>
      <c r="BB120" s="158"/>
    </row>
    <row r="121" s="131" customFormat="1" customHeight="1" spans="1:70">
      <c r="A121" s="175">
        <v>87</v>
      </c>
      <c r="C121" s="176">
        <v>45417</v>
      </c>
      <c r="D121" s="131">
        <v>20240002610</v>
      </c>
      <c r="F121" s="726" t="s">
        <v>3008</v>
      </c>
      <c r="G121" s="131" t="s">
        <v>3009</v>
      </c>
      <c r="H121" s="726" t="s">
        <v>3010</v>
      </c>
      <c r="I121" s="131" t="s">
        <v>3011</v>
      </c>
      <c r="J121" s="131">
        <v>132.34</v>
      </c>
      <c r="K121" s="131">
        <v>132.34</v>
      </c>
      <c r="L121" s="131">
        <f>M121/K121</f>
        <v>5226.99863986701</v>
      </c>
      <c r="M121" s="158">
        <v>691741</v>
      </c>
      <c r="N121" s="158">
        <v>5177</v>
      </c>
      <c r="O121" s="188"/>
      <c r="P121" s="189"/>
      <c r="Q121" s="189"/>
      <c r="R121" s="158"/>
      <c r="S121" s="159"/>
      <c r="T121" s="175"/>
      <c r="U121" s="159" t="s">
        <v>411</v>
      </c>
      <c r="V121" s="158">
        <v>2000</v>
      </c>
      <c r="W121" s="159" t="s">
        <v>736</v>
      </c>
      <c r="X121" s="158">
        <v>18000</v>
      </c>
      <c r="Y121" s="159" t="s">
        <v>3012</v>
      </c>
      <c r="Z121" s="158">
        <v>118741</v>
      </c>
      <c r="AA121" s="159" t="s">
        <v>687</v>
      </c>
      <c r="AB121" s="158">
        <v>553000</v>
      </c>
      <c r="AC121" s="159" t="s">
        <v>693</v>
      </c>
      <c r="AH121" s="158">
        <f t="shared" si="5"/>
        <v>691741</v>
      </c>
      <c r="AK121" s="189">
        <f t="shared" si="9"/>
        <v>0</v>
      </c>
      <c r="AL121" s="131">
        <v>18199242252</v>
      </c>
      <c r="AO121" s="131">
        <f t="shared" si="6"/>
        <v>691741</v>
      </c>
      <c r="AP121" s="161">
        <f>0.7%+0.12%</f>
        <v>0.0082</v>
      </c>
      <c r="AQ121" s="192">
        <f t="shared" si="7"/>
        <v>0</v>
      </c>
      <c r="AR121" s="158"/>
      <c r="AS121" s="158"/>
      <c r="AT121" s="158"/>
      <c r="AU121" s="158"/>
      <c r="AV121" s="158"/>
      <c r="AW121" s="158"/>
      <c r="AX121" s="158"/>
      <c r="AY121" s="158"/>
      <c r="AZ121" s="158"/>
      <c r="BB121" s="158"/>
      <c r="BI121" s="131">
        <v>138741</v>
      </c>
      <c r="BJ121" s="131">
        <v>553000</v>
      </c>
      <c r="BQ121" s="131" t="s">
        <v>205</v>
      </c>
      <c r="BR121" s="131" t="s">
        <v>206</v>
      </c>
    </row>
    <row r="122" s="131" customFormat="1" customHeight="1" spans="1:70">
      <c r="A122" s="175">
        <v>88</v>
      </c>
      <c r="C122" s="144" t="s">
        <v>642</v>
      </c>
      <c r="D122" s="131">
        <v>20240000618</v>
      </c>
      <c r="F122" s="726" t="s">
        <v>3013</v>
      </c>
      <c r="G122" s="131" t="s">
        <v>3014</v>
      </c>
      <c r="H122" s="726" t="s">
        <v>3015</v>
      </c>
      <c r="I122" s="131" t="s">
        <v>3016</v>
      </c>
      <c r="J122" s="131">
        <v>115.78</v>
      </c>
      <c r="K122" s="131">
        <v>115.78</v>
      </c>
      <c r="L122" s="131">
        <v>5268.61</v>
      </c>
      <c r="M122" s="158">
        <v>610000</v>
      </c>
      <c r="N122" s="158">
        <v>5227</v>
      </c>
      <c r="O122" s="188"/>
      <c r="P122" s="189"/>
      <c r="Q122" s="189"/>
      <c r="R122" s="158"/>
      <c r="S122" s="159"/>
      <c r="T122" s="175"/>
      <c r="U122" s="159" t="s">
        <v>226</v>
      </c>
      <c r="V122" s="158">
        <v>10000</v>
      </c>
      <c r="W122" s="159" t="s">
        <v>3002</v>
      </c>
      <c r="X122" s="158">
        <v>600000</v>
      </c>
      <c r="Y122" s="198" t="s">
        <v>642</v>
      </c>
      <c r="AA122" s="188"/>
      <c r="AB122" s="158"/>
      <c r="AH122" s="158">
        <f t="shared" si="5"/>
        <v>610000</v>
      </c>
      <c r="AK122" s="189">
        <f t="shared" si="9"/>
        <v>0</v>
      </c>
      <c r="AL122" s="131">
        <v>19993509038</v>
      </c>
      <c r="AO122" s="131">
        <f t="shared" si="6"/>
        <v>610000</v>
      </c>
      <c r="AP122" s="161">
        <f>0.7%+0.04%+0.12%</f>
        <v>0.0086</v>
      </c>
      <c r="AQ122" s="192">
        <f t="shared" si="7"/>
        <v>0</v>
      </c>
      <c r="AR122" s="158"/>
      <c r="AS122" s="158"/>
      <c r="AT122" s="158"/>
      <c r="AU122" s="158"/>
      <c r="AV122" s="158"/>
      <c r="AW122" s="158"/>
      <c r="AX122" s="158"/>
      <c r="AY122" s="158"/>
      <c r="AZ122" s="158"/>
      <c r="BB122" s="158"/>
      <c r="BE122" s="131">
        <v>610000</v>
      </c>
      <c r="BQ122" s="131" t="s">
        <v>205</v>
      </c>
      <c r="BR122" s="131" t="s">
        <v>206</v>
      </c>
    </row>
    <row r="123" s="131" customFormat="1" customHeight="1" spans="1:74">
      <c r="A123" s="175">
        <v>89</v>
      </c>
      <c r="C123" s="144" t="s">
        <v>3017</v>
      </c>
      <c r="D123" s="131">
        <v>20240001139</v>
      </c>
      <c r="F123" s="726" t="s">
        <v>3018</v>
      </c>
      <c r="G123" s="131" t="s">
        <v>3019</v>
      </c>
      <c r="H123" s="726" t="s">
        <v>3020</v>
      </c>
      <c r="I123" s="131" t="s">
        <v>3021</v>
      </c>
      <c r="J123" s="131">
        <v>86.14</v>
      </c>
      <c r="K123" s="131">
        <v>86.14</v>
      </c>
      <c r="L123" s="131">
        <v>5357</v>
      </c>
      <c r="M123" s="158">
        <v>461452</v>
      </c>
      <c r="N123" s="158">
        <v>5257</v>
      </c>
      <c r="O123" s="188"/>
      <c r="P123" s="189"/>
      <c r="Q123" s="189"/>
      <c r="R123" s="158"/>
      <c r="S123" s="159"/>
      <c r="T123" s="175"/>
      <c r="U123" s="159" t="s">
        <v>217</v>
      </c>
      <c r="V123" s="158">
        <v>1452</v>
      </c>
      <c r="W123" s="159" t="s">
        <v>283</v>
      </c>
      <c r="X123" s="158">
        <v>90000</v>
      </c>
      <c r="Y123" s="198" t="s">
        <v>3022</v>
      </c>
      <c r="Z123" s="131">
        <v>30000</v>
      </c>
      <c r="AA123" s="188" t="s">
        <v>2390</v>
      </c>
      <c r="AB123" s="158">
        <v>340000</v>
      </c>
      <c r="AC123" s="159" t="s">
        <v>222</v>
      </c>
      <c r="AH123" s="158">
        <f t="shared" si="5"/>
        <v>461452</v>
      </c>
      <c r="AK123" s="189">
        <f t="shared" si="9"/>
        <v>0</v>
      </c>
      <c r="AL123" s="131">
        <v>19190048233</v>
      </c>
      <c r="AO123" s="131">
        <f t="shared" si="6"/>
        <v>461452</v>
      </c>
      <c r="AP123" s="161">
        <f>0.7%+0.04%+0.12%</f>
        <v>0.0086</v>
      </c>
      <c r="AQ123" s="192">
        <f t="shared" si="7"/>
        <v>0</v>
      </c>
      <c r="AR123" s="158"/>
      <c r="AS123" s="158"/>
      <c r="AT123" s="158"/>
      <c r="AU123" s="158"/>
      <c r="AV123" s="158"/>
      <c r="AW123" s="158"/>
      <c r="AX123" s="158"/>
      <c r="AY123" s="158"/>
      <c r="AZ123" s="158"/>
      <c r="BB123" s="158"/>
      <c r="BG123" s="131">
        <v>121452</v>
      </c>
      <c r="BH123" s="131">
        <v>340000</v>
      </c>
      <c r="BQ123" s="131" t="s">
        <v>205</v>
      </c>
      <c r="BR123" s="131" t="s">
        <v>206</v>
      </c>
      <c r="BV123" s="131">
        <f>BT123-BU123</f>
        <v>0</v>
      </c>
    </row>
    <row r="124" s="131" customFormat="1" customHeight="1" spans="1:70">
      <c r="A124" s="175">
        <v>90</v>
      </c>
      <c r="C124" s="144" t="s">
        <v>3017</v>
      </c>
      <c r="D124" s="131">
        <v>20240001135</v>
      </c>
      <c r="F124" s="726" t="s">
        <v>3023</v>
      </c>
      <c r="G124" s="131" t="s">
        <v>3024</v>
      </c>
      <c r="H124" s="726" t="s">
        <v>3025</v>
      </c>
      <c r="I124" s="131" t="s">
        <v>3026</v>
      </c>
      <c r="J124" s="131">
        <v>132.34</v>
      </c>
      <c r="K124" s="131">
        <v>132.34</v>
      </c>
      <c r="L124" s="131">
        <v>5289.4</v>
      </c>
      <c r="M124" s="158">
        <v>700000</v>
      </c>
      <c r="N124" s="158">
        <v>5207</v>
      </c>
      <c r="O124" s="188"/>
      <c r="P124" s="189"/>
      <c r="Q124" s="189"/>
      <c r="R124" s="158"/>
      <c r="S124" s="159"/>
      <c r="T124" s="175"/>
      <c r="U124" s="159" t="s">
        <v>226</v>
      </c>
      <c r="V124" s="158">
        <v>20000</v>
      </c>
      <c r="W124" s="159" t="s">
        <v>286</v>
      </c>
      <c r="X124" s="158">
        <f>140000+240000</f>
        <v>380000</v>
      </c>
      <c r="Y124" s="159" t="s">
        <v>3017</v>
      </c>
      <c r="Z124" s="131">
        <v>300000</v>
      </c>
      <c r="AA124" s="188" t="s">
        <v>3027</v>
      </c>
      <c r="AB124" s="158"/>
      <c r="AH124" s="158">
        <f t="shared" si="5"/>
        <v>700000</v>
      </c>
      <c r="AK124" s="189">
        <f t="shared" si="9"/>
        <v>0</v>
      </c>
      <c r="AL124" s="131">
        <v>13239065687</v>
      </c>
      <c r="AN124" s="131" t="s">
        <v>3028</v>
      </c>
      <c r="AO124" s="131">
        <f t="shared" si="6"/>
        <v>700000</v>
      </c>
      <c r="AP124" s="161">
        <f>0.7%+0.05%+0.12%</f>
        <v>0.0087</v>
      </c>
      <c r="AQ124" s="192">
        <f t="shared" si="7"/>
        <v>0</v>
      </c>
      <c r="AR124" s="158"/>
      <c r="AS124" s="158"/>
      <c r="AT124" s="158"/>
      <c r="AU124" s="158"/>
      <c r="AV124" s="158"/>
      <c r="AW124" s="158"/>
      <c r="AX124" s="158"/>
      <c r="AY124" s="158"/>
      <c r="AZ124" s="158"/>
      <c r="BB124" s="158"/>
      <c r="BG124" s="131">
        <v>700000</v>
      </c>
      <c r="BQ124" s="131" t="s">
        <v>205</v>
      </c>
      <c r="BR124" s="131" t="s">
        <v>206</v>
      </c>
    </row>
    <row r="125" s="131" customFormat="1" customHeight="1" spans="1:70">
      <c r="A125" s="175">
        <v>91</v>
      </c>
      <c r="C125" s="144" t="s">
        <v>2995</v>
      </c>
      <c r="D125" s="131">
        <v>20240000347</v>
      </c>
      <c r="F125" s="726" t="s">
        <v>3029</v>
      </c>
      <c r="G125" s="131" t="s">
        <v>3030</v>
      </c>
      <c r="H125" s="726" t="s">
        <v>3031</v>
      </c>
      <c r="I125" s="131" t="s">
        <v>3032</v>
      </c>
      <c r="J125" s="131">
        <v>115.78</v>
      </c>
      <c r="K125" s="131">
        <v>115.78</v>
      </c>
      <c r="L125" s="131">
        <v>5300</v>
      </c>
      <c r="M125" s="158">
        <v>613634</v>
      </c>
      <c r="N125" s="158">
        <v>5265</v>
      </c>
      <c r="O125" s="188"/>
      <c r="P125" s="189"/>
      <c r="Q125" s="189"/>
      <c r="R125" s="158"/>
      <c r="S125" s="159"/>
      <c r="T125" s="727" t="s">
        <v>3033</v>
      </c>
      <c r="U125" s="159" t="s">
        <v>1811</v>
      </c>
      <c r="V125" s="158">
        <v>2000</v>
      </c>
      <c r="W125" s="159" t="s">
        <v>641</v>
      </c>
      <c r="X125" s="158">
        <v>18000</v>
      </c>
      <c r="Y125" s="159" t="s">
        <v>426</v>
      </c>
      <c r="Z125" s="131">
        <v>164634</v>
      </c>
      <c r="AA125" s="188" t="s">
        <v>3034</v>
      </c>
      <c r="AB125" s="158">
        <v>429000</v>
      </c>
      <c r="AC125" s="159" t="s">
        <v>448</v>
      </c>
      <c r="AH125" s="158">
        <f t="shared" si="5"/>
        <v>613634</v>
      </c>
      <c r="AK125" s="189">
        <f t="shared" ref="AK124:AK127" si="10">M125-AH125</f>
        <v>0</v>
      </c>
      <c r="AL125" s="131">
        <v>15899021367</v>
      </c>
      <c r="AO125" s="131">
        <f t="shared" si="6"/>
        <v>613634</v>
      </c>
      <c r="AP125" s="161">
        <f>0.4%+0.02%+0.08%</f>
        <v>0.005</v>
      </c>
      <c r="AQ125" s="192">
        <f t="shared" si="7"/>
        <v>0</v>
      </c>
      <c r="AR125" s="158"/>
      <c r="AS125" s="158"/>
      <c r="AT125" s="158"/>
      <c r="AU125" s="158"/>
      <c r="AV125" s="158"/>
      <c r="AW125" s="158"/>
      <c r="AX125" s="158"/>
      <c r="AY125" s="158"/>
      <c r="AZ125" s="158"/>
      <c r="BB125" s="158"/>
      <c r="BE125" s="131">
        <v>184634</v>
      </c>
      <c r="BF125" s="131">
        <v>429000</v>
      </c>
      <c r="BQ125" s="131" t="s">
        <v>205</v>
      </c>
      <c r="BR125" s="131" t="s">
        <v>206</v>
      </c>
    </row>
    <row r="126" s="131" customFormat="1" customHeight="1" spans="1:70">
      <c r="A126" s="175">
        <v>92</v>
      </c>
      <c r="C126" s="176">
        <v>45356</v>
      </c>
      <c r="D126" s="131">
        <v>20240001157</v>
      </c>
      <c r="F126" s="726" t="s">
        <v>3035</v>
      </c>
      <c r="G126" s="131" t="s">
        <v>3036</v>
      </c>
      <c r="H126" s="726" t="s">
        <v>3037</v>
      </c>
      <c r="I126" s="131" t="s">
        <v>3038</v>
      </c>
      <c r="J126" s="131">
        <v>86.14</v>
      </c>
      <c r="K126" s="131">
        <v>86.14</v>
      </c>
      <c r="L126" s="131">
        <v>5395</v>
      </c>
      <c r="M126" s="158">
        <v>464725</v>
      </c>
      <c r="N126" s="158">
        <v>5295</v>
      </c>
      <c r="O126" s="188"/>
      <c r="P126" s="189"/>
      <c r="Q126" s="189"/>
      <c r="R126" s="158"/>
      <c r="S126" s="159"/>
      <c r="T126" s="175"/>
      <c r="U126" s="159" t="s">
        <v>422</v>
      </c>
      <c r="V126" s="158">
        <v>20000</v>
      </c>
      <c r="W126" s="159" t="s">
        <v>426</v>
      </c>
      <c r="X126" s="158">
        <v>194725</v>
      </c>
      <c r="Y126" s="159" t="s">
        <v>552</v>
      </c>
      <c r="Z126" s="131">
        <v>90000</v>
      </c>
      <c r="AA126" s="188" t="s">
        <v>552</v>
      </c>
      <c r="AB126" s="158">
        <v>160000</v>
      </c>
      <c r="AC126" s="159" t="s">
        <v>3039</v>
      </c>
      <c r="AH126" s="158">
        <f t="shared" si="5"/>
        <v>464725</v>
      </c>
      <c r="AK126" s="189">
        <f t="shared" si="10"/>
        <v>0</v>
      </c>
      <c r="AL126" s="131">
        <v>18799835198</v>
      </c>
      <c r="AO126" s="131">
        <f t="shared" si="6"/>
        <v>464725</v>
      </c>
      <c r="AP126" s="161">
        <f>0.4%+0.02%+0.08%</f>
        <v>0.005</v>
      </c>
      <c r="AQ126" s="192">
        <f t="shared" si="7"/>
        <v>0</v>
      </c>
      <c r="AR126" s="158"/>
      <c r="AS126" s="158"/>
      <c r="AT126" s="158"/>
      <c r="AU126" s="158"/>
      <c r="AV126" s="158"/>
      <c r="AW126" s="158"/>
      <c r="AX126" s="158"/>
      <c r="AY126" s="158"/>
      <c r="AZ126" s="158"/>
      <c r="BB126" s="158"/>
      <c r="BG126" s="131">
        <v>304725</v>
      </c>
      <c r="BJ126" s="131">
        <v>160000</v>
      </c>
      <c r="BQ126" s="131" t="s">
        <v>205</v>
      </c>
      <c r="BR126" s="131" t="s">
        <v>206</v>
      </c>
    </row>
    <row r="127" s="131" customFormat="1" customHeight="1" spans="1:70">
      <c r="A127" s="175">
        <v>93</v>
      </c>
      <c r="C127" s="144">
        <v>2024.1</v>
      </c>
      <c r="D127" s="131">
        <v>20240000217</v>
      </c>
      <c r="F127" s="726" t="s">
        <v>3040</v>
      </c>
      <c r="G127" s="131" t="s">
        <v>3041</v>
      </c>
      <c r="H127" s="726" t="s">
        <v>3042</v>
      </c>
      <c r="I127" s="131" t="s">
        <v>3043</v>
      </c>
      <c r="J127" s="131">
        <v>132.34</v>
      </c>
      <c r="K127" s="131">
        <v>132.34</v>
      </c>
      <c r="L127" s="131">
        <v>5354</v>
      </c>
      <c r="M127" s="158">
        <v>708548</v>
      </c>
      <c r="N127" s="158">
        <v>5254</v>
      </c>
      <c r="O127" s="188"/>
      <c r="P127" s="189"/>
      <c r="Q127" s="189"/>
      <c r="R127" s="158"/>
      <c r="S127" s="159"/>
      <c r="T127" s="727" t="s">
        <v>3044</v>
      </c>
      <c r="U127" s="159" t="s">
        <v>201</v>
      </c>
      <c r="V127" s="158">
        <v>2000</v>
      </c>
      <c r="W127" s="159" t="s">
        <v>363</v>
      </c>
      <c r="X127" s="158">
        <v>18000</v>
      </c>
      <c r="Y127" s="159" t="s">
        <v>426</v>
      </c>
      <c r="Z127" s="131">
        <v>78548</v>
      </c>
      <c r="AA127" s="188" t="s">
        <v>426</v>
      </c>
      <c r="AB127" s="158">
        <v>50000</v>
      </c>
      <c r="AC127" s="131" t="s">
        <v>219</v>
      </c>
      <c r="AD127" s="158">
        <v>560000</v>
      </c>
      <c r="AE127" s="159" t="s">
        <v>3045</v>
      </c>
      <c r="AH127" s="158">
        <f t="shared" si="5"/>
        <v>708548</v>
      </c>
      <c r="AK127" s="189">
        <f t="shared" ref="AK127:AK133" si="11">M127-AH127</f>
        <v>0</v>
      </c>
      <c r="AL127" s="131">
        <v>18434064590</v>
      </c>
      <c r="AO127" s="131">
        <f t="shared" si="6"/>
        <v>708548</v>
      </c>
      <c r="AP127" s="161">
        <f>0.7%+0.08%</f>
        <v>0.0078</v>
      </c>
      <c r="AQ127" s="192">
        <f t="shared" si="7"/>
        <v>0</v>
      </c>
      <c r="AR127" s="158"/>
      <c r="AS127" s="158"/>
      <c r="AT127" s="158"/>
      <c r="AU127" s="158"/>
      <c r="AV127" s="158"/>
      <c r="AW127" s="158"/>
      <c r="AX127" s="158"/>
      <c r="AY127" s="158"/>
      <c r="AZ127" s="158"/>
      <c r="BB127" s="158"/>
      <c r="BE127" s="131">
        <v>148548</v>
      </c>
      <c r="BG127" s="131">
        <v>560000</v>
      </c>
      <c r="BQ127" s="131" t="s">
        <v>205</v>
      </c>
      <c r="BR127" s="131" t="s">
        <v>206</v>
      </c>
    </row>
    <row r="128" s="131" customFormat="1" customHeight="1" spans="1:70">
      <c r="A128" s="175">
        <v>94</v>
      </c>
      <c r="C128" s="144" t="s">
        <v>397</v>
      </c>
      <c r="D128" s="131">
        <v>20240001668</v>
      </c>
      <c r="F128" s="131" t="s">
        <v>3046</v>
      </c>
      <c r="G128" s="131" t="s">
        <v>3047</v>
      </c>
      <c r="H128" s="726" t="s">
        <v>3048</v>
      </c>
      <c r="I128" s="131" t="s">
        <v>3049</v>
      </c>
      <c r="J128" s="131">
        <v>115.78</v>
      </c>
      <c r="K128" s="131">
        <v>115.78</v>
      </c>
      <c r="L128" s="131">
        <v>5397</v>
      </c>
      <c r="M128" s="158">
        <v>624865</v>
      </c>
      <c r="N128" s="158">
        <v>5297</v>
      </c>
      <c r="O128" s="188"/>
      <c r="P128" s="189"/>
      <c r="Q128" s="189"/>
      <c r="R128" s="158"/>
      <c r="S128" s="159"/>
      <c r="T128" s="175"/>
      <c r="U128" s="159" t="s">
        <v>422</v>
      </c>
      <c r="V128" s="158">
        <v>20000</v>
      </c>
      <c r="W128" s="159" t="s">
        <v>2808</v>
      </c>
      <c r="X128" s="158">
        <f>95865+10000</f>
        <v>105865</v>
      </c>
      <c r="Y128" s="159" t="s">
        <v>397</v>
      </c>
      <c r="Z128" s="158">
        <v>499000</v>
      </c>
      <c r="AA128" s="159" t="s">
        <v>2944</v>
      </c>
      <c r="AB128" s="158"/>
      <c r="AH128" s="158">
        <f t="shared" si="5"/>
        <v>624865</v>
      </c>
      <c r="AK128" s="189">
        <f t="shared" si="11"/>
        <v>0</v>
      </c>
      <c r="AL128" s="131">
        <v>13638347657</v>
      </c>
      <c r="AO128" s="131">
        <f t="shared" si="6"/>
        <v>624865</v>
      </c>
      <c r="AP128" s="161">
        <f>0.4%+0.04%+0.12%</f>
        <v>0.0056</v>
      </c>
      <c r="AQ128" s="192">
        <f t="shared" si="7"/>
        <v>0</v>
      </c>
      <c r="AR128" s="158"/>
      <c r="AS128" s="158"/>
      <c r="AT128" s="158"/>
      <c r="AU128" s="158"/>
      <c r="AV128" s="158"/>
      <c r="AW128" s="158"/>
      <c r="AX128" s="158"/>
      <c r="AY128" s="158"/>
      <c r="AZ128" s="158"/>
      <c r="BB128" s="158"/>
      <c r="BG128" s="131">
        <v>125865</v>
      </c>
      <c r="BH128" s="131">
        <v>499000</v>
      </c>
      <c r="BQ128" s="131" t="s">
        <v>205</v>
      </c>
      <c r="BR128" s="131" t="s">
        <v>206</v>
      </c>
    </row>
    <row r="129" s="131" customFormat="1" customHeight="1" spans="1:54">
      <c r="A129" s="175">
        <v>95</v>
      </c>
      <c r="B129" s="131"/>
      <c r="C129" s="144" t="s">
        <v>375</v>
      </c>
      <c r="D129" s="131">
        <v>20240005803</v>
      </c>
      <c r="F129" s="726" t="s">
        <v>3050</v>
      </c>
      <c r="G129" s="131" t="s">
        <v>3051</v>
      </c>
      <c r="H129" s="726" t="s">
        <v>3052</v>
      </c>
      <c r="I129" s="131" t="s">
        <v>3053</v>
      </c>
      <c r="J129" s="131">
        <v>86.14</v>
      </c>
      <c r="K129" s="131">
        <v>86.14</v>
      </c>
      <c r="L129" s="131">
        <v>5224.05</v>
      </c>
      <c r="M129" s="158">
        <v>450000</v>
      </c>
      <c r="N129" s="158">
        <v>5224.05</v>
      </c>
      <c r="O129" s="188"/>
      <c r="P129" s="189"/>
      <c r="Q129" s="189"/>
      <c r="R129" s="158">
        <v>220000</v>
      </c>
      <c r="S129" s="159" t="s">
        <v>375</v>
      </c>
      <c r="T129" s="175"/>
      <c r="U129" s="159" t="s">
        <v>408</v>
      </c>
      <c r="V129" s="158">
        <v>10000</v>
      </c>
      <c r="W129" s="159">
        <v>45559</v>
      </c>
      <c r="X129" s="158">
        <v>220000</v>
      </c>
      <c r="Y129" s="159" t="s">
        <v>375</v>
      </c>
      <c r="AA129" s="188"/>
      <c r="AB129" s="158"/>
      <c r="AH129" s="158">
        <f t="shared" si="5"/>
        <v>230000</v>
      </c>
      <c r="AK129" s="189">
        <f t="shared" si="11"/>
        <v>220000</v>
      </c>
      <c r="AL129" s="131">
        <v>15739825490</v>
      </c>
      <c r="AM129" s="131" t="s">
        <v>3054</v>
      </c>
      <c r="AO129" s="131">
        <f t="shared" si="6"/>
        <v>0</v>
      </c>
      <c r="AP129" s="161">
        <f>0.5%+0.04%+0.1%</f>
        <v>0.0064</v>
      </c>
      <c r="AQ129" s="192">
        <f t="shared" si="7"/>
        <v>0</v>
      </c>
      <c r="AR129" s="158"/>
      <c r="AS129" s="158"/>
      <c r="AT129" s="158"/>
      <c r="AU129" s="158"/>
      <c r="AV129" s="158"/>
      <c r="AW129" s="158"/>
      <c r="AX129" s="158"/>
      <c r="AY129" s="158"/>
      <c r="AZ129" s="158"/>
      <c r="BB129" s="158"/>
    </row>
    <row r="130" s="131" customFormat="1" customHeight="1" spans="1:70">
      <c r="A130" s="175">
        <v>96</v>
      </c>
      <c r="C130" s="144" t="s">
        <v>386</v>
      </c>
      <c r="D130" s="131">
        <v>20240000554</v>
      </c>
      <c r="F130" s="726" t="s">
        <v>3055</v>
      </c>
      <c r="G130" s="131" t="s">
        <v>3056</v>
      </c>
      <c r="H130" s="726" t="s">
        <v>3057</v>
      </c>
      <c r="I130" s="131" t="s">
        <v>3058</v>
      </c>
      <c r="J130" s="131">
        <v>132.34</v>
      </c>
      <c r="K130" s="131">
        <v>132.34</v>
      </c>
      <c r="L130" s="131">
        <v>5387</v>
      </c>
      <c r="M130" s="158">
        <v>712916</v>
      </c>
      <c r="N130" s="158">
        <v>5287</v>
      </c>
      <c r="O130" s="188"/>
      <c r="P130" s="189"/>
      <c r="Q130" s="189"/>
      <c r="R130" s="158"/>
      <c r="S130" s="159"/>
      <c r="T130" s="175"/>
      <c r="U130" s="159" t="s">
        <v>217</v>
      </c>
      <c r="V130" s="158">
        <v>20000</v>
      </c>
      <c r="W130" s="159" t="s">
        <v>2224</v>
      </c>
      <c r="X130" s="158">
        <f>160000+2916</f>
        <v>162916</v>
      </c>
      <c r="Y130" s="198" t="s">
        <v>386</v>
      </c>
      <c r="Z130" s="158">
        <v>530000</v>
      </c>
      <c r="AA130" s="159" t="s">
        <v>2996</v>
      </c>
      <c r="AB130" s="158"/>
      <c r="AH130" s="158">
        <f t="shared" si="5"/>
        <v>712916</v>
      </c>
      <c r="AK130" s="189">
        <f t="shared" si="11"/>
        <v>0</v>
      </c>
      <c r="AL130" s="131">
        <v>19399210813</v>
      </c>
      <c r="AO130" s="131">
        <f t="shared" si="6"/>
        <v>712916</v>
      </c>
      <c r="AP130" s="161">
        <f>0.7%+0.03%+0.12%</f>
        <v>0.0085</v>
      </c>
      <c r="AQ130" s="192">
        <f t="shared" si="7"/>
        <v>0</v>
      </c>
      <c r="AR130" s="158"/>
      <c r="AS130" s="158"/>
      <c r="AT130" s="158"/>
      <c r="AU130" s="158"/>
      <c r="AV130" s="158"/>
      <c r="AW130" s="158"/>
      <c r="AX130" s="158"/>
      <c r="AY130" s="158"/>
      <c r="AZ130" s="158"/>
      <c r="BB130" s="158"/>
      <c r="BE130" s="131">
        <v>182916</v>
      </c>
      <c r="BG130" s="131">
        <v>530000</v>
      </c>
      <c r="BQ130" s="131" t="s">
        <v>205</v>
      </c>
      <c r="BR130" s="131" t="s">
        <v>206</v>
      </c>
    </row>
    <row r="131" s="131" customFormat="1" customHeight="1" spans="1:69">
      <c r="A131" s="175">
        <v>97</v>
      </c>
      <c r="C131" s="176">
        <v>45401</v>
      </c>
      <c r="D131" s="131">
        <v>20240002180</v>
      </c>
      <c r="F131" s="726" t="s">
        <v>3059</v>
      </c>
      <c r="G131" s="144" t="s">
        <v>3060</v>
      </c>
      <c r="H131" s="726" t="s">
        <v>3061</v>
      </c>
      <c r="I131" s="131" t="s">
        <v>3062</v>
      </c>
      <c r="J131" s="131">
        <v>115.78</v>
      </c>
      <c r="K131" s="131">
        <v>115.78</v>
      </c>
      <c r="L131" s="131">
        <v>5383.8</v>
      </c>
      <c r="M131" s="158">
        <v>623338</v>
      </c>
      <c r="N131" s="158">
        <v>5327</v>
      </c>
      <c r="O131" s="188"/>
      <c r="P131" s="189"/>
      <c r="Q131" s="189"/>
      <c r="R131" s="158"/>
      <c r="S131" s="159"/>
      <c r="T131" s="214" t="s">
        <v>3063</v>
      </c>
      <c r="U131" s="213" t="s">
        <v>3064</v>
      </c>
      <c r="V131" s="158">
        <f>2000-2000</f>
        <v>0</v>
      </c>
      <c r="W131" s="159" t="s">
        <v>2513</v>
      </c>
      <c r="X131" s="158">
        <v>20000</v>
      </c>
      <c r="Y131" s="159" t="s">
        <v>471</v>
      </c>
      <c r="Z131" s="158">
        <f>115338+88000</f>
        <v>203338</v>
      </c>
      <c r="AA131" s="159" t="s">
        <v>203</v>
      </c>
      <c r="AB131" s="158">
        <v>400000</v>
      </c>
      <c r="AC131" s="159" t="s">
        <v>2844</v>
      </c>
      <c r="AH131" s="158">
        <f t="shared" si="5"/>
        <v>623338</v>
      </c>
      <c r="AK131" s="189">
        <f t="shared" si="11"/>
        <v>0</v>
      </c>
      <c r="AL131" s="131">
        <v>13565004173</v>
      </c>
      <c r="AO131" s="131">
        <f t="shared" si="6"/>
        <v>623338</v>
      </c>
      <c r="AP131" s="161">
        <f>0.7%+0.03%+0.12%</f>
        <v>0.0085</v>
      </c>
      <c r="AQ131" s="192">
        <f t="shared" si="7"/>
        <v>0</v>
      </c>
      <c r="AR131" s="158"/>
      <c r="AS131" s="158"/>
      <c r="AT131" s="158"/>
      <c r="AU131" s="158"/>
      <c r="AV131" s="158"/>
      <c r="AW131" s="158"/>
      <c r="AX131" s="158"/>
      <c r="AY131" s="158"/>
      <c r="AZ131" s="158"/>
      <c r="BB131" s="158"/>
      <c r="BK131" s="131">
        <v>623338</v>
      </c>
      <c r="BQ131" s="131" t="s">
        <v>205</v>
      </c>
    </row>
    <row r="132" s="131" customFormat="1" customHeight="1" spans="1:69">
      <c r="A132" s="175">
        <v>98</v>
      </c>
      <c r="C132" s="176">
        <v>45465</v>
      </c>
      <c r="D132" s="131">
        <v>20240003574</v>
      </c>
      <c r="F132" s="726" t="s">
        <v>3065</v>
      </c>
      <c r="G132" s="131" t="s">
        <v>3066</v>
      </c>
      <c r="H132" s="726" t="s">
        <v>3067</v>
      </c>
      <c r="I132" s="131" t="s">
        <v>3068</v>
      </c>
      <c r="J132" s="131">
        <v>86.14</v>
      </c>
      <c r="K132" s="131">
        <v>86.14</v>
      </c>
      <c r="L132" s="131">
        <v>5130</v>
      </c>
      <c r="M132" s="158">
        <v>441899</v>
      </c>
      <c r="N132" s="158">
        <v>5130</v>
      </c>
      <c r="O132" s="188"/>
      <c r="P132" s="189"/>
      <c r="Q132" s="189"/>
      <c r="R132" s="158"/>
      <c r="S132" s="159"/>
      <c r="T132" s="175"/>
      <c r="U132" s="159" t="s">
        <v>211</v>
      </c>
      <c r="V132" s="158">
        <v>10000</v>
      </c>
      <c r="W132" s="159" t="s">
        <v>379</v>
      </c>
      <c r="X132" s="158">
        <v>1899</v>
      </c>
      <c r="Y132" s="198" t="s">
        <v>3069</v>
      </c>
      <c r="Z132" s="158">
        <v>430000</v>
      </c>
      <c r="AA132" s="159" t="s">
        <v>3070</v>
      </c>
      <c r="AB132" s="158"/>
      <c r="AH132" s="158">
        <f t="shared" si="5"/>
        <v>441899</v>
      </c>
      <c r="AK132" s="189">
        <f t="shared" si="11"/>
        <v>0</v>
      </c>
      <c r="AL132" s="131">
        <v>13999013808</v>
      </c>
      <c r="AM132" s="131" t="s">
        <v>3007</v>
      </c>
      <c r="AO132" s="131">
        <f t="shared" si="6"/>
        <v>441899</v>
      </c>
      <c r="AP132" s="161">
        <f>0.4%+0.03%+0.08%</f>
        <v>0.0051</v>
      </c>
      <c r="AQ132" s="192">
        <f t="shared" si="7"/>
        <v>0</v>
      </c>
      <c r="AR132" s="158"/>
      <c r="AS132" s="158"/>
      <c r="AT132" s="158"/>
      <c r="AU132" s="158"/>
      <c r="AV132" s="158"/>
      <c r="AW132" s="158"/>
      <c r="AX132" s="158"/>
      <c r="AY132" s="158"/>
      <c r="AZ132" s="158"/>
      <c r="BB132" s="158"/>
      <c r="BK132" s="131">
        <v>441899</v>
      </c>
      <c r="BQ132" s="131" t="s">
        <v>205</v>
      </c>
    </row>
    <row r="133" s="131" customFormat="1" customHeight="1" spans="1:70">
      <c r="A133" s="175">
        <v>99</v>
      </c>
      <c r="C133" s="144" t="s">
        <v>3017</v>
      </c>
      <c r="D133" s="131">
        <v>20240001144</v>
      </c>
      <c r="F133" s="726" t="s">
        <v>3071</v>
      </c>
      <c r="G133" s="131" t="s">
        <v>3072</v>
      </c>
      <c r="H133" s="726" t="s">
        <v>3073</v>
      </c>
      <c r="I133" s="131" t="s">
        <v>3074</v>
      </c>
      <c r="J133" s="131">
        <v>132.34</v>
      </c>
      <c r="K133" s="131">
        <v>132.34</v>
      </c>
      <c r="L133" s="131">
        <v>5387.64</v>
      </c>
      <c r="M133" s="158">
        <v>713000</v>
      </c>
      <c r="N133" s="158">
        <v>5324</v>
      </c>
      <c r="O133" s="188"/>
      <c r="P133" s="189"/>
      <c r="Q133" s="189"/>
      <c r="R133" s="158"/>
      <c r="S133" s="159"/>
      <c r="T133" s="175"/>
      <c r="U133" s="159" t="s">
        <v>1811</v>
      </c>
      <c r="V133" s="158">
        <v>20000</v>
      </c>
      <c r="W133" s="159" t="s">
        <v>3075</v>
      </c>
      <c r="X133" s="158">
        <v>123000</v>
      </c>
      <c r="Y133" s="159" t="s">
        <v>3017</v>
      </c>
      <c r="Z133" s="131">
        <v>570000</v>
      </c>
      <c r="AA133" s="188" t="s">
        <v>3027</v>
      </c>
      <c r="AB133" s="158"/>
      <c r="AH133" s="158">
        <f t="shared" ref="AH133:AH196" si="12">V133+X133+Z133+AB133+AD133+AF133</f>
        <v>713000</v>
      </c>
      <c r="AK133" s="189">
        <f t="shared" si="11"/>
        <v>0</v>
      </c>
      <c r="AL133" s="131">
        <v>15739382222</v>
      </c>
      <c r="AO133" s="131">
        <f t="shared" ref="AO133:AO196" si="13">SUM(AZ133:BN133)</f>
        <v>713000</v>
      </c>
      <c r="AP133" s="161">
        <f>0.7%+0.04%+0.14%</f>
        <v>0.0088</v>
      </c>
      <c r="AQ133" s="192">
        <f t="shared" ref="AQ133:AQ196" si="14">AR133+AS133+AT133+AU133+AV133+AW133+AX133+AY133</f>
        <v>0</v>
      </c>
      <c r="AR133" s="158"/>
      <c r="AS133" s="158"/>
      <c r="AT133" s="158"/>
      <c r="AU133" s="158"/>
      <c r="AV133" s="158"/>
      <c r="AW133" s="158"/>
      <c r="AX133" s="158"/>
      <c r="AY133" s="158"/>
      <c r="AZ133" s="158"/>
      <c r="BB133" s="158"/>
      <c r="BG133" s="131">
        <v>713000</v>
      </c>
      <c r="BQ133" s="131" t="s">
        <v>205</v>
      </c>
      <c r="BR133" s="131" t="s">
        <v>206</v>
      </c>
    </row>
    <row r="134" s="131" customFormat="1" customHeight="1" spans="1:70">
      <c r="A134" s="175">
        <v>100</v>
      </c>
      <c r="C134" s="144" t="s">
        <v>467</v>
      </c>
      <c r="D134" s="131">
        <v>20240000214</v>
      </c>
      <c r="F134" s="726" t="s">
        <v>3076</v>
      </c>
      <c r="G134" s="131" t="s">
        <v>3077</v>
      </c>
      <c r="H134" s="726" t="s">
        <v>3078</v>
      </c>
      <c r="I134" s="131" t="s">
        <v>3079</v>
      </c>
      <c r="J134" s="131">
        <v>115.78</v>
      </c>
      <c r="K134" s="131">
        <v>115.78</v>
      </c>
      <c r="L134" s="131">
        <v>5397.23</v>
      </c>
      <c r="M134" s="158">
        <v>625000</v>
      </c>
      <c r="N134" s="158">
        <v>5342</v>
      </c>
      <c r="O134" s="188"/>
      <c r="P134" s="189"/>
      <c r="Q134" s="189"/>
      <c r="R134" s="158"/>
      <c r="S134" s="159"/>
      <c r="T134" s="727" t="s">
        <v>3080</v>
      </c>
      <c r="U134" s="159" t="s">
        <v>201</v>
      </c>
      <c r="V134" s="158">
        <v>2000</v>
      </c>
      <c r="W134" s="159" t="s">
        <v>446</v>
      </c>
      <c r="X134" s="158">
        <v>18000</v>
      </c>
      <c r="Y134" s="198" t="s">
        <v>385</v>
      </c>
      <c r="Z134" s="158">
        <v>605000</v>
      </c>
      <c r="AA134" s="159" t="s">
        <v>467</v>
      </c>
      <c r="AB134" s="158"/>
      <c r="AH134" s="158">
        <f t="shared" si="12"/>
        <v>625000</v>
      </c>
      <c r="AK134" s="189">
        <f t="shared" ref="AK134:AK137" si="15">M134-AH134</f>
        <v>0</v>
      </c>
      <c r="AL134" s="131">
        <v>17699963907</v>
      </c>
      <c r="AO134" s="131">
        <f t="shared" si="13"/>
        <v>625000</v>
      </c>
      <c r="AP134" s="161">
        <f>0.7%+0.08%</f>
        <v>0.0078</v>
      </c>
      <c r="AQ134" s="192">
        <f t="shared" si="14"/>
        <v>0</v>
      </c>
      <c r="AR134" s="158"/>
      <c r="AS134" s="158"/>
      <c r="AT134" s="158"/>
      <c r="AU134" s="158"/>
      <c r="AV134" s="158"/>
      <c r="AW134" s="158"/>
      <c r="AX134" s="158"/>
      <c r="AY134" s="158"/>
      <c r="AZ134" s="158"/>
      <c r="BB134" s="158"/>
      <c r="BE134" s="131">
        <v>625000</v>
      </c>
      <c r="BQ134" s="131" t="s">
        <v>205</v>
      </c>
      <c r="BR134" s="131" t="s">
        <v>206</v>
      </c>
    </row>
    <row r="135" s="131" customFormat="1" customHeight="1" spans="1:70">
      <c r="A135" s="175">
        <v>101</v>
      </c>
      <c r="C135" s="144" t="s">
        <v>1200</v>
      </c>
      <c r="D135" s="131">
        <v>20240000427</v>
      </c>
      <c r="F135" s="726" t="s">
        <v>3081</v>
      </c>
      <c r="G135" s="131" t="s">
        <v>3082</v>
      </c>
      <c r="H135" s="726" t="s">
        <v>3083</v>
      </c>
      <c r="I135" s="131" t="s">
        <v>3084</v>
      </c>
      <c r="J135" s="131">
        <v>86.14</v>
      </c>
      <c r="K135" s="131">
        <v>86.14</v>
      </c>
      <c r="L135" s="131">
        <f>M135/K135</f>
        <v>5481.99442767588</v>
      </c>
      <c r="M135" s="158">
        <v>472219</v>
      </c>
      <c r="N135" s="158">
        <v>5372</v>
      </c>
      <c r="O135" s="188"/>
      <c r="P135" s="189"/>
      <c r="Q135" s="189"/>
      <c r="R135" s="158"/>
      <c r="S135" s="159"/>
      <c r="T135" s="727" t="s">
        <v>3085</v>
      </c>
      <c r="U135" s="159" t="s">
        <v>291</v>
      </c>
      <c r="V135" s="158">
        <v>2000</v>
      </c>
      <c r="W135" s="159" t="s">
        <v>229</v>
      </c>
      <c r="X135" s="158">
        <v>18000</v>
      </c>
      <c r="Y135" s="159" t="s">
        <v>426</v>
      </c>
      <c r="Z135" s="131">
        <f>55219+20000</f>
        <v>75219</v>
      </c>
      <c r="AA135" s="188" t="s">
        <v>1200</v>
      </c>
      <c r="AB135" s="158">
        <v>377000</v>
      </c>
      <c r="AC135" s="159" t="s">
        <v>3045</v>
      </c>
      <c r="AH135" s="158">
        <f t="shared" si="12"/>
        <v>472219</v>
      </c>
      <c r="AK135" s="189">
        <f t="shared" si="15"/>
        <v>0</v>
      </c>
      <c r="AL135" s="131">
        <v>15739844740</v>
      </c>
      <c r="AO135" s="131">
        <f t="shared" si="13"/>
        <v>472219</v>
      </c>
      <c r="AP135" s="161">
        <f>0.4%+0.03%+0.08%</f>
        <v>0.0051</v>
      </c>
      <c r="AQ135" s="192">
        <f t="shared" si="14"/>
        <v>0</v>
      </c>
      <c r="AR135" s="158"/>
      <c r="AS135" s="158"/>
      <c r="AT135" s="158"/>
      <c r="AU135" s="158"/>
      <c r="AV135" s="158"/>
      <c r="AW135" s="158"/>
      <c r="AX135" s="158"/>
      <c r="AY135" s="158"/>
      <c r="AZ135" s="158"/>
      <c r="BB135" s="158"/>
      <c r="BE135" s="131">
        <v>95219</v>
      </c>
      <c r="BG135" s="131">
        <v>377000</v>
      </c>
      <c r="BQ135" s="131" t="s">
        <v>205</v>
      </c>
      <c r="BR135" s="131" t="s">
        <v>206</v>
      </c>
    </row>
    <row r="136" s="131" customFormat="1" customHeight="1" spans="1:70">
      <c r="A136" s="175">
        <v>102</v>
      </c>
      <c r="C136" s="144" t="s">
        <v>283</v>
      </c>
      <c r="D136" s="131">
        <v>20240001117</v>
      </c>
      <c r="F136" s="726" t="s">
        <v>3086</v>
      </c>
      <c r="G136" s="144" t="s">
        <v>3087</v>
      </c>
      <c r="H136" s="726" t="s">
        <v>3088</v>
      </c>
      <c r="I136" s="131" t="s">
        <v>3089</v>
      </c>
      <c r="J136" s="131">
        <v>132.34</v>
      </c>
      <c r="K136" s="131">
        <v>132.34</v>
      </c>
      <c r="L136" s="131">
        <v>5440.5</v>
      </c>
      <c r="M136" s="158">
        <v>720000</v>
      </c>
      <c r="N136" s="158">
        <v>5352</v>
      </c>
      <c r="O136" s="188"/>
      <c r="P136" s="189"/>
      <c r="Q136" s="189"/>
      <c r="R136" s="158"/>
      <c r="S136" s="159"/>
      <c r="T136" s="144" t="s">
        <v>3090</v>
      </c>
      <c r="U136" s="213" t="s">
        <v>201</v>
      </c>
      <c r="V136" s="158">
        <f>2000-2000</f>
        <v>0</v>
      </c>
      <c r="W136" s="159" t="s">
        <v>3091</v>
      </c>
      <c r="X136" s="158">
        <v>20000</v>
      </c>
      <c r="Y136" s="159" t="s">
        <v>3092</v>
      </c>
      <c r="Z136" s="158">
        <v>94000</v>
      </c>
      <c r="AA136" s="159" t="s">
        <v>283</v>
      </c>
      <c r="AB136" s="158">
        <v>30000</v>
      </c>
      <c r="AC136" s="131" t="s">
        <v>3093</v>
      </c>
      <c r="AD136" s="158">
        <v>576000</v>
      </c>
      <c r="AE136" s="159" t="s">
        <v>222</v>
      </c>
      <c r="AH136" s="158">
        <f t="shared" si="12"/>
        <v>720000</v>
      </c>
      <c r="AK136" s="189">
        <f t="shared" si="15"/>
        <v>0</v>
      </c>
      <c r="AL136" s="131">
        <v>17386245330</v>
      </c>
      <c r="AO136" s="131">
        <f t="shared" si="13"/>
        <v>720000</v>
      </c>
      <c r="AP136" s="161">
        <f>0.5%+0.14%</f>
        <v>0.0064</v>
      </c>
      <c r="AQ136" s="192">
        <f t="shared" si="14"/>
        <v>0</v>
      </c>
      <c r="AR136" s="158"/>
      <c r="AS136" s="158"/>
      <c r="AT136" s="158"/>
      <c r="AU136" s="158"/>
      <c r="AV136" s="158"/>
      <c r="AW136" s="158"/>
      <c r="AX136" s="158"/>
      <c r="AY136" s="158"/>
      <c r="AZ136" s="158"/>
      <c r="BB136" s="158"/>
      <c r="BG136" s="131">
        <v>144000</v>
      </c>
      <c r="BH136" s="131">
        <v>576000</v>
      </c>
      <c r="BQ136" s="131" t="s">
        <v>205</v>
      </c>
      <c r="BR136" s="131" t="s">
        <v>206</v>
      </c>
    </row>
    <row r="137" s="131" customFormat="1" customHeight="1" spans="1:70">
      <c r="A137" s="175">
        <v>103</v>
      </c>
      <c r="C137" s="176">
        <v>45329</v>
      </c>
      <c r="D137" s="131">
        <v>20240000806</v>
      </c>
      <c r="F137" s="726" t="s">
        <v>3094</v>
      </c>
      <c r="G137" s="131" t="s">
        <v>3095</v>
      </c>
      <c r="H137" s="726" t="s">
        <v>3096</v>
      </c>
      <c r="I137" s="131" t="s">
        <v>3097</v>
      </c>
      <c r="J137" s="131">
        <v>115.78</v>
      </c>
      <c r="K137" s="131">
        <v>115.78</v>
      </c>
      <c r="L137" s="131">
        <v>5441.35</v>
      </c>
      <c r="M137" s="158">
        <v>630000</v>
      </c>
      <c r="N137" s="158">
        <v>5362</v>
      </c>
      <c r="O137" s="188"/>
      <c r="P137" s="189"/>
      <c r="Q137" s="189"/>
      <c r="R137" s="158"/>
      <c r="S137" s="159"/>
      <c r="T137" s="175"/>
      <c r="U137" s="159" t="s">
        <v>226</v>
      </c>
      <c r="V137" s="158">
        <v>10000</v>
      </c>
      <c r="W137" s="159" t="s">
        <v>3098</v>
      </c>
      <c r="X137" s="158">
        <v>200000</v>
      </c>
      <c r="Y137" s="198" t="s">
        <v>507</v>
      </c>
      <c r="Z137" s="131">
        <v>270000</v>
      </c>
      <c r="AA137" s="188" t="s">
        <v>252</v>
      </c>
      <c r="AB137" s="158">
        <v>150000</v>
      </c>
      <c r="AC137" s="131" t="s">
        <v>3027</v>
      </c>
      <c r="AH137" s="158">
        <f t="shared" si="12"/>
        <v>630000</v>
      </c>
      <c r="AK137" s="189">
        <f t="shared" si="15"/>
        <v>0</v>
      </c>
      <c r="AL137" s="131">
        <v>13999615045</v>
      </c>
      <c r="AO137" s="131">
        <f t="shared" si="13"/>
        <v>630000</v>
      </c>
      <c r="AP137" s="161">
        <f>0.7%+0.05%+0.14%</f>
        <v>0.0089</v>
      </c>
      <c r="AQ137" s="192">
        <f t="shared" si="14"/>
        <v>0</v>
      </c>
      <c r="AR137" s="158"/>
      <c r="AS137" s="158"/>
      <c r="AT137" s="158"/>
      <c r="AU137" s="158"/>
      <c r="AV137" s="158"/>
      <c r="AW137" s="158"/>
      <c r="AX137" s="158"/>
      <c r="AY137" s="158"/>
      <c r="AZ137" s="158"/>
      <c r="BB137" s="158"/>
      <c r="BG137" s="131">
        <v>630000</v>
      </c>
      <c r="BQ137" s="131" t="s">
        <v>205</v>
      </c>
      <c r="BR137" s="131" t="s">
        <v>206</v>
      </c>
    </row>
    <row r="138" s="89" customFormat="1" customHeight="1" spans="1:54">
      <c r="A138" s="167">
        <v>104</v>
      </c>
      <c r="C138" s="174"/>
      <c r="I138" s="89" t="s">
        <v>3099</v>
      </c>
      <c r="J138" s="89">
        <v>86.14</v>
      </c>
      <c r="M138" s="168"/>
      <c r="N138" s="168">
        <v>5392</v>
      </c>
      <c r="O138" s="170"/>
      <c r="P138" s="184"/>
      <c r="Q138" s="184"/>
      <c r="R138" s="168"/>
      <c r="S138" s="171"/>
      <c r="T138" s="167"/>
      <c r="U138" s="171"/>
      <c r="V138" s="168"/>
      <c r="X138" s="168"/>
      <c r="Y138" s="197"/>
      <c r="AA138" s="170"/>
      <c r="AB138" s="168"/>
      <c r="AH138" s="168">
        <f t="shared" si="12"/>
        <v>0</v>
      </c>
      <c r="AK138" s="184"/>
      <c r="AO138" s="89">
        <f t="shared" si="13"/>
        <v>0</v>
      </c>
      <c r="AP138" s="203"/>
      <c r="AQ138" s="204">
        <f t="shared" si="14"/>
        <v>0</v>
      </c>
      <c r="AR138" s="168"/>
      <c r="AS138" s="168"/>
      <c r="AT138" s="168"/>
      <c r="AU138" s="168"/>
      <c r="AV138" s="168"/>
      <c r="AW138" s="168"/>
      <c r="AX138" s="168"/>
      <c r="AY138" s="168"/>
      <c r="AZ138" s="168"/>
      <c r="BB138" s="168"/>
    </row>
    <row r="139" s="131" customFormat="1" customHeight="1" spans="1:73">
      <c r="A139" s="175">
        <v>105</v>
      </c>
      <c r="C139" s="144" t="s">
        <v>417</v>
      </c>
      <c r="D139" s="131">
        <v>20240001786</v>
      </c>
      <c r="F139" s="729" t="s">
        <v>3100</v>
      </c>
      <c r="G139" s="144" t="s">
        <v>3101</v>
      </c>
      <c r="H139" s="144"/>
      <c r="I139" s="131" t="s">
        <v>3102</v>
      </c>
      <c r="J139" s="131">
        <v>132.34</v>
      </c>
      <c r="K139" s="131">
        <v>132.34</v>
      </c>
      <c r="L139" s="131">
        <v>5440.53</v>
      </c>
      <c r="M139" s="158">
        <v>720000</v>
      </c>
      <c r="N139" s="158">
        <v>5377</v>
      </c>
      <c r="O139" s="188"/>
      <c r="P139" s="189"/>
      <c r="Q139" s="189"/>
      <c r="R139" s="158"/>
      <c r="S139" s="159"/>
      <c r="T139" s="175"/>
      <c r="U139" s="159" t="s">
        <v>411</v>
      </c>
      <c r="V139" s="158">
        <v>20000</v>
      </c>
      <c r="W139" s="198" t="s">
        <v>3103</v>
      </c>
      <c r="X139" s="158">
        <f>100000</f>
        <v>100000</v>
      </c>
      <c r="Y139" s="159" t="s">
        <v>417</v>
      </c>
      <c r="Z139" s="131">
        <v>24000</v>
      </c>
      <c r="AA139" s="188" t="s">
        <v>417</v>
      </c>
      <c r="AB139" s="158">
        <v>576000</v>
      </c>
      <c r="AC139" s="131" t="s">
        <v>364</v>
      </c>
      <c r="AH139" s="158">
        <f t="shared" si="12"/>
        <v>720000</v>
      </c>
      <c r="AK139" s="189">
        <f t="shared" ref="AK139:AK144" si="16">M139-AH139</f>
        <v>0</v>
      </c>
      <c r="AO139" s="131">
        <f t="shared" si="13"/>
        <v>720000</v>
      </c>
      <c r="AP139" s="161">
        <f>0.5%+0.14%</f>
        <v>0.0064</v>
      </c>
      <c r="AQ139" s="192">
        <f t="shared" si="14"/>
        <v>0</v>
      </c>
      <c r="AR139" s="158"/>
      <c r="AS139" s="158"/>
      <c r="AT139" s="158"/>
      <c r="AU139" s="158"/>
      <c r="AV139" s="158"/>
      <c r="AW139" s="158"/>
      <c r="AX139" s="158"/>
      <c r="AY139" s="158"/>
      <c r="AZ139" s="158"/>
      <c r="BB139" s="158"/>
      <c r="BH139" s="131">
        <v>720000</v>
      </c>
      <c r="BQ139" s="131" t="s">
        <v>205</v>
      </c>
      <c r="BR139" s="131" t="s">
        <v>206</v>
      </c>
      <c r="BU139" s="131">
        <f>BS139-BT139</f>
        <v>0</v>
      </c>
    </row>
    <row r="140" s="131" customFormat="1" customHeight="1" spans="1:70">
      <c r="A140" s="175">
        <v>106</v>
      </c>
      <c r="C140" s="131" t="s">
        <v>3103</v>
      </c>
      <c r="D140" s="215" t="s">
        <v>3104</v>
      </c>
      <c r="F140" s="216" t="s">
        <v>3105</v>
      </c>
      <c r="G140" s="175" t="s">
        <v>3106</v>
      </c>
      <c r="H140" s="727" t="s">
        <v>3107</v>
      </c>
      <c r="I140" s="131" t="s">
        <v>3108</v>
      </c>
      <c r="J140" s="131">
        <v>115.78</v>
      </c>
      <c r="K140" s="131">
        <v>115.78</v>
      </c>
      <c r="L140" s="189">
        <f>M140/K140</f>
        <v>5449.99136292969</v>
      </c>
      <c r="M140" s="158">
        <v>631000</v>
      </c>
      <c r="N140" s="158">
        <v>5372</v>
      </c>
      <c r="O140" s="188"/>
      <c r="P140" s="189"/>
      <c r="Q140" s="189"/>
      <c r="R140" s="158"/>
      <c r="S140" s="159"/>
      <c r="T140" s="159"/>
      <c r="U140" s="159" t="s">
        <v>211</v>
      </c>
      <c r="V140" s="158">
        <v>20000</v>
      </c>
      <c r="W140" s="159" t="s">
        <v>3075</v>
      </c>
      <c r="X140" s="158">
        <v>181000</v>
      </c>
      <c r="Y140" s="198" t="s">
        <v>3103</v>
      </c>
      <c r="Z140" s="158">
        <v>100000</v>
      </c>
      <c r="AA140" s="159" t="s">
        <v>286</v>
      </c>
      <c r="AB140" s="158">
        <v>330000</v>
      </c>
      <c r="AC140" s="131" t="s">
        <v>398</v>
      </c>
      <c r="AH140" s="158">
        <f t="shared" si="12"/>
        <v>631000</v>
      </c>
      <c r="AK140" s="189">
        <f t="shared" si="16"/>
        <v>0</v>
      </c>
      <c r="AL140" s="216" t="s">
        <v>3109</v>
      </c>
      <c r="AO140" s="131">
        <f t="shared" si="13"/>
        <v>631000</v>
      </c>
      <c r="AP140" s="161">
        <f>0.6%+0.05%+0.14%</f>
        <v>0.0079</v>
      </c>
      <c r="AQ140" s="192">
        <f t="shared" si="14"/>
        <v>0</v>
      </c>
      <c r="AR140" s="158"/>
      <c r="AS140" s="158"/>
      <c r="AT140" s="158"/>
      <c r="AU140" s="158"/>
      <c r="AV140" s="158"/>
      <c r="AW140" s="158"/>
      <c r="AX140" s="158"/>
      <c r="AY140" s="158"/>
      <c r="AZ140" s="158"/>
      <c r="BB140" s="158"/>
      <c r="BG140" s="131">
        <v>631000</v>
      </c>
      <c r="BQ140" s="131" t="s">
        <v>205</v>
      </c>
      <c r="BR140" s="131" t="s">
        <v>206</v>
      </c>
    </row>
    <row r="141" s="89" customFormat="1" customHeight="1" spans="1:54">
      <c r="A141" s="167">
        <v>107</v>
      </c>
      <c r="C141" s="174"/>
      <c r="E141" s="89" t="s">
        <v>3110</v>
      </c>
      <c r="I141" s="89" t="s">
        <v>3111</v>
      </c>
      <c r="J141" s="89">
        <v>86.14</v>
      </c>
      <c r="M141" s="168"/>
      <c r="N141" s="168">
        <v>5402</v>
      </c>
      <c r="O141" s="170"/>
      <c r="P141" s="184"/>
      <c r="Q141" s="184"/>
      <c r="R141" s="168"/>
      <c r="S141" s="171"/>
      <c r="T141" s="167"/>
      <c r="U141" s="171"/>
      <c r="V141" s="168"/>
      <c r="X141" s="168"/>
      <c r="Y141" s="197"/>
      <c r="AA141" s="170"/>
      <c r="AB141" s="168"/>
      <c r="AH141" s="168">
        <f t="shared" si="12"/>
        <v>0</v>
      </c>
      <c r="AK141" s="184"/>
      <c r="AO141" s="89">
        <f t="shared" si="13"/>
        <v>0</v>
      </c>
      <c r="AP141" s="203"/>
      <c r="AQ141" s="204">
        <f t="shared" si="14"/>
        <v>0</v>
      </c>
      <c r="AR141" s="168"/>
      <c r="AS141" s="168"/>
      <c r="AT141" s="168"/>
      <c r="AU141" s="168"/>
      <c r="AV141" s="168"/>
      <c r="AW141" s="168"/>
      <c r="AX141" s="168"/>
      <c r="AY141" s="168"/>
      <c r="AZ141" s="168"/>
      <c r="BB141" s="168"/>
    </row>
    <row r="142" s="89" customFormat="1" customHeight="1" spans="1:54">
      <c r="A142" s="167">
        <v>108</v>
      </c>
      <c r="C142" s="174"/>
      <c r="I142" s="89" t="s">
        <v>3112</v>
      </c>
      <c r="J142" s="89">
        <v>132.34</v>
      </c>
      <c r="M142" s="168"/>
      <c r="N142" s="168">
        <v>5397</v>
      </c>
      <c r="O142" s="170"/>
      <c r="P142" s="184"/>
      <c r="Q142" s="184"/>
      <c r="R142" s="168"/>
      <c r="S142" s="171"/>
      <c r="T142" s="167"/>
      <c r="U142" s="171"/>
      <c r="V142" s="168"/>
      <c r="X142" s="168"/>
      <c r="Y142" s="197"/>
      <c r="AA142" s="170"/>
      <c r="AB142" s="168"/>
      <c r="AH142" s="168">
        <f t="shared" si="12"/>
        <v>0</v>
      </c>
      <c r="AK142" s="184"/>
      <c r="AO142" s="89">
        <f t="shared" si="13"/>
        <v>0</v>
      </c>
      <c r="AP142" s="203"/>
      <c r="AQ142" s="204">
        <f t="shared" si="14"/>
        <v>0</v>
      </c>
      <c r="AR142" s="168"/>
      <c r="AS142" s="168"/>
      <c r="AT142" s="168"/>
      <c r="AU142" s="168"/>
      <c r="AV142" s="168"/>
      <c r="AW142" s="168"/>
      <c r="AX142" s="168"/>
      <c r="AY142" s="168"/>
      <c r="AZ142" s="168"/>
      <c r="BB142" s="168"/>
    </row>
    <row r="143" s="131" customFormat="1" customHeight="1" spans="1:70">
      <c r="A143" s="175">
        <v>109</v>
      </c>
      <c r="C143" s="144" t="s">
        <v>2926</v>
      </c>
      <c r="D143" s="131">
        <v>20240001718</v>
      </c>
      <c r="F143" s="726" t="s">
        <v>3113</v>
      </c>
      <c r="G143" s="131" t="s">
        <v>3114</v>
      </c>
      <c r="I143" s="131" t="s">
        <v>3115</v>
      </c>
      <c r="J143" s="131">
        <v>115.78</v>
      </c>
      <c r="K143" s="131">
        <v>115.78</v>
      </c>
      <c r="L143" s="131">
        <v>5354.98</v>
      </c>
      <c r="M143" s="158">
        <v>620000</v>
      </c>
      <c r="N143" s="158">
        <v>5354.98</v>
      </c>
      <c r="O143" s="188"/>
      <c r="P143" s="189"/>
      <c r="Q143" s="189"/>
      <c r="R143" s="158"/>
      <c r="S143" s="159"/>
      <c r="T143" s="175"/>
      <c r="U143" s="159" t="s">
        <v>211</v>
      </c>
      <c r="V143" s="158">
        <v>124000</v>
      </c>
      <c r="W143" s="159" t="s">
        <v>2926</v>
      </c>
      <c r="X143" s="158">
        <v>496000</v>
      </c>
      <c r="Y143" s="159" t="s">
        <v>364</v>
      </c>
      <c r="AA143" s="188"/>
      <c r="AB143" s="158"/>
      <c r="AH143" s="158">
        <f t="shared" si="12"/>
        <v>620000</v>
      </c>
      <c r="AK143" s="189">
        <f t="shared" si="16"/>
        <v>0</v>
      </c>
      <c r="AL143" s="131">
        <v>18690237014</v>
      </c>
      <c r="AO143" s="131">
        <f t="shared" si="13"/>
        <v>620000</v>
      </c>
      <c r="AP143" s="161">
        <f>0.7%+0.05%+0.12%</f>
        <v>0.0087</v>
      </c>
      <c r="AQ143" s="192">
        <f t="shared" si="14"/>
        <v>0</v>
      </c>
      <c r="AR143" s="158"/>
      <c r="AS143" s="158"/>
      <c r="AT143" s="158"/>
      <c r="AU143" s="158"/>
      <c r="AV143" s="158"/>
      <c r="AW143" s="158"/>
      <c r="AX143" s="158"/>
      <c r="AY143" s="158"/>
      <c r="AZ143" s="158"/>
      <c r="BB143" s="158"/>
      <c r="BG143" s="131">
        <v>124000</v>
      </c>
      <c r="BH143" s="131">
        <v>496000</v>
      </c>
      <c r="BQ143" s="131" t="s">
        <v>205</v>
      </c>
      <c r="BR143" s="131" t="s">
        <v>206</v>
      </c>
    </row>
    <row r="144" s="131" customFormat="1" customHeight="1" spans="1:54">
      <c r="A144" s="175">
        <v>110</v>
      </c>
      <c r="C144" s="144"/>
      <c r="E144" s="131" t="s">
        <v>3116</v>
      </c>
      <c r="G144" s="131" t="s">
        <v>3117</v>
      </c>
      <c r="I144" s="131" t="s">
        <v>3118</v>
      </c>
      <c r="J144" s="131">
        <v>86.14</v>
      </c>
      <c r="K144" s="131">
        <v>86.14</v>
      </c>
      <c r="M144" s="158">
        <v>495946</v>
      </c>
      <c r="N144" s="158">
        <v>5412</v>
      </c>
      <c r="O144" s="188"/>
      <c r="P144" s="189"/>
      <c r="Q144" s="189"/>
      <c r="R144" s="158">
        <v>495946</v>
      </c>
      <c r="S144" s="159" t="s">
        <v>439</v>
      </c>
      <c r="T144" s="175"/>
      <c r="U144" s="159"/>
      <c r="V144" s="158">
        <v>495946</v>
      </c>
      <c r="W144" s="159" t="s">
        <v>439</v>
      </c>
      <c r="X144" s="158"/>
      <c r="Y144" s="198"/>
      <c r="AA144" s="188"/>
      <c r="AB144" s="158"/>
      <c r="AH144" s="158">
        <f t="shared" si="12"/>
        <v>495946</v>
      </c>
      <c r="AK144" s="189">
        <f t="shared" si="16"/>
        <v>0</v>
      </c>
      <c r="AO144" s="131">
        <f t="shared" si="13"/>
        <v>0</v>
      </c>
      <c r="AP144" s="161"/>
      <c r="AQ144" s="192">
        <f t="shared" si="14"/>
        <v>0</v>
      </c>
      <c r="AR144" s="158"/>
      <c r="AS144" s="158"/>
      <c r="AT144" s="158"/>
      <c r="AU144" s="158"/>
      <c r="AV144" s="158"/>
      <c r="AW144" s="158"/>
      <c r="AX144" s="158"/>
      <c r="AY144" s="158"/>
      <c r="AZ144" s="158"/>
      <c r="BB144" s="158"/>
    </row>
    <row r="145" s="131" customFormat="1" ht="48" customHeight="1" spans="1:70">
      <c r="A145" s="175">
        <v>111</v>
      </c>
      <c r="C145" s="176">
        <v>45455</v>
      </c>
      <c r="D145" s="131">
        <v>20240003437</v>
      </c>
      <c r="F145" s="726" t="s">
        <v>3119</v>
      </c>
      <c r="G145" s="144" t="s">
        <v>3120</v>
      </c>
      <c r="H145" s="726" t="s">
        <v>3121</v>
      </c>
      <c r="I145" s="131" t="s">
        <v>3122</v>
      </c>
      <c r="J145" s="131">
        <v>132.34</v>
      </c>
      <c r="K145" s="131">
        <v>132.34</v>
      </c>
      <c r="L145" s="131">
        <v>5138.28</v>
      </c>
      <c r="M145" s="158">
        <v>680000</v>
      </c>
      <c r="N145" s="158">
        <v>5138.28</v>
      </c>
      <c r="O145" s="188"/>
      <c r="P145" s="189"/>
      <c r="Q145" s="189"/>
      <c r="R145" s="158"/>
      <c r="S145" s="159"/>
      <c r="T145" s="175"/>
      <c r="U145" s="159" t="s">
        <v>226</v>
      </c>
      <c r="V145" s="158">
        <f>7000-7000</f>
        <v>0</v>
      </c>
      <c r="W145" s="159" t="s">
        <v>679</v>
      </c>
      <c r="X145" s="158">
        <v>20000</v>
      </c>
      <c r="Y145" s="159" t="s">
        <v>2932</v>
      </c>
      <c r="Z145" s="131">
        <v>280000</v>
      </c>
      <c r="AA145" s="188" t="s">
        <v>2927</v>
      </c>
      <c r="AB145" s="158">
        <v>380000</v>
      </c>
      <c r="AC145" s="131" t="s">
        <v>693</v>
      </c>
      <c r="AH145" s="158">
        <f t="shared" si="12"/>
        <v>680000</v>
      </c>
      <c r="AK145" s="189">
        <f t="shared" ref="AK145:AK148" si="17">M145-AH145</f>
        <v>0</v>
      </c>
      <c r="AL145" s="131">
        <v>13993510131</v>
      </c>
      <c r="AM145" s="131" t="s">
        <v>3007</v>
      </c>
      <c r="AO145" s="131">
        <f t="shared" si="13"/>
        <v>680000</v>
      </c>
      <c r="AP145" s="161">
        <f>0.7%+0.08%</f>
        <v>0.0078</v>
      </c>
      <c r="AQ145" s="192">
        <f t="shared" si="14"/>
        <v>0</v>
      </c>
      <c r="AR145" s="158"/>
      <c r="AS145" s="158"/>
      <c r="AT145" s="158"/>
      <c r="AU145" s="158"/>
      <c r="AV145" s="158"/>
      <c r="AW145" s="158"/>
      <c r="AX145" s="158"/>
      <c r="AY145" s="158"/>
      <c r="AZ145" s="158"/>
      <c r="BB145" s="158"/>
      <c r="BJ145" s="131">
        <v>680000</v>
      </c>
      <c r="BQ145" s="131" t="s">
        <v>205</v>
      </c>
      <c r="BR145" s="131" t="s">
        <v>206</v>
      </c>
    </row>
    <row r="146" s="131" customFormat="1" customHeight="1" spans="1:70">
      <c r="A146" s="175">
        <v>112</v>
      </c>
      <c r="C146" s="176">
        <v>45381</v>
      </c>
      <c r="D146" s="131">
        <v>20240001761</v>
      </c>
      <c r="F146" s="726" t="s">
        <v>3123</v>
      </c>
      <c r="G146" s="131" t="s">
        <v>3124</v>
      </c>
      <c r="H146" s="726" t="s">
        <v>3125</v>
      </c>
      <c r="I146" s="131" t="s">
        <v>3126</v>
      </c>
      <c r="J146" s="131">
        <v>115.78</v>
      </c>
      <c r="K146" s="131">
        <v>115.78</v>
      </c>
      <c r="L146" s="131">
        <v>5009.5</v>
      </c>
      <c r="M146" s="158">
        <v>580000</v>
      </c>
      <c r="N146" s="158">
        <v>4978</v>
      </c>
      <c r="O146" s="188"/>
      <c r="P146" s="189"/>
      <c r="Q146" s="189"/>
      <c r="R146" s="158"/>
      <c r="S146" s="159"/>
      <c r="T146" s="175"/>
      <c r="U146" s="159" t="s">
        <v>408</v>
      </c>
      <c r="V146" s="158">
        <v>20000</v>
      </c>
      <c r="W146" s="159" t="s">
        <v>3093</v>
      </c>
      <c r="X146" s="158">
        <v>380000</v>
      </c>
      <c r="Y146" s="198" t="s">
        <v>227</v>
      </c>
      <c r="Z146" s="158">
        <v>150000</v>
      </c>
      <c r="AA146" s="159" t="s">
        <v>202</v>
      </c>
      <c r="AB146" s="158">
        <v>30000</v>
      </c>
      <c r="AC146" s="131" t="s">
        <v>2944</v>
      </c>
      <c r="AH146" s="158">
        <f t="shared" si="12"/>
        <v>580000</v>
      </c>
      <c r="AK146" s="189">
        <f t="shared" si="17"/>
        <v>0</v>
      </c>
      <c r="AL146" s="131">
        <v>18609965679</v>
      </c>
      <c r="AO146" s="131">
        <f t="shared" si="13"/>
        <v>580000</v>
      </c>
      <c r="AP146" s="161">
        <f>0.4%+0.03%+0.12%</f>
        <v>0.0055</v>
      </c>
      <c r="AQ146" s="192">
        <f t="shared" si="14"/>
        <v>0</v>
      </c>
      <c r="AR146" s="158"/>
      <c r="AS146" s="158"/>
      <c r="AT146" s="158"/>
      <c r="AU146" s="158"/>
      <c r="AV146" s="158"/>
      <c r="AW146" s="158"/>
      <c r="AX146" s="158"/>
      <c r="AY146" s="158"/>
      <c r="AZ146" s="158"/>
      <c r="BB146" s="158"/>
      <c r="BH146" s="131">
        <v>580000</v>
      </c>
      <c r="BQ146" s="131" t="s">
        <v>205</v>
      </c>
      <c r="BR146" s="131" t="s">
        <v>206</v>
      </c>
    </row>
    <row r="147" s="89" customFormat="1" customHeight="1" spans="1:54">
      <c r="A147" s="167">
        <v>113</v>
      </c>
      <c r="C147" s="174"/>
      <c r="E147" s="89" t="s">
        <v>3127</v>
      </c>
      <c r="I147" s="89" t="s">
        <v>3128</v>
      </c>
      <c r="J147" s="89">
        <v>86.14</v>
      </c>
      <c r="M147" s="168"/>
      <c r="N147" s="168">
        <v>5008</v>
      </c>
      <c r="O147" s="170"/>
      <c r="P147" s="184"/>
      <c r="Q147" s="184"/>
      <c r="R147" s="168"/>
      <c r="S147" s="171"/>
      <c r="T147" s="167"/>
      <c r="U147" s="171"/>
      <c r="V147" s="168"/>
      <c r="X147" s="168"/>
      <c r="Y147" s="197"/>
      <c r="AA147" s="170"/>
      <c r="AB147" s="168"/>
      <c r="AH147" s="168">
        <f t="shared" si="12"/>
        <v>0</v>
      </c>
      <c r="AK147" s="184"/>
      <c r="AO147" s="89">
        <f t="shared" si="13"/>
        <v>0</v>
      </c>
      <c r="AP147" s="203"/>
      <c r="AQ147" s="204">
        <f t="shared" si="14"/>
        <v>0</v>
      </c>
      <c r="AR147" s="168"/>
      <c r="AS147" s="168"/>
      <c r="AT147" s="168"/>
      <c r="AU147" s="168"/>
      <c r="AV147" s="168"/>
      <c r="AW147" s="168"/>
      <c r="AX147" s="168"/>
      <c r="AY147" s="168"/>
      <c r="AZ147" s="168"/>
      <c r="BB147" s="168"/>
    </row>
    <row r="148" s="131" customFormat="1" customHeight="1" spans="1:70">
      <c r="A148" s="175">
        <v>114</v>
      </c>
      <c r="C148" s="176">
        <v>45414</v>
      </c>
      <c r="D148" s="131">
        <v>20240002494</v>
      </c>
      <c r="F148" s="726" t="s">
        <v>3129</v>
      </c>
      <c r="G148" s="131" t="s">
        <v>3130</v>
      </c>
      <c r="H148" s="726" t="s">
        <v>3131</v>
      </c>
      <c r="I148" s="131" t="s">
        <v>3132</v>
      </c>
      <c r="J148" s="131">
        <v>132.34</v>
      </c>
      <c r="K148" s="131">
        <v>132.34</v>
      </c>
      <c r="L148" s="131">
        <v>5088</v>
      </c>
      <c r="M148" s="158">
        <v>673348</v>
      </c>
      <c r="N148" s="158">
        <v>4988</v>
      </c>
      <c r="O148" s="188"/>
      <c r="P148" s="189"/>
      <c r="Q148" s="189"/>
      <c r="R148" s="158"/>
      <c r="S148" s="159"/>
      <c r="T148" s="175"/>
      <c r="U148" s="159" t="s">
        <v>422</v>
      </c>
      <c r="V148" s="158">
        <v>20000</v>
      </c>
      <c r="W148" s="159" t="s">
        <v>364</v>
      </c>
      <c r="X148" s="158">
        <v>115348</v>
      </c>
      <c r="Y148" s="159" t="s">
        <v>2990</v>
      </c>
      <c r="Z148" s="158">
        <v>538000</v>
      </c>
      <c r="AA148" s="159" t="s">
        <v>3133</v>
      </c>
      <c r="AB148" s="158"/>
      <c r="AH148" s="158">
        <f t="shared" si="12"/>
        <v>673348</v>
      </c>
      <c r="AK148" s="189">
        <f t="shared" si="17"/>
        <v>0</v>
      </c>
      <c r="AL148" s="131">
        <v>19609961341</v>
      </c>
      <c r="AO148" s="131">
        <f t="shared" si="13"/>
        <v>673348</v>
      </c>
      <c r="AP148" s="161">
        <f>0.7%+0.05%+0.12%</f>
        <v>0.0087</v>
      </c>
      <c r="AQ148" s="192">
        <f t="shared" si="14"/>
        <v>0</v>
      </c>
      <c r="AR148" s="158"/>
      <c r="AS148" s="158"/>
      <c r="AT148" s="158"/>
      <c r="AU148" s="158"/>
      <c r="AV148" s="158"/>
      <c r="AW148" s="158"/>
      <c r="AX148" s="158"/>
      <c r="AY148" s="158"/>
      <c r="AZ148" s="158"/>
      <c r="BB148" s="158"/>
      <c r="BI148" s="131">
        <v>135348</v>
      </c>
      <c r="BJ148" s="131">
        <v>538000</v>
      </c>
      <c r="BQ148" s="131" t="s">
        <v>205</v>
      </c>
      <c r="BR148" s="131" t="s">
        <v>206</v>
      </c>
    </row>
    <row r="149" s="89" customFormat="1" customHeight="1" spans="1:54">
      <c r="A149" s="167">
        <v>115</v>
      </c>
      <c r="C149" s="174"/>
      <c r="H149" s="89" t="s">
        <v>3134</v>
      </c>
      <c r="I149" s="89" t="s">
        <v>3135</v>
      </c>
      <c r="J149" s="89">
        <v>157.69</v>
      </c>
      <c r="M149" s="168"/>
      <c r="N149" s="168"/>
      <c r="O149" s="170"/>
      <c r="P149" s="184"/>
      <c r="Q149" s="184"/>
      <c r="R149" s="168"/>
      <c r="S149" s="171"/>
      <c r="T149" s="167"/>
      <c r="U149" s="171"/>
      <c r="V149" s="168"/>
      <c r="X149" s="168"/>
      <c r="Y149" s="197"/>
      <c r="AA149" s="170"/>
      <c r="AB149" s="168"/>
      <c r="AH149" s="168">
        <f t="shared" si="12"/>
        <v>0</v>
      </c>
      <c r="AK149" s="184"/>
      <c r="AO149" s="89">
        <f t="shared" si="13"/>
        <v>0</v>
      </c>
      <c r="AP149" s="203"/>
      <c r="AQ149" s="204">
        <f t="shared" si="14"/>
        <v>0</v>
      </c>
      <c r="AR149" s="168"/>
      <c r="AS149" s="168"/>
      <c r="AT149" s="168"/>
      <c r="AU149" s="168"/>
      <c r="AV149" s="168"/>
      <c r="AW149" s="168"/>
      <c r="AX149" s="168"/>
      <c r="AY149" s="168"/>
      <c r="AZ149" s="168"/>
      <c r="BB149" s="168"/>
    </row>
    <row r="150" s="89" customFormat="1" customHeight="1" spans="1:54">
      <c r="A150" s="167">
        <v>116</v>
      </c>
      <c r="C150" s="174"/>
      <c r="I150" s="89" t="s">
        <v>3136</v>
      </c>
      <c r="J150" s="89">
        <v>0</v>
      </c>
      <c r="M150" s="168"/>
      <c r="N150" s="168"/>
      <c r="O150" s="170"/>
      <c r="P150" s="184"/>
      <c r="Q150" s="184"/>
      <c r="R150" s="168"/>
      <c r="S150" s="171"/>
      <c r="T150" s="167"/>
      <c r="U150" s="171"/>
      <c r="V150" s="168"/>
      <c r="X150" s="168"/>
      <c r="Y150" s="197"/>
      <c r="AA150" s="170"/>
      <c r="AB150" s="168"/>
      <c r="AH150" s="168">
        <f t="shared" si="12"/>
        <v>0</v>
      </c>
      <c r="AK150" s="184"/>
      <c r="AO150" s="89">
        <f t="shared" si="13"/>
        <v>0</v>
      </c>
      <c r="AP150" s="203"/>
      <c r="AQ150" s="204">
        <f t="shared" si="14"/>
        <v>0</v>
      </c>
      <c r="AR150" s="168"/>
      <c r="AS150" s="168"/>
      <c r="AT150" s="168"/>
      <c r="AU150" s="168"/>
      <c r="AV150" s="168"/>
      <c r="AW150" s="168"/>
      <c r="AX150" s="168"/>
      <c r="AY150" s="168"/>
      <c r="AZ150" s="168"/>
      <c r="BB150" s="168"/>
    </row>
    <row r="151" s="131" customFormat="1" customHeight="1" spans="1:54">
      <c r="A151" s="175">
        <v>117</v>
      </c>
      <c r="C151" s="144"/>
      <c r="G151" s="131" t="s">
        <v>3137</v>
      </c>
      <c r="H151" s="726" t="s">
        <v>3138</v>
      </c>
      <c r="I151" s="131" t="s">
        <v>3139</v>
      </c>
      <c r="J151" s="131">
        <v>146.29</v>
      </c>
      <c r="K151" s="131">
        <v>146.29</v>
      </c>
      <c r="L151" s="131">
        <v>5058.445</v>
      </c>
      <c r="M151" s="158">
        <v>740000</v>
      </c>
      <c r="N151" s="158">
        <v>5018</v>
      </c>
      <c r="O151" s="188"/>
      <c r="P151" s="189"/>
      <c r="Q151" s="189"/>
      <c r="R151" s="158"/>
      <c r="S151" s="159"/>
      <c r="T151" s="175"/>
      <c r="U151" s="159" t="s">
        <v>211</v>
      </c>
      <c r="V151" s="158">
        <v>10000</v>
      </c>
      <c r="W151" s="159" t="s">
        <v>3140</v>
      </c>
      <c r="X151" s="158">
        <v>60000</v>
      </c>
      <c r="Y151" s="159" t="s">
        <v>3141</v>
      </c>
      <c r="AA151" s="188"/>
      <c r="AB151" s="158"/>
      <c r="AH151" s="158">
        <f t="shared" si="12"/>
        <v>70000</v>
      </c>
      <c r="AK151" s="189">
        <f>M151-AH151</f>
        <v>670000</v>
      </c>
      <c r="AL151" s="131">
        <v>13779339862</v>
      </c>
      <c r="AO151" s="131">
        <f t="shared" si="13"/>
        <v>0</v>
      </c>
      <c r="AP151" s="161">
        <f>0.7%+0.05%+0.12%</f>
        <v>0.0087</v>
      </c>
      <c r="AQ151" s="192">
        <f t="shared" si="14"/>
        <v>0</v>
      </c>
      <c r="AR151" s="158"/>
      <c r="AS151" s="158"/>
      <c r="AT151" s="158"/>
      <c r="AU151" s="158"/>
      <c r="AV151" s="158"/>
      <c r="AW151" s="158"/>
      <c r="AX151" s="158"/>
      <c r="AY151" s="158"/>
      <c r="AZ151" s="158"/>
      <c r="BB151" s="158"/>
    </row>
    <row r="152" s="131" customFormat="1" customHeight="1" spans="1:69">
      <c r="A152" s="175">
        <v>118</v>
      </c>
      <c r="C152" s="176">
        <v>45532</v>
      </c>
      <c r="D152" s="131">
        <v>20240004924</v>
      </c>
      <c r="F152" s="726" t="s">
        <v>3142</v>
      </c>
      <c r="G152" s="131" t="s">
        <v>3143</v>
      </c>
      <c r="H152" s="726" t="s">
        <v>3144</v>
      </c>
      <c r="I152" s="131" t="s">
        <v>3145</v>
      </c>
      <c r="J152" s="131">
        <v>153.46</v>
      </c>
      <c r="K152" s="131">
        <v>153.46</v>
      </c>
      <c r="L152" s="131">
        <v>4887.27</v>
      </c>
      <c r="M152" s="158">
        <v>750000</v>
      </c>
      <c r="N152" s="158">
        <v>4945</v>
      </c>
      <c r="O152" s="188" t="s">
        <v>195</v>
      </c>
      <c r="P152" s="189"/>
      <c r="Q152" s="189"/>
      <c r="R152" s="158"/>
      <c r="S152" s="159"/>
      <c r="T152" s="175"/>
      <c r="U152" s="159" t="s">
        <v>291</v>
      </c>
      <c r="V152" s="158">
        <v>20000</v>
      </c>
      <c r="W152" s="159" t="s">
        <v>525</v>
      </c>
      <c r="X152" s="158">
        <v>130000</v>
      </c>
      <c r="Y152" s="198" t="s">
        <v>823</v>
      </c>
      <c r="Z152" s="158">
        <v>600000</v>
      </c>
      <c r="AA152" s="159" t="s">
        <v>3146</v>
      </c>
      <c r="AB152" s="158"/>
      <c r="AH152" s="158">
        <f t="shared" si="12"/>
        <v>750000</v>
      </c>
      <c r="AK152" s="189">
        <f>M152-AH152</f>
        <v>0</v>
      </c>
      <c r="AL152" s="131">
        <v>19109969555</v>
      </c>
      <c r="AO152" s="131">
        <f t="shared" si="13"/>
        <v>150000</v>
      </c>
      <c r="AP152" s="161">
        <f>0.4%+0.02%+0.08%</f>
        <v>0.005</v>
      </c>
      <c r="AQ152" s="192">
        <f t="shared" si="14"/>
        <v>0</v>
      </c>
      <c r="AR152" s="158"/>
      <c r="AS152" s="158"/>
      <c r="AT152" s="158"/>
      <c r="AU152" s="158"/>
      <c r="AV152" s="158"/>
      <c r="AW152" s="158"/>
      <c r="AX152" s="158"/>
      <c r="AY152" s="158"/>
      <c r="AZ152" s="158"/>
      <c r="BB152" s="158"/>
      <c r="BL152" s="131">
        <v>150000</v>
      </c>
      <c r="BQ152" s="131" t="s">
        <v>205</v>
      </c>
    </row>
    <row r="153" s="131" customFormat="1" customHeight="1" spans="1:54">
      <c r="A153" s="175">
        <v>119</v>
      </c>
      <c r="C153" s="144"/>
      <c r="E153" s="131" t="s">
        <v>3147</v>
      </c>
      <c r="G153" s="131" t="s">
        <v>3148</v>
      </c>
      <c r="I153" s="131" t="s">
        <v>3149</v>
      </c>
      <c r="J153" s="131">
        <v>86.14</v>
      </c>
      <c r="K153" s="131">
        <v>86.14</v>
      </c>
      <c r="L153" s="131">
        <f>M153/K153</f>
        <v>5281.91316461574</v>
      </c>
      <c r="M153" s="158">
        <v>454984</v>
      </c>
      <c r="N153" s="158">
        <v>4965</v>
      </c>
      <c r="O153" s="188"/>
      <c r="P153" s="189"/>
      <c r="Q153" s="189"/>
      <c r="R153" s="158"/>
      <c r="S153" s="159"/>
      <c r="T153" s="175"/>
      <c r="U153" s="159"/>
      <c r="V153" s="158">
        <v>200000</v>
      </c>
      <c r="W153" s="159" t="s">
        <v>366</v>
      </c>
      <c r="X153" s="158">
        <v>37000</v>
      </c>
      <c r="Y153" s="198" t="s">
        <v>499</v>
      </c>
      <c r="Z153" s="158">
        <v>63000</v>
      </c>
      <c r="AA153" s="159" t="s">
        <v>3150</v>
      </c>
      <c r="AB153" s="158"/>
      <c r="AH153" s="158">
        <f t="shared" si="12"/>
        <v>300000</v>
      </c>
      <c r="AK153" s="189">
        <f>M153-AH153</f>
        <v>154984</v>
      </c>
      <c r="AO153" s="131">
        <f t="shared" si="13"/>
        <v>0</v>
      </c>
      <c r="AP153" s="161"/>
      <c r="AQ153" s="192">
        <f t="shared" si="14"/>
        <v>0</v>
      </c>
      <c r="AR153" s="158"/>
      <c r="AS153" s="158"/>
      <c r="AT153" s="158"/>
      <c r="AU153" s="158"/>
      <c r="AV153" s="158"/>
      <c r="AW153" s="158"/>
      <c r="AX153" s="158"/>
      <c r="AY153" s="158"/>
      <c r="AZ153" s="158"/>
      <c r="BB153" s="158"/>
    </row>
    <row r="154" s="131" customFormat="1" customHeight="1" spans="1:70">
      <c r="A154" s="175">
        <v>120</v>
      </c>
      <c r="C154" s="176">
        <v>45419</v>
      </c>
      <c r="D154" s="131">
        <v>20240002660</v>
      </c>
      <c r="F154" s="726" t="s">
        <v>3151</v>
      </c>
      <c r="G154" s="131" t="s">
        <v>3152</v>
      </c>
      <c r="H154" s="726" t="s">
        <v>3153</v>
      </c>
      <c r="I154" s="131" t="s">
        <v>3154</v>
      </c>
      <c r="J154" s="131">
        <v>146.29</v>
      </c>
      <c r="K154" s="131">
        <v>146.29</v>
      </c>
      <c r="L154" s="131">
        <v>5092</v>
      </c>
      <c r="M154" s="158">
        <v>745000</v>
      </c>
      <c r="N154" s="158">
        <v>4955</v>
      </c>
      <c r="O154" s="188"/>
      <c r="P154" s="189"/>
      <c r="Q154" s="189"/>
      <c r="R154" s="158"/>
      <c r="S154" s="159"/>
      <c r="T154" s="175"/>
      <c r="U154" s="159" t="s">
        <v>422</v>
      </c>
      <c r="V154" s="158">
        <v>20000</v>
      </c>
      <c r="W154" s="159" t="s">
        <v>3155</v>
      </c>
      <c r="X154" s="158">
        <v>325000</v>
      </c>
      <c r="Y154" s="159" t="s">
        <v>3156</v>
      </c>
      <c r="AA154" s="188"/>
      <c r="AB154" s="158"/>
      <c r="AH154" s="158">
        <f t="shared" si="12"/>
        <v>345000</v>
      </c>
      <c r="AK154" s="189">
        <f>M154-AH154</f>
        <v>400000</v>
      </c>
      <c r="AL154" s="131">
        <v>13699332517</v>
      </c>
      <c r="AO154" s="131">
        <f t="shared" si="13"/>
        <v>345000</v>
      </c>
      <c r="AP154" s="161">
        <f>0.7%+0.05%+0.12%</f>
        <v>0.0087</v>
      </c>
      <c r="AQ154" s="192">
        <f t="shared" si="14"/>
        <v>0</v>
      </c>
      <c r="AR154" s="158"/>
      <c r="AS154" s="158"/>
      <c r="AT154" s="158"/>
      <c r="AU154" s="158"/>
      <c r="AV154" s="158"/>
      <c r="AW154" s="158"/>
      <c r="AX154" s="158"/>
      <c r="AY154" s="158"/>
      <c r="AZ154" s="158"/>
      <c r="BB154" s="158"/>
      <c r="BI154" s="131">
        <v>345000</v>
      </c>
      <c r="BQ154" s="131" t="s">
        <v>205</v>
      </c>
      <c r="BR154" s="131" t="s">
        <v>206</v>
      </c>
    </row>
    <row r="155" s="131" customFormat="1" customHeight="1" spans="1:70">
      <c r="A155" s="175">
        <v>121</v>
      </c>
      <c r="C155" s="176">
        <v>45356</v>
      </c>
      <c r="D155" s="131">
        <v>20240001155</v>
      </c>
      <c r="F155" s="131" t="s">
        <v>3157</v>
      </c>
      <c r="G155" s="131" t="s">
        <v>3158</v>
      </c>
      <c r="H155" s="726" t="s">
        <v>3159</v>
      </c>
      <c r="I155" s="131" t="s">
        <v>3160</v>
      </c>
      <c r="J155" s="131">
        <v>153.46</v>
      </c>
      <c r="K155" s="131">
        <v>153.46</v>
      </c>
      <c r="L155" s="131">
        <v>5017.59</v>
      </c>
      <c r="M155" s="158">
        <v>770000</v>
      </c>
      <c r="N155" s="158">
        <v>4988</v>
      </c>
      <c r="O155" s="188"/>
      <c r="P155" s="189"/>
      <c r="Q155" s="189"/>
      <c r="R155" s="158"/>
      <c r="S155" s="159"/>
      <c r="T155" s="175"/>
      <c r="U155" s="159" t="s">
        <v>226</v>
      </c>
      <c r="V155" s="158">
        <v>10000</v>
      </c>
      <c r="W155" s="159" t="s">
        <v>286</v>
      </c>
      <c r="X155" s="158">
        <v>200000</v>
      </c>
      <c r="Y155" s="198" t="s">
        <v>286</v>
      </c>
      <c r="Z155" s="131">
        <v>560000</v>
      </c>
      <c r="AA155" s="188" t="s">
        <v>2950</v>
      </c>
      <c r="AB155" s="158"/>
      <c r="AH155" s="158">
        <f t="shared" si="12"/>
        <v>770000</v>
      </c>
      <c r="AK155" s="189">
        <f>M155-AH155</f>
        <v>0</v>
      </c>
      <c r="AL155" s="131">
        <v>15739828181</v>
      </c>
      <c r="AO155" s="131">
        <f t="shared" si="13"/>
        <v>770000</v>
      </c>
      <c r="AP155" s="161">
        <f>0.7%+0.05%+0.14%</f>
        <v>0.0089</v>
      </c>
      <c r="AQ155" s="192">
        <f t="shared" si="14"/>
        <v>0</v>
      </c>
      <c r="AR155" s="158"/>
      <c r="AS155" s="158"/>
      <c r="AT155" s="158"/>
      <c r="AU155" s="158"/>
      <c r="AV155" s="158"/>
      <c r="AW155" s="158"/>
      <c r="AX155" s="158"/>
      <c r="AY155" s="158"/>
      <c r="AZ155" s="158"/>
      <c r="BB155" s="158"/>
      <c r="BG155" s="131">
        <v>770000</v>
      </c>
      <c r="BQ155" s="131" t="s">
        <v>205</v>
      </c>
      <c r="BR155" s="131" t="s">
        <v>206</v>
      </c>
    </row>
    <row r="156" s="131" customFormat="1" ht="36" customHeight="1" spans="1:70">
      <c r="A156" s="175">
        <v>122</v>
      </c>
      <c r="C156" s="176">
        <v>45465</v>
      </c>
      <c r="D156" s="131">
        <v>20240003572</v>
      </c>
      <c r="F156" s="726" t="s">
        <v>3161</v>
      </c>
      <c r="G156" s="144" t="s">
        <v>3162</v>
      </c>
      <c r="H156" s="726" t="s">
        <v>3163</v>
      </c>
      <c r="I156" s="131" t="s">
        <v>3164</v>
      </c>
      <c r="J156" s="131">
        <v>86.14</v>
      </c>
      <c r="K156" s="131">
        <v>86.14</v>
      </c>
      <c r="L156" s="188">
        <f>M156/K156</f>
        <v>4875.78360807987</v>
      </c>
      <c r="M156" s="158">
        <v>420000</v>
      </c>
      <c r="N156" s="158">
        <v>4875.78</v>
      </c>
      <c r="O156" s="188"/>
      <c r="P156" s="189"/>
      <c r="Q156" s="189"/>
      <c r="R156" s="158"/>
      <c r="S156" s="159"/>
      <c r="T156" s="175"/>
      <c r="U156" s="159" t="s">
        <v>1075</v>
      </c>
      <c r="V156" s="158">
        <v>20000</v>
      </c>
      <c r="W156" s="159" t="s">
        <v>2809</v>
      </c>
      <c r="X156" s="158">
        <v>64000</v>
      </c>
      <c r="Y156" s="198" t="s">
        <v>3141</v>
      </c>
      <c r="Z156" s="158">
        <v>336000</v>
      </c>
      <c r="AA156" s="159" t="s">
        <v>3150</v>
      </c>
      <c r="AB156" s="158"/>
      <c r="AH156" s="158">
        <f t="shared" si="12"/>
        <v>420000</v>
      </c>
      <c r="AK156" s="189">
        <f t="shared" ref="AK156:AK160" si="18">M156-AH156</f>
        <v>0</v>
      </c>
      <c r="AL156" s="131">
        <v>15999164022</v>
      </c>
      <c r="AM156" s="131" t="s">
        <v>3007</v>
      </c>
      <c r="AO156" s="131">
        <f t="shared" si="13"/>
        <v>420000</v>
      </c>
      <c r="AP156" s="161">
        <f>0.4%+0.02%+0.08%</f>
        <v>0.005</v>
      </c>
      <c r="AQ156" s="192">
        <f t="shared" si="14"/>
        <v>0</v>
      </c>
      <c r="AR156" s="158"/>
      <c r="AS156" s="158"/>
      <c r="AT156" s="158"/>
      <c r="AU156" s="158"/>
      <c r="AV156" s="158"/>
      <c r="AW156" s="158"/>
      <c r="AX156" s="158"/>
      <c r="AY156" s="158"/>
      <c r="AZ156" s="158"/>
      <c r="BB156" s="158"/>
      <c r="BJ156" s="131">
        <v>84000</v>
      </c>
      <c r="BL156" s="131">
        <v>336000</v>
      </c>
      <c r="BQ156" s="131" t="s">
        <v>205</v>
      </c>
      <c r="BR156" s="131" t="s">
        <v>206</v>
      </c>
    </row>
    <row r="157" s="131" customFormat="1" customHeight="1" spans="1:70">
      <c r="A157" s="175">
        <v>123</v>
      </c>
      <c r="C157" s="176">
        <v>45401</v>
      </c>
      <c r="D157" s="131">
        <v>20240002189</v>
      </c>
      <c r="F157" s="726" t="s">
        <v>3165</v>
      </c>
      <c r="G157" s="131" t="s">
        <v>3166</v>
      </c>
      <c r="I157" s="131" t="s">
        <v>3167</v>
      </c>
      <c r="J157" s="131">
        <v>146.29</v>
      </c>
      <c r="K157" s="131">
        <v>146.29</v>
      </c>
      <c r="L157" s="131">
        <v>5000</v>
      </c>
      <c r="M157" s="158">
        <v>731450</v>
      </c>
      <c r="N157" s="158">
        <v>4998</v>
      </c>
      <c r="O157" s="188"/>
      <c r="P157" s="189"/>
      <c r="Q157" s="189"/>
      <c r="R157" s="158"/>
      <c r="S157" s="159"/>
      <c r="T157" s="175"/>
      <c r="U157" s="159" t="s">
        <v>226</v>
      </c>
      <c r="V157" s="158">
        <v>20000</v>
      </c>
      <c r="W157" s="159" t="s">
        <v>325</v>
      </c>
      <c r="X157" s="158">
        <v>151450</v>
      </c>
      <c r="Y157" s="159" t="s">
        <v>203</v>
      </c>
      <c r="Z157" s="158">
        <v>560000</v>
      </c>
      <c r="AA157" s="159" t="s">
        <v>3168</v>
      </c>
      <c r="AB157" s="158"/>
      <c r="AH157" s="158">
        <f t="shared" si="12"/>
        <v>731450</v>
      </c>
      <c r="AK157" s="189">
        <f t="shared" si="18"/>
        <v>0</v>
      </c>
      <c r="AL157" s="131">
        <v>18742874110</v>
      </c>
      <c r="AO157" s="131">
        <f t="shared" si="13"/>
        <v>731450</v>
      </c>
      <c r="AP157" s="161">
        <f>0.7%+0.05%+0.12%</f>
        <v>0.0087</v>
      </c>
      <c r="AQ157" s="192">
        <f t="shared" si="14"/>
        <v>0</v>
      </c>
      <c r="AR157" s="158"/>
      <c r="AS157" s="158"/>
      <c r="AT157" s="158"/>
      <c r="AU157" s="158"/>
      <c r="AV157" s="158"/>
      <c r="AW157" s="158"/>
      <c r="AX157" s="158"/>
      <c r="AY157" s="158"/>
      <c r="AZ157" s="158"/>
      <c r="BB157" s="158"/>
      <c r="BH157" s="131">
        <v>171450</v>
      </c>
      <c r="BK157" s="131">
        <v>560000</v>
      </c>
      <c r="BQ157" s="131" t="s">
        <v>205</v>
      </c>
      <c r="BR157" s="131" t="s">
        <v>206</v>
      </c>
    </row>
    <row r="158" s="131" customFormat="1" customHeight="1" spans="1:70">
      <c r="A158" s="175">
        <v>124</v>
      </c>
      <c r="C158" s="144" t="s">
        <v>3002</v>
      </c>
      <c r="D158" s="131">
        <v>20240000535</v>
      </c>
      <c r="F158" s="131" t="s">
        <v>3169</v>
      </c>
      <c r="G158" s="131" t="s">
        <v>3170</v>
      </c>
      <c r="H158" s="726" t="s">
        <v>3171</v>
      </c>
      <c r="I158" s="131" t="s">
        <v>3172</v>
      </c>
      <c r="J158" s="131">
        <v>132.34</v>
      </c>
      <c r="K158" s="131">
        <v>132.34</v>
      </c>
      <c r="L158" s="131">
        <v>5124</v>
      </c>
      <c r="M158" s="158">
        <v>678110</v>
      </c>
      <c r="N158" s="158">
        <v>5024</v>
      </c>
      <c r="O158" s="188"/>
      <c r="P158" s="189"/>
      <c r="Q158" s="189"/>
      <c r="R158" s="158"/>
      <c r="S158" s="159"/>
      <c r="T158" s="727" t="s">
        <v>3173</v>
      </c>
      <c r="U158" s="159" t="s">
        <v>291</v>
      </c>
      <c r="V158" s="158">
        <v>2000</v>
      </c>
      <c r="W158" s="159" t="s">
        <v>736</v>
      </c>
      <c r="X158" s="158">
        <v>18000</v>
      </c>
      <c r="Y158" s="159" t="s">
        <v>426</v>
      </c>
      <c r="Z158" s="158">
        <f>21000+37110+60000</f>
        <v>118110</v>
      </c>
      <c r="AA158" s="188" t="s">
        <v>3002</v>
      </c>
      <c r="AB158" s="158">
        <v>540000</v>
      </c>
      <c r="AC158" s="159" t="s">
        <v>397</v>
      </c>
      <c r="AH158" s="158">
        <f t="shared" si="12"/>
        <v>678110</v>
      </c>
      <c r="AK158" s="189">
        <f t="shared" si="18"/>
        <v>0</v>
      </c>
      <c r="AL158" s="131">
        <v>15099220882</v>
      </c>
      <c r="AO158" s="131">
        <f t="shared" si="13"/>
        <v>678110</v>
      </c>
      <c r="AP158" s="161">
        <f>0.4%+0.03%+0.08%</f>
        <v>0.0051</v>
      </c>
      <c r="AQ158" s="192">
        <f t="shared" si="14"/>
        <v>0</v>
      </c>
      <c r="AR158" s="158"/>
      <c r="AS158" s="158"/>
      <c r="AT158" s="158"/>
      <c r="AU158" s="158"/>
      <c r="AV158" s="158"/>
      <c r="AW158" s="158"/>
      <c r="AX158" s="158"/>
      <c r="AY158" s="158"/>
      <c r="AZ158" s="158"/>
      <c r="BB158" s="158"/>
      <c r="BE158" s="131">
        <v>138110</v>
      </c>
      <c r="BG158" s="131">
        <v>540000</v>
      </c>
      <c r="BQ158" s="131" t="s">
        <v>205</v>
      </c>
      <c r="BR158" s="131" t="s">
        <v>206</v>
      </c>
    </row>
    <row r="159" s="131" customFormat="1" customHeight="1" spans="1:70">
      <c r="A159" s="175">
        <v>125</v>
      </c>
      <c r="C159" s="144" t="s">
        <v>3140</v>
      </c>
      <c r="D159" s="131">
        <v>20240001643</v>
      </c>
      <c r="F159" s="726" t="s">
        <v>3174</v>
      </c>
      <c r="G159" s="131" t="s">
        <v>3175</v>
      </c>
      <c r="I159" s="131" t="s">
        <v>3176</v>
      </c>
      <c r="J159" s="131">
        <v>86.14</v>
      </c>
      <c r="K159" s="131">
        <v>86.14</v>
      </c>
      <c r="L159" s="131">
        <f>M159/K159</f>
        <v>5107.9637798932</v>
      </c>
      <c r="M159" s="158">
        <v>440000</v>
      </c>
      <c r="N159" s="158">
        <v>5044</v>
      </c>
      <c r="O159" s="188"/>
      <c r="P159" s="189"/>
      <c r="Q159" s="189"/>
      <c r="R159" s="158"/>
      <c r="S159" s="159"/>
      <c r="T159" s="175"/>
      <c r="U159" s="159"/>
      <c r="V159" s="158">
        <f>56800-56800</f>
        <v>0</v>
      </c>
      <c r="W159" s="213" t="s">
        <v>227</v>
      </c>
      <c r="X159" s="175">
        <v>28000</v>
      </c>
      <c r="Y159" s="198" t="s">
        <v>3140</v>
      </c>
      <c r="Z159" s="158">
        <v>62000</v>
      </c>
      <c r="AA159" s="159" t="s">
        <v>3177</v>
      </c>
      <c r="AB159" s="158">
        <v>350000</v>
      </c>
      <c r="AC159" s="159" t="s">
        <v>418</v>
      </c>
      <c r="AH159" s="158">
        <f t="shared" si="12"/>
        <v>440000</v>
      </c>
      <c r="AK159" s="189">
        <f t="shared" si="18"/>
        <v>0</v>
      </c>
      <c r="AL159" s="131">
        <v>17399136763</v>
      </c>
      <c r="AO159" s="131">
        <f t="shared" si="13"/>
        <v>440000</v>
      </c>
      <c r="AP159" s="161">
        <f>0.7%+0.05%+0.12%</f>
        <v>0.0087</v>
      </c>
      <c r="AQ159" s="192">
        <f t="shared" si="14"/>
        <v>0</v>
      </c>
      <c r="AR159" s="158"/>
      <c r="AS159" s="158"/>
      <c r="AT159" s="158"/>
      <c r="AU159" s="158"/>
      <c r="AV159" s="158"/>
      <c r="AW159" s="158"/>
      <c r="AX159" s="158"/>
      <c r="AY159" s="158"/>
      <c r="AZ159" s="158"/>
      <c r="BB159" s="158"/>
      <c r="BH159" s="131">
        <v>90000</v>
      </c>
      <c r="BI159" s="131">
        <v>350000</v>
      </c>
      <c r="BQ159" s="131" t="s">
        <v>205</v>
      </c>
      <c r="BR159" s="131" t="s">
        <v>206</v>
      </c>
    </row>
    <row r="160" s="131" customFormat="1" ht="51" customHeight="1" spans="1:70">
      <c r="A160" s="175">
        <v>126</v>
      </c>
      <c r="C160" s="144" t="s">
        <v>3002</v>
      </c>
      <c r="D160" s="131">
        <v>20240000533</v>
      </c>
      <c r="F160" s="726" t="s">
        <v>3178</v>
      </c>
      <c r="G160" s="144" t="s">
        <v>3179</v>
      </c>
      <c r="H160" s="726" t="s">
        <v>3180</v>
      </c>
      <c r="I160" s="131" t="s">
        <v>3181</v>
      </c>
      <c r="J160" s="131">
        <v>126.97</v>
      </c>
      <c r="K160" s="131">
        <v>126.97</v>
      </c>
      <c r="L160" s="131">
        <v>5158.69</v>
      </c>
      <c r="M160" s="158">
        <v>655000</v>
      </c>
      <c r="N160" s="158">
        <v>5034</v>
      </c>
      <c r="O160" s="188"/>
      <c r="P160" s="189"/>
      <c r="Q160" s="189"/>
      <c r="R160" s="158"/>
      <c r="S160" s="159"/>
      <c r="T160" s="214" t="s">
        <v>3182</v>
      </c>
      <c r="U160" s="213" t="s">
        <v>3183</v>
      </c>
      <c r="V160" s="158">
        <f>2000-2000</f>
        <v>0</v>
      </c>
      <c r="W160" s="159" t="s">
        <v>229</v>
      </c>
      <c r="X160" s="158">
        <v>20000</v>
      </c>
      <c r="Y160" s="159" t="s">
        <v>1200</v>
      </c>
      <c r="Z160" s="131">
        <v>45000</v>
      </c>
      <c r="AA160" s="188" t="s">
        <v>3002</v>
      </c>
      <c r="AB160" s="158">
        <v>240000</v>
      </c>
      <c r="AC160" s="131" t="s">
        <v>3002</v>
      </c>
      <c r="AD160" s="158">
        <v>350000</v>
      </c>
      <c r="AE160" s="159" t="s">
        <v>648</v>
      </c>
      <c r="AH160" s="158">
        <f t="shared" si="12"/>
        <v>655000</v>
      </c>
      <c r="AK160" s="189">
        <f t="shared" si="18"/>
        <v>0</v>
      </c>
      <c r="AL160" s="131">
        <v>13345457989</v>
      </c>
      <c r="AO160" s="131">
        <f t="shared" si="13"/>
        <v>655000</v>
      </c>
      <c r="AP160" s="161">
        <f>0.7%+0.04%+0.12%</f>
        <v>0.0086</v>
      </c>
      <c r="AQ160" s="192">
        <f t="shared" si="14"/>
        <v>0</v>
      </c>
      <c r="AR160" s="158"/>
      <c r="AS160" s="158"/>
      <c r="AT160" s="158"/>
      <c r="AU160" s="158"/>
      <c r="AV160" s="158"/>
      <c r="AW160" s="158"/>
      <c r="AX160" s="158"/>
      <c r="AY160" s="158"/>
      <c r="AZ160" s="158"/>
      <c r="BB160" s="158"/>
      <c r="BE160" s="131">
        <v>305000</v>
      </c>
      <c r="BF160" s="131">
        <v>350000</v>
      </c>
      <c r="BQ160" s="131" t="s">
        <v>205</v>
      </c>
      <c r="BR160" s="131" t="s">
        <v>206</v>
      </c>
    </row>
    <row r="161" s="131" customFormat="1" customHeight="1" spans="1:70">
      <c r="A161" s="175">
        <v>127</v>
      </c>
      <c r="C161" s="176">
        <v>45293</v>
      </c>
      <c r="D161" s="131">
        <v>20240000015</v>
      </c>
      <c r="F161" s="726" t="s">
        <v>3184</v>
      </c>
      <c r="G161" s="131" t="s">
        <v>3185</v>
      </c>
      <c r="H161" s="726" t="s">
        <v>3186</v>
      </c>
      <c r="I161" s="131" t="s">
        <v>3187</v>
      </c>
      <c r="J161" s="131">
        <v>132.34</v>
      </c>
      <c r="K161" s="131">
        <v>132.34</v>
      </c>
      <c r="L161" s="131">
        <v>5175</v>
      </c>
      <c r="M161" s="158">
        <v>684860</v>
      </c>
      <c r="N161" s="158">
        <v>5075</v>
      </c>
      <c r="O161" s="188"/>
      <c r="P161" s="189"/>
      <c r="Q161" s="189"/>
      <c r="R161" s="158"/>
      <c r="S161" s="159"/>
      <c r="T161" s="727" t="s">
        <v>1980</v>
      </c>
      <c r="U161" s="159" t="s">
        <v>422</v>
      </c>
      <c r="V161" s="158">
        <v>10000</v>
      </c>
      <c r="W161" s="159" t="s">
        <v>356</v>
      </c>
      <c r="X161" s="158">
        <v>340000</v>
      </c>
      <c r="Y161" s="159" t="s">
        <v>435</v>
      </c>
      <c r="AA161" s="188"/>
      <c r="AB161" s="158"/>
      <c r="AH161" s="158">
        <f t="shared" si="12"/>
        <v>350000</v>
      </c>
      <c r="AK161" s="189">
        <f t="shared" ref="AK161:AK166" si="19">M161-AH161</f>
        <v>334860</v>
      </c>
      <c r="AL161" s="131">
        <v>19999465615</v>
      </c>
      <c r="AO161" s="131">
        <f t="shared" si="13"/>
        <v>0</v>
      </c>
      <c r="AP161" s="161">
        <f>0.4%+0.02%+0.08%</f>
        <v>0.005</v>
      </c>
      <c r="AQ161" s="192">
        <f t="shared" si="14"/>
        <v>0</v>
      </c>
      <c r="AR161" s="158"/>
      <c r="AS161" s="158"/>
      <c r="AT161" s="158"/>
      <c r="AU161" s="158"/>
      <c r="AV161" s="158"/>
      <c r="AW161" s="158"/>
      <c r="AX161" s="158"/>
      <c r="AY161" s="158"/>
      <c r="AZ161" s="158"/>
      <c r="BB161" s="158"/>
      <c r="BQ161" s="131" t="s">
        <v>205</v>
      </c>
      <c r="BR161" s="131" t="s">
        <v>206</v>
      </c>
    </row>
    <row r="162" s="131" customFormat="1" customHeight="1" spans="1:70">
      <c r="A162" s="175">
        <v>128</v>
      </c>
      <c r="C162" s="144" t="s">
        <v>2982</v>
      </c>
      <c r="D162" s="131">
        <v>20240000869</v>
      </c>
      <c r="F162" s="726" t="s">
        <v>3188</v>
      </c>
      <c r="G162" s="131" t="s">
        <v>3189</v>
      </c>
      <c r="I162" s="131" t="s">
        <v>3190</v>
      </c>
      <c r="J162" s="131">
        <v>86.14</v>
      </c>
      <c r="K162" s="131">
        <v>86.14</v>
      </c>
      <c r="L162" s="131">
        <v>5205</v>
      </c>
      <c r="M162" s="158">
        <v>448359</v>
      </c>
      <c r="N162" s="158">
        <v>5105</v>
      </c>
      <c r="O162" s="188"/>
      <c r="P162" s="189"/>
      <c r="Q162" s="189"/>
      <c r="R162" s="158"/>
      <c r="S162" s="159"/>
      <c r="T162" s="727" t="s">
        <v>3191</v>
      </c>
      <c r="U162" s="159" t="s">
        <v>211</v>
      </c>
      <c r="V162" s="158">
        <v>2000</v>
      </c>
      <c r="W162" s="159" t="s">
        <v>506</v>
      </c>
      <c r="X162" s="158">
        <v>18000</v>
      </c>
      <c r="Y162" s="198" t="s">
        <v>385</v>
      </c>
      <c r="Z162" s="158">
        <v>128359</v>
      </c>
      <c r="AA162" s="159" t="s">
        <v>2982</v>
      </c>
      <c r="AB162" s="158">
        <v>200000</v>
      </c>
      <c r="AC162" s="131" t="s">
        <v>679</v>
      </c>
      <c r="AD162" s="158">
        <v>100000</v>
      </c>
      <c r="AE162" s="159" t="s">
        <v>3192</v>
      </c>
      <c r="AH162" s="158">
        <f t="shared" si="12"/>
        <v>448359</v>
      </c>
      <c r="AK162" s="189">
        <f t="shared" si="19"/>
        <v>0</v>
      </c>
      <c r="AL162" s="131">
        <v>18699679191</v>
      </c>
      <c r="AO162" s="131">
        <f t="shared" si="13"/>
        <v>448359</v>
      </c>
      <c r="AP162" s="161">
        <f>0.4%+0.02%+0.08%</f>
        <v>0.005</v>
      </c>
      <c r="AQ162" s="192">
        <f t="shared" si="14"/>
        <v>0</v>
      </c>
      <c r="AR162" s="158"/>
      <c r="AS162" s="158"/>
      <c r="AT162" s="158"/>
      <c r="AU162" s="158"/>
      <c r="AV162" s="158"/>
      <c r="AW162" s="158"/>
      <c r="AX162" s="158"/>
      <c r="AY162" s="158"/>
      <c r="AZ162" s="158"/>
      <c r="BB162" s="158"/>
      <c r="BF162" s="131">
        <v>348359</v>
      </c>
      <c r="BG162" s="131">
        <v>100000</v>
      </c>
      <c r="BQ162" s="131" t="s">
        <v>205</v>
      </c>
      <c r="BR162" s="131" t="s">
        <v>206</v>
      </c>
    </row>
    <row r="163" s="131" customFormat="1" customHeight="1" spans="1:70">
      <c r="A163" s="175">
        <v>129</v>
      </c>
      <c r="C163" s="176">
        <v>45374</v>
      </c>
      <c r="D163" s="131">
        <v>20240001570</v>
      </c>
      <c r="F163" s="726" t="s">
        <v>3193</v>
      </c>
      <c r="G163" s="131" t="s">
        <v>3194</v>
      </c>
      <c r="H163" s="726" t="s">
        <v>3195</v>
      </c>
      <c r="I163" s="131" t="s">
        <v>3196</v>
      </c>
      <c r="J163" s="131">
        <v>126.97</v>
      </c>
      <c r="K163" s="131">
        <v>126.97</v>
      </c>
      <c r="L163" s="131">
        <v>5198</v>
      </c>
      <c r="M163" s="158">
        <v>660000</v>
      </c>
      <c r="N163" s="158">
        <v>5085</v>
      </c>
      <c r="O163" s="188"/>
      <c r="P163" s="189"/>
      <c r="Q163" s="189"/>
      <c r="R163" s="158"/>
      <c r="S163" s="159"/>
      <c r="T163" s="175"/>
      <c r="U163" s="159" t="s">
        <v>226</v>
      </c>
      <c r="V163" s="158">
        <v>10000</v>
      </c>
      <c r="W163" s="159" t="s">
        <v>3197</v>
      </c>
      <c r="X163" s="158">
        <v>3000</v>
      </c>
      <c r="Y163" s="198" t="s">
        <v>794</v>
      </c>
      <c r="Z163" s="158">
        <v>147000</v>
      </c>
      <c r="AA163" s="159" t="s">
        <v>497</v>
      </c>
      <c r="AB163" s="158">
        <v>500000</v>
      </c>
      <c r="AC163" s="159" t="s">
        <v>418</v>
      </c>
      <c r="AH163" s="158">
        <f t="shared" si="12"/>
        <v>660000</v>
      </c>
      <c r="AK163" s="189">
        <f t="shared" si="19"/>
        <v>0</v>
      </c>
      <c r="AL163" s="131">
        <v>13399968391</v>
      </c>
      <c r="AO163" s="131">
        <f t="shared" si="13"/>
        <v>660000</v>
      </c>
      <c r="AP163" s="161">
        <f>0.7%+0.05%+0.12%</f>
        <v>0.0087</v>
      </c>
      <c r="AQ163" s="192">
        <f t="shared" si="14"/>
        <v>0</v>
      </c>
      <c r="AR163" s="158"/>
      <c r="AS163" s="158"/>
      <c r="AT163" s="158"/>
      <c r="AU163" s="158"/>
      <c r="AV163" s="158"/>
      <c r="AW163" s="158"/>
      <c r="AX163" s="158"/>
      <c r="AY163" s="158"/>
      <c r="AZ163" s="158"/>
      <c r="BB163" s="158"/>
      <c r="BH163" s="131">
        <v>160000</v>
      </c>
      <c r="BI163" s="131">
        <v>500000</v>
      </c>
      <c r="BQ163" s="131" t="s">
        <v>205</v>
      </c>
      <c r="BR163" s="131" t="s">
        <v>206</v>
      </c>
    </row>
    <row r="164" s="131" customFormat="1" customHeight="1" spans="1:70">
      <c r="A164" s="175">
        <v>130</v>
      </c>
      <c r="C164" s="144" t="s">
        <v>457</v>
      </c>
      <c r="D164" s="131">
        <v>20240000614</v>
      </c>
      <c r="F164" s="726" t="s">
        <v>3198</v>
      </c>
      <c r="G164" s="131" t="s">
        <v>3199</v>
      </c>
      <c r="H164" s="726" t="s">
        <v>3200</v>
      </c>
      <c r="I164" s="131" t="s">
        <v>3201</v>
      </c>
      <c r="J164" s="131">
        <v>132.34</v>
      </c>
      <c r="K164" s="131">
        <v>132.34</v>
      </c>
      <c r="L164" s="131">
        <v>5235</v>
      </c>
      <c r="M164" s="158">
        <v>692800</v>
      </c>
      <c r="N164" s="158">
        <v>5135</v>
      </c>
      <c r="O164" s="188"/>
      <c r="P164" s="189"/>
      <c r="Q164" s="189"/>
      <c r="R164" s="158"/>
      <c r="S164" s="159"/>
      <c r="T164" s="175"/>
      <c r="U164" s="159"/>
      <c r="V164" s="158">
        <v>20000</v>
      </c>
      <c r="W164" s="159" t="s">
        <v>435</v>
      </c>
      <c r="X164" s="158">
        <v>122800</v>
      </c>
      <c r="Y164" s="198" t="s">
        <v>457</v>
      </c>
      <c r="Z164" s="158">
        <v>20000</v>
      </c>
      <c r="AA164" s="159" t="s">
        <v>325</v>
      </c>
      <c r="AB164" s="158">
        <v>530000</v>
      </c>
      <c r="AC164" s="159" t="s">
        <v>202</v>
      </c>
      <c r="AH164" s="158">
        <f t="shared" si="12"/>
        <v>692800</v>
      </c>
      <c r="AK164" s="189">
        <f t="shared" si="19"/>
        <v>0</v>
      </c>
      <c r="AL164" s="131">
        <v>19999761588</v>
      </c>
      <c r="AO164" s="131">
        <f t="shared" si="13"/>
        <v>692800</v>
      </c>
      <c r="AP164" s="161">
        <f>0.6%+0.12%</f>
        <v>0.0072</v>
      </c>
      <c r="AQ164" s="192">
        <f t="shared" si="14"/>
        <v>0</v>
      </c>
      <c r="AR164" s="158"/>
      <c r="AS164" s="158"/>
      <c r="AT164" s="158"/>
      <c r="AU164" s="158"/>
      <c r="AV164" s="158"/>
      <c r="AW164" s="158"/>
      <c r="AX164" s="158"/>
      <c r="AY164" s="158"/>
      <c r="AZ164" s="158"/>
      <c r="BB164" s="158"/>
      <c r="BE164" s="131">
        <v>142800</v>
      </c>
      <c r="BH164" s="131">
        <v>550000</v>
      </c>
      <c r="BQ164" s="131" t="s">
        <v>205</v>
      </c>
      <c r="BR164" s="131" t="s">
        <v>206</v>
      </c>
    </row>
    <row r="165" s="131" customFormat="1" customHeight="1" spans="1:70">
      <c r="A165" s="175">
        <v>131</v>
      </c>
      <c r="C165" s="144" t="s">
        <v>3202</v>
      </c>
      <c r="D165" s="131">
        <v>20240001771</v>
      </c>
      <c r="F165" s="726" t="s">
        <v>3203</v>
      </c>
      <c r="G165" s="131" t="s">
        <v>3204</v>
      </c>
      <c r="I165" s="131" t="s">
        <v>3205</v>
      </c>
      <c r="J165" s="131">
        <v>86.14</v>
      </c>
      <c r="K165" s="131">
        <v>86.14</v>
      </c>
      <c r="L165" s="131">
        <v>5282.099</v>
      </c>
      <c r="M165" s="158">
        <v>455000</v>
      </c>
      <c r="N165" s="158">
        <v>5185</v>
      </c>
      <c r="O165" s="188"/>
      <c r="P165" s="189"/>
      <c r="Q165" s="189"/>
      <c r="R165" s="158"/>
      <c r="S165" s="159"/>
      <c r="T165" s="175"/>
      <c r="U165" s="159" t="s">
        <v>226</v>
      </c>
      <c r="V165" s="158">
        <v>5000</v>
      </c>
      <c r="W165" s="159" t="s">
        <v>417</v>
      </c>
      <c r="X165" s="158">
        <v>450000</v>
      </c>
      <c r="Y165" s="198" t="s">
        <v>3206</v>
      </c>
      <c r="AA165" s="188"/>
      <c r="AB165" s="158"/>
      <c r="AH165" s="158">
        <f t="shared" si="12"/>
        <v>455000</v>
      </c>
      <c r="AK165" s="189">
        <f t="shared" si="19"/>
        <v>0</v>
      </c>
      <c r="AL165" s="131">
        <v>15099469395</v>
      </c>
      <c r="AO165" s="131">
        <f t="shared" si="13"/>
        <v>455000</v>
      </c>
      <c r="AP165" s="161">
        <f>0.7%+0.05%+0.12%</f>
        <v>0.0087</v>
      </c>
      <c r="AQ165" s="192">
        <f t="shared" si="14"/>
        <v>0</v>
      </c>
      <c r="AR165" s="158"/>
      <c r="AS165" s="158"/>
      <c r="AT165" s="158"/>
      <c r="AU165" s="158"/>
      <c r="AV165" s="158"/>
      <c r="AW165" s="158"/>
      <c r="AX165" s="158"/>
      <c r="AY165" s="158"/>
      <c r="AZ165" s="158"/>
      <c r="BB165" s="158"/>
      <c r="BH165" s="131">
        <v>455000</v>
      </c>
      <c r="BQ165" s="131" t="s">
        <v>205</v>
      </c>
      <c r="BR165" s="131" t="s">
        <v>206</v>
      </c>
    </row>
    <row r="166" s="131" customFormat="1" customHeight="1" spans="1:70">
      <c r="A166" s="175">
        <v>132</v>
      </c>
      <c r="C166" s="176">
        <v>45355</v>
      </c>
      <c r="D166" s="131">
        <v>20240001126</v>
      </c>
      <c r="F166" s="726" t="s">
        <v>3207</v>
      </c>
      <c r="G166" s="131" t="s">
        <v>3208</v>
      </c>
      <c r="H166" s="726" t="s">
        <v>3209</v>
      </c>
      <c r="I166" s="131" t="s">
        <v>3210</v>
      </c>
      <c r="J166" s="131">
        <v>126.97</v>
      </c>
      <c r="K166" s="131">
        <v>126.97</v>
      </c>
      <c r="L166" s="131">
        <v>5235</v>
      </c>
      <c r="M166" s="158">
        <v>664688</v>
      </c>
      <c r="N166" s="158">
        <v>5145</v>
      </c>
      <c r="O166" s="188"/>
      <c r="P166" s="189"/>
      <c r="Q166" s="189"/>
      <c r="R166" s="158"/>
      <c r="S166" s="159"/>
      <c r="T166" s="175"/>
      <c r="U166" s="159" t="s">
        <v>201</v>
      </c>
      <c r="V166" s="158">
        <v>20000</v>
      </c>
      <c r="W166" s="159" t="s">
        <v>648</v>
      </c>
      <c r="X166" s="158">
        <v>244688</v>
      </c>
      <c r="Y166" s="159" t="s">
        <v>3017</v>
      </c>
      <c r="Z166" s="158">
        <v>400000</v>
      </c>
      <c r="AA166" s="159" t="s">
        <v>928</v>
      </c>
      <c r="AB166" s="158"/>
      <c r="AH166" s="158">
        <f t="shared" si="12"/>
        <v>664688</v>
      </c>
      <c r="AK166" s="189">
        <f t="shared" si="19"/>
        <v>0</v>
      </c>
      <c r="AL166" s="131">
        <v>15099495165</v>
      </c>
      <c r="AO166" s="131">
        <f t="shared" si="13"/>
        <v>664688</v>
      </c>
      <c r="AP166" s="161">
        <f>0.5%+0.14%</f>
        <v>0.0064</v>
      </c>
      <c r="AQ166" s="192">
        <f t="shared" si="14"/>
        <v>0</v>
      </c>
      <c r="AR166" s="158"/>
      <c r="AS166" s="158"/>
      <c r="AT166" s="158"/>
      <c r="AU166" s="158"/>
      <c r="AV166" s="158"/>
      <c r="AW166" s="158"/>
      <c r="AX166" s="158"/>
      <c r="AY166" s="158"/>
      <c r="AZ166" s="158"/>
      <c r="BB166" s="158"/>
      <c r="BG166" s="131">
        <v>264688</v>
      </c>
      <c r="BH166" s="131">
        <v>400000</v>
      </c>
      <c r="BQ166" s="131" t="s">
        <v>205</v>
      </c>
      <c r="BR166" s="131" t="s">
        <v>206</v>
      </c>
    </row>
    <row r="167" s="131" customFormat="1" customHeight="1" spans="1:70">
      <c r="A167" s="175">
        <v>133</v>
      </c>
      <c r="C167" s="144" t="s">
        <v>3034</v>
      </c>
      <c r="D167" s="131">
        <v>20240000357</v>
      </c>
      <c r="F167" s="726" t="s">
        <v>3211</v>
      </c>
      <c r="G167" s="131" t="s">
        <v>3212</v>
      </c>
      <c r="H167" s="726" t="s">
        <v>3213</v>
      </c>
      <c r="I167" s="131" t="s">
        <v>3214</v>
      </c>
      <c r="J167" s="131">
        <v>132.34</v>
      </c>
      <c r="K167" s="131">
        <v>132.34</v>
      </c>
      <c r="L167" s="131">
        <v>5237</v>
      </c>
      <c r="M167" s="158">
        <v>693065</v>
      </c>
      <c r="N167" s="158">
        <v>5187</v>
      </c>
      <c r="O167" s="188"/>
      <c r="P167" s="189"/>
      <c r="Q167" s="189"/>
      <c r="R167" s="158"/>
      <c r="S167" s="159"/>
      <c r="T167" s="727" t="s">
        <v>3215</v>
      </c>
      <c r="U167" s="159" t="s">
        <v>1811</v>
      </c>
      <c r="V167" s="158">
        <v>2000</v>
      </c>
      <c r="W167" s="159" t="s">
        <v>1651</v>
      </c>
      <c r="X167" s="158">
        <v>18000</v>
      </c>
      <c r="Y167" s="159" t="s">
        <v>385</v>
      </c>
      <c r="Z167" s="158">
        <v>170065</v>
      </c>
      <c r="AA167" s="159" t="s">
        <v>3034</v>
      </c>
      <c r="AB167" s="158">
        <v>10000</v>
      </c>
      <c r="AC167" s="131" t="s">
        <v>3216</v>
      </c>
      <c r="AD167" s="158">
        <v>493000</v>
      </c>
      <c r="AE167" s="159" t="s">
        <v>325</v>
      </c>
      <c r="AH167" s="158">
        <f t="shared" si="12"/>
        <v>693065</v>
      </c>
      <c r="AK167" s="189">
        <f t="shared" ref="AK167:AK172" si="20">M167-AH167</f>
        <v>0</v>
      </c>
      <c r="AL167" s="131">
        <v>17609941943</v>
      </c>
      <c r="AO167" s="131">
        <f t="shared" si="13"/>
        <v>693065</v>
      </c>
      <c r="AP167" s="161">
        <f>0.4%+0.02%+0.08%</f>
        <v>0.005</v>
      </c>
      <c r="AQ167" s="192">
        <f t="shared" si="14"/>
        <v>0</v>
      </c>
      <c r="AR167" s="158"/>
      <c r="AS167" s="158"/>
      <c r="AT167" s="158"/>
      <c r="AU167" s="158"/>
      <c r="AV167" s="158"/>
      <c r="AW167" s="158"/>
      <c r="AX167" s="158"/>
      <c r="AY167" s="158"/>
      <c r="AZ167" s="158"/>
      <c r="BB167" s="158"/>
      <c r="BE167" s="131">
        <v>200065</v>
      </c>
      <c r="BG167" s="131">
        <v>493000</v>
      </c>
      <c r="BQ167" s="131" t="s">
        <v>205</v>
      </c>
      <c r="BR167" s="131" t="s">
        <v>206</v>
      </c>
    </row>
    <row r="168" s="131" customFormat="1" customHeight="1" spans="1:70">
      <c r="A168" s="175">
        <v>134</v>
      </c>
      <c r="C168" s="176">
        <v>45345</v>
      </c>
      <c r="D168" s="131">
        <v>20240000937</v>
      </c>
      <c r="F168" s="726" t="s">
        <v>3217</v>
      </c>
      <c r="G168" s="131" t="s">
        <v>3218</v>
      </c>
      <c r="H168" s="726" t="s">
        <v>3219</v>
      </c>
      <c r="I168" s="131" t="s">
        <v>3220</v>
      </c>
      <c r="J168" s="131">
        <v>86.14</v>
      </c>
      <c r="K168" s="131">
        <v>86.14</v>
      </c>
      <c r="L168" s="131">
        <v>5340.14</v>
      </c>
      <c r="M168" s="158">
        <v>460000</v>
      </c>
      <c r="N168" s="158">
        <v>5247</v>
      </c>
      <c r="O168" s="188"/>
      <c r="P168" s="189"/>
      <c r="Q168" s="189"/>
      <c r="R168" s="158"/>
      <c r="S168" s="159"/>
      <c r="T168" s="175"/>
      <c r="U168" s="159" t="s">
        <v>211</v>
      </c>
      <c r="V168" s="158">
        <v>20000</v>
      </c>
      <c r="W168" s="159" t="s">
        <v>648</v>
      </c>
      <c r="X168" s="158">
        <v>280000</v>
      </c>
      <c r="Y168" s="198" t="s">
        <v>3221</v>
      </c>
      <c r="Z168" s="158">
        <v>160000</v>
      </c>
      <c r="AA168" s="159" t="s">
        <v>794</v>
      </c>
      <c r="AB168" s="158"/>
      <c r="AH168" s="158">
        <f t="shared" si="12"/>
        <v>460000</v>
      </c>
      <c r="AK168" s="189">
        <f t="shared" si="20"/>
        <v>0</v>
      </c>
      <c r="AL168" s="131">
        <v>16609967350</v>
      </c>
      <c r="AO168" s="131">
        <f t="shared" si="13"/>
        <v>460000</v>
      </c>
      <c r="AP168" s="161">
        <f>0.6%+0.05%+0.14%</f>
        <v>0.0079</v>
      </c>
      <c r="AQ168" s="192">
        <f t="shared" si="14"/>
        <v>0</v>
      </c>
      <c r="AR168" s="158"/>
      <c r="AS168" s="158"/>
      <c r="AT168" s="158"/>
      <c r="AU168" s="158"/>
      <c r="AV168" s="158"/>
      <c r="AW168" s="158"/>
      <c r="AX168" s="158"/>
      <c r="AY168" s="158"/>
      <c r="AZ168" s="158"/>
      <c r="BB168" s="158"/>
      <c r="BG168" s="131">
        <v>460000</v>
      </c>
      <c r="BQ168" s="131" t="s">
        <v>205</v>
      </c>
      <c r="BR168" s="131" t="s">
        <v>206</v>
      </c>
    </row>
    <row r="169" s="131" customFormat="1" customHeight="1" spans="1:70">
      <c r="A169" s="175">
        <v>135</v>
      </c>
      <c r="C169" s="144" t="s">
        <v>794</v>
      </c>
      <c r="D169" s="131">
        <v>20240001569</v>
      </c>
      <c r="F169" s="726" t="s">
        <v>3222</v>
      </c>
      <c r="G169" s="131" t="s">
        <v>3223</v>
      </c>
      <c r="H169" s="726" t="s">
        <v>3224</v>
      </c>
      <c r="I169" s="131" t="s">
        <v>3225</v>
      </c>
      <c r="J169" s="131">
        <v>126.97</v>
      </c>
      <c r="K169" s="131">
        <v>126.97</v>
      </c>
      <c r="L169" s="131">
        <v>5261.05</v>
      </c>
      <c r="M169" s="158">
        <v>668000</v>
      </c>
      <c r="N169" s="158">
        <v>5197</v>
      </c>
      <c r="O169" s="188"/>
      <c r="P169" s="189"/>
      <c r="Q169" s="189"/>
      <c r="R169" s="158"/>
      <c r="S169" s="159"/>
      <c r="T169" s="175"/>
      <c r="U169" s="159" t="s">
        <v>411</v>
      </c>
      <c r="V169" s="158">
        <v>20000</v>
      </c>
      <c r="W169" s="159" t="s">
        <v>3226</v>
      </c>
      <c r="X169" s="158">
        <v>188000</v>
      </c>
      <c r="Y169" s="198" t="s">
        <v>794</v>
      </c>
      <c r="Z169" s="158">
        <v>130000</v>
      </c>
      <c r="AA169" s="159" t="s">
        <v>3227</v>
      </c>
      <c r="AB169" s="158">
        <v>330000</v>
      </c>
      <c r="AC169" s="131" t="s">
        <v>203</v>
      </c>
      <c r="AH169" s="158">
        <f t="shared" si="12"/>
        <v>668000</v>
      </c>
      <c r="AK169" s="189">
        <f t="shared" si="20"/>
        <v>0</v>
      </c>
      <c r="AL169" s="131">
        <v>13709956017</v>
      </c>
      <c r="AO169" s="131">
        <f t="shared" si="13"/>
        <v>668000</v>
      </c>
      <c r="AP169" s="161">
        <f>0.4%+0.12%</f>
        <v>0.0052</v>
      </c>
      <c r="AQ169" s="192">
        <f t="shared" si="14"/>
        <v>0</v>
      </c>
      <c r="AR169" s="158"/>
      <c r="AS169" s="158"/>
      <c r="AT169" s="158"/>
      <c r="AU169" s="158"/>
      <c r="AV169" s="158"/>
      <c r="AW169" s="158"/>
      <c r="AX169" s="158"/>
      <c r="AY169" s="158"/>
      <c r="AZ169" s="158"/>
      <c r="BB169" s="158"/>
      <c r="BH169" s="131">
        <v>668000</v>
      </c>
      <c r="BQ169" s="131" t="s">
        <v>205</v>
      </c>
      <c r="BR169" s="131" t="s">
        <v>206</v>
      </c>
    </row>
    <row r="170" s="131" customFormat="1" customHeight="1" spans="1:70">
      <c r="A170" s="175">
        <v>136</v>
      </c>
      <c r="C170" s="144" t="s">
        <v>3228</v>
      </c>
      <c r="D170" s="131">
        <v>20240000403</v>
      </c>
      <c r="F170" s="726" t="s">
        <v>3229</v>
      </c>
      <c r="G170" s="131" t="s">
        <v>3230</v>
      </c>
      <c r="H170" s="726" t="s">
        <v>3231</v>
      </c>
      <c r="I170" s="131" t="s">
        <v>3232</v>
      </c>
      <c r="J170" s="131">
        <v>132.34</v>
      </c>
      <c r="K170" s="131">
        <v>132.34</v>
      </c>
      <c r="L170" s="131">
        <v>5236.51</v>
      </c>
      <c r="M170" s="158">
        <v>693000</v>
      </c>
      <c r="N170" s="158">
        <v>5217</v>
      </c>
      <c r="O170" s="188"/>
      <c r="P170" s="189"/>
      <c r="Q170" s="189"/>
      <c r="R170" s="158"/>
      <c r="S170" s="159"/>
      <c r="T170" s="175"/>
      <c r="U170" s="159" t="s">
        <v>217</v>
      </c>
      <c r="V170" s="158">
        <v>20000</v>
      </c>
      <c r="W170" s="159" t="s">
        <v>385</v>
      </c>
      <c r="X170" s="158">
        <v>203000</v>
      </c>
      <c r="Y170" s="159" t="s">
        <v>3228</v>
      </c>
      <c r="Z170" s="131">
        <v>80000</v>
      </c>
      <c r="AA170" s="188" t="s">
        <v>3233</v>
      </c>
      <c r="AB170" s="158">
        <v>390000</v>
      </c>
      <c r="AC170" s="159" t="s">
        <v>398</v>
      </c>
      <c r="AH170" s="158">
        <f t="shared" si="12"/>
        <v>693000</v>
      </c>
      <c r="AK170" s="189">
        <f t="shared" si="20"/>
        <v>0</v>
      </c>
      <c r="AL170" s="131">
        <v>18793106742</v>
      </c>
      <c r="AO170" s="131">
        <f t="shared" si="13"/>
        <v>693000</v>
      </c>
      <c r="AP170" s="161">
        <f>0.5%+0.02%+0.08%</f>
        <v>0.006</v>
      </c>
      <c r="AQ170" s="192">
        <f t="shared" si="14"/>
        <v>0</v>
      </c>
      <c r="AR170" s="158"/>
      <c r="AS170" s="158"/>
      <c r="AT170" s="158"/>
      <c r="AU170" s="158"/>
      <c r="AV170" s="158"/>
      <c r="AW170" s="158"/>
      <c r="AX170" s="158"/>
      <c r="AY170" s="158"/>
      <c r="AZ170" s="158"/>
      <c r="BB170" s="158"/>
      <c r="BE170" s="131">
        <v>303000</v>
      </c>
      <c r="BG170" s="131">
        <v>390000</v>
      </c>
      <c r="BQ170" s="131" t="s">
        <v>205</v>
      </c>
      <c r="BR170" s="131" t="s">
        <v>206</v>
      </c>
    </row>
    <row r="171" s="131" customFormat="1" customHeight="1" spans="1:54">
      <c r="A171" s="175">
        <v>137</v>
      </c>
      <c r="C171" s="144"/>
      <c r="G171" s="144" t="s">
        <v>3234</v>
      </c>
      <c r="H171" s="144" t="s">
        <v>3235</v>
      </c>
      <c r="I171" s="131" t="s">
        <v>3236</v>
      </c>
      <c r="J171" s="131">
        <v>86.14</v>
      </c>
      <c r="K171" s="131">
        <v>86.14</v>
      </c>
      <c r="L171" s="131">
        <f>M171/K171</f>
        <v>5456.23403761319</v>
      </c>
      <c r="M171" s="158">
        <f>251070+218930</f>
        <v>470000</v>
      </c>
      <c r="N171" s="158">
        <v>5267</v>
      </c>
      <c r="O171" s="188"/>
      <c r="P171" s="189"/>
      <c r="Q171" s="189"/>
      <c r="R171" s="158"/>
      <c r="S171" s="159"/>
      <c r="T171" s="175"/>
      <c r="U171" s="159"/>
      <c r="V171" s="158">
        <f>243576+218930</f>
        <v>462506</v>
      </c>
      <c r="W171" s="159" t="s">
        <v>379</v>
      </c>
      <c r="X171" s="158">
        <v>7494</v>
      </c>
      <c r="Y171" s="198" t="s">
        <v>379</v>
      </c>
      <c r="AA171" s="188"/>
      <c r="AB171" s="158"/>
      <c r="AH171" s="158">
        <f t="shared" si="12"/>
        <v>470000</v>
      </c>
      <c r="AK171" s="189">
        <f t="shared" si="20"/>
        <v>0</v>
      </c>
      <c r="AO171" s="131">
        <f t="shared" si="13"/>
        <v>0</v>
      </c>
      <c r="AP171" s="161"/>
      <c r="AQ171" s="192">
        <f t="shared" si="14"/>
        <v>0</v>
      </c>
      <c r="AR171" s="158"/>
      <c r="AS171" s="158"/>
      <c r="AT171" s="158"/>
      <c r="AU171" s="158"/>
      <c r="AV171" s="158"/>
      <c r="AW171" s="158"/>
      <c r="AX171" s="158"/>
      <c r="AY171" s="158"/>
      <c r="AZ171" s="158"/>
      <c r="BB171" s="158"/>
    </row>
    <row r="172" s="131" customFormat="1" customHeight="1" spans="1:74">
      <c r="A172" s="175">
        <v>138</v>
      </c>
      <c r="C172" s="144" t="s">
        <v>552</v>
      </c>
      <c r="D172" s="131">
        <v>20240001176</v>
      </c>
      <c r="F172" s="726" t="s">
        <v>3237</v>
      </c>
      <c r="G172" s="131" t="s">
        <v>3238</v>
      </c>
      <c r="I172" s="131" t="s">
        <v>3239</v>
      </c>
      <c r="J172" s="131">
        <v>126.97</v>
      </c>
      <c r="K172" s="131">
        <v>126.97</v>
      </c>
      <c r="L172" s="131">
        <v>5327</v>
      </c>
      <c r="M172" s="158">
        <v>676369</v>
      </c>
      <c r="N172" s="158">
        <v>5227</v>
      </c>
      <c r="O172" s="188"/>
      <c r="P172" s="189"/>
      <c r="Q172" s="189"/>
      <c r="R172" s="158"/>
      <c r="S172" s="159"/>
      <c r="T172" s="175"/>
      <c r="U172" s="159" t="s">
        <v>217</v>
      </c>
      <c r="V172" s="158">
        <v>49369</v>
      </c>
      <c r="W172" s="159" t="s">
        <v>552</v>
      </c>
      <c r="X172" s="158">
        <v>86000</v>
      </c>
      <c r="Y172" s="198" t="s">
        <v>2996</v>
      </c>
      <c r="Z172" s="158">
        <v>541000</v>
      </c>
      <c r="AA172" s="159" t="s">
        <v>3156</v>
      </c>
      <c r="AB172" s="158"/>
      <c r="AH172" s="158">
        <f t="shared" si="12"/>
        <v>676369</v>
      </c>
      <c r="AK172" s="189">
        <f t="shared" si="20"/>
        <v>0</v>
      </c>
      <c r="AO172" s="131">
        <f t="shared" si="13"/>
        <v>676369</v>
      </c>
      <c r="AP172" s="161">
        <f>0.7%+0.04%+0.12%</f>
        <v>0.0086</v>
      </c>
      <c r="AQ172" s="192">
        <f t="shared" si="14"/>
        <v>0</v>
      </c>
      <c r="AR172" s="158"/>
      <c r="AS172" s="158"/>
      <c r="AT172" s="158"/>
      <c r="AU172" s="158"/>
      <c r="AV172" s="158"/>
      <c r="AW172" s="158"/>
      <c r="AX172" s="158"/>
      <c r="AY172" s="158"/>
      <c r="AZ172" s="158"/>
      <c r="BB172" s="158"/>
      <c r="BG172" s="131">
        <v>135369</v>
      </c>
      <c r="BI172" s="131">
        <v>541000</v>
      </c>
      <c r="BQ172" s="131" t="s">
        <v>205</v>
      </c>
      <c r="BR172" s="131" t="s">
        <v>206</v>
      </c>
      <c r="BV172" s="131">
        <f>BT172-BU172</f>
        <v>0</v>
      </c>
    </row>
    <row r="173" s="131" customFormat="1" customHeight="1" spans="1:70">
      <c r="A173" s="175">
        <v>139</v>
      </c>
      <c r="C173" s="144" t="s">
        <v>2224</v>
      </c>
      <c r="D173" s="131">
        <v>20240000481</v>
      </c>
      <c r="F173" s="726" t="s">
        <v>3240</v>
      </c>
      <c r="G173" s="131" t="s">
        <v>3241</v>
      </c>
      <c r="H173" s="726" t="s">
        <v>3242</v>
      </c>
      <c r="I173" s="131" t="s">
        <v>3243</v>
      </c>
      <c r="J173" s="131">
        <v>132.34</v>
      </c>
      <c r="K173" s="131">
        <v>132.34</v>
      </c>
      <c r="L173" s="131">
        <v>5364</v>
      </c>
      <c r="M173" s="158">
        <v>709872</v>
      </c>
      <c r="N173" s="158">
        <v>5264</v>
      </c>
      <c r="O173" s="188"/>
      <c r="P173" s="189"/>
      <c r="Q173" s="189"/>
      <c r="R173" s="158"/>
      <c r="S173" s="159"/>
      <c r="T173" s="175"/>
      <c r="U173" s="159" t="s">
        <v>217</v>
      </c>
      <c r="V173" s="158">
        <v>20000</v>
      </c>
      <c r="W173" s="159" t="s">
        <v>471</v>
      </c>
      <c r="X173" s="158">
        <f>124000+65872</f>
        <v>189872</v>
      </c>
      <c r="Y173" s="198" t="s">
        <v>2224</v>
      </c>
      <c r="Z173" s="131">
        <v>90000</v>
      </c>
      <c r="AA173" s="188" t="s">
        <v>335</v>
      </c>
      <c r="AB173" s="158">
        <v>400000</v>
      </c>
      <c r="AC173" s="159" t="s">
        <v>3244</v>
      </c>
      <c r="AH173" s="158">
        <f t="shared" si="12"/>
        <v>699872</v>
      </c>
      <c r="AK173" s="189">
        <f t="shared" ref="AK173:AK178" si="21">M173-AH173</f>
        <v>10000</v>
      </c>
      <c r="AL173" s="131">
        <v>15739881080</v>
      </c>
      <c r="AO173" s="131">
        <f t="shared" si="13"/>
        <v>699872</v>
      </c>
      <c r="AP173" s="161">
        <f>0.7%+0.03%+0.12%</f>
        <v>0.0085</v>
      </c>
      <c r="AQ173" s="192">
        <f t="shared" si="14"/>
        <v>0</v>
      </c>
      <c r="AR173" s="158"/>
      <c r="AS173" s="158"/>
      <c r="AT173" s="158"/>
      <c r="AU173" s="158"/>
      <c r="AV173" s="158"/>
      <c r="AW173" s="158"/>
      <c r="AX173" s="158"/>
      <c r="AY173" s="158"/>
      <c r="AZ173" s="158"/>
      <c r="BB173" s="158"/>
      <c r="BE173" s="131">
        <v>299872</v>
      </c>
      <c r="BG173" s="131">
        <v>400000</v>
      </c>
      <c r="BQ173" s="131" t="s">
        <v>205</v>
      </c>
      <c r="BR173" s="131" t="s">
        <v>206</v>
      </c>
    </row>
    <row r="174" s="131" customFormat="1" customHeight="1" spans="1:69">
      <c r="A174" s="175">
        <v>140</v>
      </c>
      <c r="C174" s="144"/>
      <c r="F174" s="726" t="s">
        <v>3245</v>
      </c>
      <c r="G174" s="131" t="s">
        <v>3246</v>
      </c>
      <c r="H174" s="726" t="s">
        <v>3247</v>
      </c>
      <c r="I174" s="131" t="s">
        <v>3248</v>
      </c>
      <c r="J174" s="131">
        <v>86.14</v>
      </c>
      <c r="K174" s="131">
        <v>86.14</v>
      </c>
      <c r="L174" s="131">
        <v>5372.65</v>
      </c>
      <c r="M174" s="158">
        <v>462800</v>
      </c>
      <c r="N174" s="158">
        <v>5305</v>
      </c>
      <c r="O174" s="188"/>
      <c r="P174" s="189"/>
      <c r="Q174" s="189"/>
      <c r="R174" s="158"/>
      <c r="S174" s="159"/>
      <c r="T174" s="175"/>
      <c r="U174" s="159" t="s">
        <v>422</v>
      </c>
      <c r="V174" s="158">
        <f>20000-20000</f>
        <v>0</v>
      </c>
      <c r="W174" s="159" t="s">
        <v>2790</v>
      </c>
      <c r="X174" s="158"/>
      <c r="Y174" s="198"/>
      <c r="AA174" s="188"/>
      <c r="AB174" s="158"/>
      <c r="AH174" s="158">
        <f t="shared" si="12"/>
        <v>0</v>
      </c>
      <c r="AK174" s="189">
        <f t="shared" si="21"/>
        <v>462800</v>
      </c>
      <c r="AL174" s="131">
        <v>13088766619</v>
      </c>
      <c r="AO174" s="131">
        <f t="shared" si="13"/>
        <v>0</v>
      </c>
      <c r="AP174" s="161">
        <f>0.7%+0.03%+0.08%</f>
        <v>0.0081</v>
      </c>
      <c r="AQ174" s="192">
        <f t="shared" si="14"/>
        <v>0</v>
      </c>
      <c r="AR174" s="158"/>
      <c r="AS174" s="158"/>
      <c r="AT174" s="158"/>
      <c r="AU174" s="158"/>
      <c r="AV174" s="158"/>
      <c r="AW174" s="158"/>
      <c r="AX174" s="158"/>
      <c r="AY174" s="158"/>
      <c r="AZ174" s="158"/>
      <c r="BB174" s="158"/>
      <c r="BQ174" s="131" t="s">
        <v>205</v>
      </c>
    </row>
    <row r="175" s="131" customFormat="1" customHeight="1" spans="1:70">
      <c r="A175" s="175">
        <v>141</v>
      </c>
      <c r="C175" s="144" t="s">
        <v>552</v>
      </c>
      <c r="D175" s="131">
        <v>20240001164</v>
      </c>
      <c r="F175" s="726" t="s">
        <v>3249</v>
      </c>
      <c r="G175" s="131" t="s">
        <v>3250</v>
      </c>
      <c r="H175" s="726" t="s">
        <v>3251</v>
      </c>
      <c r="I175" s="131" t="s">
        <v>3252</v>
      </c>
      <c r="J175" s="131">
        <v>126.97</v>
      </c>
      <c r="K175" s="131">
        <v>126.97</v>
      </c>
      <c r="L175" s="131">
        <v>5300</v>
      </c>
      <c r="M175" s="158">
        <v>672941</v>
      </c>
      <c r="N175" s="158">
        <v>5274</v>
      </c>
      <c r="O175" s="188"/>
      <c r="P175" s="189"/>
      <c r="Q175" s="189"/>
      <c r="R175" s="158"/>
      <c r="S175" s="159"/>
      <c r="T175" s="175"/>
      <c r="U175" s="159" t="s">
        <v>217</v>
      </c>
      <c r="V175" s="158">
        <v>10000</v>
      </c>
      <c r="W175" s="159" t="s">
        <v>679</v>
      </c>
      <c r="X175" s="158">
        <v>192941</v>
      </c>
      <c r="Y175" s="159" t="s">
        <v>552</v>
      </c>
      <c r="Z175" s="158">
        <v>470000</v>
      </c>
      <c r="AA175" s="131" t="s">
        <v>3027</v>
      </c>
      <c r="AB175" s="158"/>
      <c r="AH175" s="158">
        <f t="shared" si="12"/>
        <v>672941</v>
      </c>
      <c r="AK175" s="189">
        <f t="shared" si="21"/>
        <v>0</v>
      </c>
      <c r="AL175" s="131">
        <v>19916461484</v>
      </c>
      <c r="AO175" s="131">
        <f t="shared" si="13"/>
        <v>672941</v>
      </c>
      <c r="AP175" s="161">
        <f>0.6%+0.04%+0.14%</f>
        <v>0.0078</v>
      </c>
      <c r="AQ175" s="192">
        <f t="shared" si="14"/>
        <v>0</v>
      </c>
      <c r="AR175" s="158"/>
      <c r="AS175" s="158"/>
      <c r="AT175" s="158"/>
      <c r="AU175" s="158"/>
      <c r="AV175" s="158"/>
      <c r="AW175" s="158"/>
      <c r="AX175" s="158"/>
      <c r="AY175" s="158"/>
      <c r="AZ175" s="158"/>
      <c r="BB175" s="158"/>
      <c r="BG175" s="131">
        <v>672941</v>
      </c>
      <c r="BQ175" s="131" t="s">
        <v>205</v>
      </c>
      <c r="BR175" s="131" t="s">
        <v>206</v>
      </c>
    </row>
    <row r="176" s="131" customFormat="1" customHeight="1" spans="1:70">
      <c r="A176" s="175">
        <v>142</v>
      </c>
      <c r="C176" s="144" t="s">
        <v>3253</v>
      </c>
      <c r="D176" s="131">
        <v>20240000768</v>
      </c>
      <c r="F176" s="726" t="s">
        <v>3254</v>
      </c>
      <c r="G176" s="131" t="s">
        <v>3255</v>
      </c>
      <c r="I176" s="131" t="s">
        <v>3256</v>
      </c>
      <c r="J176" s="131">
        <v>132.34</v>
      </c>
      <c r="K176" s="131">
        <v>132.34</v>
      </c>
      <c r="L176" s="131">
        <v>5360</v>
      </c>
      <c r="M176" s="158">
        <v>709343</v>
      </c>
      <c r="N176" s="158">
        <v>5297</v>
      </c>
      <c r="O176" s="188"/>
      <c r="P176" s="189"/>
      <c r="Q176" s="189"/>
      <c r="R176" s="158"/>
      <c r="S176" s="159"/>
      <c r="T176" s="175"/>
      <c r="U176" s="159" t="s">
        <v>201</v>
      </c>
      <c r="V176" s="158">
        <v>20000</v>
      </c>
      <c r="W176" s="159" t="s">
        <v>335</v>
      </c>
      <c r="X176" s="158">
        <v>94343</v>
      </c>
      <c r="Y176" s="198" t="s">
        <v>3253</v>
      </c>
      <c r="Z176" s="158">
        <v>35000</v>
      </c>
      <c r="AA176" s="159" t="s">
        <v>3022</v>
      </c>
      <c r="AB176" s="158">
        <v>560000</v>
      </c>
      <c r="AC176" s="159" t="s">
        <v>203</v>
      </c>
      <c r="AH176" s="158">
        <f t="shared" si="12"/>
        <v>709343</v>
      </c>
      <c r="AK176" s="189">
        <f t="shared" si="21"/>
        <v>0</v>
      </c>
      <c r="AL176" s="131">
        <v>18299788507</v>
      </c>
      <c r="AO176" s="131">
        <f t="shared" si="13"/>
        <v>709343</v>
      </c>
      <c r="AP176" s="161">
        <f>0.6%+0.12%</f>
        <v>0.0072</v>
      </c>
      <c r="AQ176" s="192">
        <f t="shared" si="14"/>
        <v>0</v>
      </c>
      <c r="AR176" s="158"/>
      <c r="AS176" s="158"/>
      <c r="AT176" s="158"/>
      <c r="AU176" s="158"/>
      <c r="AV176" s="158"/>
      <c r="AW176" s="158"/>
      <c r="AX176" s="158"/>
      <c r="AY176" s="158"/>
      <c r="AZ176" s="158"/>
      <c r="BB176" s="158"/>
      <c r="BG176" s="131">
        <v>149343</v>
      </c>
      <c r="BH176" s="131">
        <v>560000</v>
      </c>
      <c r="BQ176" s="131" t="s">
        <v>205</v>
      </c>
      <c r="BR176" s="131" t="s">
        <v>206</v>
      </c>
    </row>
    <row r="177" s="131" customFormat="1" customHeight="1" spans="1:54">
      <c r="A177" s="175">
        <v>143</v>
      </c>
      <c r="B177" s="131"/>
      <c r="C177" s="144" t="s">
        <v>375</v>
      </c>
      <c r="D177" s="131">
        <v>20240005800</v>
      </c>
      <c r="F177" s="726" t="s">
        <v>3257</v>
      </c>
      <c r="G177" s="131" t="s">
        <v>3258</v>
      </c>
      <c r="H177" s="726" t="s">
        <v>3259</v>
      </c>
      <c r="I177" s="131" t="s">
        <v>3260</v>
      </c>
      <c r="J177" s="131">
        <v>86.14</v>
      </c>
      <c r="K177" s="131">
        <v>86.14</v>
      </c>
      <c r="L177" s="131">
        <v>5224.05</v>
      </c>
      <c r="M177" s="158">
        <v>450000</v>
      </c>
      <c r="N177" s="158">
        <v>5224.05</v>
      </c>
      <c r="O177" s="188"/>
      <c r="P177" s="189"/>
      <c r="Q177" s="189"/>
      <c r="R177" s="158">
        <f>219000+71000</f>
        <v>290000</v>
      </c>
      <c r="S177" s="159" t="s">
        <v>375</v>
      </c>
      <c r="T177" s="175"/>
      <c r="U177" s="159" t="s">
        <v>408</v>
      </c>
      <c r="V177" s="158">
        <v>10000</v>
      </c>
      <c r="W177" s="159">
        <v>45559</v>
      </c>
      <c r="X177" s="158">
        <v>71000</v>
      </c>
      <c r="Y177" s="159" t="s">
        <v>375</v>
      </c>
      <c r="Z177" s="131">
        <v>219000</v>
      </c>
      <c r="AA177" s="188" t="s">
        <v>3261</v>
      </c>
      <c r="AB177" s="158"/>
      <c r="AH177" s="158">
        <f t="shared" si="12"/>
        <v>300000</v>
      </c>
      <c r="AK177" s="189">
        <f t="shared" si="21"/>
        <v>150000</v>
      </c>
      <c r="AL177" s="131">
        <v>13779243720</v>
      </c>
      <c r="AM177" s="131" t="s">
        <v>3054</v>
      </c>
      <c r="AO177" s="131">
        <f t="shared" si="13"/>
        <v>0</v>
      </c>
      <c r="AP177" s="161">
        <f>0.5%+0.04%+0.1%</f>
        <v>0.0064</v>
      </c>
      <c r="AQ177" s="192">
        <f t="shared" si="14"/>
        <v>0</v>
      </c>
      <c r="AR177" s="158"/>
      <c r="AS177" s="158"/>
      <c r="AT177" s="158"/>
      <c r="AU177" s="158"/>
      <c r="AV177" s="158"/>
      <c r="AW177" s="158"/>
      <c r="AX177" s="158"/>
      <c r="AY177" s="158"/>
      <c r="AZ177" s="158"/>
      <c r="BB177" s="158"/>
    </row>
    <row r="178" s="131" customFormat="1" customHeight="1" spans="1:69">
      <c r="A178" s="175">
        <v>144</v>
      </c>
      <c r="C178" s="176">
        <v>45380</v>
      </c>
      <c r="D178" s="131">
        <v>20240001739</v>
      </c>
      <c r="F178" s="726" t="s">
        <v>3262</v>
      </c>
      <c r="G178" s="131" t="s">
        <v>3263</v>
      </c>
      <c r="H178" s="726" t="s">
        <v>3264</v>
      </c>
      <c r="I178" s="131" t="s">
        <v>3265</v>
      </c>
      <c r="J178" s="131">
        <v>126.97</v>
      </c>
      <c r="K178" s="131">
        <v>126.97</v>
      </c>
      <c r="L178" s="131">
        <v>5400</v>
      </c>
      <c r="M178" s="158">
        <v>685638</v>
      </c>
      <c r="N178" s="158">
        <v>5307</v>
      </c>
      <c r="O178" s="188"/>
      <c r="P178" s="189"/>
      <c r="Q178" s="189"/>
      <c r="R178" s="158"/>
      <c r="S178" s="159"/>
      <c r="T178" s="175"/>
      <c r="U178" s="159" t="s">
        <v>201</v>
      </c>
      <c r="V178" s="158">
        <v>20000</v>
      </c>
      <c r="W178" s="159" t="s">
        <v>3266</v>
      </c>
      <c r="X178" s="158">
        <f>170000+115638</f>
        <v>285638</v>
      </c>
      <c r="Y178" s="198" t="s">
        <v>398</v>
      </c>
      <c r="Z178" s="158">
        <v>380000</v>
      </c>
      <c r="AA178" s="159">
        <v>45537</v>
      </c>
      <c r="AB178" s="158"/>
      <c r="AH178" s="158">
        <f t="shared" si="12"/>
        <v>685638</v>
      </c>
      <c r="AK178" s="189">
        <f t="shared" si="21"/>
        <v>0</v>
      </c>
      <c r="AL178" s="131">
        <v>19839627526</v>
      </c>
      <c r="AO178" s="131">
        <f t="shared" si="13"/>
        <v>685638</v>
      </c>
      <c r="AP178" s="161">
        <f>0.6%+0.12%</f>
        <v>0.0072</v>
      </c>
      <c r="AQ178" s="192">
        <f t="shared" si="14"/>
        <v>0</v>
      </c>
      <c r="AR178" s="158"/>
      <c r="AS178" s="158"/>
      <c r="AT178" s="158"/>
      <c r="AU178" s="158"/>
      <c r="AV178" s="158"/>
      <c r="AW178" s="158"/>
      <c r="AX178" s="158"/>
      <c r="AY178" s="158"/>
      <c r="AZ178" s="158"/>
      <c r="BB178" s="158"/>
      <c r="BH178" s="131">
        <v>305638</v>
      </c>
      <c r="BM178" s="131">
        <v>380000</v>
      </c>
      <c r="BO178" s="131">
        <f>AP178*BM178</f>
        <v>2736</v>
      </c>
      <c r="BQ178" s="131" t="s">
        <v>205</v>
      </c>
    </row>
    <row r="179" s="131" customFormat="1" customHeight="1" spans="1:70">
      <c r="A179" s="175">
        <v>145</v>
      </c>
      <c r="C179" s="176">
        <v>45359</v>
      </c>
      <c r="D179" s="131">
        <v>20240001229</v>
      </c>
      <c r="F179" s="726" t="s">
        <v>3267</v>
      </c>
      <c r="G179" s="131" t="s">
        <v>3268</v>
      </c>
      <c r="H179" s="726" t="s">
        <v>3269</v>
      </c>
      <c r="I179" s="131" t="s">
        <v>3270</v>
      </c>
      <c r="J179" s="131">
        <v>132.34</v>
      </c>
      <c r="K179" s="131">
        <v>132.34</v>
      </c>
      <c r="L179" s="131">
        <v>5400</v>
      </c>
      <c r="M179" s="158">
        <v>714636</v>
      </c>
      <c r="N179" s="158">
        <v>5334</v>
      </c>
      <c r="O179" s="188"/>
      <c r="P179" s="189"/>
      <c r="Q179" s="189"/>
      <c r="R179" s="158"/>
      <c r="S179" s="159"/>
      <c r="T179" s="175"/>
      <c r="U179" s="159" t="s">
        <v>411</v>
      </c>
      <c r="V179" s="158">
        <v>20000</v>
      </c>
      <c r="W179" s="159" t="s">
        <v>3017</v>
      </c>
      <c r="X179" s="158">
        <v>224636</v>
      </c>
      <c r="Y179" s="198" t="s">
        <v>3093</v>
      </c>
      <c r="Z179" s="131">
        <v>470000</v>
      </c>
      <c r="AA179" s="188" t="s">
        <v>3271</v>
      </c>
      <c r="AB179" s="158"/>
      <c r="AH179" s="158">
        <f t="shared" si="12"/>
        <v>714636</v>
      </c>
      <c r="AK179" s="189">
        <f t="shared" ref="AK179:AK185" si="22">M179-AH179</f>
        <v>0</v>
      </c>
      <c r="AL179" s="131">
        <v>18909966805</v>
      </c>
      <c r="AO179" s="131">
        <f t="shared" si="13"/>
        <v>714636</v>
      </c>
      <c r="AP179" s="161">
        <f>0.4%+0.12%</f>
        <v>0.0052</v>
      </c>
      <c r="AQ179" s="192">
        <f t="shared" si="14"/>
        <v>0</v>
      </c>
      <c r="AR179" s="158"/>
      <c r="AS179" s="158"/>
      <c r="AT179" s="158"/>
      <c r="AU179" s="158"/>
      <c r="AV179" s="158"/>
      <c r="AW179" s="158"/>
      <c r="AX179" s="158"/>
      <c r="AY179" s="158"/>
      <c r="AZ179" s="158"/>
      <c r="BB179" s="158"/>
      <c r="BG179" s="131">
        <v>714636</v>
      </c>
      <c r="BQ179" s="131" t="s">
        <v>205</v>
      </c>
      <c r="BR179" s="131" t="s">
        <v>206</v>
      </c>
    </row>
    <row r="180" s="89" customFormat="1" customHeight="1" spans="1:54">
      <c r="A180" s="167">
        <v>146</v>
      </c>
      <c r="C180" s="174"/>
      <c r="I180" s="89" t="s">
        <v>3272</v>
      </c>
      <c r="J180" s="89">
        <v>86.14</v>
      </c>
      <c r="M180" s="168"/>
      <c r="N180" s="168">
        <v>5367</v>
      </c>
      <c r="O180" s="170"/>
      <c r="P180" s="184"/>
      <c r="Q180" s="184"/>
      <c r="R180" s="168"/>
      <c r="S180" s="171"/>
      <c r="T180" s="167"/>
      <c r="U180" s="171"/>
      <c r="V180" s="168"/>
      <c r="X180" s="168"/>
      <c r="Y180" s="197"/>
      <c r="AA180" s="170"/>
      <c r="AB180" s="168"/>
      <c r="AH180" s="168">
        <f t="shared" si="12"/>
        <v>0</v>
      </c>
      <c r="AK180" s="184"/>
      <c r="AO180" s="89">
        <f t="shared" si="13"/>
        <v>0</v>
      </c>
      <c r="AP180" s="203"/>
      <c r="AQ180" s="204">
        <f t="shared" si="14"/>
        <v>0</v>
      </c>
      <c r="AR180" s="168"/>
      <c r="AS180" s="168"/>
      <c r="AT180" s="168"/>
      <c r="AU180" s="168"/>
      <c r="AV180" s="168"/>
      <c r="AW180" s="168"/>
      <c r="AX180" s="168"/>
      <c r="AY180" s="168"/>
      <c r="AZ180" s="168"/>
      <c r="BB180" s="168"/>
    </row>
    <row r="181" s="131" customFormat="1" customHeight="1" spans="1:70">
      <c r="A181" s="175">
        <v>147</v>
      </c>
      <c r="C181" s="144">
        <v>2024.1</v>
      </c>
      <c r="D181" s="131">
        <v>20240000056</v>
      </c>
      <c r="F181" s="131" t="s">
        <v>3273</v>
      </c>
      <c r="G181" s="131" t="s">
        <v>3274</v>
      </c>
      <c r="H181" s="726" t="s">
        <v>3275</v>
      </c>
      <c r="I181" s="131" t="s">
        <v>3276</v>
      </c>
      <c r="J181" s="131">
        <v>126.97</v>
      </c>
      <c r="K181" s="131">
        <v>126.97</v>
      </c>
      <c r="L181" s="131">
        <v>5444</v>
      </c>
      <c r="M181" s="158">
        <v>691225</v>
      </c>
      <c r="N181" s="158">
        <v>5344</v>
      </c>
      <c r="O181" s="188"/>
      <c r="P181" s="189"/>
      <c r="Q181" s="189"/>
      <c r="R181" s="158"/>
      <c r="S181" s="213"/>
      <c r="T181" s="728" t="s">
        <v>3277</v>
      </c>
      <c r="U181" s="213" t="s">
        <v>217</v>
      </c>
      <c r="V181" s="158">
        <v>2000</v>
      </c>
      <c r="W181" s="213" t="s">
        <v>2301</v>
      </c>
      <c r="X181" s="158">
        <v>18000</v>
      </c>
      <c r="Y181" s="198" t="s">
        <v>385</v>
      </c>
      <c r="Z181" s="158">
        <f>60000+111225</f>
        <v>171225</v>
      </c>
      <c r="AA181" s="213" t="s">
        <v>3012</v>
      </c>
      <c r="AB181" s="158">
        <v>500000</v>
      </c>
      <c r="AC181" s="213" t="s">
        <v>3093</v>
      </c>
      <c r="AH181" s="158">
        <f t="shared" si="12"/>
        <v>691225</v>
      </c>
      <c r="AK181" s="189">
        <f t="shared" si="22"/>
        <v>0</v>
      </c>
      <c r="AL181" s="131">
        <v>19944270256</v>
      </c>
      <c r="AO181" s="131">
        <f t="shared" si="13"/>
        <v>691225</v>
      </c>
      <c r="AP181" s="161">
        <f>0.5%+0.02%+0.08%</f>
        <v>0.006</v>
      </c>
      <c r="AQ181" s="192">
        <f t="shared" si="14"/>
        <v>0</v>
      </c>
      <c r="AR181" s="158"/>
      <c r="AS181" s="158"/>
      <c r="AT181" s="158"/>
      <c r="AU181" s="158"/>
      <c r="AV181" s="158"/>
      <c r="AW181" s="158"/>
      <c r="AX181" s="158"/>
      <c r="AY181" s="158"/>
      <c r="AZ181" s="158"/>
      <c r="BB181" s="158"/>
      <c r="BE181" s="131">
        <v>191225</v>
      </c>
      <c r="BG181" s="131">
        <v>500000</v>
      </c>
      <c r="BQ181" s="131" t="s">
        <v>205</v>
      </c>
      <c r="BR181" s="131" t="s">
        <v>206</v>
      </c>
    </row>
    <row r="182" s="131" customFormat="1" customHeight="1" spans="1:70">
      <c r="A182" s="175">
        <v>148</v>
      </c>
      <c r="C182" s="176">
        <v>45395</v>
      </c>
      <c r="D182" s="131">
        <v>20240002044</v>
      </c>
      <c r="F182" s="726" t="s">
        <v>3278</v>
      </c>
      <c r="G182" s="131" t="s">
        <v>3279</v>
      </c>
      <c r="H182" s="726" t="s">
        <v>3280</v>
      </c>
      <c r="I182" s="131" t="s">
        <v>3281</v>
      </c>
      <c r="J182" s="131">
        <v>132.34</v>
      </c>
      <c r="K182" s="131">
        <v>132.34</v>
      </c>
      <c r="L182" s="131">
        <v>5380.08</v>
      </c>
      <c r="M182" s="158">
        <v>712000</v>
      </c>
      <c r="N182" s="158">
        <v>5362</v>
      </c>
      <c r="O182" s="188"/>
      <c r="P182" s="189"/>
      <c r="Q182" s="189"/>
      <c r="R182" s="158"/>
      <c r="S182" s="159"/>
      <c r="T182" s="175"/>
      <c r="U182" s="159" t="s">
        <v>201</v>
      </c>
      <c r="V182" s="158">
        <v>20000</v>
      </c>
      <c r="W182" s="159" t="s">
        <v>417</v>
      </c>
      <c r="X182" s="158">
        <v>692000</v>
      </c>
      <c r="Y182" s="198" t="s">
        <v>3282</v>
      </c>
      <c r="AA182" s="188"/>
      <c r="AB182" s="158"/>
      <c r="AH182" s="158">
        <f t="shared" si="12"/>
        <v>712000</v>
      </c>
      <c r="AK182" s="189">
        <f t="shared" si="22"/>
        <v>0</v>
      </c>
      <c r="AL182" s="131">
        <v>13119072854</v>
      </c>
      <c r="AO182" s="131">
        <f t="shared" si="13"/>
        <v>712000</v>
      </c>
      <c r="AP182" s="161">
        <f>0.6%+0.12%</f>
        <v>0.0072</v>
      </c>
      <c r="AQ182" s="192">
        <f t="shared" si="14"/>
        <v>0</v>
      </c>
      <c r="AR182" s="158"/>
      <c r="AS182" s="158"/>
      <c r="AT182" s="158"/>
      <c r="AU182" s="158"/>
      <c r="AV182" s="158"/>
      <c r="AW182" s="158"/>
      <c r="AX182" s="158"/>
      <c r="AY182" s="158"/>
      <c r="AZ182" s="158"/>
      <c r="BB182" s="158"/>
      <c r="BH182" s="131">
        <v>712000</v>
      </c>
      <c r="BQ182" s="131" t="s">
        <v>205</v>
      </c>
      <c r="BR182" s="131" t="s">
        <v>206</v>
      </c>
    </row>
    <row r="183" s="89" customFormat="1" customHeight="1" spans="1:54">
      <c r="A183" s="167">
        <v>149</v>
      </c>
      <c r="C183" s="174"/>
      <c r="I183" s="89" t="s">
        <v>3283</v>
      </c>
      <c r="J183" s="89">
        <v>86.14</v>
      </c>
      <c r="M183" s="168"/>
      <c r="N183" s="168">
        <v>5382</v>
      </c>
      <c r="O183" s="170"/>
      <c r="P183" s="184"/>
      <c r="Q183" s="184"/>
      <c r="R183" s="168"/>
      <c r="S183" s="171"/>
      <c r="T183" s="167"/>
      <c r="U183" s="171"/>
      <c r="V183" s="168"/>
      <c r="X183" s="168"/>
      <c r="Y183" s="197"/>
      <c r="AA183" s="170"/>
      <c r="AB183" s="168"/>
      <c r="AH183" s="168">
        <f t="shared" si="12"/>
        <v>0</v>
      </c>
      <c r="AK183" s="184"/>
      <c r="AO183" s="89">
        <f t="shared" si="13"/>
        <v>0</v>
      </c>
      <c r="AP183" s="203"/>
      <c r="AQ183" s="204">
        <f t="shared" si="14"/>
        <v>0</v>
      </c>
      <c r="AR183" s="168"/>
      <c r="AS183" s="168"/>
      <c r="AT183" s="168"/>
      <c r="AU183" s="168"/>
      <c r="AV183" s="168"/>
      <c r="AW183" s="168"/>
      <c r="AX183" s="168"/>
      <c r="AY183" s="168"/>
      <c r="AZ183" s="168"/>
      <c r="BB183" s="168"/>
    </row>
    <row r="184" s="131" customFormat="1" customHeight="1" spans="1:74">
      <c r="A184" s="175">
        <v>150</v>
      </c>
      <c r="C184" s="144" t="s">
        <v>227</v>
      </c>
      <c r="D184" s="131">
        <v>20240001749</v>
      </c>
      <c r="F184" s="131" t="s">
        <v>3284</v>
      </c>
      <c r="G184" s="131" t="s">
        <v>3285</v>
      </c>
      <c r="H184" s="726" t="s">
        <v>3286</v>
      </c>
      <c r="I184" s="131" t="s">
        <v>3287</v>
      </c>
      <c r="J184" s="131">
        <v>126.97</v>
      </c>
      <c r="K184" s="131">
        <v>126.97</v>
      </c>
      <c r="L184" s="131">
        <v>5423</v>
      </c>
      <c r="M184" s="158">
        <v>688663</v>
      </c>
      <c r="N184" s="158">
        <v>5372</v>
      </c>
      <c r="O184" s="188"/>
      <c r="P184" s="189"/>
      <c r="Q184" s="189"/>
      <c r="R184" s="158"/>
      <c r="S184" s="159"/>
      <c r="T184" s="175"/>
      <c r="U184" s="159" t="s">
        <v>1811</v>
      </c>
      <c r="V184" s="158">
        <v>10000</v>
      </c>
      <c r="W184" s="159" t="s">
        <v>3140</v>
      </c>
      <c r="X184" s="158">
        <v>128663</v>
      </c>
      <c r="Y184" s="198" t="s">
        <v>227</v>
      </c>
      <c r="Z184" s="158">
        <v>550000</v>
      </c>
      <c r="AA184" s="159" t="s">
        <v>319</v>
      </c>
      <c r="AB184" s="158"/>
      <c r="AH184" s="158">
        <f t="shared" si="12"/>
        <v>688663</v>
      </c>
      <c r="AK184" s="189">
        <f t="shared" si="22"/>
        <v>0</v>
      </c>
      <c r="AL184" s="131">
        <v>17604863423</v>
      </c>
      <c r="AO184" s="131">
        <f t="shared" si="13"/>
        <v>688663</v>
      </c>
      <c r="AP184" s="161">
        <f>0.5%+0.04%+0.12%</f>
        <v>0.0066</v>
      </c>
      <c r="AQ184" s="192">
        <f t="shared" si="14"/>
        <v>0</v>
      </c>
      <c r="AR184" s="158"/>
      <c r="AS184" s="158"/>
      <c r="AT184" s="158"/>
      <c r="AU184" s="158"/>
      <c r="AV184" s="158"/>
      <c r="AW184" s="158"/>
      <c r="AX184" s="158"/>
      <c r="AY184" s="158"/>
      <c r="AZ184" s="158"/>
      <c r="BB184" s="158"/>
      <c r="BG184" s="131">
        <v>138663</v>
      </c>
      <c r="BJ184" s="131">
        <v>550000</v>
      </c>
      <c r="BQ184" s="131" t="s">
        <v>205</v>
      </c>
      <c r="BR184" s="131" t="s">
        <v>206</v>
      </c>
      <c r="BV184" s="131">
        <f>BT184-BU184</f>
        <v>0</v>
      </c>
    </row>
    <row r="185" s="131" customFormat="1" customHeight="1" spans="1:70">
      <c r="A185" s="175">
        <v>151</v>
      </c>
      <c r="C185" s="144" t="s">
        <v>467</v>
      </c>
      <c r="D185" s="131">
        <v>20240000205</v>
      </c>
      <c r="F185" s="726" t="s">
        <v>3288</v>
      </c>
      <c r="G185" s="131" t="s">
        <v>3289</v>
      </c>
      <c r="H185" s="726" t="s">
        <v>3290</v>
      </c>
      <c r="I185" s="131" t="s">
        <v>3291</v>
      </c>
      <c r="J185" s="131">
        <v>132.34</v>
      </c>
      <c r="K185" s="131">
        <v>132.34</v>
      </c>
      <c r="L185" s="131">
        <v>5487</v>
      </c>
      <c r="M185" s="158">
        <v>726150</v>
      </c>
      <c r="N185" s="158">
        <v>5387</v>
      </c>
      <c r="O185" s="188"/>
      <c r="P185" s="189"/>
      <c r="Q185" s="189"/>
      <c r="R185" s="158"/>
      <c r="S185" s="159"/>
      <c r="T185" s="175"/>
      <c r="U185" s="159" t="s">
        <v>411</v>
      </c>
      <c r="V185" s="158">
        <v>20000</v>
      </c>
      <c r="W185" s="159" t="s">
        <v>456</v>
      </c>
      <c r="X185" s="158">
        <v>706150</v>
      </c>
      <c r="Y185" s="198" t="s">
        <v>467</v>
      </c>
      <c r="AA185" s="188"/>
      <c r="AB185" s="158"/>
      <c r="AH185" s="158">
        <f t="shared" si="12"/>
        <v>726150</v>
      </c>
      <c r="AK185" s="189">
        <f t="shared" si="22"/>
        <v>0</v>
      </c>
      <c r="AL185" s="131">
        <v>18599361936</v>
      </c>
      <c r="AO185" s="131">
        <f t="shared" si="13"/>
        <v>726150</v>
      </c>
      <c r="AP185" s="161">
        <f>0.7%+0.12%</f>
        <v>0.0082</v>
      </c>
      <c r="AQ185" s="192">
        <f t="shared" si="14"/>
        <v>0</v>
      </c>
      <c r="AR185" s="158"/>
      <c r="AS185" s="158"/>
      <c r="AT185" s="158"/>
      <c r="AU185" s="158"/>
      <c r="AV185" s="158"/>
      <c r="AW185" s="158"/>
      <c r="AX185" s="158"/>
      <c r="AY185" s="158"/>
      <c r="AZ185" s="158"/>
      <c r="BB185" s="158"/>
      <c r="BE185" s="131">
        <v>726150</v>
      </c>
      <c r="BQ185" s="131" t="s">
        <v>205</v>
      </c>
      <c r="BR185" s="131" t="s">
        <v>206</v>
      </c>
    </row>
    <row r="186" s="89" customFormat="1" customHeight="1" spans="1:54">
      <c r="A186" s="167">
        <v>152</v>
      </c>
      <c r="C186" s="174"/>
      <c r="I186" s="89" t="s">
        <v>3292</v>
      </c>
      <c r="J186" s="89">
        <v>86.14</v>
      </c>
      <c r="M186" s="168"/>
      <c r="N186" s="168">
        <v>5402</v>
      </c>
      <c r="O186" s="170"/>
      <c r="P186" s="184"/>
      <c r="Q186" s="184"/>
      <c r="R186" s="168"/>
      <c r="S186" s="171"/>
      <c r="T186" s="167"/>
      <c r="U186" s="171"/>
      <c r="V186" s="168"/>
      <c r="X186" s="168"/>
      <c r="Y186" s="197"/>
      <c r="AA186" s="170"/>
      <c r="AB186" s="168"/>
      <c r="AH186" s="168">
        <f t="shared" si="12"/>
        <v>0</v>
      </c>
      <c r="AK186" s="184"/>
      <c r="AO186" s="89">
        <f t="shared" si="13"/>
        <v>0</v>
      </c>
      <c r="AP186" s="203"/>
      <c r="AQ186" s="204">
        <f t="shared" si="14"/>
        <v>0</v>
      </c>
      <c r="AR186" s="168"/>
      <c r="AS186" s="168"/>
      <c r="AT186" s="168"/>
      <c r="AU186" s="168"/>
      <c r="AV186" s="168"/>
      <c r="AW186" s="168"/>
      <c r="AX186" s="168"/>
      <c r="AY186" s="168"/>
      <c r="AZ186" s="168"/>
      <c r="BB186" s="168"/>
    </row>
    <row r="187" s="131" customFormat="1" customHeight="1" spans="1:70">
      <c r="A187" s="175">
        <v>153</v>
      </c>
      <c r="C187" s="144" t="s">
        <v>417</v>
      </c>
      <c r="D187" s="131">
        <v>20240001791</v>
      </c>
      <c r="F187" s="726" t="s">
        <v>3293</v>
      </c>
      <c r="G187" s="131" t="s">
        <v>3294</v>
      </c>
      <c r="H187" s="726" t="s">
        <v>3295</v>
      </c>
      <c r="I187" s="131" t="s">
        <v>3296</v>
      </c>
      <c r="J187" s="131">
        <v>126.97</v>
      </c>
      <c r="K187" s="131">
        <v>126.97</v>
      </c>
      <c r="L187" s="131">
        <v>5497</v>
      </c>
      <c r="M187" s="158">
        <v>698000</v>
      </c>
      <c r="N187" s="158">
        <v>5397</v>
      </c>
      <c r="O187" s="188"/>
      <c r="P187" s="189"/>
      <c r="Q187" s="189"/>
      <c r="R187" s="158"/>
      <c r="S187" s="159"/>
      <c r="T187" s="175"/>
      <c r="U187" s="159" t="s">
        <v>211</v>
      </c>
      <c r="V187" s="158">
        <v>20000</v>
      </c>
      <c r="W187" s="159" t="s">
        <v>417</v>
      </c>
      <c r="X187" s="158">
        <v>120000</v>
      </c>
      <c r="Y187" s="198" t="s">
        <v>417</v>
      </c>
      <c r="Z187" s="131">
        <v>558000</v>
      </c>
      <c r="AA187" s="188" t="s">
        <v>2944</v>
      </c>
      <c r="AB187" s="158"/>
      <c r="AH187" s="158">
        <f t="shared" si="12"/>
        <v>698000</v>
      </c>
      <c r="AK187" s="189">
        <f>M187-AH187</f>
        <v>0</v>
      </c>
      <c r="AL187" s="131">
        <v>18510342124</v>
      </c>
      <c r="AO187" s="131">
        <f t="shared" si="13"/>
        <v>698000</v>
      </c>
      <c r="AP187" s="161">
        <f>0.7%+0.05%+0.12%</f>
        <v>0.0087</v>
      </c>
      <c r="AQ187" s="192">
        <f t="shared" si="14"/>
        <v>0</v>
      </c>
      <c r="AR187" s="158"/>
      <c r="AS187" s="158"/>
      <c r="AT187" s="158"/>
      <c r="AU187" s="158"/>
      <c r="AV187" s="158"/>
      <c r="AW187" s="158"/>
      <c r="AX187" s="158"/>
      <c r="AY187" s="158"/>
      <c r="AZ187" s="158"/>
      <c r="BB187" s="158"/>
      <c r="BH187" s="131">
        <v>698000</v>
      </c>
      <c r="BQ187" s="131" t="s">
        <v>205</v>
      </c>
      <c r="BR187" s="131" t="s">
        <v>206</v>
      </c>
    </row>
    <row r="188" s="131" customFormat="1" ht="30" customHeight="1" spans="1:54">
      <c r="A188" s="175">
        <v>154</v>
      </c>
      <c r="C188" s="144" t="s">
        <v>375</v>
      </c>
      <c r="D188" s="131">
        <v>20240005820</v>
      </c>
      <c r="F188" s="726" t="s">
        <v>3297</v>
      </c>
      <c r="G188" s="144" t="s">
        <v>3298</v>
      </c>
      <c r="H188" s="729" t="s">
        <v>3299</v>
      </c>
      <c r="I188" s="131" t="s">
        <v>3300</v>
      </c>
      <c r="J188" s="131">
        <v>132.34</v>
      </c>
      <c r="K188" s="131">
        <v>132.34</v>
      </c>
      <c r="L188" s="188">
        <f>M188/K188</f>
        <v>5402.75049115913</v>
      </c>
      <c r="M188" s="158">
        <v>715000</v>
      </c>
      <c r="N188" s="158">
        <v>5402.75</v>
      </c>
      <c r="O188" s="189"/>
      <c r="P188" s="189"/>
      <c r="Q188" s="189"/>
      <c r="R188" s="158">
        <v>113000</v>
      </c>
      <c r="S188" s="213" t="s">
        <v>375</v>
      </c>
      <c r="T188" s="214"/>
      <c r="U188" s="213" t="s">
        <v>211</v>
      </c>
      <c r="V188" s="158">
        <v>20000</v>
      </c>
      <c r="W188" s="213" t="s">
        <v>2790</v>
      </c>
      <c r="X188" s="158">
        <v>113000</v>
      </c>
      <c r="Y188" s="213" t="s">
        <v>375</v>
      </c>
      <c r="AA188" s="188"/>
      <c r="AB188" s="158"/>
      <c r="AH188" s="158">
        <f t="shared" si="12"/>
        <v>133000</v>
      </c>
      <c r="AK188" s="189">
        <f>M188-AH188</f>
        <v>582000</v>
      </c>
      <c r="AL188" s="131">
        <v>15090288289</v>
      </c>
      <c r="AN188" s="189"/>
      <c r="AO188" s="131">
        <f t="shared" si="13"/>
        <v>0</v>
      </c>
      <c r="AP188" s="161">
        <f>0.4%+0.03%+0.08%</f>
        <v>0.0051</v>
      </c>
      <c r="AQ188" s="192">
        <f t="shared" si="14"/>
        <v>0</v>
      </c>
      <c r="AR188" s="158"/>
      <c r="AS188" s="158"/>
      <c r="AT188" s="158"/>
      <c r="AU188" s="158"/>
      <c r="AV188" s="158"/>
      <c r="AW188" s="158"/>
      <c r="AX188" s="158"/>
      <c r="AY188" s="158"/>
      <c r="AZ188" s="158"/>
      <c r="BB188" s="158"/>
    </row>
    <row r="189" s="89" customFormat="1" ht="55" customHeight="1" spans="1:55">
      <c r="A189" s="167">
        <v>155</v>
      </c>
      <c r="C189" s="174"/>
      <c r="E189" s="89" t="s">
        <v>3116</v>
      </c>
      <c r="G189" s="174"/>
      <c r="H189" s="174"/>
      <c r="I189" s="89" t="s">
        <v>3301</v>
      </c>
      <c r="J189" s="89">
        <v>86.14</v>
      </c>
      <c r="M189" s="168"/>
      <c r="N189" s="168">
        <v>5412</v>
      </c>
      <c r="O189" s="184"/>
      <c r="P189" s="184"/>
      <c r="Q189" s="184"/>
      <c r="R189" s="168"/>
      <c r="S189" s="217"/>
      <c r="T189" s="218"/>
      <c r="U189" s="217"/>
      <c r="V189" s="168"/>
      <c r="W189" s="217"/>
      <c r="X189" s="168"/>
      <c r="Y189" s="170"/>
      <c r="AA189" s="170"/>
      <c r="AB189" s="168"/>
      <c r="AH189" s="168">
        <f t="shared" si="12"/>
        <v>0</v>
      </c>
      <c r="AK189" s="184"/>
      <c r="AN189" s="184"/>
      <c r="AO189" s="89">
        <f t="shared" si="13"/>
        <v>0</v>
      </c>
      <c r="AP189" s="106"/>
      <c r="AQ189" s="204">
        <f t="shared" si="14"/>
        <v>0</v>
      </c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219"/>
      <c r="BB189" s="168"/>
      <c r="BC189" s="219"/>
    </row>
    <row r="190" s="131" customFormat="1" customHeight="1" spans="1:70">
      <c r="A190" s="175">
        <v>156</v>
      </c>
      <c r="C190" s="176">
        <v>45417</v>
      </c>
      <c r="D190" s="131">
        <v>20240002564</v>
      </c>
      <c r="F190" s="726" t="s">
        <v>3302</v>
      </c>
      <c r="G190" s="131" t="s">
        <v>3303</v>
      </c>
      <c r="H190" s="726" t="s">
        <v>3304</v>
      </c>
      <c r="I190" s="131" t="s">
        <v>3305</v>
      </c>
      <c r="J190" s="131">
        <v>126.97</v>
      </c>
      <c r="K190" s="131">
        <v>126.97</v>
      </c>
      <c r="L190" s="131">
        <v>5434.35</v>
      </c>
      <c r="M190" s="158">
        <v>690000</v>
      </c>
      <c r="N190" s="158">
        <v>5417</v>
      </c>
      <c r="O190" s="189"/>
      <c r="P190" s="189"/>
      <c r="Q190" s="189"/>
      <c r="R190" s="158"/>
      <c r="T190" s="175"/>
      <c r="U190" s="131" t="s">
        <v>411</v>
      </c>
      <c r="V190" s="158">
        <v>20000</v>
      </c>
      <c r="W190" s="131" t="s">
        <v>517</v>
      </c>
      <c r="X190" s="158">
        <v>44000</v>
      </c>
      <c r="Y190" s="188" t="s">
        <v>687</v>
      </c>
      <c r="Z190" s="158">
        <v>74000</v>
      </c>
      <c r="AA190" s="131" t="s">
        <v>2927</v>
      </c>
      <c r="AB190" s="158">
        <v>552000</v>
      </c>
      <c r="AC190" s="131" t="s">
        <v>221</v>
      </c>
      <c r="AH190" s="158">
        <f t="shared" si="12"/>
        <v>690000</v>
      </c>
      <c r="AK190" s="189">
        <f>M190-AH190</f>
        <v>0</v>
      </c>
      <c r="AL190" s="131">
        <v>18149847557</v>
      </c>
      <c r="AN190" s="189"/>
      <c r="AO190" s="131">
        <f t="shared" si="13"/>
        <v>690000</v>
      </c>
      <c r="AP190" s="163">
        <f>0.7%+0.08%</f>
        <v>0.0078</v>
      </c>
      <c r="AQ190" s="192">
        <f t="shared" si="14"/>
        <v>0</v>
      </c>
      <c r="AR190" s="158"/>
      <c r="AS190" s="158"/>
      <c r="AT190" s="158"/>
      <c r="AU190" s="158"/>
      <c r="AV190" s="158"/>
      <c r="AW190" s="158"/>
      <c r="AX190" s="158"/>
      <c r="AY190" s="158"/>
      <c r="AZ190" s="158"/>
      <c r="BA190" s="220"/>
      <c r="BB190" s="158"/>
      <c r="BC190" s="220"/>
      <c r="BJ190" s="131">
        <v>138000</v>
      </c>
      <c r="BK190" s="131">
        <v>552000</v>
      </c>
      <c r="BQ190" s="131" t="s">
        <v>205</v>
      </c>
      <c r="BR190" s="131" t="s">
        <v>206</v>
      </c>
    </row>
    <row r="191" s="131" customFormat="1" customHeight="1" spans="1:70">
      <c r="A191" s="175">
        <v>157</v>
      </c>
      <c r="C191" s="176">
        <v>45434</v>
      </c>
      <c r="D191" s="131">
        <v>20240003053</v>
      </c>
      <c r="F191" s="726" t="s">
        <v>3306</v>
      </c>
      <c r="G191" s="131" t="s">
        <v>3307</v>
      </c>
      <c r="H191" s="726" t="s">
        <v>3308</v>
      </c>
      <c r="I191" s="131" t="s">
        <v>3309</v>
      </c>
      <c r="J191" s="131">
        <v>132.34</v>
      </c>
      <c r="K191" s="131">
        <v>132.34</v>
      </c>
      <c r="L191" s="131">
        <v>5213.84</v>
      </c>
      <c r="M191" s="158">
        <v>690000</v>
      </c>
      <c r="N191" s="158">
        <v>5213.84</v>
      </c>
      <c r="O191" s="189"/>
      <c r="P191" s="189"/>
      <c r="Q191" s="189"/>
      <c r="R191" s="158"/>
      <c r="S191" s="159"/>
      <c r="T191" s="175"/>
      <c r="U191" s="159" t="s">
        <v>1811</v>
      </c>
      <c r="V191" s="158">
        <v>20000</v>
      </c>
      <c r="W191" s="159" t="s">
        <v>204</v>
      </c>
      <c r="X191" s="158">
        <v>80000</v>
      </c>
      <c r="Y191" s="188" t="s">
        <v>327</v>
      </c>
      <c r="Z191" s="158">
        <v>40000</v>
      </c>
      <c r="AA191" s="159" t="s">
        <v>3310</v>
      </c>
      <c r="AB191" s="158">
        <v>550000</v>
      </c>
      <c r="AC191" s="159">
        <v>45548</v>
      </c>
      <c r="AH191" s="158">
        <f t="shared" si="12"/>
        <v>690000</v>
      </c>
      <c r="AK191" s="189">
        <f>M191-AH191</f>
        <v>0</v>
      </c>
      <c r="AL191" s="131">
        <v>15559346699</v>
      </c>
      <c r="AM191" s="131" t="s">
        <v>3007</v>
      </c>
      <c r="AN191" s="189"/>
      <c r="AO191" s="131">
        <f t="shared" si="13"/>
        <v>690000</v>
      </c>
      <c r="AP191" s="163">
        <f>0.5%+0.02%+0.08%</f>
        <v>0.006</v>
      </c>
      <c r="AQ191" s="192">
        <f t="shared" si="14"/>
        <v>0</v>
      </c>
      <c r="AR191" s="158"/>
      <c r="AS191" s="158"/>
      <c r="AT191" s="158"/>
      <c r="AU191" s="158"/>
      <c r="AV191" s="158"/>
      <c r="AW191" s="158"/>
      <c r="AX191" s="158"/>
      <c r="AY191" s="158"/>
      <c r="AZ191" s="158"/>
      <c r="BA191" s="220"/>
      <c r="BB191" s="158"/>
      <c r="BC191" s="220"/>
      <c r="BL191" s="131">
        <v>140000</v>
      </c>
      <c r="BM191" s="131">
        <v>550000</v>
      </c>
      <c r="BO191" s="131">
        <f>AP191*BM191</f>
        <v>3300</v>
      </c>
      <c r="BQ191" s="131" t="s">
        <v>205</v>
      </c>
      <c r="BR191" s="131" t="s">
        <v>206</v>
      </c>
    </row>
    <row r="192" s="89" customFormat="1" customHeight="1" spans="1:55">
      <c r="A192" s="167">
        <v>158</v>
      </c>
      <c r="C192" s="174"/>
      <c r="E192" s="89" t="s">
        <v>3311</v>
      </c>
      <c r="I192" s="89" t="s">
        <v>3312</v>
      </c>
      <c r="J192" s="89">
        <v>86.14</v>
      </c>
      <c r="M192" s="168"/>
      <c r="N192" s="168">
        <v>5422</v>
      </c>
      <c r="O192" s="184"/>
      <c r="P192" s="184"/>
      <c r="Q192" s="184"/>
      <c r="R192" s="168"/>
      <c r="T192" s="167"/>
      <c r="V192" s="168"/>
      <c r="X192" s="168"/>
      <c r="Y192" s="170"/>
      <c r="AA192" s="170"/>
      <c r="AB192" s="168"/>
      <c r="AH192" s="168">
        <f t="shared" si="12"/>
        <v>0</v>
      </c>
      <c r="AK192" s="184"/>
      <c r="AN192" s="184"/>
      <c r="AO192" s="89">
        <f t="shared" si="13"/>
        <v>0</v>
      </c>
      <c r="AP192" s="106"/>
      <c r="AQ192" s="204">
        <f t="shared" si="14"/>
        <v>0</v>
      </c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219"/>
      <c r="BB192" s="168"/>
      <c r="BC192" s="219"/>
    </row>
    <row r="193" s="131" customFormat="1" customHeight="1" spans="1:70">
      <c r="A193" s="175">
        <v>159</v>
      </c>
      <c r="C193" s="144" t="s">
        <v>326</v>
      </c>
      <c r="D193" s="131">
        <v>20240002075</v>
      </c>
      <c r="F193" s="726" t="s">
        <v>3313</v>
      </c>
      <c r="G193" s="144" t="s">
        <v>3314</v>
      </c>
      <c r="H193" s="729" t="s">
        <v>3315</v>
      </c>
      <c r="I193" s="131" t="s">
        <v>3316</v>
      </c>
      <c r="J193" s="131">
        <v>126.97</v>
      </c>
      <c r="K193" s="131">
        <v>126.97</v>
      </c>
      <c r="L193" s="188">
        <v>5538</v>
      </c>
      <c r="M193" s="158">
        <v>703160</v>
      </c>
      <c r="N193" s="158">
        <v>5438</v>
      </c>
      <c r="O193" s="188"/>
      <c r="P193" s="189"/>
      <c r="Q193" s="189"/>
      <c r="R193" s="158"/>
      <c r="S193" s="213"/>
      <c r="T193" s="214"/>
      <c r="U193" s="213" t="s">
        <v>1811</v>
      </c>
      <c r="V193" s="158">
        <v>10000</v>
      </c>
      <c r="W193" s="213" t="s">
        <v>928</v>
      </c>
      <c r="X193" s="158">
        <v>83160</v>
      </c>
      <c r="Y193" s="188" t="s">
        <v>326</v>
      </c>
      <c r="Z193" s="131">
        <v>50000</v>
      </c>
      <c r="AA193" s="188" t="s">
        <v>3206</v>
      </c>
      <c r="AB193" s="158">
        <v>560000</v>
      </c>
      <c r="AC193" s="213" t="s">
        <v>343</v>
      </c>
      <c r="AH193" s="158">
        <f t="shared" si="12"/>
        <v>703160</v>
      </c>
      <c r="AK193" s="189">
        <f>M193-AH193</f>
        <v>0</v>
      </c>
      <c r="AL193" s="131">
        <v>17690928304</v>
      </c>
      <c r="AN193" s="189"/>
      <c r="AO193" s="131">
        <f t="shared" si="13"/>
        <v>703160</v>
      </c>
      <c r="AP193" s="163">
        <f>0.4%+0.03%+0.12%</f>
        <v>0.0055</v>
      </c>
      <c r="AQ193" s="192">
        <f t="shared" si="14"/>
        <v>0</v>
      </c>
      <c r="AR193" s="158"/>
      <c r="AS193" s="158"/>
      <c r="AT193" s="158"/>
      <c r="AU193" s="158"/>
      <c r="AV193" s="158"/>
      <c r="AW193" s="158"/>
      <c r="AX193" s="158"/>
      <c r="AY193" s="158"/>
      <c r="AZ193" s="158"/>
      <c r="BA193" s="220"/>
      <c r="BB193" s="158"/>
      <c r="BC193" s="220"/>
      <c r="BH193" s="131">
        <v>143160</v>
      </c>
      <c r="BI193" s="131">
        <v>560000</v>
      </c>
      <c r="BQ193" s="131" t="s">
        <v>205</v>
      </c>
      <c r="BR193" s="131" t="s">
        <v>206</v>
      </c>
    </row>
    <row r="194" s="131" customFormat="1" customHeight="1" spans="1:70">
      <c r="A194" s="175">
        <v>160</v>
      </c>
      <c r="C194" s="176">
        <v>45469</v>
      </c>
      <c r="D194" s="131">
        <v>20240003675</v>
      </c>
      <c r="F194" s="726" t="s">
        <v>3317</v>
      </c>
      <c r="G194" s="131" t="s">
        <v>3318</v>
      </c>
      <c r="I194" s="131" t="s">
        <v>3319</v>
      </c>
      <c r="J194" s="131">
        <v>132.34</v>
      </c>
      <c r="K194" s="131">
        <v>132.34</v>
      </c>
      <c r="L194" s="131">
        <f>M194/K194</f>
        <v>5097.99758198579</v>
      </c>
      <c r="M194" s="158">
        <v>674669</v>
      </c>
      <c r="N194" s="158">
        <v>4998</v>
      </c>
      <c r="O194" s="189"/>
      <c r="P194" s="189"/>
      <c r="Q194" s="189"/>
      <c r="R194" s="158"/>
      <c r="T194" s="175"/>
      <c r="U194" s="213" t="s">
        <v>217</v>
      </c>
      <c r="V194" s="158">
        <v>16669</v>
      </c>
      <c r="W194" s="131" t="s">
        <v>3320</v>
      </c>
      <c r="X194" s="158">
        <v>20000</v>
      </c>
      <c r="Y194" s="213" t="s">
        <v>398</v>
      </c>
      <c r="Z194" s="158">
        <v>65000</v>
      </c>
      <c r="AA194" s="131" t="s">
        <v>477</v>
      </c>
      <c r="AB194" s="158">
        <v>573000</v>
      </c>
      <c r="AC194" s="131" t="s">
        <v>3168</v>
      </c>
      <c r="AH194" s="158">
        <f t="shared" si="12"/>
        <v>674669</v>
      </c>
      <c r="AK194" s="189">
        <f>M194-AH194</f>
        <v>0</v>
      </c>
      <c r="AL194" s="216" t="s">
        <v>3321</v>
      </c>
      <c r="AN194" s="189"/>
      <c r="AO194" s="131">
        <f t="shared" si="13"/>
        <v>674669</v>
      </c>
      <c r="AP194" s="163">
        <f>0.7%+0.04%+0.12%</f>
        <v>0.0086</v>
      </c>
      <c r="AQ194" s="192">
        <f t="shared" si="14"/>
        <v>0</v>
      </c>
      <c r="AR194" s="158"/>
      <c r="AS194" s="158"/>
      <c r="AT194" s="158"/>
      <c r="AU194" s="158"/>
      <c r="AV194" s="158"/>
      <c r="AW194" s="158"/>
      <c r="AX194" s="158"/>
      <c r="AY194" s="158"/>
      <c r="AZ194" s="158"/>
      <c r="BA194" s="220"/>
      <c r="BB194" s="158"/>
      <c r="BC194" s="220"/>
      <c r="BK194" s="131">
        <v>674669</v>
      </c>
      <c r="BQ194" s="131" t="s">
        <v>205</v>
      </c>
      <c r="BR194" s="131" t="s">
        <v>206</v>
      </c>
    </row>
    <row r="195" s="89" customFormat="1" customHeight="1" spans="1:55">
      <c r="A195" s="167">
        <v>161</v>
      </c>
      <c r="C195" s="174"/>
      <c r="E195" s="89" t="s">
        <v>3322</v>
      </c>
      <c r="G195" s="174"/>
      <c r="H195" s="174"/>
      <c r="I195" s="89" t="s">
        <v>3323</v>
      </c>
      <c r="J195" s="89">
        <v>86.14</v>
      </c>
      <c r="M195" s="168"/>
      <c r="N195" s="168">
        <v>5018</v>
      </c>
      <c r="O195" s="184"/>
      <c r="P195" s="184"/>
      <c r="Q195" s="184"/>
      <c r="R195" s="168"/>
      <c r="S195" s="217"/>
      <c r="T195" s="218"/>
      <c r="U195" s="217"/>
      <c r="V195" s="168"/>
      <c r="W195" s="223"/>
      <c r="X195" s="168"/>
      <c r="Y195" s="170"/>
      <c r="AA195" s="170"/>
      <c r="AB195" s="168"/>
      <c r="AH195" s="168">
        <f t="shared" si="12"/>
        <v>0</v>
      </c>
      <c r="AK195" s="184"/>
      <c r="AN195" s="184"/>
      <c r="AO195" s="89">
        <f t="shared" si="13"/>
        <v>0</v>
      </c>
      <c r="AP195" s="106"/>
      <c r="AQ195" s="204">
        <f t="shared" si="14"/>
        <v>0</v>
      </c>
      <c r="AR195" s="168"/>
      <c r="AS195" s="168"/>
      <c r="AT195" s="168"/>
      <c r="AU195" s="168"/>
      <c r="AV195" s="168"/>
      <c r="AW195" s="168"/>
      <c r="AX195" s="168"/>
      <c r="AY195" s="168"/>
      <c r="AZ195" s="168"/>
      <c r="BA195" s="219"/>
      <c r="BB195" s="168"/>
      <c r="BC195" s="219"/>
    </row>
    <row r="196" s="89" customFormat="1" customHeight="1" spans="1:54">
      <c r="A196" s="167">
        <v>162</v>
      </c>
      <c r="C196" s="174"/>
      <c r="G196" s="174"/>
      <c r="H196" s="174"/>
      <c r="I196" s="89" t="s">
        <v>3324</v>
      </c>
      <c r="J196" s="89">
        <v>126.97</v>
      </c>
      <c r="M196" s="168"/>
      <c r="N196" s="168">
        <v>5008</v>
      </c>
      <c r="O196" s="184"/>
      <c r="P196" s="184"/>
      <c r="Q196" s="184"/>
      <c r="R196" s="168"/>
      <c r="S196" s="217"/>
      <c r="T196" s="218"/>
      <c r="U196" s="217"/>
      <c r="V196" s="168"/>
      <c r="W196" s="170"/>
      <c r="X196" s="168"/>
      <c r="Y196" s="170"/>
      <c r="AA196" s="170"/>
      <c r="AB196" s="168"/>
      <c r="AH196" s="168">
        <f t="shared" si="12"/>
        <v>0</v>
      </c>
      <c r="AK196" s="184"/>
      <c r="AN196" s="184"/>
      <c r="AO196" s="89">
        <f t="shared" si="13"/>
        <v>0</v>
      </c>
      <c r="AP196" s="106"/>
      <c r="AQ196" s="204">
        <f t="shared" si="14"/>
        <v>0</v>
      </c>
      <c r="AR196" s="168"/>
      <c r="AS196" s="168"/>
      <c r="AT196" s="168"/>
      <c r="AU196" s="168"/>
      <c r="AV196" s="168"/>
      <c r="AW196" s="168"/>
      <c r="AX196" s="168"/>
      <c r="AY196" s="168"/>
      <c r="AZ196" s="168"/>
      <c r="BB196" s="168"/>
    </row>
    <row r="197" s="89" customFormat="1" customHeight="1" spans="1:54">
      <c r="A197" s="167">
        <v>163</v>
      </c>
      <c r="C197" s="174"/>
      <c r="E197" s="89" t="s">
        <v>3325</v>
      </c>
      <c r="G197" s="174"/>
      <c r="H197" s="174"/>
      <c r="I197" s="89" t="s">
        <v>3326</v>
      </c>
      <c r="J197" s="89">
        <v>153.46</v>
      </c>
      <c r="K197" s="89">
        <v>153.46</v>
      </c>
      <c r="L197" s="89">
        <v>5250</v>
      </c>
      <c r="M197" s="168">
        <v>805665</v>
      </c>
      <c r="N197" s="168">
        <v>4935</v>
      </c>
      <c r="O197" s="184"/>
      <c r="P197" s="184"/>
      <c r="Q197" s="184"/>
      <c r="R197" s="168"/>
      <c r="S197" s="217"/>
      <c r="T197" s="218"/>
      <c r="U197" s="217"/>
      <c r="V197" s="168"/>
      <c r="W197" s="170"/>
      <c r="X197" s="168"/>
      <c r="Y197" s="170"/>
      <c r="AA197" s="170"/>
      <c r="AB197" s="168"/>
      <c r="AH197" s="168">
        <f t="shared" ref="AH197:AH260" si="23">V197+X197+Z197+AB197+AD197+AF197</f>
        <v>0</v>
      </c>
      <c r="AK197" s="184"/>
      <c r="AN197" s="184"/>
      <c r="AO197" s="89">
        <f t="shared" ref="AO197:AO260" si="24">SUM(AZ197:BN197)</f>
        <v>0</v>
      </c>
      <c r="AP197" s="106"/>
      <c r="AQ197" s="204">
        <f t="shared" ref="AQ197:AQ260" si="25">AR197+AS197+AT197+AU197+AV197+AW197+AX197+AY197</f>
        <v>0</v>
      </c>
      <c r="AR197" s="168"/>
      <c r="AS197" s="168"/>
      <c r="AT197" s="168"/>
      <c r="AU197" s="168"/>
      <c r="AV197" s="168"/>
      <c r="AW197" s="168"/>
      <c r="AX197" s="168"/>
      <c r="AY197" s="168"/>
      <c r="AZ197" s="168"/>
      <c r="BB197" s="168"/>
    </row>
    <row r="198" s="89" customFormat="1" customHeight="1" spans="1:54">
      <c r="A198" s="167">
        <v>164</v>
      </c>
      <c r="C198" s="174"/>
      <c r="G198" s="174"/>
      <c r="H198" s="174"/>
      <c r="I198" s="89" t="s">
        <v>3327</v>
      </c>
      <c r="J198" s="89">
        <v>86.14</v>
      </c>
      <c r="M198" s="168"/>
      <c r="N198" s="168">
        <v>4947</v>
      </c>
      <c r="O198" s="184"/>
      <c r="P198" s="184"/>
      <c r="Q198" s="184"/>
      <c r="R198" s="168"/>
      <c r="S198" s="217"/>
      <c r="T198" s="218"/>
      <c r="U198" s="217"/>
      <c r="V198" s="168"/>
      <c r="W198" s="170"/>
      <c r="X198" s="168"/>
      <c r="Y198" s="170"/>
      <c r="AA198" s="170"/>
      <c r="AB198" s="168"/>
      <c r="AH198" s="168">
        <f t="shared" si="23"/>
        <v>0</v>
      </c>
      <c r="AK198" s="184"/>
      <c r="AN198" s="184"/>
      <c r="AO198" s="89">
        <f t="shared" si="24"/>
        <v>0</v>
      </c>
      <c r="AP198" s="106"/>
      <c r="AQ198" s="204">
        <f t="shared" si="25"/>
        <v>0</v>
      </c>
      <c r="AR198" s="168"/>
      <c r="AS198" s="168"/>
      <c r="AT198" s="168"/>
      <c r="AU198" s="168"/>
      <c r="AV198" s="168"/>
      <c r="AW198" s="168"/>
      <c r="AX198" s="168"/>
      <c r="AY198" s="168"/>
      <c r="AZ198" s="168"/>
      <c r="BB198" s="168"/>
    </row>
    <row r="199" s="131" customFormat="1" customHeight="1" spans="1:54">
      <c r="A199" s="175">
        <v>165</v>
      </c>
      <c r="C199" s="144" t="s">
        <v>113</v>
      </c>
      <c r="D199" s="131">
        <v>20240005753</v>
      </c>
      <c r="F199" s="726" t="s">
        <v>3328</v>
      </c>
      <c r="G199" s="144" t="s">
        <v>3329</v>
      </c>
      <c r="H199" s="729" t="s">
        <v>3330</v>
      </c>
      <c r="I199" s="131" t="s">
        <v>3331</v>
      </c>
      <c r="J199" s="131">
        <v>102.67</v>
      </c>
      <c r="K199" s="131">
        <v>102.67</v>
      </c>
      <c r="L199" s="131">
        <v>5000</v>
      </c>
      <c r="M199" s="158">
        <v>513350</v>
      </c>
      <c r="N199" s="158">
        <v>4945</v>
      </c>
      <c r="O199" s="189"/>
      <c r="P199" s="189"/>
      <c r="Q199" s="189"/>
      <c r="R199" s="158">
        <v>133350</v>
      </c>
      <c r="S199" s="213" t="s">
        <v>113</v>
      </c>
      <c r="T199" s="214"/>
      <c r="U199" s="213" t="s">
        <v>291</v>
      </c>
      <c r="V199" s="158">
        <v>20000</v>
      </c>
      <c r="W199" s="213" t="s">
        <v>2916</v>
      </c>
      <c r="X199" s="158">
        <v>133350</v>
      </c>
      <c r="Y199" s="213" t="s">
        <v>113</v>
      </c>
      <c r="AA199" s="188"/>
      <c r="AB199" s="158"/>
      <c r="AH199" s="158">
        <f t="shared" si="23"/>
        <v>153350</v>
      </c>
      <c r="AK199" s="189">
        <f>M199-AH199</f>
        <v>360000</v>
      </c>
      <c r="AL199" s="131">
        <v>19999191818</v>
      </c>
      <c r="AN199" s="189"/>
      <c r="AO199" s="131">
        <f t="shared" si="24"/>
        <v>0</v>
      </c>
      <c r="AP199" s="163">
        <f>0.4%+0.03%+0.12%</f>
        <v>0.0055</v>
      </c>
      <c r="AQ199" s="192">
        <f t="shared" si="25"/>
        <v>0</v>
      </c>
      <c r="AR199" s="158"/>
      <c r="AS199" s="158"/>
      <c r="AT199" s="158"/>
      <c r="AU199" s="158"/>
      <c r="AV199" s="158"/>
      <c r="AW199" s="158"/>
      <c r="AX199" s="158"/>
      <c r="AY199" s="158"/>
      <c r="AZ199" s="158"/>
      <c r="BB199" s="158"/>
    </row>
    <row r="200" s="89" customFormat="1" customHeight="1" spans="1:54">
      <c r="A200" s="167">
        <v>166</v>
      </c>
      <c r="C200" s="174"/>
      <c r="G200" s="174"/>
      <c r="H200" s="174"/>
      <c r="I200" s="89" t="s">
        <v>3332</v>
      </c>
      <c r="J200" s="89">
        <v>153.46</v>
      </c>
      <c r="M200" s="168"/>
      <c r="N200" s="168">
        <v>4965</v>
      </c>
      <c r="O200" s="184"/>
      <c r="P200" s="184"/>
      <c r="Q200" s="184"/>
      <c r="R200" s="168"/>
      <c r="S200" s="217"/>
      <c r="T200" s="218"/>
      <c r="U200" s="217"/>
      <c r="V200" s="168"/>
      <c r="W200" s="170"/>
      <c r="X200" s="168"/>
      <c r="Y200" s="170"/>
      <c r="AA200" s="170"/>
      <c r="AB200" s="168"/>
      <c r="AH200" s="168">
        <f t="shared" si="23"/>
        <v>0</v>
      </c>
      <c r="AK200" s="184"/>
      <c r="AN200" s="184"/>
      <c r="AO200" s="89">
        <f t="shared" si="24"/>
        <v>0</v>
      </c>
      <c r="AP200" s="106"/>
      <c r="AQ200" s="204">
        <f t="shared" si="25"/>
        <v>0</v>
      </c>
      <c r="AR200" s="168"/>
      <c r="AS200" s="168"/>
      <c r="AT200" s="168"/>
      <c r="AU200" s="168"/>
      <c r="AV200" s="168"/>
      <c r="AW200" s="168"/>
      <c r="AX200" s="168"/>
      <c r="AY200" s="168"/>
      <c r="AZ200" s="168"/>
      <c r="BB200" s="168"/>
    </row>
    <row r="201" s="89" customFormat="1" customHeight="1" spans="1:54">
      <c r="A201" s="167">
        <v>167</v>
      </c>
      <c r="C201" s="174"/>
      <c r="E201" s="89" t="s">
        <v>3333</v>
      </c>
      <c r="G201" s="174"/>
      <c r="H201" s="174"/>
      <c r="I201" s="89" t="s">
        <v>3334</v>
      </c>
      <c r="J201" s="89">
        <v>86.14</v>
      </c>
      <c r="M201" s="168"/>
      <c r="N201" s="168">
        <v>4975</v>
      </c>
      <c r="O201" s="184"/>
      <c r="P201" s="184"/>
      <c r="Q201" s="184"/>
      <c r="R201" s="168"/>
      <c r="S201" s="217"/>
      <c r="T201" s="218"/>
      <c r="U201" s="217"/>
      <c r="V201" s="168"/>
      <c r="W201" s="170"/>
      <c r="X201" s="168"/>
      <c r="Y201" s="170"/>
      <c r="AA201" s="170"/>
      <c r="AB201" s="168"/>
      <c r="AH201" s="168">
        <f t="shared" si="23"/>
        <v>0</v>
      </c>
      <c r="AK201" s="184"/>
      <c r="AN201" s="184"/>
      <c r="AO201" s="89">
        <f t="shared" si="24"/>
        <v>0</v>
      </c>
      <c r="AP201" s="106"/>
      <c r="AQ201" s="204">
        <f t="shared" si="25"/>
        <v>0</v>
      </c>
      <c r="AR201" s="168"/>
      <c r="AS201" s="168"/>
      <c r="AT201" s="168"/>
      <c r="AU201" s="168"/>
      <c r="AV201" s="168"/>
      <c r="AW201" s="168"/>
      <c r="AX201" s="168"/>
      <c r="AY201" s="168"/>
      <c r="AZ201" s="168"/>
      <c r="BB201" s="168"/>
    </row>
    <row r="202" s="131" customFormat="1" customHeight="1" spans="1:74">
      <c r="A202" s="175">
        <v>168</v>
      </c>
      <c r="C202" s="176">
        <v>45366</v>
      </c>
      <c r="D202" s="131">
        <v>20240001393</v>
      </c>
      <c r="F202" s="726" t="s">
        <v>3335</v>
      </c>
      <c r="G202" s="144" t="s">
        <v>3336</v>
      </c>
      <c r="H202" s="729" t="s">
        <v>3337</v>
      </c>
      <c r="I202" s="131" t="s">
        <v>3338</v>
      </c>
      <c r="J202" s="131">
        <v>115.78</v>
      </c>
      <c r="K202" s="131">
        <v>115.78</v>
      </c>
      <c r="L202" s="131">
        <v>5100</v>
      </c>
      <c r="M202" s="158">
        <v>590478</v>
      </c>
      <c r="N202" s="158">
        <v>4975</v>
      </c>
      <c r="O202" s="188"/>
      <c r="P202" s="189"/>
      <c r="Q202" s="189"/>
      <c r="R202" s="158"/>
      <c r="S202" s="213"/>
      <c r="T202" s="214"/>
      <c r="U202" s="213" t="s">
        <v>1811</v>
      </c>
      <c r="V202" s="158">
        <v>20000</v>
      </c>
      <c r="W202" s="213" t="s">
        <v>3093</v>
      </c>
      <c r="X202" s="158">
        <f>100000+30478</f>
        <v>130478</v>
      </c>
      <c r="Y202" s="188" t="s">
        <v>3244</v>
      </c>
      <c r="Z202" s="158">
        <v>440000</v>
      </c>
      <c r="AA202" s="213" t="s">
        <v>418</v>
      </c>
      <c r="AB202" s="158"/>
      <c r="AH202" s="158">
        <f t="shared" si="23"/>
        <v>590478</v>
      </c>
      <c r="AK202" s="189">
        <f>M202-AH202</f>
        <v>0</v>
      </c>
      <c r="AL202" s="131">
        <v>18799800947</v>
      </c>
      <c r="AN202" s="189"/>
      <c r="AO202" s="131">
        <f t="shared" si="24"/>
        <v>590478</v>
      </c>
      <c r="AP202" s="161">
        <f>0.5%+0.04%+0.12%</f>
        <v>0.0066</v>
      </c>
      <c r="AQ202" s="192">
        <f t="shared" si="25"/>
        <v>0</v>
      </c>
      <c r="AR202" s="158"/>
      <c r="AS202" s="158"/>
      <c r="AT202" s="158"/>
      <c r="AU202" s="158"/>
      <c r="AV202" s="158"/>
      <c r="AW202" s="158"/>
      <c r="AX202" s="158"/>
      <c r="AY202" s="158"/>
      <c r="AZ202" s="158"/>
      <c r="BB202" s="158"/>
      <c r="BG202" s="131">
        <v>150478</v>
      </c>
      <c r="BI202" s="131">
        <v>440000</v>
      </c>
      <c r="BQ202" s="131" t="s">
        <v>205</v>
      </c>
      <c r="BR202" s="131" t="s">
        <v>206</v>
      </c>
      <c r="BV202" s="131">
        <f>BT202-BU202</f>
        <v>0</v>
      </c>
    </row>
    <row r="203" s="131" customFormat="1" customHeight="1" spans="1:70">
      <c r="A203" s="175">
        <v>169</v>
      </c>
      <c r="C203" s="176">
        <v>45440</v>
      </c>
      <c r="D203" s="131">
        <v>20240003146</v>
      </c>
      <c r="F203" s="726" t="s">
        <v>3339</v>
      </c>
      <c r="G203" s="144" t="s">
        <v>3340</v>
      </c>
      <c r="H203" s="729" t="s">
        <v>3341</v>
      </c>
      <c r="I203" s="131" t="s">
        <v>3342</v>
      </c>
      <c r="J203" s="131">
        <v>153.46</v>
      </c>
      <c r="K203" s="131">
        <v>153.46</v>
      </c>
      <c r="L203" s="131">
        <v>5082.75</v>
      </c>
      <c r="M203" s="158">
        <v>780000</v>
      </c>
      <c r="N203" s="158">
        <v>5008</v>
      </c>
      <c r="O203" s="189"/>
      <c r="P203" s="189"/>
      <c r="Q203" s="189"/>
      <c r="R203" s="158"/>
      <c r="S203" s="213"/>
      <c r="T203" s="214"/>
      <c r="U203" s="213" t="s">
        <v>422</v>
      </c>
      <c r="V203" s="158">
        <v>30000</v>
      </c>
      <c r="W203" s="213" t="s">
        <v>3343</v>
      </c>
      <c r="X203" s="158">
        <v>500000</v>
      </c>
      <c r="Y203" s="213" t="s">
        <v>3344</v>
      </c>
      <c r="Z203" s="158">
        <v>250000</v>
      </c>
      <c r="AA203" s="213" t="s">
        <v>514</v>
      </c>
      <c r="AB203" s="158"/>
      <c r="AH203" s="158">
        <f t="shared" si="23"/>
        <v>780000</v>
      </c>
      <c r="AK203" s="189">
        <f>M203-AH203</f>
        <v>0</v>
      </c>
      <c r="AL203" s="131">
        <v>15199917772</v>
      </c>
      <c r="AN203" s="189"/>
      <c r="AO203" s="131">
        <f t="shared" si="24"/>
        <v>780000</v>
      </c>
      <c r="AP203" s="161">
        <f>0.7%+0.05%+0.12%</f>
        <v>0.0087</v>
      </c>
      <c r="AQ203" s="192">
        <f t="shared" si="25"/>
        <v>0</v>
      </c>
      <c r="AR203" s="158"/>
      <c r="AS203" s="158"/>
      <c r="AT203" s="158"/>
      <c r="AU203" s="158"/>
      <c r="AV203" s="158"/>
      <c r="AW203" s="158"/>
      <c r="AX203" s="158"/>
      <c r="AY203" s="158"/>
      <c r="AZ203" s="158"/>
      <c r="BB203" s="158"/>
      <c r="BI203" s="131">
        <v>530000</v>
      </c>
      <c r="BJ203" s="131">
        <v>250000</v>
      </c>
      <c r="BQ203" s="131" t="s">
        <v>205</v>
      </c>
      <c r="BR203" s="131" t="s">
        <v>206</v>
      </c>
    </row>
    <row r="204" s="89" customFormat="1" customHeight="1" spans="1:54">
      <c r="A204" s="167">
        <v>170</v>
      </c>
      <c r="C204" s="174"/>
      <c r="E204" s="89" t="s">
        <v>3322</v>
      </c>
      <c r="G204" s="174"/>
      <c r="H204" s="174"/>
      <c r="I204" s="89" t="s">
        <v>3345</v>
      </c>
      <c r="J204" s="89">
        <v>86.14</v>
      </c>
      <c r="M204" s="168"/>
      <c r="N204" s="168">
        <v>5018</v>
      </c>
      <c r="O204" s="184"/>
      <c r="P204" s="184"/>
      <c r="Q204" s="184"/>
      <c r="R204" s="168"/>
      <c r="S204" s="217"/>
      <c r="T204" s="218"/>
      <c r="U204" s="217"/>
      <c r="V204" s="168"/>
      <c r="W204" s="170"/>
      <c r="X204" s="168"/>
      <c r="Y204" s="170"/>
      <c r="AA204" s="170"/>
      <c r="AB204" s="168"/>
      <c r="AH204" s="168">
        <f t="shared" si="23"/>
        <v>0</v>
      </c>
      <c r="AK204" s="184"/>
      <c r="AN204" s="184"/>
      <c r="AO204" s="89">
        <f t="shared" si="24"/>
        <v>0</v>
      </c>
      <c r="AP204" s="106"/>
      <c r="AQ204" s="204">
        <f t="shared" si="25"/>
        <v>0</v>
      </c>
      <c r="AR204" s="168"/>
      <c r="AS204" s="168"/>
      <c r="AT204" s="168"/>
      <c r="AU204" s="168"/>
      <c r="AV204" s="168"/>
      <c r="AW204" s="168"/>
      <c r="AX204" s="168"/>
      <c r="AY204" s="168"/>
      <c r="AZ204" s="168"/>
      <c r="BB204" s="168"/>
    </row>
    <row r="205" s="131" customFormat="1" customHeight="1" spans="1:70">
      <c r="A205" s="175">
        <v>171</v>
      </c>
      <c r="C205" s="144" t="s">
        <v>552</v>
      </c>
      <c r="D205" s="131">
        <v>20240001173</v>
      </c>
      <c r="F205" s="726" t="s">
        <v>3346</v>
      </c>
      <c r="G205" s="144" t="s">
        <v>3347</v>
      </c>
      <c r="H205" s="729" t="s">
        <v>3348</v>
      </c>
      <c r="I205" s="131" t="s">
        <v>3349</v>
      </c>
      <c r="J205" s="131">
        <v>115.78</v>
      </c>
      <c r="K205" s="131">
        <v>115.78</v>
      </c>
      <c r="L205" s="131">
        <v>5118</v>
      </c>
      <c r="M205" s="158">
        <v>592562</v>
      </c>
      <c r="N205" s="158">
        <v>5018</v>
      </c>
      <c r="O205" s="188"/>
      <c r="P205" s="189"/>
      <c r="Q205" s="189"/>
      <c r="R205" s="158"/>
      <c r="S205" s="213"/>
      <c r="T205" s="214"/>
      <c r="U205" s="213" t="s">
        <v>408</v>
      </c>
      <c r="V205" s="158">
        <v>10000</v>
      </c>
      <c r="W205" s="213" t="s">
        <v>286</v>
      </c>
      <c r="X205" s="158">
        <v>112562</v>
      </c>
      <c r="Y205" s="188" t="s">
        <v>552</v>
      </c>
      <c r="Z205" s="131">
        <v>470000</v>
      </c>
      <c r="AA205" s="188" t="s">
        <v>252</v>
      </c>
      <c r="AB205" s="158"/>
      <c r="AH205" s="158">
        <f t="shared" si="23"/>
        <v>592562</v>
      </c>
      <c r="AK205" s="189">
        <f t="shared" ref="AK205:AK209" si="26">M205-AH205</f>
        <v>0</v>
      </c>
      <c r="AL205" s="131">
        <v>17599260161</v>
      </c>
      <c r="AN205" s="189"/>
      <c r="AO205" s="131">
        <f t="shared" si="24"/>
        <v>592562</v>
      </c>
      <c r="AP205" s="163">
        <f>0.5%+0.04%+0.14%</f>
        <v>0.0068</v>
      </c>
      <c r="AQ205" s="192">
        <f t="shared" si="25"/>
        <v>0</v>
      </c>
      <c r="AR205" s="158"/>
      <c r="AS205" s="158"/>
      <c r="AT205" s="158"/>
      <c r="AU205" s="158"/>
      <c r="AV205" s="158"/>
      <c r="AW205" s="158"/>
      <c r="AX205" s="158"/>
      <c r="AY205" s="158"/>
      <c r="AZ205" s="158"/>
      <c r="BB205" s="158"/>
      <c r="BG205" s="131">
        <v>592562</v>
      </c>
      <c r="BQ205" s="131" t="s">
        <v>205</v>
      </c>
      <c r="BR205" s="131" t="s">
        <v>206</v>
      </c>
    </row>
    <row r="206" s="131" customFormat="1" ht="55" customHeight="1" spans="1:70">
      <c r="A206" s="175">
        <v>172</v>
      </c>
      <c r="C206" s="176">
        <v>45356</v>
      </c>
      <c r="D206" s="131">
        <v>20240001149</v>
      </c>
      <c r="F206" s="726" t="s">
        <v>3350</v>
      </c>
      <c r="G206" s="144" t="s">
        <v>3351</v>
      </c>
      <c r="H206" s="729" t="s">
        <v>3352</v>
      </c>
      <c r="I206" s="131" t="s">
        <v>3353</v>
      </c>
      <c r="J206" s="131">
        <v>132.34</v>
      </c>
      <c r="K206" s="131">
        <v>132.34</v>
      </c>
      <c r="L206" s="131">
        <v>5100.5</v>
      </c>
      <c r="M206" s="158">
        <v>675000</v>
      </c>
      <c r="N206" s="158">
        <v>5044</v>
      </c>
      <c r="O206" s="188"/>
      <c r="P206" s="189"/>
      <c r="Q206" s="189"/>
      <c r="R206" s="158"/>
      <c r="S206" s="213"/>
      <c r="T206" s="214"/>
      <c r="U206" s="213" t="s">
        <v>3354</v>
      </c>
      <c r="V206" s="158">
        <f>10000-10000</f>
        <v>0</v>
      </c>
      <c r="W206" s="213" t="s">
        <v>3355</v>
      </c>
      <c r="X206" s="158">
        <f>5000-5000</f>
        <v>0</v>
      </c>
      <c r="Y206" s="213" t="s">
        <v>426</v>
      </c>
      <c r="Z206" s="158">
        <v>20000</v>
      </c>
      <c r="AA206" s="213" t="s">
        <v>679</v>
      </c>
      <c r="AB206" s="158">
        <v>115000</v>
      </c>
      <c r="AC206" s="213" t="s">
        <v>552</v>
      </c>
      <c r="AD206" s="158">
        <v>540000</v>
      </c>
      <c r="AE206" s="213" t="s">
        <v>326</v>
      </c>
      <c r="AH206" s="158">
        <f t="shared" si="23"/>
        <v>675000</v>
      </c>
      <c r="AK206" s="189">
        <f t="shared" si="26"/>
        <v>0</v>
      </c>
      <c r="AL206" s="131">
        <v>18699621815</v>
      </c>
      <c r="AN206" s="189"/>
      <c r="AO206" s="131">
        <f t="shared" si="24"/>
        <v>675000</v>
      </c>
      <c r="AP206" s="161">
        <f>0.7%+0.05%+0.14%</f>
        <v>0.0089</v>
      </c>
      <c r="AQ206" s="192">
        <f t="shared" si="25"/>
        <v>0</v>
      </c>
      <c r="AR206" s="158"/>
      <c r="AS206" s="158"/>
      <c r="AT206" s="158"/>
      <c r="AU206" s="158"/>
      <c r="AV206" s="158"/>
      <c r="AW206" s="158"/>
      <c r="AX206" s="158"/>
      <c r="AY206" s="158"/>
      <c r="AZ206" s="158"/>
      <c r="BB206" s="158"/>
      <c r="BG206" s="131">
        <v>135000</v>
      </c>
      <c r="BH206" s="131">
        <v>540000</v>
      </c>
      <c r="BQ206" s="131" t="s">
        <v>205</v>
      </c>
      <c r="BR206" s="131" t="s">
        <v>206</v>
      </c>
    </row>
    <row r="207" s="89" customFormat="1" customHeight="1" spans="1:54">
      <c r="A207" s="167">
        <v>173</v>
      </c>
      <c r="C207" s="174"/>
      <c r="E207" s="89" t="s">
        <v>3356</v>
      </c>
      <c r="G207" s="174"/>
      <c r="H207" s="174"/>
      <c r="I207" s="89" t="s">
        <v>3357</v>
      </c>
      <c r="J207" s="89">
        <v>86.14</v>
      </c>
      <c r="M207" s="168"/>
      <c r="N207" s="168">
        <v>5054</v>
      </c>
      <c r="O207" s="184"/>
      <c r="P207" s="184"/>
      <c r="Q207" s="184"/>
      <c r="R207" s="168"/>
      <c r="S207" s="217"/>
      <c r="T207" s="218"/>
      <c r="U207" s="217"/>
      <c r="V207" s="168"/>
      <c r="W207" s="170"/>
      <c r="X207" s="168"/>
      <c r="Y207" s="170"/>
      <c r="AA207" s="170"/>
      <c r="AB207" s="168"/>
      <c r="AH207" s="168">
        <f t="shared" si="23"/>
        <v>0</v>
      </c>
      <c r="AK207" s="184"/>
      <c r="AN207" s="184"/>
      <c r="AO207" s="89">
        <f t="shared" si="24"/>
        <v>0</v>
      </c>
      <c r="AP207" s="106"/>
      <c r="AQ207" s="204">
        <f t="shared" si="25"/>
        <v>0</v>
      </c>
      <c r="AR207" s="168"/>
      <c r="AS207" s="168"/>
      <c r="AT207" s="168"/>
      <c r="AU207" s="168"/>
      <c r="AV207" s="168"/>
      <c r="AW207" s="168"/>
      <c r="AX207" s="168"/>
      <c r="AY207" s="168"/>
      <c r="AZ207" s="168"/>
      <c r="BB207" s="168"/>
    </row>
    <row r="208" s="131" customFormat="1" customHeight="1" spans="1:70">
      <c r="A208" s="175">
        <v>174</v>
      </c>
      <c r="C208" s="144" t="s">
        <v>3017</v>
      </c>
      <c r="D208" s="131">
        <v>20240001132</v>
      </c>
      <c r="F208" s="726" t="s">
        <v>3358</v>
      </c>
      <c r="G208" s="144" t="s">
        <v>3359</v>
      </c>
      <c r="H208" s="729" t="s">
        <v>3360</v>
      </c>
      <c r="I208" s="131" t="s">
        <v>3361</v>
      </c>
      <c r="J208" s="131">
        <v>115.78</v>
      </c>
      <c r="K208" s="131">
        <v>115.78</v>
      </c>
      <c r="L208" s="131">
        <v>5096</v>
      </c>
      <c r="M208" s="158">
        <v>590000</v>
      </c>
      <c r="N208" s="158">
        <v>5054</v>
      </c>
      <c r="O208" s="188"/>
      <c r="P208" s="189"/>
      <c r="Q208" s="189"/>
      <c r="R208" s="158"/>
      <c r="S208" s="213"/>
      <c r="T208" s="214"/>
      <c r="U208" s="213" t="s">
        <v>1811</v>
      </c>
      <c r="V208" s="158">
        <v>10000</v>
      </c>
      <c r="W208" s="213" t="s">
        <v>286</v>
      </c>
      <c r="X208" s="158">
        <v>290000</v>
      </c>
      <c r="Y208" s="188" t="s">
        <v>3017</v>
      </c>
      <c r="Z208" s="131">
        <v>290000</v>
      </c>
      <c r="AA208" s="188" t="s">
        <v>3027</v>
      </c>
      <c r="AB208" s="158"/>
      <c r="AH208" s="158">
        <f t="shared" si="23"/>
        <v>590000</v>
      </c>
      <c r="AK208" s="189">
        <f t="shared" si="26"/>
        <v>0</v>
      </c>
      <c r="AL208" s="131">
        <v>18699696611</v>
      </c>
      <c r="AN208" s="189"/>
      <c r="AO208" s="131">
        <f t="shared" si="24"/>
        <v>590000</v>
      </c>
      <c r="AP208" s="161">
        <f>0.7%+0.04%+0.14%</f>
        <v>0.0088</v>
      </c>
      <c r="AQ208" s="192">
        <f t="shared" si="25"/>
        <v>0</v>
      </c>
      <c r="AR208" s="158"/>
      <c r="AS208" s="158"/>
      <c r="AT208" s="158"/>
      <c r="AU208" s="158"/>
      <c r="AV208" s="158"/>
      <c r="AW208" s="158"/>
      <c r="AX208" s="158"/>
      <c r="AY208" s="158"/>
      <c r="AZ208" s="158"/>
      <c r="BB208" s="158"/>
      <c r="BG208" s="131">
        <v>590000</v>
      </c>
      <c r="BQ208" s="131" t="s">
        <v>205</v>
      </c>
      <c r="BR208" s="131" t="s">
        <v>206</v>
      </c>
    </row>
    <row r="209" s="131" customFormat="1" customHeight="1" spans="1:70">
      <c r="A209" s="175">
        <v>175</v>
      </c>
      <c r="C209" s="176">
        <v>45401</v>
      </c>
      <c r="D209" s="131">
        <v>20240002185</v>
      </c>
      <c r="F209" s="726" t="s">
        <v>3362</v>
      </c>
      <c r="G209" s="144" t="s">
        <v>3363</v>
      </c>
      <c r="H209" s="729" t="s">
        <v>3364</v>
      </c>
      <c r="I209" s="131" t="s">
        <v>3365</v>
      </c>
      <c r="J209" s="131">
        <v>132.34</v>
      </c>
      <c r="K209" s="131">
        <v>132.34</v>
      </c>
      <c r="L209" s="131">
        <v>5191.17</v>
      </c>
      <c r="M209" s="158">
        <v>687000</v>
      </c>
      <c r="N209" s="158">
        <v>5095</v>
      </c>
      <c r="O209" s="188"/>
      <c r="P209" s="189"/>
      <c r="Q209" s="189"/>
      <c r="R209" s="158"/>
      <c r="S209" s="213"/>
      <c r="T209" s="214"/>
      <c r="U209" s="213" t="s">
        <v>291</v>
      </c>
      <c r="V209" s="158">
        <v>20000</v>
      </c>
      <c r="W209" s="213" t="s">
        <v>2955</v>
      </c>
      <c r="X209" s="158">
        <v>517000</v>
      </c>
      <c r="Y209" s="213" t="s">
        <v>203</v>
      </c>
      <c r="Z209" s="158">
        <v>150000</v>
      </c>
      <c r="AA209" s="213" t="s">
        <v>2927</v>
      </c>
      <c r="AB209" s="158"/>
      <c r="AH209" s="158">
        <f t="shared" si="23"/>
        <v>687000</v>
      </c>
      <c r="AK209" s="189">
        <f t="shared" si="26"/>
        <v>0</v>
      </c>
      <c r="AL209" s="131">
        <v>19990287649</v>
      </c>
      <c r="AN209" s="189"/>
      <c r="AO209" s="131">
        <f t="shared" si="24"/>
        <v>687000</v>
      </c>
      <c r="AP209" s="163">
        <f>0.5%+0.04%+0.14%</f>
        <v>0.0068</v>
      </c>
      <c r="AQ209" s="192">
        <f t="shared" si="25"/>
        <v>0</v>
      </c>
      <c r="AR209" s="158"/>
      <c r="AS209" s="158"/>
      <c r="AT209" s="158"/>
      <c r="AU209" s="158"/>
      <c r="AV209" s="158"/>
      <c r="AW209" s="158"/>
      <c r="AX209" s="158"/>
      <c r="AY209" s="158"/>
      <c r="AZ209" s="158"/>
      <c r="BB209" s="158"/>
      <c r="BH209" s="131">
        <v>537000</v>
      </c>
      <c r="BJ209" s="131">
        <v>150000</v>
      </c>
      <c r="BQ209" s="131" t="s">
        <v>205</v>
      </c>
      <c r="BR209" s="131" t="s">
        <v>206</v>
      </c>
    </row>
    <row r="210" s="89" customFormat="1" customHeight="1" spans="1:54">
      <c r="A210" s="167">
        <v>176</v>
      </c>
      <c r="C210" s="174"/>
      <c r="E210" s="89" t="s">
        <v>3366</v>
      </c>
      <c r="G210" s="174"/>
      <c r="H210" s="174"/>
      <c r="I210" s="89" t="s">
        <v>3367</v>
      </c>
      <c r="J210" s="89">
        <v>86.14</v>
      </c>
      <c r="M210" s="168"/>
      <c r="N210" s="168">
        <v>5115</v>
      </c>
      <c r="O210" s="184"/>
      <c r="P210" s="184"/>
      <c r="Q210" s="184"/>
      <c r="R210" s="168"/>
      <c r="S210" s="217"/>
      <c r="T210" s="218"/>
      <c r="U210" s="217"/>
      <c r="V210" s="168"/>
      <c r="W210" s="170"/>
      <c r="X210" s="168"/>
      <c r="Y210" s="170"/>
      <c r="AA210" s="170"/>
      <c r="AB210" s="168"/>
      <c r="AH210" s="168">
        <f t="shared" si="23"/>
        <v>0</v>
      </c>
      <c r="AK210" s="184"/>
      <c r="AN210" s="184"/>
      <c r="AO210" s="89">
        <f t="shared" si="24"/>
        <v>0</v>
      </c>
      <c r="AP210" s="106"/>
      <c r="AQ210" s="204">
        <f t="shared" si="25"/>
        <v>0</v>
      </c>
      <c r="AR210" s="168"/>
      <c r="AS210" s="168"/>
      <c r="AT210" s="168"/>
      <c r="AU210" s="168"/>
      <c r="AV210" s="168"/>
      <c r="AW210" s="168"/>
      <c r="AX210" s="168"/>
      <c r="AY210" s="168"/>
      <c r="AZ210" s="168"/>
      <c r="BB210" s="168"/>
    </row>
    <row r="211" s="131" customFormat="1" customHeight="1" spans="1:70">
      <c r="A211" s="175">
        <v>177</v>
      </c>
      <c r="C211" s="176">
        <v>45353</v>
      </c>
      <c r="D211" s="131">
        <v>20240001101</v>
      </c>
      <c r="F211" s="726" t="s">
        <v>3368</v>
      </c>
      <c r="G211" s="144" t="s">
        <v>3369</v>
      </c>
      <c r="H211" s="729" t="s">
        <v>3370</v>
      </c>
      <c r="I211" s="131" t="s">
        <v>3371</v>
      </c>
      <c r="J211" s="131">
        <v>115.78</v>
      </c>
      <c r="K211" s="131">
        <v>115.78</v>
      </c>
      <c r="L211" s="131">
        <v>5205</v>
      </c>
      <c r="M211" s="158">
        <v>602635</v>
      </c>
      <c r="N211" s="158">
        <v>5105</v>
      </c>
      <c r="O211" s="189"/>
      <c r="P211" s="189"/>
      <c r="Q211" s="189"/>
      <c r="R211" s="158"/>
      <c r="S211" s="213"/>
      <c r="T211" s="214"/>
      <c r="U211" s="213" t="s">
        <v>217</v>
      </c>
      <c r="V211" s="158">
        <v>20000</v>
      </c>
      <c r="W211" s="213" t="s">
        <v>3372</v>
      </c>
      <c r="X211" s="158">
        <v>125000</v>
      </c>
      <c r="Y211" s="213" t="s">
        <v>286</v>
      </c>
      <c r="Z211" s="131">
        <v>55000</v>
      </c>
      <c r="AA211" s="188" t="s">
        <v>286</v>
      </c>
      <c r="AB211" s="158">
        <v>402635</v>
      </c>
      <c r="AC211" s="213" t="s">
        <v>3373</v>
      </c>
      <c r="AH211" s="158">
        <f t="shared" si="23"/>
        <v>602635</v>
      </c>
      <c r="AK211" s="189">
        <f t="shared" ref="AK211:AK215" si="27">M211-AH211</f>
        <v>0</v>
      </c>
      <c r="AL211" s="131">
        <v>13364854094</v>
      </c>
      <c r="AN211" s="189"/>
      <c r="AO211" s="131">
        <f t="shared" si="24"/>
        <v>602635</v>
      </c>
      <c r="AP211" s="161">
        <f>0.7%+0.03%+0.12%</f>
        <v>0.0085</v>
      </c>
      <c r="AQ211" s="192">
        <f t="shared" si="25"/>
        <v>0</v>
      </c>
      <c r="AR211" s="158"/>
      <c r="AS211" s="158"/>
      <c r="AT211" s="158"/>
      <c r="AU211" s="158"/>
      <c r="AV211" s="158"/>
      <c r="AW211" s="158"/>
      <c r="AX211" s="158"/>
      <c r="AY211" s="158"/>
      <c r="AZ211" s="158"/>
      <c r="BB211" s="158"/>
      <c r="BM211" s="131">
        <v>602635</v>
      </c>
      <c r="BO211" s="131">
        <f>AP211*BM211</f>
        <v>5122.3975</v>
      </c>
      <c r="BQ211" s="131" t="s">
        <v>205</v>
      </c>
      <c r="BR211" s="131" t="s">
        <v>206</v>
      </c>
    </row>
    <row r="212" s="131" customFormat="1" customHeight="1" spans="1:70">
      <c r="A212" s="175">
        <v>178</v>
      </c>
      <c r="C212" s="176">
        <v>45344</v>
      </c>
      <c r="D212" s="131">
        <v>20240000921</v>
      </c>
      <c r="F212" s="726" t="s">
        <v>3374</v>
      </c>
      <c r="G212" s="144" t="s">
        <v>3375</v>
      </c>
      <c r="H212" s="729" t="s">
        <v>3376</v>
      </c>
      <c r="I212" s="131" t="s">
        <v>3377</v>
      </c>
      <c r="J212" s="131">
        <v>132.34</v>
      </c>
      <c r="K212" s="131">
        <v>132.34</v>
      </c>
      <c r="L212" s="131">
        <v>5213.84</v>
      </c>
      <c r="M212" s="158">
        <v>690000</v>
      </c>
      <c r="N212" s="158">
        <v>5155</v>
      </c>
      <c r="O212" s="188"/>
      <c r="P212" s="189"/>
      <c r="Q212" s="189"/>
      <c r="R212" s="158"/>
      <c r="S212" s="213"/>
      <c r="T212" s="214"/>
      <c r="U212" s="213" t="s">
        <v>211</v>
      </c>
      <c r="V212" s="158">
        <v>20000</v>
      </c>
      <c r="W212" s="213" t="s">
        <v>648</v>
      </c>
      <c r="X212" s="158">
        <v>670000</v>
      </c>
      <c r="Y212" s="188" t="s">
        <v>3092</v>
      </c>
      <c r="AA212" s="188"/>
      <c r="AB212" s="158"/>
      <c r="AH212" s="158">
        <f t="shared" si="23"/>
        <v>690000</v>
      </c>
      <c r="AK212" s="189">
        <f t="shared" si="27"/>
        <v>0</v>
      </c>
      <c r="AL212" s="131">
        <v>13201131444</v>
      </c>
      <c r="AN212" s="189"/>
      <c r="AO212" s="131">
        <f t="shared" si="24"/>
        <v>690000</v>
      </c>
      <c r="AP212" s="161">
        <f>0.6%+0.05%+0.14%</f>
        <v>0.0079</v>
      </c>
      <c r="AQ212" s="192">
        <f t="shared" si="25"/>
        <v>0</v>
      </c>
      <c r="AR212" s="158"/>
      <c r="AS212" s="158"/>
      <c r="AT212" s="158"/>
      <c r="AU212" s="158"/>
      <c r="AV212" s="158"/>
      <c r="AW212" s="158"/>
      <c r="AX212" s="158"/>
      <c r="AY212" s="158"/>
      <c r="AZ212" s="158"/>
      <c r="BB212" s="158"/>
      <c r="BF212" s="131">
        <v>690000</v>
      </c>
      <c r="BQ212" s="131" t="s">
        <v>205</v>
      </c>
      <c r="BR212" s="131" t="s">
        <v>206</v>
      </c>
    </row>
    <row r="213" s="131" customFormat="1" customHeight="1" spans="1:69">
      <c r="A213" s="175">
        <v>179</v>
      </c>
      <c r="C213" s="176">
        <v>45546</v>
      </c>
      <c r="D213" s="131">
        <v>20240005221</v>
      </c>
      <c r="F213" s="726" t="s">
        <v>3378</v>
      </c>
      <c r="G213" s="144" t="s">
        <v>3379</v>
      </c>
      <c r="H213" s="144"/>
      <c r="I213" s="131" t="s">
        <v>3380</v>
      </c>
      <c r="J213" s="131">
        <v>86.14</v>
      </c>
      <c r="K213" s="131">
        <v>86.14</v>
      </c>
      <c r="L213" s="131">
        <v>5300</v>
      </c>
      <c r="M213" s="158">
        <v>456542</v>
      </c>
      <c r="N213" s="158">
        <v>5195</v>
      </c>
      <c r="O213" s="189"/>
      <c r="P213" s="189"/>
      <c r="Q213" s="189"/>
      <c r="R213" s="158"/>
      <c r="S213" s="213"/>
      <c r="T213" s="214"/>
      <c r="U213" s="213" t="s">
        <v>291</v>
      </c>
      <c r="V213" s="158">
        <v>10000</v>
      </c>
      <c r="W213" s="213" t="s">
        <v>3271</v>
      </c>
      <c r="X213" s="158">
        <v>6542</v>
      </c>
      <c r="Y213" s="213">
        <v>45546</v>
      </c>
      <c r="Z213" s="131">
        <v>140000</v>
      </c>
      <c r="AA213" s="188" t="s">
        <v>493</v>
      </c>
      <c r="AB213" s="158"/>
      <c r="AH213" s="158">
        <f t="shared" si="23"/>
        <v>156542</v>
      </c>
      <c r="AK213" s="189">
        <f t="shared" si="27"/>
        <v>300000</v>
      </c>
      <c r="AL213" s="131">
        <v>13779679327</v>
      </c>
      <c r="AN213" s="189"/>
      <c r="AO213" s="131">
        <f t="shared" si="24"/>
        <v>0</v>
      </c>
      <c r="AP213" s="163">
        <f>0.4%+0.03%+0.12%</f>
        <v>0.0055</v>
      </c>
      <c r="AQ213" s="192">
        <f t="shared" si="25"/>
        <v>0</v>
      </c>
      <c r="AR213" s="158"/>
      <c r="AS213" s="158"/>
      <c r="AT213" s="158"/>
      <c r="AU213" s="158"/>
      <c r="AV213" s="158"/>
      <c r="AW213" s="158"/>
      <c r="AX213" s="158"/>
      <c r="AY213" s="158"/>
      <c r="AZ213" s="158"/>
      <c r="BB213" s="158"/>
      <c r="BQ213" s="131" t="s">
        <v>205</v>
      </c>
    </row>
    <row r="214" s="131" customFormat="1" customHeight="1" spans="1:70">
      <c r="A214" s="175">
        <v>180</v>
      </c>
      <c r="C214" s="144" t="s">
        <v>261</v>
      </c>
      <c r="D214" s="131">
        <v>20240000478</v>
      </c>
      <c r="G214" s="144" t="s">
        <v>3381</v>
      </c>
      <c r="H214" s="144"/>
      <c r="I214" s="131" t="s">
        <v>3382</v>
      </c>
      <c r="J214" s="131">
        <v>115.78</v>
      </c>
      <c r="K214" s="131">
        <v>115.78</v>
      </c>
      <c r="L214" s="131">
        <f>M214/K214</f>
        <v>5268.6128865089</v>
      </c>
      <c r="M214" s="158">
        <v>610000</v>
      </c>
      <c r="N214" s="158">
        <v>5165</v>
      </c>
      <c r="O214" s="188"/>
      <c r="P214" s="189"/>
      <c r="Q214" s="189"/>
      <c r="R214" s="158"/>
      <c r="S214" s="213"/>
      <c r="T214" s="214"/>
      <c r="U214" s="213"/>
      <c r="V214" s="158">
        <v>20000</v>
      </c>
      <c r="W214" s="213" t="s">
        <v>3002</v>
      </c>
      <c r="X214" s="158">
        <v>170000</v>
      </c>
      <c r="Y214" s="188" t="s">
        <v>261</v>
      </c>
      <c r="Z214" s="158">
        <v>420000</v>
      </c>
      <c r="AA214" s="213" t="s">
        <v>2926</v>
      </c>
      <c r="AB214" s="158"/>
      <c r="AH214" s="158">
        <f t="shared" si="23"/>
        <v>610000</v>
      </c>
      <c r="AK214" s="189">
        <f t="shared" si="27"/>
        <v>0</v>
      </c>
      <c r="AN214" s="189"/>
      <c r="AO214" s="131">
        <f t="shared" si="24"/>
        <v>610000</v>
      </c>
      <c r="AP214" s="161">
        <f>0.4%+0.04%+0.12%</f>
        <v>0.0056</v>
      </c>
      <c r="AQ214" s="192">
        <f t="shared" si="25"/>
        <v>0</v>
      </c>
      <c r="AR214" s="158"/>
      <c r="AS214" s="158"/>
      <c r="AT214" s="158"/>
      <c r="AU214" s="158"/>
      <c r="AV214" s="158"/>
      <c r="AW214" s="158"/>
      <c r="AX214" s="158"/>
      <c r="AY214" s="158"/>
      <c r="AZ214" s="158"/>
      <c r="BB214" s="158"/>
      <c r="BE214" s="131">
        <v>190000</v>
      </c>
      <c r="BG214" s="131">
        <v>420000</v>
      </c>
      <c r="BQ214" s="131" t="s">
        <v>205</v>
      </c>
      <c r="BR214" s="131" t="s">
        <v>206</v>
      </c>
    </row>
    <row r="215" s="131" customFormat="1" customHeight="1" spans="1:73">
      <c r="A215" s="175">
        <v>181</v>
      </c>
      <c r="C215" s="144" t="s">
        <v>2955</v>
      </c>
      <c r="D215" s="131">
        <v>20240000900</v>
      </c>
      <c r="F215" s="726" t="s">
        <v>3383</v>
      </c>
      <c r="G215" s="144" t="s">
        <v>3384</v>
      </c>
      <c r="H215" s="729" t="s">
        <v>3385</v>
      </c>
      <c r="I215" s="131" t="s">
        <v>3386</v>
      </c>
      <c r="J215" s="131">
        <v>132.34</v>
      </c>
      <c r="K215" s="131">
        <v>132.34</v>
      </c>
      <c r="L215" s="131">
        <v>5307</v>
      </c>
      <c r="M215" s="158">
        <v>702328</v>
      </c>
      <c r="N215" s="158">
        <v>5207</v>
      </c>
      <c r="O215" s="188"/>
      <c r="P215" s="189"/>
      <c r="Q215" s="189"/>
      <c r="R215" s="158"/>
      <c r="S215" s="213"/>
      <c r="T215" s="214"/>
      <c r="U215" s="213" t="s">
        <v>411</v>
      </c>
      <c r="V215" s="158">
        <v>20000</v>
      </c>
      <c r="W215" s="213" t="s">
        <v>3387</v>
      </c>
      <c r="X215" s="158">
        <v>152328</v>
      </c>
      <c r="Y215" s="188" t="s">
        <v>2955</v>
      </c>
      <c r="Z215" s="131">
        <v>30000</v>
      </c>
      <c r="AA215" s="188" t="s">
        <v>3103</v>
      </c>
      <c r="AB215" s="158">
        <v>500000</v>
      </c>
      <c r="AC215" s="213" t="s">
        <v>2926</v>
      </c>
      <c r="AH215" s="158">
        <f t="shared" si="23"/>
        <v>702328</v>
      </c>
      <c r="AK215" s="189">
        <f t="shared" si="27"/>
        <v>0</v>
      </c>
      <c r="AL215" s="131">
        <v>17699244170</v>
      </c>
      <c r="AN215" s="189"/>
      <c r="AO215" s="131">
        <f t="shared" si="24"/>
        <v>702328</v>
      </c>
      <c r="AP215" s="161">
        <f>0.5%+0.14%</f>
        <v>0.0064</v>
      </c>
      <c r="AQ215" s="192">
        <f t="shared" si="25"/>
        <v>0</v>
      </c>
      <c r="AR215" s="158"/>
      <c r="AS215" s="158"/>
      <c r="AT215" s="158"/>
      <c r="AU215" s="158"/>
      <c r="AV215" s="158"/>
      <c r="AW215" s="158"/>
      <c r="AX215" s="158"/>
      <c r="AY215" s="158"/>
      <c r="AZ215" s="158"/>
      <c r="BB215" s="158"/>
      <c r="BF215" s="131">
        <v>202328</v>
      </c>
      <c r="BG215" s="131">
        <v>500000</v>
      </c>
      <c r="BQ215" s="131" t="s">
        <v>205</v>
      </c>
      <c r="BR215" s="131" t="s">
        <v>206</v>
      </c>
      <c r="BU215" s="131">
        <f>BS215-BT215</f>
        <v>0</v>
      </c>
    </row>
    <row r="216" s="89" customFormat="1" customHeight="1" spans="1:54">
      <c r="A216" s="167">
        <v>182</v>
      </c>
      <c r="C216" s="174"/>
      <c r="E216" s="89" t="s">
        <v>3388</v>
      </c>
      <c r="G216" s="174"/>
      <c r="H216" s="174"/>
      <c r="I216" s="89" t="s">
        <v>3389</v>
      </c>
      <c r="J216" s="89">
        <v>86.14</v>
      </c>
      <c r="M216" s="168"/>
      <c r="N216" s="168">
        <v>5257</v>
      </c>
      <c r="O216" s="184"/>
      <c r="P216" s="184"/>
      <c r="Q216" s="184"/>
      <c r="R216" s="168"/>
      <c r="S216" s="217"/>
      <c r="T216" s="218"/>
      <c r="U216" s="217"/>
      <c r="V216" s="168"/>
      <c r="W216" s="170"/>
      <c r="X216" s="168"/>
      <c r="Y216" s="170"/>
      <c r="AA216" s="170"/>
      <c r="AB216" s="168"/>
      <c r="AH216" s="168">
        <f t="shared" si="23"/>
        <v>0</v>
      </c>
      <c r="AK216" s="184"/>
      <c r="AN216" s="184"/>
      <c r="AO216" s="89">
        <f t="shared" si="24"/>
        <v>0</v>
      </c>
      <c r="AP216" s="106"/>
      <c r="AQ216" s="204">
        <f t="shared" si="25"/>
        <v>0</v>
      </c>
      <c r="AR216" s="168"/>
      <c r="AS216" s="168"/>
      <c r="AT216" s="168"/>
      <c r="AU216" s="168"/>
      <c r="AV216" s="168"/>
      <c r="AW216" s="168"/>
      <c r="AX216" s="168"/>
      <c r="AY216" s="168"/>
      <c r="AZ216" s="168"/>
      <c r="BB216" s="168"/>
    </row>
    <row r="217" s="131" customFormat="1" customHeight="1" spans="1:70">
      <c r="A217" s="175">
        <v>183</v>
      </c>
      <c r="C217" s="176">
        <v>45360</v>
      </c>
      <c r="D217" s="131">
        <v>20240001249</v>
      </c>
      <c r="F217" s="131" t="s">
        <v>3390</v>
      </c>
      <c r="G217" s="144" t="s">
        <v>3391</v>
      </c>
      <c r="H217" s="729" t="s">
        <v>3392</v>
      </c>
      <c r="I217" s="131" t="s">
        <v>3393</v>
      </c>
      <c r="J217" s="131">
        <v>115.78</v>
      </c>
      <c r="K217" s="131">
        <v>115.78</v>
      </c>
      <c r="L217" s="131">
        <v>5285.88</v>
      </c>
      <c r="M217" s="158">
        <v>612000</v>
      </c>
      <c r="N217" s="158">
        <v>5217</v>
      </c>
      <c r="O217" s="188"/>
      <c r="P217" s="189"/>
      <c r="Q217" s="189"/>
      <c r="R217" s="158"/>
      <c r="S217" s="214"/>
      <c r="T217" s="214"/>
      <c r="U217" s="213"/>
      <c r="V217" s="158">
        <v>20000</v>
      </c>
      <c r="W217" s="213" t="s">
        <v>642</v>
      </c>
      <c r="X217" s="158">
        <v>102000</v>
      </c>
      <c r="Y217" s="213" t="s">
        <v>3394</v>
      </c>
      <c r="Z217" s="131">
        <v>29000</v>
      </c>
      <c r="AA217" s="188" t="s">
        <v>3395</v>
      </c>
      <c r="AB217" s="158">
        <v>461000</v>
      </c>
      <c r="AC217" s="214" t="s">
        <v>3156</v>
      </c>
      <c r="AH217" s="158">
        <f t="shared" si="23"/>
        <v>612000</v>
      </c>
      <c r="AK217" s="189">
        <f>M217-AH217</f>
        <v>0</v>
      </c>
      <c r="AL217" s="726" t="s">
        <v>3396</v>
      </c>
      <c r="AN217" s="189"/>
      <c r="AO217" s="131">
        <f t="shared" si="24"/>
        <v>612000</v>
      </c>
      <c r="AP217" s="161">
        <f>0.7%+0.03%+0.12%</f>
        <v>0.0085</v>
      </c>
      <c r="AQ217" s="192">
        <f t="shared" si="25"/>
        <v>0</v>
      </c>
      <c r="AR217" s="158"/>
      <c r="AS217" s="158"/>
      <c r="AT217" s="158"/>
      <c r="AU217" s="158"/>
      <c r="AV217" s="158"/>
      <c r="AW217" s="158"/>
      <c r="AX217" s="158"/>
      <c r="AY217" s="158"/>
      <c r="AZ217" s="158"/>
      <c r="BB217" s="158"/>
      <c r="BG217" s="131">
        <v>151000</v>
      </c>
      <c r="BI217" s="131">
        <v>461000</v>
      </c>
      <c r="BQ217" s="131" t="s">
        <v>205</v>
      </c>
      <c r="BR217" s="131" t="s">
        <v>206</v>
      </c>
    </row>
    <row r="218" s="131" customFormat="1" customHeight="1" spans="1:70">
      <c r="A218" s="175">
        <v>184</v>
      </c>
      <c r="C218" s="144" t="s">
        <v>3397</v>
      </c>
      <c r="D218" s="131">
        <v>20240001546</v>
      </c>
      <c r="F218" s="726" t="s">
        <v>3398</v>
      </c>
      <c r="G218" s="144" t="s">
        <v>3399</v>
      </c>
      <c r="H218" s="729" t="s">
        <v>3400</v>
      </c>
      <c r="I218" s="131" t="s">
        <v>3401</v>
      </c>
      <c r="J218" s="131">
        <v>132.34</v>
      </c>
      <c r="K218" s="131">
        <v>132.34</v>
      </c>
      <c r="L218" s="131">
        <f>M218/K218</f>
        <v>5289.40607526069</v>
      </c>
      <c r="M218" s="158">
        <v>700000</v>
      </c>
      <c r="N218" s="158">
        <v>5237</v>
      </c>
      <c r="O218" s="188"/>
      <c r="P218" s="189"/>
      <c r="Q218" s="189"/>
      <c r="R218" s="158"/>
      <c r="S218" s="213"/>
      <c r="T218" s="214"/>
      <c r="U218" s="213" t="s">
        <v>3402</v>
      </c>
      <c r="V218" s="158">
        <f>10000-10000</f>
        <v>0</v>
      </c>
      <c r="W218" s="213" t="s">
        <v>252</v>
      </c>
      <c r="X218" s="158">
        <f>10000+608000</f>
        <v>618000</v>
      </c>
      <c r="Y218" s="188"/>
      <c r="Z218" s="188">
        <v>82000</v>
      </c>
      <c r="AA218" s="131" t="s">
        <v>3140</v>
      </c>
      <c r="AB218" s="158"/>
      <c r="AH218" s="158">
        <f t="shared" si="23"/>
        <v>700000</v>
      </c>
      <c r="AK218" s="189">
        <f>M218-AH218</f>
        <v>0</v>
      </c>
      <c r="AL218" s="131">
        <v>13039441680</v>
      </c>
      <c r="AN218" s="189"/>
      <c r="AO218" s="131">
        <f t="shared" si="24"/>
        <v>700000</v>
      </c>
      <c r="AP218" s="163">
        <f>0.4%+0.05%+0.12%</f>
        <v>0.0057</v>
      </c>
      <c r="AQ218" s="192">
        <f t="shared" si="25"/>
        <v>0</v>
      </c>
      <c r="AR218" s="158"/>
      <c r="AS218" s="158"/>
      <c r="AT218" s="158"/>
      <c r="AU218" s="158"/>
      <c r="AV218" s="158"/>
      <c r="AW218" s="158"/>
      <c r="AX218" s="158"/>
      <c r="AY218" s="158"/>
      <c r="AZ218" s="158"/>
      <c r="BB218" s="158"/>
      <c r="BG218" s="131">
        <v>700000</v>
      </c>
      <c r="BQ218" s="131" t="s">
        <v>205</v>
      </c>
      <c r="BR218" s="131" t="s">
        <v>206</v>
      </c>
    </row>
    <row r="219" s="89" customFormat="1" customHeight="1" spans="1:54">
      <c r="A219" s="167">
        <v>185</v>
      </c>
      <c r="C219" s="174"/>
      <c r="E219" s="89" t="s">
        <v>3403</v>
      </c>
      <c r="G219" s="174"/>
      <c r="H219" s="174"/>
      <c r="I219" s="89" t="s">
        <v>3404</v>
      </c>
      <c r="J219" s="89">
        <v>86.14</v>
      </c>
      <c r="M219" s="168"/>
      <c r="N219" s="168">
        <v>5277</v>
      </c>
      <c r="O219" s="184"/>
      <c r="P219" s="184"/>
      <c r="Q219" s="184"/>
      <c r="R219" s="168"/>
      <c r="S219" s="217"/>
      <c r="T219" s="218"/>
      <c r="U219" s="217"/>
      <c r="V219" s="168"/>
      <c r="W219" s="170"/>
      <c r="X219" s="168"/>
      <c r="Y219" s="170"/>
      <c r="AA219" s="170"/>
      <c r="AB219" s="168"/>
      <c r="AH219" s="168">
        <f t="shared" si="23"/>
        <v>0</v>
      </c>
      <c r="AK219" s="184"/>
      <c r="AN219" s="184"/>
      <c r="AO219" s="89">
        <f t="shared" si="24"/>
        <v>0</v>
      </c>
      <c r="AP219" s="106"/>
      <c r="AQ219" s="204">
        <f t="shared" si="25"/>
        <v>0</v>
      </c>
      <c r="AR219" s="168"/>
      <c r="AS219" s="168"/>
      <c r="AT219" s="168"/>
      <c r="AU219" s="168"/>
      <c r="AV219" s="168"/>
      <c r="AW219" s="168"/>
      <c r="AX219" s="168"/>
      <c r="AY219" s="168"/>
      <c r="AZ219" s="168"/>
      <c r="BB219" s="168"/>
    </row>
    <row r="220" s="131" customFormat="1" customHeight="1" spans="1:70">
      <c r="A220" s="175">
        <v>186</v>
      </c>
      <c r="C220" s="176">
        <v>45358</v>
      </c>
      <c r="D220" s="131">
        <v>20240001205</v>
      </c>
      <c r="F220" s="726" t="s">
        <v>3405</v>
      </c>
      <c r="G220" s="144" t="s">
        <v>3406</v>
      </c>
      <c r="H220" s="729" t="s">
        <v>3407</v>
      </c>
      <c r="I220" s="131" t="s">
        <v>3408</v>
      </c>
      <c r="J220" s="131">
        <v>115.78</v>
      </c>
      <c r="K220" s="131">
        <v>115.78</v>
      </c>
      <c r="L220" s="131">
        <f>M220/K220</f>
        <v>5294.52409742615</v>
      </c>
      <c r="M220" s="158">
        <v>613000</v>
      </c>
      <c r="N220" s="158">
        <v>5247</v>
      </c>
      <c r="O220" s="188"/>
      <c r="P220" s="189"/>
      <c r="Q220" s="189"/>
      <c r="R220" s="158"/>
      <c r="S220" s="213"/>
      <c r="T220" s="214"/>
      <c r="U220" s="213" t="s">
        <v>422</v>
      </c>
      <c r="V220" s="158">
        <v>10000</v>
      </c>
      <c r="W220" s="213" t="s">
        <v>679</v>
      </c>
      <c r="X220" s="158">
        <v>293000</v>
      </c>
      <c r="Y220" s="213" t="s">
        <v>2996</v>
      </c>
      <c r="Z220" s="158">
        <v>310000</v>
      </c>
      <c r="AA220" s="213" t="s">
        <v>326</v>
      </c>
      <c r="AB220" s="158"/>
      <c r="AH220" s="158">
        <f t="shared" si="23"/>
        <v>613000</v>
      </c>
      <c r="AK220" s="189">
        <f>M220-AH220</f>
        <v>0</v>
      </c>
      <c r="AL220" s="131">
        <v>17339883402</v>
      </c>
      <c r="AN220" s="189"/>
      <c r="AO220" s="131">
        <f t="shared" si="24"/>
        <v>613000</v>
      </c>
      <c r="AP220" s="161">
        <f t="shared" ref="AP220:AP224" si="28">0.7%+0.05%+0.14%</f>
        <v>0.0089</v>
      </c>
      <c r="AQ220" s="192">
        <f t="shared" si="25"/>
        <v>0</v>
      </c>
      <c r="AR220" s="158"/>
      <c r="AS220" s="158"/>
      <c r="AT220" s="158"/>
      <c r="AU220" s="158"/>
      <c r="AV220" s="158"/>
      <c r="AW220" s="158"/>
      <c r="AX220" s="158"/>
      <c r="AY220" s="158"/>
      <c r="AZ220" s="158"/>
      <c r="BB220" s="158"/>
      <c r="BG220" s="131">
        <v>303000</v>
      </c>
      <c r="BH220" s="131">
        <v>310000</v>
      </c>
      <c r="BQ220" s="131" t="s">
        <v>205</v>
      </c>
      <c r="BR220" s="131" t="s">
        <v>206</v>
      </c>
    </row>
    <row r="221" s="131" customFormat="1" customHeight="1" spans="1:70">
      <c r="A221" s="175">
        <v>187</v>
      </c>
      <c r="C221" s="144" t="s">
        <v>648</v>
      </c>
      <c r="D221" s="131">
        <v>20240000896</v>
      </c>
      <c r="F221" s="726" t="s">
        <v>3409</v>
      </c>
      <c r="G221" s="144" t="s">
        <v>3410</v>
      </c>
      <c r="H221" s="729" t="s">
        <v>3411</v>
      </c>
      <c r="I221" s="131" t="s">
        <v>3412</v>
      </c>
      <c r="J221" s="131">
        <v>132.34</v>
      </c>
      <c r="K221" s="131">
        <v>132.34</v>
      </c>
      <c r="L221" s="131">
        <v>5471</v>
      </c>
      <c r="M221" s="158">
        <v>724000</v>
      </c>
      <c r="N221" s="158">
        <v>5284</v>
      </c>
      <c r="O221" s="188"/>
      <c r="P221" s="189"/>
      <c r="Q221" s="189"/>
      <c r="R221" s="158"/>
      <c r="S221" s="213"/>
      <c r="T221" s="214"/>
      <c r="U221" s="213" t="s">
        <v>422</v>
      </c>
      <c r="V221" s="158">
        <v>20000</v>
      </c>
      <c r="W221" s="213" t="s">
        <v>3413</v>
      </c>
      <c r="X221" s="158">
        <v>90000</v>
      </c>
      <c r="Y221" s="188" t="s">
        <v>648</v>
      </c>
      <c r="Z221" s="158">
        <v>35000</v>
      </c>
      <c r="AA221" s="213" t="s">
        <v>3017</v>
      </c>
      <c r="AB221" s="158">
        <v>579000</v>
      </c>
      <c r="AC221" s="213" t="s">
        <v>3414</v>
      </c>
      <c r="AH221" s="158">
        <f t="shared" si="23"/>
        <v>724000</v>
      </c>
      <c r="AK221" s="189">
        <f t="shared" ref="AK221:AK227" si="29">M221-AH221</f>
        <v>0</v>
      </c>
      <c r="AL221" s="131">
        <v>18096842951</v>
      </c>
      <c r="AN221" s="189"/>
      <c r="AO221" s="131">
        <f t="shared" si="24"/>
        <v>724000</v>
      </c>
      <c r="AP221" s="161">
        <f t="shared" si="28"/>
        <v>0.0089</v>
      </c>
      <c r="AQ221" s="192">
        <f t="shared" si="25"/>
        <v>0</v>
      </c>
      <c r="AR221" s="158"/>
      <c r="AS221" s="158"/>
      <c r="AT221" s="158"/>
      <c r="AU221" s="158"/>
      <c r="AV221" s="158"/>
      <c r="AW221" s="158"/>
      <c r="AX221" s="158"/>
      <c r="AY221" s="158"/>
      <c r="AZ221" s="158"/>
      <c r="BB221" s="158"/>
      <c r="BG221" s="131">
        <v>145000</v>
      </c>
      <c r="BH221" s="131">
        <v>579000</v>
      </c>
      <c r="BQ221" s="131" t="s">
        <v>205</v>
      </c>
      <c r="BR221" s="131" t="s">
        <v>206</v>
      </c>
    </row>
    <row r="222" s="89" customFormat="1" customHeight="1" spans="1:54">
      <c r="A222" s="167">
        <v>188</v>
      </c>
      <c r="C222" s="174"/>
      <c r="E222" s="89" t="s">
        <v>3415</v>
      </c>
      <c r="G222" s="174"/>
      <c r="H222" s="174"/>
      <c r="I222" s="89" t="s">
        <v>3416</v>
      </c>
      <c r="J222" s="89">
        <v>86.14</v>
      </c>
      <c r="M222" s="168"/>
      <c r="N222" s="168">
        <v>5315</v>
      </c>
      <c r="O222" s="184"/>
      <c r="P222" s="184"/>
      <c r="Q222" s="184"/>
      <c r="R222" s="168"/>
      <c r="S222" s="217"/>
      <c r="T222" s="218"/>
      <c r="U222" s="217"/>
      <c r="V222" s="168"/>
      <c r="W222" s="170"/>
      <c r="X222" s="168"/>
      <c r="Y222" s="170"/>
      <c r="AA222" s="170"/>
      <c r="AB222" s="168"/>
      <c r="AH222" s="168">
        <f t="shared" si="23"/>
        <v>0</v>
      </c>
      <c r="AK222" s="184"/>
      <c r="AN222" s="184"/>
      <c r="AO222" s="89">
        <f t="shared" si="24"/>
        <v>0</v>
      </c>
      <c r="AP222" s="106"/>
      <c r="AQ222" s="204">
        <f t="shared" si="25"/>
        <v>0</v>
      </c>
      <c r="AR222" s="168"/>
      <c r="AS222" s="168"/>
      <c r="AT222" s="168"/>
      <c r="AU222" s="168"/>
      <c r="AV222" s="168"/>
      <c r="AW222" s="168"/>
      <c r="AX222" s="168"/>
      <c r="AY222" s="168"/>
      <c r="AZ222" s="168"/>
      <c r="BB222" s="168"/>
    </row>
    <row r="223" s="131" customFormat="1" customHeight="1" spans="1:70">
      <c r="A223" s="175">
        <v>189</v>
      </c>
      <c r="C223" s="144" t="s">
        <v>679</v>
      </c>
      <c r="D223" s="131">
        <v>20240001009</v>
      </c>
      <c r="F223" s="726" t="s">
        <v>3417</v>
      </c>
      <c r="G223" s="144" t="s">
        <v>3418</v>
      </c>
      <c r="H223" s="729" t="s">
        <v>3419</v>
      </c>
      <c r="I223" s="131" t="s">
        <v>3420</v>
      </c>
      <c r="J223" s="131">
        <v>115.78</v>
      </c>
      <c r="K223" s="131">
        <v>115.78</v>
      </c>
      <c r="L223" s="131">
        <v>5337.7</v>
      </c>
      <c r="M223" s="158">
        <v>618000</v>
      </c>
      <c r="N223" s="158">
        <v>5294</v>
      </c>
      <c r="O223" s="188"/>
      <c r="P223" s="189"/>
      <c r="Q223" s="189"/>
      <c r="R223" s="158"/>
      <c r="S223" s="213"/>
      <c r="T223" s="214"/>
      <c r="U223" s="213" t="s">
        <v>408</v>
      </c>
      <c r="V223" s="158">
        <v>20000</v>
      </c>
      <c r="W223" s="213" t="s">
        <v>3413</v>
      </c>
      <c r="X223" s="158">
        <v>128000</v>
      </c>
      <c r="Y223" s="188" t="s">
        <v>3103</v>
      </c>
      <c r="Z223" s="131">
        <v>150000</v>
      </c>
      <c r="AA223" s="188" t="s">
        <v>679</v>
      </c>
      <c r="AB223" s="158">
        <v>320000</v>
      </c>
      <c r="AC223" s="213" t="s">
        <v>202</v>
      </c>
      <c r="AH223" s="158">
        <f t="shared" si="23"/>
        <v>618000</v>
      </c>
      <c r="AK223" s="189">
        <f t="shared" si="29"/>
        <v>0</v>
      </c>
      <c r="AL223" s="131">
        <v>19990286915</v>
      </c>
      <c r="AN223" s="189"/>
      <c r="AO223" s="131">
        <f t="shared" si="24"/>
        <v>618000</v>
      </c>
      <c r="AP223" s="163">
        <f>0.5%+0.04%+0.14%</f>
        <v>0.0068</v>
      </c>
      <c r="AQ223" s="192">
        <f t="shared" si="25"/>
        <v>0</v>
      </c>
      <c r="AR223" s="158"/>
      <c r="AS223" s="158"/>
      <c r="AT223" s="158"/>
      <c r="AU223" s="158"/>
      <c r="AV223" s="158"/>
      <c r="AW223" s="158"/>
      <c r="AX223" s="158"/>
      <c r="AY223" s="158"/>
      <c r="AZ223" s="158"/>
      <c r="BB223" s="158"/>
      <c r="BF223" s="131">
        <v>298000</v>
      </c>
      <c r="BH223" s="131">
        <v>320000</v>
      </c>
      <c r="BQ223" s="131" t="s">
        <v>205</v>
      </c>
      <c r="BR223" s="131" t="s">
        <v>206</v>
      </c>
    </row>
    <row r="224" s="131" customFormat="1" customHeight="1" spans="1:70">
      <c r="A224" s="175">
        <v>190</v>
      </c>
      <c r="C224" s="144" t="s">
        <v>3271</v>
      </c>
      <c r="D224" s="131">
        <v>20240001551</v>
      </c>
      <c r="F224" s="726" t="s">
        <v>3421</v>
      </c>
      <c r="G224" s="144" t="s">
        <v>3422</v>
      </c>
      <c r="H224" s="144"/>
      <c r="I224" s="131" t="s">
        <v>3423</v>
      </c>
      <c r="J224" s="131">
        <v>132.34</v>
      </c>
      <c r="K224" s="131">
        <v>132.34</v>
      </c>
      <c r="L224" s="131">
        <v>5380.08</v>
      </c>
      <c r="M224" s="158">
        <v>712000</v>
      </c>
      <c r="N224" s="158">
        <v>5317</v>
      </c>
      <c r="O224" s="188"/>
      <c r="P224" s="189"/>
      <c r="Q224" s="189"/>
      <c r="R224" s="158"/>
      <c r="S224" s="213"/>
      <c r="T224" s="214"/>
      <c r="U224" s="213" t="s">
        <v>226</v>
      </c>
      <c r="V224" s="158">
        <f>10000-10000</f>
        <v>0</v>
      </c>
      <c r="W224" s="213" t="s">
        <v>252</v>
      </c>
      <c r="X224" s="158">
        <v>20000</v>
      </c>
      <c r="Y224" s="188" t="s">
        <v>2390</v>
      </c>
      <c r="Z224" s="131">
        <v>134000</v>
      </c>
      <c r="AA224" s="188" t="s">
        <v>3271</v>
      </c>
      <c r="AB224" s="158">
        <v>48000</v>
      </c>
      <c r="AC224" s="213" t="s">
        <v>3424</v>
      </c>
      <c r="AD224" s="131">
        <v>510000</v>
      </c>
      <c r="AE224" s="131" t="s">
        <v>3425</v>
      </c>
      <c r="AH224" s="158">
        <f t="shared" si="23"/>
        <v>712000</v>
      </c>
      <c r="AK224" s="189">
        <f t="shared" si="29"/>
        <v>0</v>
      </c>
      <c r="AL224" s="131">
        <v>13139969515</v>
      </c>
      <c r="AN224" s="189"/>
      <c r="AO224" s="131">
        <f t="shared" si="24"/>
        <v>712000</v>
      </c>
      <c r="AP224" s="161">
        <f>0.7%+0.05%+0.12%</f>
        <v>0.0087</v>
      </c>
      <c r="AQ224" s="192">
        <f t="shared" si="25"/>
        <v>0</v>
      </c>
      <c r="AR224" s="158"/>
      <c r="AS224" s="158"/>
      <c r="AT224" s="158"/>
      <c r="AU224" s="158"/>
      <c r="AV224" s="158"/>
      <c r="AW224" s="158"/>
      <c r="AX224" s="158"/>
      <c r="AY224" s="158"/>
      <c r="AZ224" s="158"/>
      <c r="BB224" s="158"/>
      <c r="BH224" s="131">
        <v>712000</v>
      </c>
      <c r="BQ224" s="131" t="s">
        <v>205</v>
      </c>
      <c r="BR224" s="131" t="s">
        <v>206</v>
      </c>
    </row>
    <row r="225" s="89" customFormat="1" customHeight="1" spans="1:54">
      <c r="A225" s="167">
        <v>191</v>
      </c>
      <c r="C225" s="174"/>
      <c r="E225" s="89" t="s">
        <v>3426</v>
      </c>
      <c r="G225" s="174"/>
      <c r="H225" s="174"/>
      <c r="I225" s="89" t="s">
        <v>3427</v>
      </c>
      <c r="J225" s="89">
        <v>86.14</v>
      </c>
      <c r="M225" s="168"/>
      <c r="N225" s="168">
        <v>5347</v>
      </c>
      <c r="O225" s="184"/>
      <c r="P225" s="184"/>
      <c r="Q225" s="184"/>
      <c r="R225" s="168"/>
      <c r="S225" s="217"/>
      <c r="T225" s="218"/>
      <c r="U225" s="217"/>
      <c r="V225" s="168"/>
      <c r="W225" s="170"/>
      <c r="X225" s="168"/>
      <c r="Y225" s="170"/>
      <c r="AA225" s="170"/>
      <c r="AB225" s="168"/>
      <c r="AH225" s="168">
        <f t="shared" si="23"/>
        <v>0</v>
      </c>
      <c r="AK225" s="184"/>
      <c r="AN225" s="184"/>
      <c r="AO225" s="89">
        <f t="shared" si="24"/>
        <v>0</v>
      </c>
      <c r="AP225" s="106"/>
      <c r="AQ225" s="204">
        <f t="shared" si="25"/>
        <v>0</v>
      </c>
      <c r="AR225" s="168"/>
      <c r="AS225" s="168"/>
      <c r="AT225" s="168"/>
      <c r="AU225" s="168"/>
      <c r="AV225" s="168"/>
      <c r="AW225" s="168"/>
      <c r="AX225" s="168"/>
      <c r="AY225" s="168"/>
      <c r="AZ225" s="168"/>
      <c r="BB225" s="168"/>
    </row>
    <row r="226" s="131" customFormat="1" customHeight="1" spans="1:70">
      <c r="A226" s="175">
        <v>192</v>
      </c>
      <c r="C226" s="144" t="s">
        <v>2390</v>
      </c>
      <c r="D226" s="131">
        <v>20240001462</v>
      </c>
      <c r="F226" s="726" t="s">
        <v>3428</v>
      </c>
      <c r="G226" s="144" t="s">
        <v>3429</v>
      </c>
      <c r="H226" s="144"/>
      <c r="I226" s="131" t="s">
        <v>3430</v>
      </c>
      <c r="J226" s="131">
        <v>115.78</v>
      </c>
      <c r="K226" s="131">
        <v>115.78</v>
      </c>
      <c r="L226" s="131">
        <f>M226/K226</f>
        <v>5458.99982725859</v>
      </c>
      <c r="M226" s="158">
        <v>632043</v>
      </c>
      <c r="N226" s="158">
        <v>5327</v>
      </c>
      <c r="O226" s="188"/>
      <c r="P226" s="189"/>
      <c r="Q226" s="189"/>
      <c r="R226" s="158"/>
      <c r="S226" s="213"/>
      <c r="T226" s="214"/>
      <c r="U226" s="213" t="s">
        <v>291</v>
      </c>
      <c r="V226" s="158">
        <v>7043</v>
      </c>
      <c r="W226" s="213" t="s">
        <v>3103</v>
      </c>
      <c r="X226" s="158">
        <v>120000</v>
      </c>
      <c r="Y226" s="213" t="s">
        <v>2390</v>
      </c>
      <c r="Z226" s="131">
        <v>505000</v>
      </c>
      <c r="AA226" s="188" t="s">
        <v>397</v>
      </c>
      <c r="AB226" s="158"/>
      <c r="AH226" s="158">
        <f t="shared" si="23"/>
        <v>632043</v>
      </c>
      <c r="AK226" s="189">
        <f t="shared" si="29"/>
        <v>0</v>
      </c>
      <c r="AL226" s="131">
        <v>18153966967</v>
      </c>
      <c r="AN226" s="189"/>
      <c r="AO226" s="131">
        <f t="shared" si="24"/>
        <v>632043</v>
      </c>
      <c r="AP226" s="163">
        <f>0.5%+0.04%+0.14%</f>
        <v>0.0068</v>
      </c>
      <c r="AQ226" s="192">
        <f t="shared" si="25"/>
        <v>0</v>
      </c>
      <c r="AR226" s="158"/>
      <c r="AS226" s="158"/>
      <c r="AT226" s="158"/>
      <c r="AU226" s="158"/>
      <c r="AV226" s="158"/>
      <c r="AW226" s="158"/>
      <c r="AX226" s="158"/>
      <c r="AY226" s="158"/>
      <c r="AZ226" s="158"/>
      <c r="BB226" s="158"/>
      <c r="BG226" s="131">
        <v>632043</v>
      </c>
      <c r="BQ226" s="131" t="s">
        <v>205</v>
      </c>
      <c r="BR226" s="131" t="s">
        <v>206</v>
      </c>
    </row>
    <row r="227" s="131" customFormat="1" customHeight="1" spans="1:70">
      <c r="A227" s="175">
        <v>193</v>
      </c>
      <c r="C227" s="144" t="s">
        <v>3424</v>
      </c>
      <c r="D227" s="131">
        <v>20240001966</v>
      </c>
      <c r="F227" s="726" t="s">
        <v>3431</v>
      </c>
      <c r="G227" s="144" t="s">
        <v>3432</v>
      </c>
      <c r="H227" s="729" t="s">
        <v>3433</v>
      </c>
      <c r="I227" s="131" t="s">
        <v>3434</v>
      </c>
      <c r="J227" s="131">
        <v>132.34</v>
      </c>
      <c r="K227" s="131">
        <v>132.34</v>
      </c>
      <c r="L227" s="131">
        <v>5425.42</v>
      </c>
      <c r="M227" s="158">
        <v>718000</v>
      </c>
      <c r="N227" s="158">
        <v>5354</v>
      </c>
      <c r="O227" s="189"/>
      <c r="P227" s="189"/>
      <c r="Q227" s="189"/>
      <c r="R227" s="158"/>
      <c r="S227" s="213"/>
      <c r="T227" s="214"/>
      <c r="U227" s="213" t="s">
        <v>422</v>
      </c>
      <c r="V227" s="158">
        <v>10000</v>
      </c>
      <c r="W227" s="213" t="s">
        <v>227</v>
      </c>
      <c r="X227" s="158">
        <v>70000</v>
      </c>
      <c r="Y227" s="213" t="s">
        <v>3227</v>
      </c>
      <c r="Z227" s="131">
        <v>20000</v>
      </c>
      <c r="AA227" s="188" t="s">
        <v>3424</v>
      </c>
      <c r="AB227" s="158">
        <v>44000</v>
      </c>
      <c r="AC227" s="213" t="s">
        <v>3156</v>
      </c>
      <c r="AD227" s="131">
        <v>574000</v>
      </c>
      <c r="AE227" s="131" t="s">
        <v>523</v>
      </c>
      <c r="AH227" s="158">
        <f t="shared" si="23"/>
        <v>718000</v>
      </c>
      <c r="AK227" s="189">
        <f t="shared" si="29"/>
        <v>0</v>
      </c>
      <c r="AL227" s="131">
        <v>18195787228</v>
      </c>
      <c r="AN227" s="189"/>
      <c r="AO227" s="131">
        <f t="shared" si="24"/>
        <v>718000</v>
      </c>
      <c r="AP227" s="163">
        <f>0.4%+0.05%+0.12%</f>
        <v>0.0057</v>
      </c>
      <c r="AQ227" s="192">
        <f t="shared" si="25"/>
        <v>0</v>
      </c>
      <c r="AR227" s="158"/>
      <c r="AS227" s="158"/>
      <c r="AT227" s="158"/>
      <c r="AU227" s="158"/>
      <c r="AV227" s="158"/>
      <c r="AW227" s="158"/>
      <c r="AX227" s="158"/>
      <c r="AY227" s="158"/>
      <c r="AZ227" s="158"/>
      <c r="BB227" s="158"/>
      <c r="BI227" s="131">
        <v>718000</v>
      </c>
      <c r="BQ227" s="131" t="s">
        <v>205</v>
      </c>
      <c r="BR227" s="131" t="s">
        <v>206</v>
      </c>
    </row>
    <row r="228" s="89" customFormat="1" customHeight="1" spans="1:54">
      <c r="A228" s="167">
        <v>194</v>
      </c>
      <c r="C228" s="174"/>
      <c r="E228" s="89" t="s">
        <v>3435</v>
      </c>
      <c r="G228" s="174"/>
      <c r="H228" s="174"/>
      <c r="I228" s="89" t="s">
        <v>3436</v>
      </c>
      <c r="J228" s="89">
        <v>86.14</v>
      </c>
      <c r="M228" s="168"/>
      <c r="N228" s="168">
        <v>5377</v>
      </c>
      <c r="O228" s="184"/>
      <c r="P228" s="184"/>
      <c r="Q228" s="184"/>
      <c r="R228" s="168"/>
      <c r="S228" s="217"/>
      <c r="T228" s="218"/>
      <c r="U228" s="217"/>
      <c r="V228" s="168"/>
      <c r="W228" s="170"/>
      <c r="X228" s="168"/>
      <c r="Y228" s="170"/>
      <c r="AA228" s="170"/>
      <c r="AB228" s="168"/>
      <c r="AH228" s="168">
        <f t="shared" si="23"/>
        <v>0</v>
      </c>
      <c r="AK228" s="184"/>
      <c r="AN228" s="184"/>
      <c r="AO228" s="89">
        <f t="shared" si="24"/>
        <v>0</v>
      </c>
      <c r="AP228" s="106"/>
      <c r="AQ228" s="204">
        <f t="shared" si="25"/>
        <v>0</v>
      </c>
      <c r="AR228" s="168"/>
      <c r="AS228" s="168"/>
      <c r="AT228" s="168"/>
      <c r="AU228" s="168"/>
      <c r="AV228" s="168"/>
      <c r="AW228" s="168"/>
      <c r="AX228" s="168"/>
      <c r="AY228" s="168"/>
      <c r="AZ228" s="168"/>
      <c r="BB228" s="168"/>
    </row>
    <row r="229" s="131" customFormat="1" customHeight="1" spans="1:70">
      <c r="A229" s="175">
        <v>195</v>
      </c>
      <c r="C229" s="144" t="s">
        <v>3437</v>
      </c>
      <c r="D229" s="131">
        <v>20240001057</v>
      </c>
      <c r="F229" s="726" t="s">
        <v>3438</v>
      </c>
      <c r="G229" s="144" t="s">
        <v>3439</v>
      </c>
      <c r="H229" s="729" t="s">
        <v>3440</v>
      </c>
      <c r="I229" s="131" t="s">
        <v>3441</v>
      </c>
      <c r="J229" s="131">
        <v>115.78</v>
      </c>
      <c r="K229" s="131">
        <v>115.78</v>
      </c>
      <c r="L229" s="131">
        <v>5398.16</v>
      </c>
      <c r="M229" s="158">
        <v>625000</v>
      </c>
      <c r="N229" s="158">
        <v>5364</v>
      </c>
      <c r="O229" s="188"/>
      <c r="P229" s="189"/>
      <c r="Q229" s="189"/>
      <c r="R229" s="158"/>
      <c r="S229" s="213"/>
      <c r="T229" s="214"/>
      <c r="U229" s="213" t="s">
        <v>1811</v>
      </c>
      <c r="V229" s="158">
        <v>20000</v>
      </c>
      <c r="W229" s="213" t="s">
        <v>3075</v>
      </c>
      <c r="X229" s="158">
        <f>100500+4500</f>
        <v>105000</v>
      </c>
      <c r="Y229" s="213" t="s">
        <v>286</v>
      </c>
      <c r="Z229" s="131">
        <v>500000</v>
      </c>
      <c r="AA229" s="188" t="s">
        <v>3027</v>
      </c>
      <c r="AB229" s="158"/>
      <c r="AH229" s="158">
        <f t="shared" si="23"/>
        <v>625000</v>
      </c>
      <c r="AK229" s="189">
        <f>M229-AH229</f>
        <v>0</v>
      </c>
      <c r="AL229" s="131">
        <v>17797976009</v>
      </c>
      <c r="AN229" s="189"/>
      <c r="AO229" s="131">
        <f t="shared" si="24"/>
        <v>625000</v>
      </c>
      <c r="AP229" s="161">
        <f>0.7%+0.04%+0.14%</f>
        <v>0.0088</v>
      </c>
      <c r="AQ229" s="192">
        <f t="shared" si="25"/>
        <v>0</v>
      </c>
      <c r="AR229" s="158"/>
      <c r="AS229" s="158"/>
      <c r="AT229" s="158"/>
      <c r="AU229" s="158"/>
      <c r="AV229" s="158"/>
      <c r="AW229" s="158"/>
      <c r="AX229" s="158"/>
      <c r="AY229" s="158"/>
      <c r="AZ229" s="158"/>
      <c r="BB229" s="158"/>
      <c r="BG229" s="131">
        <v>625000</v>
      </c>
      <c r="BQ229" s="131" t="s">
        <v>205</v>
      </c>
      <c r="BR229" s="131" t="s">
        <v>206</v>
      </c>
    </row>
    <row r="230" s="131" customFormat="1" customHeight="1" spans="1:70">
      <c r="A230" s="175">
        <v>196</v>
      </c>
      <c r="C230" s="144" t="s">
        <v>2551</v>
      </c>
      <c r="D230" s="131">
        <v>20240001994</v>
      </c>
      <c r="F230" s="726" t="s">
        <v>3442</v>
      </c>
      <c r="G230" s="144" t="s">
        <v>3443</v>
      </c>
      <c r="H230" s="729" t="s">
        <v>3444</v>
      </c>
      <c r="I230" s="131" t="s">
        <v>3445</v>
      </c>
      <c r="J230" s="131">
        <v>132.34</v>
      </c>
      <c r="K230" s="131">
        <v>132.34</v>
      </c>
      <c r="L230" s="131">
        <v>5440.53</v>
      </c>
      <c r="M230" s="158">
        <v>720000</v>
      </c>
      <c r="N230" s="158">
        <v>5382</v>
      </c>
      <c r="O230" s="188"/>
      <c r="P230" s="189"/>
      <c r="Q230" s="189"/>
      <c r="R230" s="158"/>
      <c r="S230" s="213"/>
      <c r="T230" s="214"/>
      <c r="U230" s="213" t="s">
        <v>226</v>
      </c>
      <c r="V230" s="158">
        <v>20000</v>
      </c>
      <c r="W230" s="213" t="s">
        <v>3155</v>
      </c>
      <c r="X230" s="158">
        <v>50000</v>
      </c>
      <c r="Y230" s="188" t="s">
        <v>2923</v>
      </c>
      <c r="Z230" s="131">
        <v>66000</v>
      </c>
      <c r="AA230" s="188" t="s">
        <v>3424</v>
      </c>
      <c r="AB230" s="158">
        <v>14000</v>
      </c>
      <c r="AC230" s="131" t="s">
        <v>222</v>
      </c>
      <c r="AD230" s="158">
        <v>570000</v>
      </c>
      <c r="AE230" s="213" t="s">
        <v>523</v>
      </c>
      <c r="AH230" s="158">
        <f t="shared" si="23"/>
        <v>720000</v>
      </c>
      <c r="AK230" s="189">
        <f>M230-AH230</f>
        <v>0</v>
      </c>
      <c r="AL230" s="131">
        <v>18096840581</v>
      </c>
      <c r="AN230" s="189"/>
      <c r="AO230" s="131">
        <f t="shared" si="24"/>
        <v>720000</v>
      </c>
      <c r="AP230" s="163">
        <f>0.7%+0.12%</f>
        <v>0.0082</v>
      </c>
      <c r="AQ230" s="192">
        <f t="shared" si="25"/>
        <v>0</v>
      </c>
      <c r="AR230" s="158"/>
      <c r="AS230" s="158"/>
      <c r="AT230" s="158"/>
      <c r="AU230" s="158"/>
      <c r="AV230" s="158"/>
      <c r="AW230" s="158"/>
      <c r="AX230" s="158"/>
      <c r="AY230" s="158"/>
      <c r="AZ230" s="158"/>
      <c r="BB230" s="158"/>
      <c r="BH230" s="131">
        <v>150000</v>
      </c>
      <c r="BI230" s="131">
        <v>570000</v>
      </c>
      <c r="BQ230" s="131" t="s">
        <v>205</v>
      </c>
      <c r="BR230" s="131" t="s">
        <v>206</v>
      </c>
    </row>
    <row r="231" s="89" customFormat="1" customHeight="1" spans="1:54">
      <c r="A231" s="167">
        <v>197</v>
      </c>
      <c r="C231" s="174"/>
      <c r="E231" s="89" t="s">
        <v>3446</v>
      </c>
      <c r="G231" s="174"/>
      <c r="H231" s="174"/>
      <c r="I231" s="89" t="s">
        <v>3447</v>
      </c>
      <c r="J231" s="89">
        <v>86.14</v>
      </c>
      <c r="M231" s="168"/>
      <c r="N231" s="168">
        <v>5392</v>
      </c>
      <c r="O231" s="184"/>
      <c r="P231" s="184"/>
      <c r="Q231" s="184"/>
      <c r="R231" s="168"/>
      <c r="S231" s="217"/>
      <c r="T231" s="218"/>
      <c r="U231" s="217"/>
      <c r="V231" s="168"/>
      <c r="W231" s="170"/>
      <c r="X231" s="168"/>
      <c r="Y231" s="170"/>
      <c r="AA231" s="170"/>
      <c r="AB231" s="168"/>
      <c r="AH231" s="168">
        <f t="shared" si="23"/>
        <v>0</v>
      </c>
      <c r="AK231" s="184"/>
      <c r="AN231" s="184"/>
      <c r="AO231" s="89">
        <f t="shared" si="24"/>
        <v>0</v>
      </c>
      <c r="AP231" s="106"/>
      <c r="AQ231" s="204">
        <f t="shared" si="25"/>
        <v>0</v>
      </c>
      <c r="AR231" s="168"/>
      <c r="AS231" s="168"/>
      <c r="AT231" s="168"/>
      <c r="AU231" s="168"/>
      <c r="AV231" s="168"/>
      <c r="AW231" s="168"/>
      <c r="AX231" s="168"/>
      <c r="AY231" s="168"/>
      <c r="AZ231" s="168"/>
      <c r="BB231" s="168"/>
    </row>
    <row r="232" s="131" customFormat="1" customHeight="1" spans="1:70">
      <c r="A232" s="175">
        <v>198</v>
      </c>
      <c r="C232" s="176">
        <v>45358</v>
      </c>
      <c r="D232" s="131">
        <v>20240001204</v>
      </c>
      <c r="F232" s="726" t="s">
        <v>3448</v>
      </c>
      <c r="G232" s="144" t="s">
        <v>3449</v>
      </c>
      <c r="H232" s="729" t="s">
        <v>3450</v>
      </c>
      <c r="I232" s="131" t="s">
        <v>3451</v>
      </c>
      <c r="J232" s="131">
        <v>115.78</v>
      </c>
      <c r="K232" s="131">
        <v>115.78</v>
      </c>
      <c r="L232" s="131">
        <f>M232/K232</f>
        <v>5400</v>
      </c>
      <c r="M232" s="158">
        <v>625212</v>
      </c>
      <c r="N232" s="158">
        <v>5392</v>
      </c>
      <c r="O232" s="188"/>
      <c r="P232" s="189"/>
      <c r="Q232" s="189"/>
      <c r="R232" s="158"/>
      <c r="S232" s="213"/>
      <c r="T232" s="214"/>
      <c r="U232" s="213" t="s">
        <v>1811</v>
      </c>
      <c r="V232" s="158">
        <v>10000</v>
      </c>
      <c r="W232" s="213" t="s">
        <v>286</v>
      </c>
      <c r="X232" s="158">
        <v>178212</v>
      </c>
      <c r="Y232" s="188" t="s">
        <v>2996</v>
      </c>
      <c r="AA232" s="188"/>
      <c r="AB232" s="158"/>
      <c r="AH232" s="158">
        <f t="shared" si="23"/>
        <v>188212</v>
      </c>
      <c r="AK232" s="189">
        <f>M232-AH232</f>
        <v>437000</v>
      </c>
      <c r="AL232" s="131">
        <v>18699553280</v>
      </c>
      <c r="AN232" s="189"/>
      <c r="AO232" s="131">
        <f t="shared" si="24"/>
        <v>188212</v>
      </c>
      <c r="AP232" s="161">
        <f>0.7%+0.04%+0.14%</f>
        <v>0.0088</v>
      </c>
      <c r="AQ232" s="192">
        <f t="shared" si="25"/>
        <v>0</v>
      </c>
      <c r="AR232" s="158"/>
      <c r="AS232" s="158"/>
      <c r="AT232" s="158"/>
      <c r="AU232" s="158"/>
      <c r="AV232" s="158"/>
      <c r="AW232" s="158"/>
      <c r="AX232" s="158"/>
      <c r="AY232" s="158"/>
      <c r="AZ232" s="158"/>
      <c r="BB232" s="158"/>
      <c r="BG232" s="131">
        <v>188212</v>
      </c>
      <c r="BQ232" s="131" t="s">
        <v>205</v>
      </c>
      <c r="BR232" s="131" t="s">
        <v>206</v>
      </c>
    </row>
    <row r="233" s="131" customFormat="1" customHeight="1" spans="1:70">
      <c r="A233" s="175">
        <v>199</v>
      </c>
      <c r="C233" s="176">
        <v>45414</v>
      </c>
      <c r="D233" s="131">
        <v>20240002484</v>
      </c>
      <c r="F233" s="726" t="s">
        <v>3452</v>
      </c>
      <c r="G233" s="144" t="s">
        <v>3453</v>
      </c>
      <c r="H233" s="729" t="s">
        <v>3454</v>
      </c>
      <c r="I233" s="131" t="s">
        <v>3455</v>
      </c>
      <c r="J233" s="131">
        <v>132.34</v>
      </c>
      <c r="K233" s="131">
        <v>132.34</v>
      </c>
      <c r="L233" s="131">
        <f>M233/K233</f>
        <v>5417.86307994559</v>
      </c>
      <c r="M233" s="158">
        <v>717000</v>
      </c>
      <c r="N233" s="158">
        <v>5407</v>
      </c>
      <c r="O233" s="189"/>
      <c r="P233" s="189"/>
      <c r="Q233" s="189"/>
      <c r="R233" s="158"/>
      <c r="S233" s="213"/>
      <c r="T233" s="214"/>
      <c r="U233" s="213" t="s">
        <v>408</v>
      </c>
      <c r="V233" s="158">
        <v>20000</v>
      </c>
      <c r="W233" s="213" t="s">
        <v>3155</v>
      </c>
      <c r="X233" s="158">
        <v>127000</v>
      </c>
      <c r="Y233" s="213" t="s">
        <v>2990</v>
      </c>
      <c r="Z233" s="158">
        <v>570000</v>
      </c>
      <c r="AA233" s="213" t="s">
        <v>2927</v>
      </c>
      <c r="AB233" s="158"/>
      <c r="AH233" s="158">
        <f t="shared" si="23"/>
        <v>717000</v>
      </c>
      <c r="AK233" s="189">
        <f t="shared" ref="AK233:AK239" si="30">M233-AH233</f>
        <v>0</v>
      </c>
      <c r="AN233" s="189"/>
      <c r="AO233" s="131">
        <f t="shared" si="24"/>
        <v>717000</v>
      </c>
      <c r="AP233" s="163">
        <f>0.7%+0.02%+0.12%</f>
        <v>0.0084</v>
      </c>
      <c r="AQ233" s="192">
        <f t="shared" si="25"/>
        <v>0</v>
      </c>
      <c r="AR233" s="158"/>
      <c r="AS233" s="158"/>
      <c r="AT233" s="158"/>
      <c r="AU233" s="158"/>
      <c r="AV233" s="158"/>
      <c r="AW233" s="158"/>
      <c r="AX233" s="158"/>
      <c r="AY233" s="158"/>
      <c r="AZ233" s="158"/>
      <c r="BB233" s="158"/>
      <c r="BI233" s="131">
        <v>147000</v>
      </c>
      <c r="BJ233" s="131">
        <v>570000</v>
      </c>
      <c r="BQ233" s="131" t="s">
        <v>205</v>
      </c>
      <c r="BR233" s="131" t="s">
        <v>206</v>
      </c>
    </row>
    <row r="234" s="89" customFormat="1" customHeight="1" spans="1:54">
      <c r="A234" s="167">
        <v>200</v>
      </c>
      <c r="C234" s="174"/>
      <c r="E234" s="89" t="s">
        <v>3116</v>
      </c>
      <c r="G234" s="174"/>
      <c r="H234" s="174"/>
      <c r="I234" s="89" t="s">
        <v>3456</v>
      </c>
      <c r="J234" s="89">
        <v>86.14</v>
      </c>
      <c r="M234" s="168"/>
      <c r="N234" s="168">
        <v>5412</v>
      </c>
      <c r="O234" s="184"/>
      <c r="P234" s="184"/>
      <c r="Q234" s="184"/>
      <c r="R234" s="168"/>
      <c r="S234" s="217"/>
      <c r="T234" s="218"/>
      <c r="U234" s="217"/>
      <c r="V234" s="168"/>
      <c r="W234" s="170"/>
      <c r="X234" s="168"/>
      <c r="Y234" s="170"/>
      <c r="AA234" s="170"/>
      <c r="AB234" s="168"/>
      <c r="AH234" s="168">
        <f t="shared" si="23"/>
        <v>0</v>
      </c>
      <c r="AK234" s="184"/>
      <c r="AN234" s="184"/>
      <c r="AO234" s="89">
        <f t="shared" si="24"/>
        <v>0</v>
      </c>
      <c r="AP234" s="106"/>
      <c r="AQ234" s="204">
        <f t="shared" si="25"/>
        <v>0</v>
      </c>
      <c r="AR234" s="168"/>
      <c r="AS234" s="168"/>
      <c r="AT234" s="168"/>
      <c r="AU234" s="168"/>
      <c r="AV234" s="168"/>
      <c r="AW234" s="168"/>
      <c r="AX234" s="168"/>
      <c r="AY234" s="168"/>
      <c r="AZ234" s="168"/>
      <c r="BB234" s="168"/>
    </row>
    <row r="235" s="131" customFormat="1" customHeight="1" spans="1:70">
      <c r="A235" s="175">
        <v>201</v>
      </c>
      <c r="C235" s="144" t="s">
        <v>552</v>
      </c>
      <c r="D235" s="131">
        <v>20240001177</v>
      </c>
      <c r="F235" s="726" t="s">
        <v>3457</v>
      </c>
      <c r="G235" s="144" t="s">
        <v>3458</v>
      </c>
      <c r="H235" s="729" t="s">
        <v>3459</v>
      </c>
      <c r="I235" s="131" t="s">
        <v>3460</v>
      </c>
      <c r="J235" s="131">
        <v>115.78</v>
      </c>
      <c r="K235" s="131">
        <v>115.78</v>
      </c>
      <c r="L235" s="131">
        <v>5467</v>
      </c>
      <c r="M235" s="158">
        <v>633000</v>
      </c>
      <c r="N235" s="158">
        <v>5417</v>
      </c>
      <c r="O235" s="188"/>
      <c r="P235" s="189"/>
      <c r="Q235" s="189"/>
      <c r="R235" s="158"/>
      <c r="S235" s="213"/>
      <c r="T235" s="214"/>
      <c r="U235" s="213" t="s">
        <v>226</v>
      </c>
      <c r="V235" s="158">
        <v>10000</v>
      </c>
      <c r="W235" s="213" t="s">
        <v>286</v>
      </c>
      <c r="X235" s="158">
        <v>63000</v>
      </c>
      <c r="Y235" s="188" t="s">
        <v>552</v>
      </c>
      <c r="Z235" s="131">
        <v>80000</v>
      </c>
      <c r="AA235" s="188" t="s">
        <v>3045</v>
      </c>
      <c r="AB235" s="158">
        <v>480000</v>
      </c>
      <c r="AC235" s="213" t="s">
        <v>202</v>
      </c>
      <c r="AH235" s="158">
        <f t="shared" si="23"/>
        <v>633000</v>
      </c>
      <c r="AK235" s="189">
        <f t="shared" si="30"/>
        <v>0</v>
      </c>
      <c r="AL235" s="131">
        <v>15909727756</v>
      </c>
      <c r="AN235" s="189"/>
      <c r="AO235" s="131">
        <f t="shared" si="24"/>
        <v>633000</v>
      </c>
      <c r="AP235" s="161">
        <f>0.7%+0.05%+0.14%</f>
        <v>0.0089</v>
      </c>
      <c r="AQ235" s="192">
        <f t="shared" si="25"/>
        <v>0</v>
      </c>
      <c r="AR235" s="158"/>
      <c r="AS235" s="158"/>
      <c r="AT235" s="158"/>
      <c r="AU235" s="158"/>
      <c r="AV235" s="158"/>
      <c r="AW235" s="158"/>
      <c r="AX235" s="158"/>
      <c r="AY235" s="158"/>
      <c r="AZ235" s="158"/>
      <c r="BB235" s="158"/>
      <c r="BG235" s="131">
        <v>153000</v>
      </c>
      <c r="BH235" s="131">
        <v>480000</v>
      </c>
      <c r="BQ235" s="131" t="s">
        <v>205</v>
      </c>
      <c r="BR235" s="131" t="s">
        <v>206</v>
      </c>
    </row>
    <row r="236" s="131" customFormat="1" customHeight="1" spans="1:69">
      <c r="A236" s="175">
        <v>202</v>
      </c>
      <c r="C236" s="176">
        <v>45498</v>
      </c>
      <c r="D236" s="131">
        <v>20240004248</v>
      </c>
      <c r="F236" s="726" t="s">
        <v>3461</v>
      </c>
      <c r="G236" s="144" t="s">
        <v>3462</v>
      </c>
      <c r="H236" s="729" t="s">
        <v>3463</v>
      </c>
      <c r="I236" s="131" t="s">
        <v>3464</v>
      </c>
      <c r="J236" s="131">
        <v>132.34</v>
      </c>
      <c r="K236" s="131">
        <v>132.34</v>
      </c>
      <c r="L236" s="131">
        <f>M236/K236</f>
        <v>5100</v>
      </c>
      <c r="M236" s="158">
        <v>674934</v>
      </c>
      <c r="N236" s="158">
        <v>5100</v>
      </c>
      <c r="O236" s="189"/>
      <c r="P236" s="189"/>
      <c r="Q236" s="189"/>
      <c r="R236" s="158"/>
      <c r="S236" s="213"/>
      <c r="T236" s="214"/>
      <c r="U236" s="213" t="s">
        <v>422</v>
      </c>
      <c r="V236" s="158">
        <v>10000</v>
      </c>
      <c r="W236" s="213" t="s">
        <v>281</v>
      </c>
      <c r="X236" s="158">
        <v>20000</v>
      </c>
      <c r="Y236" s="188" t="s">
        <v>3465</v>
      </c>
      <c r="Z236" s="131">
        <v>74934</v>
      </c>
      <c r="AA236" s="188" t="s">
        <v>3466</v>
      </c>
      <c r="AB236" s="158"/>
      <c r="AH236" s="158">
        <f t="shared" si="23"/>
        <v>104934</v>
      </c>
      <c r="AK236" s="189">
        <f t="shared" si="30"/>
        <v>570000</v>
      </c>
      <c r="AL236" s="131">
        <v>13667565757</v>
      </c>
      <c r="AM236" s="131" t="s">
        <v>3007</v>
      </c>
      <c r="AN236" s="189"/>
      <c r="AO236" s="131">
        <f t="shared" si="24"/>
        <v>104934</v>
      </c>
      <c r="AP236" s="161">
        <f>0.7%+0.03%+0.08%</f>
        <v>0.0081</v>
      </c>
      <c r="AQ236" s="192">
        <f t="shared" si="25"/>
        <v>0</v>
      </c>
      <c r="AR236" s="158"/>
      <c r="AS236" s="158"/>
      <c r="AT236" s="158"/>
      <c r="AU236" s="158"/>
      <c r="AV236" s="158"/>
      <c r="AW236" s="158"/>
      <c r="AX236" s="158"/>
      <c r="AY236" s="158"/>
      <c r="AZ236" s="158"/>
      <c r="BB236" s="158"/>
      <c r="BK236" s="131">
        <v>104934</v>
      </c>
      <c r="BQ236" s="131" t="s">
        <v>205</v>
      </c>
    </row>
    <row r="237" s="89" customFormat="1" customHeight="1" spans="1:54">
      <c r="A237" s="167">
        <v>203</v>
      </c>
      <c r="C237" s="174"/>
      <c r="E237" s="89" t="s">
        <v>3311</v>
      </c>
      <c r="G237" s="174"/>
      <c r="H237" s="174"/>
      <c r="I237" s="89" t="s">
        <v>3467</v>
      </c>
      <c r="J237" s="89">
        <v>86.14</v>
      </c>
      <c r="M237" s="168"/>
      <c r="N237" s="168">
        <v>5422</v>
      </c>
      <c r="O237" s="184"/>
      <c r="P237" s="184"/>
      <c r="Q237" s="184"/>
      <c r="R237" s="168"/>
      <c r="S237" s="217"/>
      <c r="T237" s="218"/>
      <c r="U237" s="217"/>
      <c r="V237" s="168"/>
      <c r="W237" s="170"/>
      <c r="X237" s="168"/>
      <c r="Y237" s="170"/>
      <c r="AA237" s="170"/>
      <c r="AB237" s="168"/>
      <c r="AH237" s="168">
        <f t="shared" si="23"/>
        <v>0</v>
      </c>
      <c r="AK237" s="184"/>
      <c r="AN237" s="184"/>
      <c r="AO237" s="89">
        <f t="shared" si="24"/>
        <v>0</v>
      </c>
      <c r="AP237" s="106"/>
      <c r="AQ237" s="204">
        <f t="shared" si="25"/>
        <v>0</v>
      </c>
      <c r="AR237" s="168"/>
      <c r="AS237" s="168"/>
      <c r="AT237" s="168"/>
      <c r="AU237" s="168"/>
      <c r="AV237" s="168"/>
      <c r="AW237" s="168"/>
      <c r="AX237" s="168"/>
      <c r="AY237" s="168"/>
      <c r="AZ237" s="168"/>
      <c r="BB237" s="168"/>
    </row>
    <row r="238" s="131" customFormat="1" customHeight="1" spans="1:70">
      <c r="A238" s="175">
        <v>204</v>
      </c>
      <c r="C238" s="176">
        <v>45417</v>
      </c>
      <c r="D238" s="131">
        <v>20240002598</v>
      </c>
      <c r="F238" s="131" t="s">
        <v>3468</v>
      </c>
      <c r="G238" s="144" t="s">
        <v>3469</v>
      </c>
      <c r="H238" s="144"/>
      <c r="I238" s="131" t="s">
        <v>3470</v>
      </c>
      <c r="J238" s="131">
        <v>115.78</v>
      </c>
      <c r="K238" s="131">
        <v>115.78</v>
      </c>
      <c r="L238" s="131">
        <v>5536.36</v>
      </c>
      <c r="M238" s="158">
        <v>641000</v>
      </c>
      <c r="N238" s="158">
        <v>5437</v>
      </c>
      <c r="O238" s="189"/>
      <c r="P238" s="189"/>
      <c r="Q238" s="189"/>
      <c r="R238" s="158"/>
      <c r="S238" s="213"/>
      <c r="T238" s="214"/>
      <c r="U238" s="213" t="s">
        <v>226</v>
      </c>
      <c r="V238" s="158">
        <v>25000</v>
      </c>
      <c r="W238" s="213" t="s">
        <v>687</v>
      </c>
      <c r="X238" s="158">
        <v>116000</v>
      </c>
      <c r="Y238" s="188" t="s">
        <v>3156</v>
      </c>
      <c r="Z238" s="158">
        <v>500000</v>
      </c>
      <c r="AA238" s="213" t="s">
        <v>3168</v>
      </c>
      <c r="AB238" s="158"/>
      <c r="AH238" s="158">
        <f t="shared" si="23"/>
        <v>641000</v>
      </c>
      <c r="AK238" s="189">
        <f t="shared" si="30"/>
        <v>0</v>
      </c>
      <c r="AL238" s="131">
        <v>18054126901</v>
      </c>
      <c r="AN238" s="189"/>
      <c r="AO238" s="131">
        <f t="shared" si="24"/>
        <v>641000</v>
      </c>
      <c r="AP238" s="163">
        <f>0.7%+0.08%</f>
        <v>0.0078</v>
      </c>
      <c r="AQ238" s="192">
        <f t="shared" si="25"/>
        <v>0</v>
      </c>
      <c r="AR238" s="158"/>
      <c r="AS238" s="158"/>
      <c r="AT238" s="158"/>
      <c r="AU238" s="158"/>
      <c r="AV238" s="158"/>
      <c r="AW238" s="158"/>
      <c r="AX238" s="158"/>
      <c r="AY238" s="158"/>
      <c r="AZ238" s="158"/>
      <c r="BB238" s="158"/>
      <c r="BI238" s="131">
        <v>141000</v>
      </c>
      <c r="BK238" s="131">
        <v>500000</v>
      </c>
      <c r="BQ238" s="131" t="s">
        <v>205</v>
      </c>
      <c r="BR238" s="131" t="s">
        <v>206</v>
      </c>
    </row>
    <row r="239" s="131" customFormat="1" customHeight="1" spans="1:70">
      <c r="A239" s="175">
        <v>205</v>
      </c>
      <c r="C239" s="176">
        <v>45413</v>
      </c>
      <c r="D239" s="131">
        <v>20240002471</v>
      </c>
      <c r="F239" s="726" t="s">
        <v>3471</v>
      </c>
      <c r="G239" s="144" t="s">
        <v>3472</v>
      </c>
      <c r="H239" s="729" t="s">
        <v>3473</v>
      </c>
      <c r="I239" s="131" t="s">
        <v>3474</v>
      </c>
      <c r="J239" s="131">
        <v>132.34</v>
      </c>
      <c r="K239" s="131">
        <v>132.34</v>
      </c>
      <c r="L239" s="131">
        <v>5503.87</v>
      </c>
      <c r="M239" s="158">
        <v>728383</v>
      </c>
      <c r="N239" s="158">
        <v>5448</v>
      </c>
      <c r="O239" s="189"/>
      <c r="P239" s="189"/>
      <c r="Q239" s="189"/>
      <c r="R239" s="158"/>
      <c r="S239" s="213"/>
      <c r="T239" s="214"/>
      <c r="U239" s="213" t="s">
        <v>422</v>
      </c>
      <c r="V239" s="158">
        <v>20000</v>
      </c>
      <c r="W239" s="213" t="s">
        <v>244</v>
      </c>
      <c r="X239" s="158">
        <f>220383</f>
        <v>220383</v>
      </c>
      <c r="Y239" s="213" t="s">
        <v>3475</v>
      </c>
      <c r="Z239" s="158">
        <v>488000</v>
      </c>
      <c r="AA239" s="213" t="s">
        <v>365</v>
      </c>
      <c r="AB239" s="158"/>
      <c r="AH239" s="158">
        <f t="shared" si="23"/>
        <v>728383</v>
      </c>
      <c r="AK239" s="189">
        <f t="shared" si="30"/>
        <v>0</v>
      </c>
      <c r="AL239" s="131">
        <v>19999266962</v>
      </c>
      <c r="AN239" s="189"/>
      <c r="AO239" s="131">
        <f t="shared" si="24"/>
        <v>728383</v>
      </c>
      <c r="AP239" s="161">
        <f>0.7%+0.05%+0.12%</f>
        <v>0.0087</v>
      </c>
      <c r="AQ239" s="192">
        <f t="shared" si="25"/>
        <v>0</v>
      </c>
      <c r="AR239" s="158"/>
      <c r="AS239" s="158"/>
      <c r="AT239" s="158"/>
      <c r="AU239" s="158"/>
      <c r="AV239" s="158"/>
      <c r="AW239" s="158"/>
      <c r="AX239" s="158"/>
      <c r="AY239" s="158"/>
      <c r="AZ239" s="158"/>
      <c r="BB239" s="158"/>
      <c r="BI239" s="131">
        <v>240383</v>
      </c>
      <c r="BJ239" s="131">
        <v>488000</v>
      </c>
      <c r="BQ239" s="131" t="s">
        <v>205</v>
      </c>
      <c r="BR239" s="131" t="s">
        <v>206</v>
      </c>
    </row>
    <row r="240" s="89" customFormat="1" customHeight="1" spans="1:54">
      <c r="A240" s="167">
        <v>206</v>
      </c>
      <c r="C240" s="174"/>
      <c r="E240" s="89" t="s">
        <v>3476</v>
      </c>
      <c r="G240" s="174"/>
      <c r="H240" s="174"/>
      <c r="I240" s="89" t="s">
        <v>3477</v>
      </c>
      <c r="J240" s="89">
        <v>86.14</v>
      </c>
      <c r="M240" s="168"/>
      <c r="N240" s="168">
        <v>5432</v>
      </c>
      <c r="O240" s="184"/>
      <c r="P240" s="184"/>
      <c r="Q240" s="184"/>
      <c r="R240" s="168"/>
      <c r="S240" s="217"/>
      <c r="T240" s="218"/>
      <c r="U240" s="217"/>
      <c r="V240" s="168"/>
      <c r="W240" s="170"/>
      <c r="X240" s="168"/>
      <c r="Y240" s="170"/>
      <c r="AA240" s="170"/>
      <c r="AB240" s="168"/>
      <c r="AH240" s="168">
        <f t="shared" si="23"/>
        <v>0</v>
      </c>
      <c r="AK240" s="184"/>
      <c r="AN240" s="184"/>
      <c r="AO240" s="89">
        <f t="shared" si="24"/>
        <v>0</v>
      </c>
      <c r="AP240" s="106"/>
      <c r="AQ240" s="204">
        <f t="shared" si="25"/>
        <v>0</v>
      </c>
      <c r="AR240" s="168"/>
      <c r="AS240" s="168"/>
      <c r="AT240" s="168"/>
      <c r="AU240" s="168"/>
      <c r="AV240" s="168"/>
      <c r="AW240" s="168"/>
      <c r="AX240" s="168"/>
      <c r="AY240" s="168"/>
      <c r="AZ240" s="168"/>
      <c r="BB240" s="168"/>
    </row>
    <row r="241" s="131" customFormat="1" customHeight="1" spans="1:70">
      <c r="A241" s="175">
        <v>207</v>
      </c>
      <c r="C241" s="176">
        <v>45417</v>
      </c>
      <c r="D241" s="131">
        <v>20240002571</v>
      </c>
      <c r="F241" s="131" t="s">
        <v>3478</v>
      </c>
      <c r="G241" s="144" t="s">
        <v>3479</v>
      </c>
      <c r="H241" s="144"/>
      <c r="I241" s="131" t="s">
        <v>3480</v>
      </c>
      <c r="J241" s="131">
        <v>115.78</v>
      </c>
      <c r="K241" s="131">
        <v>115.78</v>
      </c>
      <c r="L241" s="131">
        <v>5527.725</v>
      </c>
      <c r="M241" s="158">
        <v>640000</v>
      </c>
      <c r="N241" s="158">
        <v>5458</v>
      </c>
      <c r="O241" s="189"/>
      <c r="P241" s="189"/>
      <c r="Q241" s="189"/>
      <c r="R241" s="158"/>
      <c r="S241" s="213"/>
      <c r="T241" s="214"/>
      <c r="U241" s="213" t="s">
        <v>291</v>
      </c>
      <c r="V241" s="158">
        <v>20000</v>
      </c>
      <c r="W241" s="213" t="s">
        <v>2916</v>
      </c>
      <c r="X241" s="158">
        <v>160000</v>
      </c>
      <c r="Y241" s="213" t="s">
        <v>687</v>
      </c>
      <c r="AA241" s="188"/>
      <c r="AB241" s="158"/>
      <c r="AH241" s="158">
        <f t="shared" si="23"/>
        <v>180000</v>
      </c>
      <c r="AK241" s="189">
        <f>M241-AH241</f>
        <v>460000</v>
      </c>
      <c r="AL241" s="131">
        <v>18742875661</v>
      </c>
      <c r="AN241" s="189"/>
      <c r="AO241" s="131">
        <f t="shared" si="24"/>
        <v>180000</v>
      </c>
      <c r="AP241" s="163">
        <f>0.4%+0.03%+0.12%</f>
        <v>0.0055</v>
      </c>
      <c r="AQ241" s="192">
        <f t="shared" si="25"/>
        <v>0</v>
      </c>
      <c r="AR241" s="158"/>
      <c r="AS241" s="158"/>
      <c r="AT241" s="158"/>
      <c r="AU241" s="158"/>
      <c r="AV241" s="158"/>
      <c r="AW241" s="158"/>
      <c r="AX241" s="158"/>
      <c r="AY241" s="158"/>
      <c r="AZ241" s="158"/>
      <c r="BB241" s="158"/>
      <c r="BI241" s="131">
        <v>180000</v>
      </c>
      <c r="BQ241" s="131" t="s">
        <v>205</v>
      </c>
      <c r="BR241" s="131" t="s">
        <v>206</v>
      </c>
    </row>
    <row r="242" s="89" customFormat="1" customHeight="1" spans="1:54">
      <c r="A242" s="167">
        <v>208</v>
      </c>
      <c r="C242" s="174"/>
      <c r="G242" s="174"/>
      <c r="H242" s="174"/>
      <c r="I242" s="89" t="s">
        <v>3481</v>
      </c>
      <c r="J242" s="89">
        <v>132.34</v>
      </c>
      <c r="M242" s="168"/>
      <c r="N242" s="168">
        <v>5018</v>
      </c>
      <c r="O242" s="184"/>
      <c r="P242" s="184"/>
      <c r="Q242" s="184"/>
      <c r="R242" s="168"/>
      <c r="S242" s="217"/>
      <c r="T242" s="218"/>
      <c r="U242" s="217"/>
      <c r="V242" s="168"/>
      <c r="W242" s="170"/>
      <c r="X242" s="168"/>
      <c r="Y242" s="170"/>
      <c r="AA242" s="170"/>
      <c r="AB242" s="168"/>
      <c r="AH242" s="168">
        <f t="shared" si="23"/>
        <v>0</v>
      </c>
      <c r="AK242" s="184"/>
      <c r="AN242" s="184"/>
      <c r="AO242" s="89">
        <f t="shared" si="24"/>
        <v>0</v>
      </c>
      <c r="AP242" s="106"/>
      <c r="AQ242" s="204">
        <f t="shared" si="25"/>
        <v>0</v>
      </c>
      <c r="AR242" s="168"/>
      <c r="AS242" s="168"/>
      <c r="AT242" s="168"/>
      <c r="AU242" s="168"/>
      <c r="AV242" s="168"/>
      <c r="AW242" s="168"/>
      <c r="AX242" s="168"/>
      <c r="AY242" s="168"/>
      <c r="AZ242" s="168"/>
      <c r="BB242" s="168"/>
    </row>
    <row r="243" s="89" customFormat="1" customHeight="1" spans="1:54">
      <c r="A243" s="167">
        <v>209</v>
      </c>
      <c r="C243" s="174"/>
      <c r="E243" s="89" t="s">
        <v>3482</v>
      </c>
      <c r="G243" s="174"/>
      <c r="H243" s="174"/>
      <c r="I243" s="89" t="s">
        <v>3483</v>
      </c>
      <c r="J243" s="89">
        <v>86.14</v>
      </c>
      <c r="M243" s="168"/>
      <c r="N243" s="168">
        <v>5028</v>
      </c>
      <c r="O243" s="184"/>
      <c r="P243" s="184"/>
      <c r="Q243" s="184"/>
      <c r="R243" s="168"/>
      <c r="S243" s="217"/>
      <c r="T243" s="218"/>
      <c r="U243" s="217"/>
      <c r="V243" s="168"/>
      <c r="W243" s="170"/>
      <c r="X243" s="168"/>
      <c r="Y243" s="170"/>
      <c r="AA243" s="170"/>
      <c r="AB243" s="168"/>
      <c r="AH243" s="168">
        <f t="shared" si="23"/>
        <v>0</v>
      </c>
      <c r="AK243" s="184"/>
      <c r="AN243" s="184"/>
      <c r="AO243" s="89">
        <f t="shared" si="24"/>
        <v>0</v>
      </c>
      <c r="AP243" s="106"/>
      <c r="AQ243" s="204">
        <f t="shared" si="25"/>
        <v>0</v>
      </c>
      <c r="AR243" s="168"/>
      <c r="AS243" s="168"/>
      <c r="AT243" s="168"/>
      <c r="AU243" s="168"/>
      <c r="AV243" s="168"/>
      <c r="AW243" s="168"/>
      <c r="AX243" s="168"/>
      <c r="AY243" s="168"/>
      <c r="AZ243" s="168"/>
      <c r="BB243" s="168"/>
    </row>
    <row r="244" s="131" customFormat="1" customHeight="1" spans="1:70">
      <c r="A244" s="175">
        <v>210</v>
      </c>
      <c r="C244" s="176">
        <v>45398</v>
      </c>
      <c r="D244" s="131">
        <v>20240002114</v>
      </c>
      <c r="F244" s="726" t="s">
        <v>3484</v>
      </c>
      <c r="G244" s="144" t="s">
        <v>3485</v>
      </c>
      <c r="H244" s="729" t="s">
        <v>3486</v>
      </c>
      <c r="I244" s="131" t="s">
        <v>3487</v>
      </c>
      <c r="J244" s="131">
        <v>115.78</v>
      </c>
      <c r="K244" s="131">
        <v>115.78</v>
      </c>
      <c r="L244" s="131">
        <v>5052.69</v>
      </c>
      <c r="M244" s="158">
        <v>585000</v>
      </c>
      <c r="N244" s="158">
        <v>5028</v>
      </c>
      <c r="O244" s="189"/>
      <c r="P244" s="189"/>
      <c r="Q244" s="189"/>
      <c r="R244" s="158"/>
      <c r="S244" s="213"/>
      <c r="T244" s="214"/>
      <c r="U244" s="213" t="s">
        <v>422</v>
      </c>
      <c r="V244" s="158">
        <v>20000</v>
      </c>
      <c r="W244" s="213" t="s">
        <v>3488</v>
      </c>
      <c r="X244" s="158">
        <v>77000</v>
      </c>
      <c r="Y244" s="188" t="s">
        <v>3206</v>
      </c>
      <c r="Z244" s="158">
        <v>20000</v>
      </c>
      <c r="AA244" s="213" t="s">
        <v>3156</v>
      </c>
      <c r="AB244" s="158">
        <v>468000</v>
      </c>
      <c r="AC244" s="131" t="s">
        <v>523</v>
      </c>
      <c r="AH244" s="158">
        <f t="shared" si="23"/>
        <v>585000</v>
      </c>
      <c r="AK244" s="189">
        <f>M244-AH244</f>
        <v>0</v>
      </c>
      <c r="AL244" s="131">
        <v>13709964545</v>
      </c>
      <c r="AN244" s="189"/>
      <c r="AO244" s="131">
        <f t="shared" si="24"/>
        <v>585000</v>
      </c>
      <c r="AP244" s="161">
        <f>0.7%+0.05%+0.12%</f>
        <v>0.0087</v>
      </c>
      <c r="AQ244" s="192">
        <f t="shared" si="25"/>
        <v>0</v>
      </c>
      <c r="AR244" s="158"/>
      <c r="AS244" s="158"/>
      <c r="AT244" s="158"/>
      <c r="AU244" s="158"/>
      <c r="AV244" s="158"/>
      <c r="AW244" s="158"/>
      <c r="AX244" s="158"/>
      <c r="AY244" s="158"/>
      <c r="AZ244" s="158"/>
      <c r="BB244" s="158"/>
      <c r="BI244" s="131">
        <v>585000</v>
      </c>
      <c r="BQ244" s="131" t="s">
        <v>205</v>
      </c>
      <c r="BR244" s="131" t="s">
        <v>206</v>
      </c>
    </row>
    <row r="245" s="89" customFormat="1" customHeight="1" spans="1:54">
      <c r="A245" s="167"/>
      <c r="C245" s="174"/>
      <c r="G245" s="174"/>
      <c r="H245" s="174"/>
      <c r="I245" s="89" t="s">
        <v>3489</v>
      </c>
      <c r="J245" s="89">
        <v>60.09</v>
      </c>
      <c r="M245" s="168"/>
      <c r="N245" s="168"/>
      <c r="O245" s="184"/>
      <c r="P245" s="184"/>
      <c r="Q245" s="184"/>
      <c r="R245" s="168"/>
      <c r="S245" s="217"/>
      <c r="T245" s="218"/>
      <c r="U245" s="217"/>
      <c r="V245" s="168"/>
      <c r="W245" s="170"/>
      <c r="X245" s="168"/>
      <c r="Y245" s="170"/>
      <c r="AA245" s="170"/>
      <c r="AB245" s="168"/>
      <c r="AH245" s="168">
        <f t="shared" si="23"/>
        <v>0</v>
      </c>
      <c r="AK245" s="184"/>
      <c r="AN245" s="184"/>
      <c r="AO245" s="89">
        <f t="shared" si="24"/>
        <v>0</v>
      </c>
      <c r="AP245" s="106"/>
      <c r="AQ245" s="204">
        <f t="shared" si="25"/>
        <v>0</v>
      </c>
      <c r="AR245" s="168"/>
      <c r="AS245" s="168"/>
      <c r="AT245" s="168"/>
      <c r="AU245" s="168"/>
      <c r="AV245" s="168"/>
      <c r="AW245" s="168"/>
      <c r="AX245" s="168"/>
      <c r="AY245" s="168"/>
      <c r="AZ245" s="168"/>
      <c r="BB245" s="168"/>
    </row>
    <row r="246" s="89" customFormat="1" customHeight="1" spans="3:55">
      <c r="C246" s="174"/>
      <c r="G246" s="174"/>
      <c r="H246" s="174"/>
      <c r="I246" s="183" t="s">
        <v>3490</v>
      </c>
      <c r="J246" s="221">
        <v>30.85</v>
      </c>
      <c r="M246" s="168"/>
      <c r="N246" s="168"/>
      <c r="O246" s="184"/>
      <c r="P246" s="184"/>
      <c r="Q246" s="184"/>
      <c r="R246" s="168"/>
      <c r="S246" s="217"/>
      <c r="T246" s="218"/>
      <c r="U246" s="217"/>
      <c r="V246" s="168"/>
      <c r="W246" s="224"/>
      <c r="X246" s="168"/>
      <c r="Y246" s="170"/>
      <c r="AA246" s="170"/>
      <c r="AB246" s="168"/>
      <c r="AH246" s="168">
        <f t="shared" si="23"/>
        <v>0</v>
      </c>
      <c r="AK246" s="184"/>
      <c r="AN246" s="184"/>
      <c r="AO246" s="89">
        <f t="shared" si="24"/>
        <v>0</v>
      </c>
      <c r="AP246" s="106"/>
      <c r="AQ246" s="204">
        <f t="shared" si="25"/>
        <v>0</v>
      </c>
      <c r="AR246" s="168"/>
      <c r="AS246" s="168"/>
      <c r="AT246" s="168"/>
      <c r="AU246" s="168"/>
      <c r="AV246" s="168"/>
      <c r="AW246" s="168"/>
      <c r="AX246" s="168"/>
      <c r="AY246" s="168"/>
      <c r="AZ246" s="168"/>
      <c r="BA246" s="219"/>
      <c r="BB246" s="168"/>
      <c r="BC246" s="219"/>
    </row>
    <row r="247" s="89" customFormat="1" customHeight="1" spans="3:54">
      <c r="C247" s="174"/>
      <c r="G247" s="174"/>
      <c r="H247" s="174"/>
      <c r="I247" s="185" t="s">
        <v>3491</v>
      </c>
      <c r="J247" s="221">
        <v>70.33</v>
      </c>
      <c r="M247" s="168"/>
      <c r="N247" s="168"/>
      <c r="O247" s="184"/>
      <c r="P247" s="184"/>
      <c r="Q247" s="184"/>
      <c r="R247" s="168"/>
      <c r="S247" s="171"/>
      <c r="T247" s="218"/>
      <c r="U247" s="217"/>
      <c r="V247" s="168"/>
      <c r="W247" s="224"/>
      <c r="X247" s="168"/>
      <c r="Y247" s="170"/>
      <c r="Z247" s="168"/>
      <c r="AA247" s="170"/>
      <c r="AB247" s="168"/>
      <c r="AH247" s="168">
        <f t="shared" si="23"/>
        <v>0</v>
      </c>
      <c r="AK247" s="184"/>
      <c r="AN247" s="184"/>
      <c r="AO247" s="89">
        <f t="shared" si="24"/>
        <v>0</v>
      </c>
      <c r="AP247" s="106"/>
      <c r="AQ247" s="204">
        <f t="shared" si="25"/>
        <v>0</v>
      </c>
      <c r="AR247" s="168"/>
      <c r="AS247" s="168"/>
      <c r="AT247" s="168"/>
      <c r="AU247" s="168"/>
      <c r="AV247" s="168"/>
      <c r="AW247" s="168"/>
      <c r="AX247" s="168"/>
      <c r="AY247" s="168"/>
      <c r="AZ247" s="168"/>
      <c r="BB247" s="168"/>
    </row>
    <row r="248" s="89" customFormat="1" customHeight="1" spans="3:55">
      <c r="C248" s="174"/>
      <c r="I248" s="183" t="s">
        <v>3492</v>
      </c>
      <c r="J248" s="221">
        <v>70.63</v>
      </c>
      <c r="M248" s="168"/>
      <c r="N248" s="168"/>
      <c r="O248" s="184"/>
      <c r="P248" s="184"/>
      <c r="Q248" s="184"/>
      <c r="R248" s="168"/>
      <c r="T248" s="167"/>
      <c r="V248" s="168"/>
      <c r="W248" s="170"/>
      <c r="X248" s="168"/>
      <c r="Y248" s="170"/>
      <c r="AA248" s="170"/>
      <c r="AB248" s="168"/>
      <c r="AH248" s="168">
        <f t="shared" si="23"/>
        <v>0</v>
      </c>
      <c r="AK248" s="184"/>
      <c r="AN248" s="184"/>
      <c r="AO248" s="89">
        <f t="shared" si="24"/>
        <v>0</v>
      </c>
      <c r="AP248" s="106"/>
      <c r="AQ248" s="204">
        <f t="shared" si="25"/>
        <v>0</v>
      </c>
      <c r="AR248" s="168"/>
      <c r="AS248" s="168"/>
      <c r="AT248" s="168"/>
      <c r="AU248" s="168"/>
      <c r="AV248" s="168"/>
      <c r="AW248" s="168"/>
      <c r="AX248" s="168"/>
      <c r="AY248" s="168"/>
      <c r="AZ248" s="168"/>
      <c r="BA248" s="219"/>
      <c r="BB248" s="168"/>
      <c r="BC248" s="219"/>
    </row>
    <row r="249" s="89" customFormat="1" customHeight="1" spans="3:55">
      <c r="C249" s="174"/>
      <c r="G249" s="174"/>
      <c r="H249" s="174"/>
      <c r="I249" s="185" t="s">
        <v>3493</v>
      </c>
      <c r="J249" s="221">
        <v>46.15</v>
      </c>
      <c r="M249" s="168"/>
      <c r="N249" s="168"/>
      <c r="O249" s="184"/>
      <c r="P249" s="184"/>
      <c r="Q249" s="184"/>
      <c r="R249" s="168"/>
      <c r="S249" s="171"/>
      <c r="T249" s="167"/>
      <c r="U249" s="171"/>
      <c r="V249" s="168"/>
      <c r="W249" s="170"/>
      <c r="X249" s="168"/>
      <c r="AA249" s="170"/>
      <c r="AB249" s="168"/>
      <c r="AH249" s="168">
        <f t="shared" si="23"/>
        <v>0</v>
      </c>
      <c r="AK249" s="184"/>
      <c r="AN249" s="184"/>
      <c r="AO249" s="89">
        <f t="shared" si="24"/>
        <v>0</v>
      </c>
      <c r="AP249" s="106"/>
      <c r="AQ249" s="204">
        <f t="shared" si="25"/>
        <v>0</v>
      </c>
      <c r="AR249" s="168"/>
      <c r="AS249" s="168"/>
      <c r="AT249" s="168"/>
      <c r="AU249" s="168"/>
      <c r="AV249" s="168"/>
      <c r="AW249" s="168"/>
      <c r="AX249" s="168"/>
      <c r="AY249" s="168"/>
      <c r="AZ249" s="168"/>
      <c r="BA249" s="219"/>
      <c r="BB249" s="168"/>
      <c r="BC249" s="219"/>
    </row>
    <row r="250" s="89" customFormat="1" customHeight="1" spans="3:55">
      <c r="C250" s="174"/>
      <c r="G250" s="174"/>
      <c r="I250" s="185" t="s">
        <v>3494</v>
      </c>
      <c r="J250" s="221">
        <v>46.15</v>
      </c>
      <c r="M250" s="222"/>
      <c r="N250" s="222"/>
      <c r="O250" s="184"/>
      <c r="P250" s="184"/>
      <c r="Q250" s="184"/>
      <c r="R250" s="168"/>
      <c r="S250" s="171"/>
      <c r="T250" s="167"/>
      <c r="U250" s="171"/>
      <c r="V250" s="168"/>
      <c r="W250" s="225"/>
      <c r="X250" s="168"/>
      <c r="Y250" s="226"/>
      <c r="AB250" s="168"/>
      <c r="AH250" s="168">
        <f t="shared" si="23"/>
        <v>0</v>
      </c>
      <c r="AK250" s="184"/>
      <c r="AL250" s="227"/>
      <c r="AM250" s="227"/>
      <c r="AN250" s="228"/>
      <c r="AO250" s="89">
        <f t="shared" si="24"/>
        <v>0</v>
      </c>
      <c r="AP250" s="106"/>
      <c r="AQ250" s="204">
        <f t="shared" si="25"/>
        <v>0</v>
      </c>
      <c r="AR250" s="168"/>
      <c r="AS250" s="168"/>
      <c r="AT250" s="168"/>
      <c r="AU250" s="168"/>
      <c r="AV250" s="168"/>
      <c r="AW250" s="168"/>
      <c r="AX250" s="168"/>
      <c r="AY250" s="168"/>
      <c r="AZ250" s="168"/>
      <c r="BA250" s="219"/>
      <c r="BB250" s="168"/>
      <c r="BC250" s="219"/>
    </row>
    <row r="251" s="89" customFormat="1" customHeight="1" spans="3:55">
      <c r="C251" s="174"/>
      <c r="G251" s="174"/>
      <c r="H251" s="174"/>
      <c r="I251" s="183" t="s">
        <v>3495</v>
      </c>
      <c r="J251" s="221">
        <v>45.1</v>
      </c>
      <c r="M251" s="168"/>
      <c r="N251" s="168"/>
      <c r="O251" s="184"/>
      <c r="P251" s="184"/>
      <c r="Q251" s="184"/>
      <c r="R251" s="168"/>
      <c r="S251" s="217"/>
      <c r="T251" s="218"/>
      <c r="U251" s="217"/>
      <c r="V251" s="168"/>
      <c r="W251" s="224"/>
      <c r="X251" s="168"/>
      <c r="Y251" s="170"/>
      <c r="AA251" s="170"/>
      <c r="AB251" s="168"/>
      <c r="AH251" s="168">
        <f t="shared" si="23"/>
        <v>0</v>
      </c>
      <c r="AK251" s="184"/>
      <c r="AN251" s="184"/>
      <c r="AO251" s="89">
        <f t="shared" si="24"/>
        <v>0</v>
      </c>
      <c r="AP251" s="106"/>
      <c r="AQ251" s="204">
        <f t="shared" si="25"/>
        <v>0</v>
      </c>
      <c r="AR251" s="168"/>
      <c r="AS251" s="168"/>
      <c r="AT251" s="168"/>
      <c r="AU251" s="168"/>
      <c r="AV251" s="168"/>
      <c r="AW251" s="168"/>
      <c r="AX251" s="168"/>
      <c r="AY251" s="168"/>
      <c r="AZ251" s="168"/>
      <c r="BA251" s="219"/>
      <c r="BB251" s="168"/>
      <c r="BC251" s="219"/>
    </row>
    <row r="252" s="89" customFormat="1" customHeight="1" spans="3:55">
      <c r="C252" s="174"/>
      <c r="G252" s="174"/>
      <c r="H252" s="174"/>
      <c r="I252" s="185" t="s">
        <v>3496</v>
      </c>
      <c r="J252" s="221">
        <v>70.33</v>
      </c>
      <c r="M252" s="168"/>
      <c r="N252" s="168"/>
      <c r="O252" s="184"/>
      <c r="P252" s="184"/>
      <c r="Q252" s="184"/>
      <c r="R252" s="168"/>
      <c r="S252" s="217"/>
      <c r="T252" s="218"/>
      <c r="U252" s="217"/>
      <c r="V252" s="168"/>
      <c r="W252" s="224"/>
      <c r="Y252" s="170"/>
      <c r="AA252" s="170"/>
      <c r="AB252" s="168"/>
      <c r="AH252" s="168">
        <f t="shared" si="23"/>
        <v>0</v>
      </c>
      <c r="AK252" s="184"/>
      <c r="AL252" s="227"/>
      <c r="AN252" s="184"/>
      <c r="AO252" s="89">
        <f t="shared" si="24"/>
        <v>0</v>
      </c>
      <c r="AP252" s="106"/>
      <c r="AQ252" s="204">
        <f t="shared" si="25"/>
        <v>0</v>
      </c>
      <c r="AR252" s="168"/>
      <c r="AS252" s="168"/>
      <c r="AT252" s="168"/>
      <c r="AU252" s="168"/>
      <c r="AV252" s="168"/>
      <c r="AW252" s="168"/>
      <c r="AX252" s="168"/>
      <c r="AY252" s="168"/>
      <c r="AZ252" s="168"/>
      <c r="BA252" s="219"/>
      <c r="BB252" s="168"/>
      <c r="BC252" s="219"/>
    </row>
    <row r="253" s="89" customFormat="1" customHeight="1" spans="3:55">
      <c r="C253" s="174"/>
      <c r="G253" s="174"/>
      <c r="H253" s="174"/>
      <c r="I253" s="183" t="s">
        <v>3497</v>
      </c>
      <c r="J253" s="221">
        <v>70.33</v>
      </c>
      <c r="M253" s="168"/>
      <c r="N253" s="168"/>
      <c r="O253" s="184"/>
      <c r="P253" s="184"/>
      <c r="Q253" s="184"/>
      <c r="R253" s="168"/>
      <c r="T253" s="167"/>
      <c r="V253" s="168"/>
      <c r="X253" s="168"/>
      <c r="Y253" s="170"/>
      <c r="AA253" s="170"/>
      <c r="AB253" s="168"/>
      <c r="AH253" s="168">
        <f t="shared" si="23"/>
        <v>0</v>
      </c>
      <c r="AK253" s="184"/>
      <c r="AN253" s="184"/>
      <c r="AO253" s="89">
        <f t="shared" si="24"/>
        <v>0</v>
      </c>
      <c r="AP253" s="106"/>
      <c r="AQ253" s="204">
        <f t="shared" si="25"/>
        <v>0</v>
      </c>
      <c r="AR253" s="168"/>
      <c r="AS253" s="168"/>
      <c r="AT253" s="168"/>
      <c r="AU253" s="168"/>
      <c r="AV253" s="168"/>
      <c r="AW253" s="168"/>
      <c r="AX253" s="168"/>
      <c r="AY253" s="168"/>
      <c r="AZ253" s="168"/>
      <c r="BA253" s="219"/>
      <c r="BB253" s="168"/>
      <c r="BC253" s="219"/>
    </row>
    <row r="254" s="89" customFormat="1" ht="42" customHeight="1" spans="3:55">
      <c r="C254" s="174"/>
      <c r="I254" s="185" t="s">
        <v>3498</v>
      </c>
      <c r="J254" s="221">
        <v>30.85</v>
      </c>
      <c r="M254" s="168"/>
      <c r="N254" s="168"/>
      <c r="O254" s="184"/>
      <c r="P254" s="184"/>
      <c r="Q254" s="184"/>
      <c r="R254" s="168"/>
      <c r="S254" s="171"/>
      <c r="T254" s="218"/>
      <c r="U254" s="217"/>
      <c r="V254" s="168"/>
      <c r="W254" s="224"/>
      <c r="X254" s="168"/>
      <c r="Y254" s="170"/>
      <c r="AA254" s="170"/>
      <c r="AB254" s="168"/>
      <c r="AH254" s="168">
        <f t="shared" si="23"/>
        <v>0</v>
      </c>
      <c r="AK254" s="184"/>
      <c r="AN254" s="184"/>
      <c r="AO254" s="89">
        <f t="shared" si="24"/>
        <v>0</v>
      </c>
      <c r="AP254" s="106"/>
      <c r="AQ254" s="204">
        <f t="shared" si="25"/>
        <v>0</v>
      </c>
      <c r="AR254" s="168"/>
      <c r="AS254" s="168"/>
      <c r="AT254" s="168"/>
      <c r="AU254" s="168"/>
      <c r="AV254" s="168"/>
      <c r="AW254" s="168"/>
      <c r="AX254" s="168"/>
      <c r="AY254" s="168"/>
      <c r="AZ254" s="168"/>
      <c r="BA254" s="219"/>
      <c r="BB254" s="168"/>
      <c r="BC254" s="219"/>
    </row>
    <row r="255" s="89" customFormat="1" customHeight="1" spans="3:55">
      <c r="C255" s="174"/>
      <c r="I255" s="183" t="s">
        <v>3499</v>
      </c>
      <c r="J255" s="221">
        <v>46.15</v>
      </c>
      <c r="M255" s="168"/>
      <c r="N255" s="168"/>
      <c r="O255" s="184"/>
      <c r="P255" s="184"/>
      <c r="Q255" s="184"/>
      <c r="R255" s="168"/>
      <c r="T255" s="167"/>
      <c r="V255" s="168"/>
      <c r="W255" s="170"/>
      <c r="X255" s="168"/>
      <c r="Y255" s="170"/>
      <c r="AA255" s="170"/>
      <c r="AB255" s="168"/>
      <c r="AH255" s="168">
        <f t="shared" si="23"/>
        <v>0</v>
      </c>
      <c r="AK255" s="184"/>
      <c r="AN255" s="184"/>
      <c r="AO255" s="89">
        <f t="shared" si="24"/>
        <v>0</v>
      </c>
      <c r="AP255" s="106"/>
      <c r="AQ255" s="204">
        <f t="shared" si="25"/>
        <v>0</v>
      </c>
      <c r="AR255" s="168"/>
      <c r="AS255" s="168"/>
      <c r="AT255" s="168"/>
      <c r="AU255" s="168"/>
      <c r="AV255" s="168"/>
      <c r="AW255" s="168"/>
      <c r="AX255" s="168"/>
      <c r="AY255" s="168"/>
      <c r="AZ255" s="168"/>
      <c r="BA255" s="219"/>
      <c r="BB255" s="168"/>
      <c r="BC255" s="219"/>
    </row>
    <row r="256" s="89" customFormat="1" customHeight="1" spans="3:54">
      <c r="C256" s="174"/>
      <c r="G256" s="174"/>
      <c r="H256" s="174"/>
      <c r="I256" s="185" t="s">
        <v>3500</v>
      </c>
      <c r="J256" s="221">
        <v>70.63</v>
      </c>
      <c r="M256" s="168"/>
      <c r="N256" s="168"/>
      <c r="O256" s="184"/>
      <c r="P256" s="184"/>
      <c r="Q256" s="184"/>
      <c r="R256" s="168"/>
      <c r="S256" s="171"/>
      <c r="T256" s="167"/>
      <c r="U256" s="171"/>
      <c r="V256" s="168"/>
      <c r="W256" s="225"/>
      <c r="X256" s="168"/>
      <c r="Y256" s="170"/>
      <c r="AA256" s="170"/>
      <c r="AB256" s="168"/>
      <c r="AH256" s="168">
        <f t="shared" si="23"/>
        <v>0</v>
      </c>
      <c r="AK256" s="184"/>
      <c r="AN256" s="184"/>
      <c r="AO256" s="89">
        <f t="shared" si="24"/>
        <v>0</v>
      </c>
      <c r="AP256" s="106"/>
      <c r="AQ256" s="204">
        <f t="shared" si="25"/>
        <v>0</v>
      </c>
      <c r="AR256" s="168"/>
      <c r="AS256" s="168"/>
      <c r="AT256" s="168"/>
      <c r="AU256" s="168"/>
      <c r="AV256" s="168"/>
      <c r="AW256" s="168"/>
      <c r="AX256" s="168"/>
      <c r="AY256" s="168"/>
      <c r="AZ256" s="168"/>
      <c r="BB256" s="168"/>
    </row>
    <row r="257" s="89" customFormat="1" customHeight="1" spans="6:55">
      <c r="F257" s="227"/>
      <c r="G257" s="218"/>
      <c r="H257" s="218"/>
      <c r="I257" s="183" t="s">
        <v>3501</v>
      </c>
      <c r="J257" s="221">
        <v>70.33</v>
      </c>
      <c r="M257" s="168"/>
      <c r="N257" s="168"/>
      <c r="O257" s="170"/>
      <c r="P257" s="184"/>
      <c r="Q257" s="184"/>
      <c r="R257" s="168"/>
      <c r="T257" s="167"/>
      <c r="V257" s="168"/>
      <c r="X257" s="168"/>
      <c r="Y257" s="225"/>
      <c r="AA257" s="170"/>
      <c r="AB257" s="168"/>
      <c r="AH257" s="168">
        <f t="shared" si="23"/>
        <v>0</v>
      </c>
      <c r="AK257" s="184"/>
      <c r="AL257" s="227"/>
      <c r="AM257" s="227"/>
      <c r="AN257" s="245"/>
      <c r="AO257" s="89">
        <f t="shared" si="24"/>
        <v>0</v>
      </c>
      <c r="AP257" s="106"/>
      <c r="AQ257" s="204">
        <f t="shared" si="25"/>
        <v>0</v>
      </c>
      <c r="AR257" s="168"/>
      <c r="AS257" s="168"/>
      <c r="AT257" s="168"/>
      <c r="AU257" s="168"/>
      <c r="AV257" s="168"/>
      <c r="AW257" s="168"/>
      <c r="AX257" s="168"/>
      <c r="AY257" s="168"/>
      <c r="AZ257" s="168"/>
      <c r="BA257" s="219"/>
      <c r="BB257" s="168"/>
      <c r="BC257" s="219"/>
    </row>
    <row r="258" s="89" customFormat="1" customHeight="1" spans="4:55">
      <c r="D258" s="229"/>
      <c r="F258" s="227"/>
      <c r="G258" s="167"/>
      <c r="H258" s="167"/>
      <c r="I258" s="185" t="s">
        <v>3502</v>
      </c>
      <c r="J258" s="221">
        <v>45.1</v>
      </c>
      <c r="M258" s="168"/>
      <c r="N258" s="168"/>
      <c r="O258" s="170"/>
      <c r="P258" s="227"/>
      <c r="R258" s="168"/>
      <c r="S258" s="171"/>
      <c r="T258" s="167"/>
      <c r="U258" s="167"/>
      <c r="V258" s="168"/>
      <c r="W258" s="225"/>
      <c r="X258" s="168"/>
      <c r="Y258" s="225"/>
      <c r="AB258" s="168"/>
      <c r="AH258" s="168">
        <f t="shared" si="23"/>
        <v>0</v>
      </c>
      <c r="AK258" s="184"/>
      <c r="AL258" s="227"/>
      <c r="AM258" s="227"/>
      <c r="AN258" s="245"/>
      <c r="AO258" s="89">
        <f t="shared" si="24"/>
        <v>0</v>
      </c>
      <c r="AP258" s="106"/>
      <c r="AQ258" s="204">
        <f t="shared" si="25"/>
        <v>0</v>
      </c>
      <c r="AR258" s="168"/>
      <c r="AS258" s="168"/>
      <c r="AT258" s="168"/>
      <c r="AU258" s="168"/>
      <c r="AV258" s="168"/>
      <c r="AW258" s="168"/>
      <c r="AX258" s="168"/>
      <c r="AY258" s="168"/>
      <c r="AZ258" s="168"/>
      <c r="BA258" s="219"/>
      <c r="BB258" s="168"/>
      <c r="BC258" s="219"/>
    </row>
    <row r="259" s="89" customFormat="1" customHeight="1" spans="4:55">
      <c r="D259" s="229"/>
      <c r="G259" s="174"/>
      <c r="H259" s="174"/>
      <c r="I259" s="183" t="s">
        <v>3503</v>
      </c>
      <c r="J259" s="221">
        <v>30.85</v>
      </c>
      <c r="M259" s="168"/>
      <c r="N259" s="168"/>
      <c r="O259" s="170"/>
      <c r="P259" s="227"/>
      <c r="R259" s="168"/>
      <c r="S259" s="217"/>
      <c r="T259" s="218"/>
      <c r="U259" s="217"/>
      <c r="V259" s="168"/>
      <c r="W259" s="225"/>
      <c r="AB259" s="168"/>
      <c r="AH259" s="168">
        <f t="shared" si="23"/>
        <v>0</v>
      </c>
      <c r="AK259" s="184"/>
      <c r="AL259" s="227"/>
      <c r="AM259" s="227"/>
      <c r="AN259" s="245"/>
      <c r="AO259" s="89">
        <f t="shared" si="24"/>
        <v>0</v>
      </c>
      <c r="AP259" s="106"/>
      <c r="AQ259" s="204">
        <f t="shared" si="25"/>
        <v>0</v>
      </c>
      <c r="AR259" s="168"/>
      <c r="AS259" s="168"/>
      <c r="AT259" s="168"/>
      <c r="AU259" s="168"/>
      <c r="AV259" s="168"/>
      <c r="AW259" s="168"/>
      <c r="AX259" s="168"/>
      <c r="AY259" s="168"/>
      <c r="AZ259" s="168"/>
      <c r="BA259" s="219"/>
      <c r="BB259" s="168"/>
      <c r="BC259" s="219"/>
    </row>
    <row r="260" s="89" customFormat="1" customHeight="1" spans="1:55">
      <c r="A260" s="89">
        <v>211</v>
      </c>
      <c r="F260" s="227"/>
      <c r="G260" s="218"/>
      <c r="H260" s="218"/>
      <c r="I260" s="183" t="s">
        <v>3504</v>
      </c>
      <c r="J260" s="234">
        <v>109.11</v>
      </c>
      <c r="M260" s="168"/>
      <c r="N260" s="168">
        <v>8624</v>
      </c>
      <c r="O260" s="170"/>
      <c r="R260" s="168"/>
      <c r="S260" s="217"/>
      <c r="T260" s="218"/>
      <c r="U260" s="217"/>
      <c r="V260" s="168"/>
      <c r="W260" s="197"/>
      <c r="X260" s="168"/>
      <c r="Y260" s="197"/>
      <c r="Z260" s="167"/>
      <c r="AA260" s="197"/>
      <c r="AB260" s="168"/>
      <c r="AC260" s="225"/>
      <c r="AD260" s="225"/>
      <c r="AE260" s="225"/>
      <c r="AF260" s="225"/>
      <c r="AG260" s="225"/>
      <c r="AH260" s="168">
        <f t="shared" si="23"/>
        <v>0</v>
      </c>
      <c r="AK260" s="184"/>
      <c r="AL260" s="227"/>
      <c r="AM260" s="227"/>
      <c r="AN260" s="245"/>
      <c r="AO260" s="89">
        <f t="shared" si="24"/>
        <v>0</v>
      </c>
      <c r="AP260" s="106"/>
      <c r="AQ260" s="204">
        <f t="shared" si="25"/>
        <v>0</v>
      </c>
      <c r="AR260" s="168"/>
      <c r="AS260" s="168"/>
      <c r="AT260" s="168"/>
      <c r="AU260" s="168"/>
      <c r="AV260" s="168"/>
      <c r="AW260" s="168"/>
      <c r="AX260" s="168"/>
      <c r="AY260" s="168"/>
      <c r="AZ260" s="168"/>
      <c r="BA260" s="219"/>
      <c r="BB260" s="168"/>
      <c r="BC260" s="219"/>
    </row>
    <row r="261" s="89" customFormat="1" customHeight="1" spans="1:55">
      <c r="A261" s="89">
        <v>212</v>
      </c>
      <c r="D261" s="230"/>
      <c r="F261" s="227"/>
      <c r="G261" s="218"/>
      <c r="H261" s="218"/>
      <c r="I261" s="185" t="s">
        <v>3505</v>
      </c>
      <c r="J261" s="234">
        <v>128.47</v>
      </c>
      <c r="M261" s="222"/>
      <c r="N261" s="222">
        <v>8414</v>
      </c>
      <c r="O261" s="235"/>
      <c r="P261" s="230"/>
      <c r="Q261" s="230"/>
      <c r="R261" s="168"/>
      <c r="S261" s="171"/>
      <c r="T261" s="218"/>
      <c r="U261" s="217"/>
      <c r="V261" s="168"/>
      <c r="W261" s="224"/>
      <c r="Z261" s="168"/>
      <c r="AB261" s="168"/>
      <c r="AH261" s="168">
        <f t="shared" ref="AH261:AH324" si="31">V261+X261+Z261+AB261+AD261+AF261</f>
        <v>0</v>
      </c>
      <c r="AK261" s="184"/>
      <c r="AL261" s="227"/>
      <c r="AM261" s="227"/>
      <c r="AN261" s="240"/>
      <c r="AO261" s="89">
        <f t="shared" ref="AO261:AO324" si="32">SUM(AZ261:BN261)</f>
        <v>0</v>
      </c>
      <c r="AP261" s="106"/>
      <c r="AQ261" s="204">
        <f t="shared" ref="AQ261:AQ324" si="33">AR261+AS261+AT261+AU261+AV261+AW261+AX261+AY261</f>
        <v>0</v>
      </c>
      <c r="AR261" s="168"/>
      <c r="AS261" s="168"/>
      <c r="AT261" s="168"/>
      <c r="AU261" s="168"/>
      <c r="AV261" s="168"/>
      <c r="AW261" s="168"/>
      <c r="AX261" s="168"/>
      <c r="AY261" s="168"/>
      <c r="AZ261" s="168"/>
      <c r="BA261" s="219"/>
      <c r="BB261" s="168"/>
      <c r="BC261" s="219"/>
    </row>
    <row r="262" s="89" customFormat="1" customHeight="1" spans="1:55">
      <c r="A262" s="89">
        <v>213</v>
      </c>
      <c r="D262" s="230"/>
      <c r="E262" s="89" t="s">
        <v>3506</v>
      </c>
      <c r="F262" s="227"/>
      <c r="G262" s="218"/>
      <c r="H262" s="218"/>
      <c r="I262" s="183" t="s">
        <v>3507</v>
      </c>
      <c r="J262" s="234">
        <v>126.5</v>
      </c>
      <c r="M262" s="222"/>
      <c r="N262" s="222">
        <v>5732.1</v>
      </c>
      <c r="O262" s="235"/>
      <c r="P262" s="230"/>
      <c r="Q262" s="230"/>
      <c r="R262" s="168"/>
      <c r="S262" s="171"/>
      <c r="T262" s="167"/>
      <c r="U262" s="171"/>
      <c r="V262" s="168"/>
      <c r="W262" s="225"/>
      <c r="X262" s="168"/>
      <c r="AA262" s="225"/>
      <c r="AB262" s="168"/>
      <c r="AH262" s="168">
        <f t="shared" si="31"/>
        <v>0</v>
      </c>
      <c r="AK262" s="184"/>
      <c r="AL262" s="227"/>
      <c r="AM262" s="227"/>
      <c r="AN262" s="240"/>
      <c r="AO262" s="89">
        <f t="shared" si="32"/>
        <v>0</v>
      </c>
      <c r="AP262" s="106"/>
      <c r="AQ262" s="204">
        <f t="shared" si="33"/>
        <v>0</v>
      </c>
      <c r="AR262" s="168"/>
      <c r="AS262" s="168"/>
      <c r="AT262" s="168"/>
      <c r="AU262" s="168"/>
      <c r="AV262" s="168"/>
      <c r="AW262" s="168"/>
      <c r="AX262" s="168"/>
      <c r="AY262" s="168"/>
      <c r="AZ262" s="168"/>
      <c r="BA262" s="219"/>
      <c r="BB262" s="168"/>
      <c r="BC262" s="219"/>
    </row>
    <row r="263" s="89" customFormat="1" customHeight="1" spans="1:55">
      <c r="A263" s="89">
        <v>214</v>
      </c>
      <c r="D263" s="230"/>
      <c r="E263" s="89" t="s">
        <v>3508</v>
      </c>
      <c r="F263" s="227"/>
      <c r="G263" s="218"/>
      <c r="H263" s="218"/>
      <c r="I263" s="185" t="s">
        <v>3509</v>
      </c>
      <c r="J263" s="234">
        <v>126.9</v>
      </c>
      <c r="M263" s="222"/>
      <c r="N263" s="222">
        <v>5714.1</v>
      </c>
      <c r="O263" s="235"/>
      <c r="P263" s="230"/>
      <c r="Q263" s="230"/>
      <c r="R263" s="168"/>
      <c r="S263" s="171"/>
      <c r="T263" s="167"/>
      <c r="U263" s="171"/>
      <c r="V263" s="168"/>
      <c r="W263" s="225"/>
      <c r="X263" s="168"/>
      <c r="Y263" s="197"/>
      <c r="AB263" s="168"/>
      <c r="AH263" s="168">
        <f t="shared" si="31"/>
        <v>0</v>
      </c>
      <c r="AK263" s="184"/>
      <c r="AL263" s="227"/>
      <c r="AM263" s="227"/>
      <c r="AN263" s="240"/>
      <c r="AO263" s="89">
        <f t="shared" si="32"/>
        <v>0</v>
      </c>
      <c r="AP263" s="106"/>
      <c r="AQ263" s="204">
        <f t="shared" si="33"/>
        <v>0</v>
      </c>
      <c r="AR263" s="168"/>
      <c r="AS263" s="168"/>
      <c r="AT263" s="168"/>
      <c r="AU263" s="168"/>
      <c r="AV263" s="168"/>
      <c r="AW263" s="168"/>
      <c r="AX263" s="168"/>
      <c r="AY263" s="168"/>
      <c r="AZ263" s="168"/>
      <c r="BA263" s="219"/>
      <c r="BB263" s="168"/>
      <c r="BC263" s="219"/>
    </row>
    <row r="264" s="131" customFormat="1" customHeight="1" spans="1:70">
      <c r="A264" s="131">
        <v>215</v>
      </c>
      <c r="C264" s="131" t="s">
        <v>2717</v>
      </c>
      <c r="D264" s="131">
        <v>20230010087</v>
      </c>
      <c r="F264" s="216" t="s">
        <v>3510</v>
      </c>
      <c r="G264" s="214" t="s">
        <v>3511</v>
      </c>
      <c r="H264" s="728" t="s">
        <v>3512</v>
      </c>
      <c r="I264" s="191" t="s">
        <v>3513</v>
      </c>
      <c r="J264" s="131">
        <v>126.5</v>
      </c>
      <c r="K264" s="131">
        <v>126.5</v>
      </c>
      <c r="L264" s="131">
        <v>5782.38</v>
      </c>
      <c r="M264" s="236">
        <v>731471</v>
      </c>
      <c r="N264" s="236">
        <v>5782</v>
      </c>
      <c r="O264" s="188"/>
      <c r="P264" s="215"/>
      <c r="Q264" s="215"/>
      <c r="R264" s="158"/>
      <c r="S264" s="159"/>
      <c r="T264" s="175"/>
      <c r="U264" s="159" t="s">
        <v>291</v>
      </c>
      <c r="V264" s="158">
        <v>20000</v>
      </c>
      <c r="W264" s="159" t="s">
        <v>3514</v>
      </c>
      <c r="X264" s="158">
        <v>131471</v>
      </c>
      <c r="Y264" s="159" t="s">
        <v>2717</v>
      </c>
      <c r="Z264" s="131">
        <v>580000</v>
      </c>
      <c r="AA264" s="131" t="s">
        <v>253</v>
      </c>
      <c r="AB264" s="158"/>
      <c r="AH264" s="158">
        <f t="shared" si="31"/>
        <v>731471</v>
      </c>
      <c r="AK264" s="189">
        <f>M264-AH264</f>
        <v>0</v>
      </c>
      <c r="AL264" s="216"/>
      <c r="AM264" s="216"/>
      <c r="AN264" s="239"/>
      <c r="AO264" s="131">
        <f t="shared" si="32"/>
        <v>731471</v>
      </c>
      <c r="AP264" s="163">
        <f>0.7%+0.02%+0.08%</f>
        <v>0.008</v>
      </c>
      <c r="AQ264" s="192">
        <f t="shared" si="33"/>
        <v>0</v>
      </c>
      <c r="AR264" s="158"/>
      <c r="AS264" s="158"/>
      <c r="AT264" s="158"/>
      <c r="AU264" s="158"/>
      <c r="AV264" s="158"/>
      <c r="AW264" s="158"/>
      <c r="AX264" s="158"/>
      <c r="AY264" s="158"/>
      <c r="AZ264" s="158"/>
      <c r="BB264" s="158"/>
      <c r="BD264" s="131">
        <v>731471</v>
      </c>
      <c r="BQ264" s="131" t="s">
        <v>205</v>
      </c>
      <c r="BR264" s="131" t="s">
        <v>206</v>
      </c>
    </row>
    <row r="265" s="131" customFormat="1" customHeight="1" spans="1:70">
      <c r="A265" s="131">
        <v>216</v>
      </c>
      <c r="C265" s="131" t="s">
        <v>1051</v>
      </c>
      <c r="D265" s="215" t="s">
        <v>3515</v>
      </c>
      <c r="F265" s="216" t="s">
        <v>3516</v>
      </c>
      <c r="G265" s="214" t="s">
        <v>3517</v>
      </c>
      <c r="H265" s="728" t="s">
        <v>3518</v>
      </c>
      <c r="I265" s="191" t="s">
        <v>3519</v>
      </c>
      <c r="J265" s="131">
        <v>126.9</v>
      </c>
      <c r="K265" s="131">
        <v>126.9</v>
      </c>
      <c r="L265" s="131">
        <v>5770</v>
      </c>
      <c r="M265" s="237">
        <f>K265*L265</f>
        <v>732213</v>
      </c>
      <c r="N265" s="236">
        <v>5764.38</v>
      </c>
      <c r="O265" s="188"/>
      <c r="P265" s="215"/>
      <c r="Q265" s="215"/>
      <c r="R265" s="158"/>
      <c r="T265" s="175"/>
      <c r="U265" s="131" t="s">
        <v>298</v>
      </c>
      <c r="V265" s="158">
        <v>20000</v>
      </c>
      <c r="W265" s="131" t="s">
        <v>2141</v>
      </c>
      <c r="X265" s="158">
        <v>50000</v>
      </c>
      <c r="Y265" s="131" t="s">
        <v>2216</v>
      </c>
      <c r="Z265" s="131">
        <v>50000</v>
      </c>
      <c r="AA265" s="131" t="s">
        <v>1812</v>
      </c>
      <c r="AB265" s="158">
        <v>50000</v>
      </c>
      <c r="AC265" s="131" t="s">
        <v>462</v>
      </c>
      <c r="AD265" s="158">
        <f>42213+10000</f>
        <v>52213</v>
      </c>
      <c r="AE265" s="131" t="s">
        <v>1051</v>
      </c>
      <c r="AF265" s="158">
        <v>510000</v>
      </c>
      <c r="AG265" s="131" t="s">
        <v>3520</v>
      </c>
      <c r="AH265" s="158">
        <f t="shared" si="31"/>
        <v>732213</v>
      </c>
      <c r="AK265" s="189">
        <f>M265-AH265</f>
        <v>0</v>
      </c>
      <c r="AL265" s="216" t="s">
        <v>3521</v>
      </c>
      <c r="AM265" s="216"/>
      <c r="AN265" s="239"/>
      <c r="AO265" s="131">
        <f t="shared" si="32"/>
        <v>732213</v>
      </c>
      <c r="AP265" s="163">
        <f>0.5%+0.05%+0.12%</f>
        <v>0.0067</v>
      </c>
      <c r="AQ265" s="192">
        <f t="shared" si="33"/>
        <v>0</v>
      </c>
      <c r="AR265" s="158"/>
      <c r="AS265" s="158"/>
      <c r="AT265" s="158"/>
      <c r="AU265" s="158"/>
      <c r="AV265" s="158"/>
      <c r="AW265" s="158"/>
      <c r="AX265" s="158"/>
      <c r="AY265" s="158"/>
      <c r="AZ265" s="158"/>
      <c r="BA265" s="220"/>
      <c r="BB265" s="158"/>
      <c r="BC265" s="220">
        <v>222213</v>
      </c>
      <c r="BH265" s="131">
        <v>510000</v>
      </c>
      <c r="BQ265" s="131" t="s">
        <v>205</v>
      </c>
      <c r="BR265" s="131" t="s">
        <v>206</v>
      </c>
    </row>
    <row r="266" s="131" customFormat="1" customHeight="1" spans="1:70">
      <c r="A266" s="131">
        <v>217</v>
      </c>
      <c r="C266" s="131" t="s">
        <v>3522</v>
      </c>
      <c r="D266" s="215" t="s">
        <v>3523</v>
      </c>
      <c r="F266" s="216" t="s">
        <v>3524</v>
      </c>
      <c r="G266" s="175" t="s">
        <v>3525</v>
      </c>
      <c r="H266" s="175"/>
      <c r="I266" s="191" t="s">
        <v>3526</v>
      </c>
      <c r="J266" s="131">
        <v>126.5</v>
      </c>
      <c r="K266" s="131">
        <v>126.5</v>
      </c>
      <c r="L266" s="131">
        <v>5833.99</v>
      </c>
      <c r="M266" s="236">
        <v>738000</v>
      </c>
      <c r="N266" s="236">
        <v>5812.38</v>
      </c>
      <c r="O266" s="188"/>
      <c r="P266" s="215"/>
      <c r="Q266" s="215"/>
      <c r="R266" s="158"/>
      <c r="S266" s="159"/>
      <c r="T266" s="175"/>
      <c r="U266" s="175" t="s">
        <v>211</v>
      </c>
      <c r="V266" s="158">
        <v>20000</v>
      </c>
      <c r="W266" s="159" t="s">
        <v>3527</v>
      </c>
      <c r="X266" s="158">
        <v>218000</v>
      </c>
      <c r="Y266" s="159" t="s">
        <v>3522</v>
      </c>
      <c r="Z266" s="175">
        <v>500000</v>
      </c>
      <c r="AA266" s="198" t="s">
        <v>235</v>
      </c>
      <c r="AB266" s="158"/>
      <c r="AH266" s="158">
        <f t="shared" si="31"/>
        <v>738000</v>
      </c>
      <c r="AK266" s="189">
        <f>M266-AH266</f>
        <v>0</v>
      </c>
      <c r="AL266" s="216" t="s">
        <v>3528</v>
      </c>
      <c r="AM266" s="216"/>
      <c r="AN266" s="239"/>
      <c r="AO266" s="131">
        <f t="shared" si="32"/>
        <v>738000</v>
      </c>
      <c r="AP266" s="163">
        <f>0.6%+0.02%+0.08%</f>
        <v>0.007</v>
      </c>
      <c r="AQ266" s="192">
        <f t="shared" si="33"/>
        <v>0</v>
      </c>
      <c r="AR266" s="158"/>
      <c r="AS266" s="158"/>
      <c r="AT266" s="158"/>
      <c r="AU266" s="158"/>
      <c r="AV266" s="158"/>
      <c r="AW266" s="158"/>
      <c r="AX266" s="158"/>
      <c r="AY266" s="158"/>
      <c r="AZ266" s="158"/>
      <c r="BA266" s="220"/>
      <c r="BB266" s="158"/>
      <c r="BC266" s="220">
        <v>738000</v>
      </c>
      <c r="BQ266" s="131" t="s">
        <v>205</v>
      </c>
      <c r="BR266" s="131" t="s">
        <v>206</v>
      </c>
    </row>
    <row r="267" s="89" customFormat="1" customHeight="1" spans="1:55">
      <c r="A267" s="89">
        <v>218</v>
      </c>
      <c r="D267" s="230"/>
      <c r="F267" s="231"/>
      <c r="G267" s="167"/>
      <c r="H267" s="167"/>
      <c r="I267" s="185" t="s">
        <v>3529</v>
      </c>
      <c r="J267" s="234">
        <v>126.9</v>
      </c>
      <c r="M267" s="222"/>
      <c r="N267" s="222">
        <v>5794.38</v>
      </c>
      <c r="O267" s="235"/>
      <c r="P267" s="230"/>
      <c r="Q267" s="230"/>
      <c r="R267" s="168"/>
      <c r="S267" s="171"/>
      <c r="T267" s="218"/>
      <c r="U267" s="217"/>
      <c r="V267" s="168"/>
      <c r="W267" s="225"/>
      <c r="X267" s="168"/>
      <c r="Y267" s="197"/>
      <c r="AA267" s="225"/>
      <c r="AB267" s="168"/>
      <c r="AC267" s="225"/>
      <c r="AD267" s="225"/>
      <c r="AE267" s="225"/>
      <c r="AF267" s="225"/>
      <c r="AG267" s="225"/>
      <c r="AH267" s="168">
        <f t="shared" si="31"/>
        <v>0</v>
      </c>
      <c r="AK267" s="184"/>
      <c r="AL267" s="227"/>
      <c r="AM267" s="227"/>
      <c r="AN267" s="240"/>
      <c r="AO267" s="89">
        <f t="shared" si="32"/>
        <v>0</v>
      </c>
      <c r="AP267" s="106"/>
      <c r="AQ267" s="204">
        <f t="shared" si="33"/>
        <v>0</v>
      </c>
      <c r="AR267" s="168"/>
      <c r="AS267" s="168"/>
      <c r="AT267" s="168"/>
      <c r="AU267" s="168"/>
      <c r="AV267" s="168"/>
      <c r="AW267" s="168"/>
      <c r="AX267" s="168"/>
      <c r="AY267" s="168"/>
      <c r="AZ267" s="168"/>
      <c r="BA267" s="219"/>
      <c r="BB267" s="168"/>
      <c r="BC267" s="219"/>
    </row>
    <row r="268" s="131" customFormat="1" customHeight="1" spans="1:70">
      <c r="A268" s="131">
        <v>219</v>
      </c>
      <c r="C268" s="131" t="s">
        <v>333</v>
      </c>
      <c r="D268" s="215" t="s">
        <v>3530</v>
      </c>
      <c r="F268" s="216" t="s">
        <v>3531</v>
      </c>
      <c r="G268" s="175" t="s">
        <v>3532</v>
      </c>
      <c r="H268" s="727" t="s">
        <v>3533</v>
      </c>
      <c r="I268" s="191" t="s">
        <v>3534</v>
      </c>
      <c r="J268" s="131">
        <v>126.5</v>
      </c>
      <c r="K268" s="131">
        <v>126.5</v>
      </c>
      <c r="L268" s="131">
        <v>5883</v>
      </c>
      <c r="M268" s="237">
        <v>744200</v>
      </c>
      <c r="N268" s="236">
        <v>5882.38</v>
      </c>
      <c r="O268" s="188"/>
      <c r="P268" s="215"/>
      <c r="Q268" s="215"/>
      <c r="R268" s="158"/>
      <c r="T268" s="214"/>
      <c r="U268" s="131" t="s">
        <v>422</v>
      </c>
      <c r="V268" s="158">
        <v>20000</v>
      </c>
      <c r="W268" s="131" t="s">
        <v>1328</v>
      </c>
      <c r="X268" s="158">
        <f>9200+120000</f>
        <v>129200</v>
      </c>
      <c r="Y268" s="143" t="s">
        <v>333</v>
      </c>
      <c r="Z268" s="147">
        <v>595000</v>
      </c>
      <c r="AA268" s="143" t="s">
        <v>1162</v>
      </c>
      <c r="AB268" s="158"/>
      <c r="AH268" s="158">
        <f t="shared" si="31"/>
        <v>744200</v>
      </c>
      <c r="AK268" s="189">
        <f t="shared" ref="AK268:AK278" si="34">M268-AH268</f>
        <v>0</v>
      </c>
      <c r="AL268" s="216" t="s">
        <v>3535</v>
      </c>
      <c r="AM268" s="216"/>
      <c r="AN268" s="239"/>
      <c r="AO268" s="131">
        <f t="shared" si="32"/>
        <v>744200</v>
      </c>
      <c r="AP268" s="163">
        <f>0.7%+0.05%+0.12%</f>
        <v>0.0087</v>
      </c>
      <c r="AQ268" s="192">
        <f t="shared" si="33"/>
        <v>0</v>
      </c>
      <c r="AR268" s="158"/>
      <c r="AS268" s="158"/>
      <c r="AT268" s="158"/>
      <c r="AU268" s="158"/>
      <c r="AV268" s="158"/>
      <c r="AW268" s="158"/>
      <c r="AX268" s="158"/>
      <c r="AY268" s="158"/>
      <c r="AZ268" s="158">
        <v>149200</v>
      </c>
      <c r="BA268" s="220"/>
      <c r="BB268" s="158"/>
      <c r="BC268" s="220">
        <v>595000</v>
      </c>
      <c r="BQ268" s="131" t="s">
        <v>205</v>
      </c>
      <c r="BR268" s="131" t="s">
        <v>206</v>
      </c>
    </row>
    <row r="269" s="131" customFormat="1" ht="53" customHeight="1" spans="1:70">
      <c r="A269" s="131">
        <v>220</v>
      </c>
      <c r="C269" s="131" t="s">
        <v>3216</v>
      </c>
      <c r="D269" s="215" t="s">
        <v>3536</v>
      </c>
      <c r="F269" s="216"/>
      <c r="G269" s="214" t="s">
        <v>3537</v>
      </c>
      <c r="H269" s="175"/>
      <c r="I269" s="191" t="s">
        <v>3538</v>
      </c>
      <c r="J269" s="131">
        <v>126.9</v>
      </c>
      <c r="K269" s="131">
        <v>126.9</v>
      </c>
      <c r="L269" s="131">
        <v>5870.764</v>
      </c>
      <c r="M269" s="158">
        <v>745000</v>
      </c>
      <c r="N269" s="158">
        <v>5864.38</v>
      </c>
      <c r="O269" s="188"/>
      <c r="P269" s="215"/>
      <c r="Q269" s="215"/>
      <c r="R269" s="158"/>
      <c r="S269" s="143"/>
      <c r="T269" s="727" t="s">
        <v>3539</v>
      </c>
      <c r="U269" s="144" t="s">
        <v>3540</v>
      </c>
      <c r="V269" s="158">
        <v>10000</v>
      </c>
      <c r="W269" s="131" t="s">
        <v>2322</v>
      </c>
      <c r="X269" s="158">
        <v>-10000</v>
      </c>
      <c r="Y269" s="131" t="s">
        <v>699</v>
      </c>
      <c r="Z269" s="158">
        <v>20000</v>
      </c>
      <c r="AA269" s="131" t="s">
        <v>363</v>
      </c>
      <c r="AB269" s="158">
        <v>204000</v>
      </c>
      <c r="AC269" s="131" t="s">
        <v>3216</v>
      </c>
      <c r="AD269" s="158">
        <v>521000</v>
      </c>
      <c r="AE269" s="143">
        <v>45562</v>
      </c>
      <c r="AH269" s="158">
        <f t="shared" si="31"/>
        <v>745000</v>
      </c>
      <c r="AK269" s="189">
        <f t="shared" si="34"/>
        <v>0</v>
      </c>
      <c r="AL269" s="216"/>
      <c r="AM269" s="216"/>
      <c r="AN269" s="239"/>
      <c r="AO269" s="131">
        <f t="shared" si="32"/>
        <v>745000</v>
      </c>
      <c r="AP269" s="161">
        <f>0.4%+0.02%+0.08%</f>
        <v>0.005</v>
      </c>
      <c r="AQ269" s="192">
        <f t="shared" si="33"/>
        <v>100</v>
      </c>
      <c r="AR269" s="158"/>
      <c r="AS269" s="158">
        <v>100</v>
      </c>
      <c r="AT269" s="158"/>
      <c r="AU269" s="158"/>
      <c r="AV269" s="158"/>
      <c r="AW269" s="158"/>
      <c r="AX269" s="158"/>
      <c r="AY269" s="158"/>
      <c r="AZ269" s="158"/>
      <c r="BA269" s="220"/>
      <c r="BB269" s="158"/>
      <c r="BC269" s="220"/>
      <c r="BE269" s="131">
        <v>224000</v>
      </c>
      <c r="BM269" s="131">
        <v>521000</v>
      </c>
      <c r="BO269" s="131">
        <f>AP269*BM269</f>
        <v>2605</v>
      </c>
      <c r="BQ269" s="131" t="s">
        <v>205</v>
      </c>
      <c r="BR269" s="131" t="s">
        <v>206</v>
      </c>
    </row>
    <row r="270" s="131" customFormat="1" customHeight="1" spans="1:70">
      <c r="A270" s="131">
        <v>221</v>
      </c>
      <c r="C270" s="131" t="s">
        <v>1451</v>
      </c>
      <c r="D270" s="215" t="s">
        <v>3541</v>
      </c>
      <c r="F270" s="216" t="s">
        <v>3542</v>
      </c>
      <c r="G270" s="175" t="s">
        <v>3543</v>
      </c>
      <c r="H270" s="727" t="s">
        <v>3544</v>
      </c>
      <c r="I270" s="191" t="s">
        <v>3545</v>
      </c>
      <c r="J270" s="131">
        <v>126.5</v>
      </c>
      <c r="K270" s="131">
        <v>126.5</v>
      </c>
      <c r="L270" s="131">
        <v>5897.38</v>
      </c>
      <c r="M270" s="237">
        <f>K270*L270</f>
        <v>746018.57</v>
      </c>
      <c r="N270" s="158">
        <f>5947.38-50</f>
        <v>5897.38</v>
      </c>
      <c r="O270" s="188"/>
      <c r="P270" s="215"/>
      <c r="Q270" s="215"/>
      <c r="R270" s="158"/>
      <c r="S270" s="159"/>
      <c r="T270" s="727" t="s">
        <v>1062</v>
      </c>
      <c r="U270" s="159" t="s">
        <v>422</v>
      </c>
      <c r="V270" s="158">
        <v>10000</v>
      </c>
      <c r="W270" s="159" t="s">
        <v>795</v>
      </c>
      <c r="X270" s="158">
        <v>10000</v>
      </c>
      <c r="Y270" s="143" t="s">
        <v>649</v>
      </c>
      <c r="Z270" s="158">
        <v>130019</v>
      </c>
      <c r="AA270" s="159" t="s">
        <v>1451</v>
      </c>
      <c r="AB270" s="158">
        <v>596000</v>
      </c>
      <c r="AC270" s="159" t="s">
        <v>3546</v>
      </c>
      <c r="AH270" s="158">
        <f t="shared" si="31"/>
        <v>746019</v>
      </c>
      <c r="AK270" s="189">
        <f t="shared" si="34"/>
        <v>-0.430000000051223</v>
      </c>
      <c r="AL270" s="216" t="s">
        <v>3547</v>
      </c>
      <c r="AM270" s="216"/>
      <c r="AN270" s="239"/>
      <c r="AO270" s="131">
        <f t="shared" si="32"/>
        <v>746019</v>
      </c>
      <c r="AP270" s="163">
        <f>0.7%+0.05%+0.14%</f>
        <v>0.0089</v>
      </c>
      <c r="AQ270" s="192">
        <f t="shared" si="33"/>
        <v>300</v>
      </c>
      <c r="AR270" s="158"/>
      <c r="AS270" s="158"/>
      <c r="AT270" s="158"/>
      <c r="AU270" s="158"/>
      <c r="AV270" s="158">
        <f>100+200</f>
        <v>300</v>
      </c>
      <c r="AW270" s="158"/>
      <c r="AX270" s="158"/>
      <c r="AY270" s="158"/>
      <c r="AZ270" s="158">
        <v>150019</v>
      </c>
      <c r="BA270" s="220"/>
      <c r="BB270" s="158"/>
      <c r="BC270" s="220"/>
      <c r="BF270" s="131">
        <v>596000</v>
      </c>
      <c r="BQ270" s="131" t="s">
        <v>205</v>
      </c>
      <c r="BR270" s="131" t="s">
        <v>206</v>
      </c>
    </row>
    <row r="271" s="131" customFormat="1" customHeight="1" spans="1:70">
      <c r="A271" s="131">
        <v>222</v>
      </c>
      <c r="C271" s="143">
        <v>45417</v>
      </c>
      <c r="D271" s="215" t="s">
        <v>3548</v>
      </c>
      <c r="F271" s="216" t="s">
        <v>3549</v>
      </c>
      <c r="G271" s="214" t="s">
        <v>3550</v>
      </c>
      <c r="H271" s="175"/>
      <c r="I271" s="191" t="s">
        <v>3551</v>
      </c>
      <c r="J271" s="131">
        <v>126.9</v>
      </c>
      <c r="K271" s="131">
        <v>126.9</v>
      </c>
      <c r="L271" s="131">
        <f>M271/K271</f>
        <v>5930</v>
      </c>
      <c r="M271" s="158">
        <v>752517</v>
      </c>
      <c r="N271" s="158">
        <v>5929.38</v>
      </c>
      <c r="O271" s="238"/>
      <c r="P271" s="215"/>
      <c r="Q271" s="215"/>
      <c r="R271" s="158"/>
      <c r="S271" s="159"/>
      <c r="T271" s="214"/>
      <c r="U271" s="214" t="s">
        <v>411</v>
      </c>
      <c r="V271" s="158">
        <v>15517</v>
      </c>
      <c r="W271" s="159" t="s">
        <v>687</v>
      </c>
      <c r="X271" s="158">
        <v>135000</v>
      </c>
      <c r="Y271" s="159" t="s">
        <v>3133</v>
      </c>
      <c r="Z271" s="131">
        <v>150000</v>
      </c>
      <c r="AA271" s="131" t="s">
        <v>3552</v>
      </c>
      <c r="AB271" s="158">
        <v>452000</v>
      </c>
      <c r="AC271" s="159" t="s">
        <v>366</v>
      </c>
      <c r="AH271" s="158">
        <f t="shared" si="31"/>
        <v>752517</v>
      </c>
      <c r="AK271" s="189">
        <f t="shared" si="34"/>
        <v>0</v>
      </c>
      <c r="AL271" s="216" t="s">
        <v>3553</v>
      </c>
      <c r="AM271" s="216"/>
      <c r="AN271" s="239"/>
      <c r="AO271" s="131">
        <f t="shared" si="32"/>
        <v>752517</v>
      </c>
      <c r="AP271" s="163">
        <f>0.7%+0.08%</f>
        <v>0.0078</v>
      </c>
      <c r="AQ271" s="192">
        <f t="shared" si="33"/>
        <v>300</v>
      </c>
      <c r="AR271" s="192">
        <v>100</v>
      </c>
      <c r="AS271" s="158"/>
      <c r="AT271" s="158"/>
      <c r="AU271" s="158"/>
      <c r="AV271" s="158">
        <v>200</v>
      </c>
      <c r="AW271" s="158"/>
      <c r="AX271" s="158"/>
      <c r="AY271" s="158"/>
      <c r="AZ271" s="158"/>
      <c r="BA271" s="220"/>
      <c r="BB271" s="158"/>
      <c r="BC271" s="220"/>
      <c r="BJ271" s="131">
        <v>300517</v>
      </c>
      <c r="BK271" s="131">
        <v>452000</v>
      </c>
      <c r="BQ271" s="131" t="s">
        <v>205</v>
      </c>
      <c r="BR271" s="131" t="s">
        <v>206</v>
      </c>
    </row>
    <row r="272" s="131" customFormat="1" customHeight="1" spans="1:70">
      <c r="A272" s="131">
        <v>223</v>
      </c>
      <c r="C272" s="131" t="s">
        <v>486</v>
      </c>
      <c r="D272" s="215" t="s">
        <v>3554</v>
      </c>
      <c r="F272" s="216" t="s">
        <v>3555</v>
      </c>
      <c r="G272" s="175" t="s">
        <v>3556</v>
      </c>
      <c r="H272" s="727" t="s">
        <v>3557</v>
      </c>
      <c r="I272" s="191" t="s">
        <v>3558</v>
      </c>
      <c r="J272" s="131">
        <v>126.5</v>
      </c>
      <c r="K272" s="131">
        <v>126.5</v>
      </c>
      <c r="L272" s="131">
        <v>5992.38</v>
      </c>
      <c r="M272" s="158">
        <v>758036</v>
      </c>
      <c r="N272" s="158">
        <v>5992.38</v>
      </c>
      <c r="O272" s="188"/>
      <c r="P272" s="215"/>
      <c r="Q272" s="215"/>
      <c r="R272" s="158"/>
      <c r="S272" s="159"/>
      <c r="T272" s="175"/>
      <c r="U272" s="159" t="s">
        <v>291</v>
      </c>
      <c r="V272" s="158">
        <v>20000</v>
      </c>
      <c r="W272" s="159" t="s">
        <v>341</v>
      </c>
      <c r="X272" s="158">
        <v>138036</v>
      </c>
      <c r="Y272" s="159" t="s">
        <v>388</v>
      </c>
      <c r="Z272" s="131">
        <v>600000</v>
      </c>
      <c r="AA272" s="131" t="s">
        <v>1162</v>
      </c>
      <c r="AB272" s="158"/>
      <c r="AH272" s="158">
        <f t="shared" si="31"/>
        <v>758036</v>
      </c>
      <c r="AK272" s="189">
        <f t="shared" si="34"/>
        <v>0</v>
      </c>
      <c r="AL272" s="216" t="s">
        <v>3559</v>
      </c>
      <c r="AM272" s="216"/>
      <c r="AN272" s="239"/>
      <c r="AO272" s="131">
        <f t="shared" si="32"/>
        <v>758036</v>
      </c>
      <c r="AP272" s="163">
        <f>0.7%+0.05%+0.12%</f>
        <v>0.0087</v>
      </c>
      <c r="AQ272" s="192">
        <f t="shared" si="33"/>
        <v>0</v>
      </c>
      <c r="AR272" s="192"/>
      <c r="AS272" s="158"/>
      <c r="AT272" s="158"/>
      <c r="AU272" s="158"/>
      <c r="AV272" s="158"/>
      <c r="AW272" s="158"/>
      <c r="AX272" s="158"/>
      <c r="AY272" s="158"/>
      <c r="AZ272" s="158"/>
      <c r="BA272" s="220"/>
      <c r="BB272" s="158">
        <v>158036</v>
      </c>
      <c r="BC272" s="220">
        <v>600000</v>
      </c>
      <c r="BQ272" s="131" t="s">
        <v>205</v>
      </c>
      <c r="BR272" s="131" t="s">
        <v>206</v>
      </c>
    </row>
    <row r="273" s="131" customFormat="1" customHeight="1" spans="1:70">
      <c r="A273" s="131">
        <v>224</v>
      </c>
      <c r="C273" s="143">
        <v>45375</v>
      </c>
      <c r="D273" s="215" t="s">
        <v>3560</v>
      </c>
      <c r="F273" s="216" t="s">
        <v>3561</v>
      </c>
      <c r="G273" s="175" t="s">
        <v>3562</v>
      </c>
      <c r="H273" s="727" t="s">
        <v>3563</v>
      </c>
      <c r="I273" s="191" t="s">
        <v>3564</v>
      </c>
      <c r="J273" s="131">
        <v>126.9</v>
      </c>
      <c r="K273" s="131">
        <v>126.9</v>
      </c>
      <c r="L273" s="131">
        <v>5988.96</v>
      </c>
      <c r="M273" s="158">
        <v>760000</v>
      </c>
      <c r="N273" s="158">
        <v>5974.38</v>
      </c>
      <c r="O273" s="188"/>
      <c r="P273" s="215"/>
      <c r="Q273" s="215"/>
      <c r="R273" s="158"/>
      <c r="S273" s="159"/>
      <c r="T273" s="175"/>
      <c r="U273" s="159" t="s">
        <v>211</v>
      </c>
      <c r="V273" s="158">
        <f>20000</f>
        <v>20000</v>
      </c>
      <c r="W273" s="159" t="s">
        <v>794</v>
      </c>
      <c r="X273" s="158">
        <f>40000+34000</f>
        <v>74000</v>
      </c>
      <c r="Y273" s="143" t="s">
        <v>3266</v>
      </c>
      <c r="Z273" s="158">
        <v>58000</v>
      </c>
      <c r="AA273" s="159" t="s">
        <v>202</v>
      </c>
      <c r="AB273" s="158">
        <v>608000</v>
      </c>
      <c r="AC273" s="159" t="s">
        <v>3565</v>
      </c>
      <c r="AH273" s="158">
        <f t="shared" si="31"/>
        <v>760000</v>
      </c>
      <c r="AK273" s="189">
        <f t="shared" si="34"/>
        <v>0</v>
      </c>
      <c r="AL273" s="216" t="s">
        <v>3566</v>
      </c>
      <c r="AM273" s="216"/>
      <c r="AN273" s="239"/>
      <c r="AO273" s="131">
        <f t="shared" si="32"/>
        <v>760000</v>
      </c>
      <c r="AP273" s="161">
        <f>0.7%+0.05%+0.12%</f>
        <v>0.0087</v>
      </c>
      <c r="AQ273" s="192">
        <f t="shared" si="33"/>
        <v>0</v>
      </c>
      <c r="AR273" s="192"/>
      <c r="AS273" s="158"/>
      <c r="AT273" s="158"/>
      <c r="AU273" s="158"/>
      <c r="AV273" s="158"/>
      <c r="AW273" s="158"/>
      <c r="AX273" s="158"/>
      <c r="AY273" s="158"/>
      <c r="AZ273" s="158"/>
      <c r="BA273" s="220"/>
      <c r="BB273" s="158"/>
      <c r="BC273" s="220"/>
      <c r="BH273" s="131">
        <v>152000</v>
      </c>
      <c r="BL273" s="131">
        <v>608000</v>
      </c>
      <c r="BQ273" s="131" t="s">
        <v>205</v>
      </c>
      <c r="BR273" s="131" t="s">
        <v>206</v>
      </c>
    </row>
    <row r="274" s="131" customFormat="1" customHeight="1" spans="1:70">
      <c r="A274" s="131">
        <v>225</v>
      </c>
      <c r="C274" s="143">
        <v>45464</v>
      </c>
      <c r="D274" s="215" t="s">
        <v>3567</v>
      </c>
      <c r="F274" s="216" t="s">
        <v>3568</v>
      </c>
      <c r="G274" s="175" t="s">
        <v>3569</v>
      </c>
      <c r="H274" s="727" t="s">
        <v>3570</v>
      </c>
      <c r="I274" s="191" t="s">
        <v>3571</v>
      </c>
      <c r="J274" s="131">
        <v>126.5</v>
      </c>
      <c r="K274" s="131">
        <v>126.5</v>
      </c>
      <c r="L274" s="131">
        <v>6017.38</v>
      </c>
      <c r="M274" s="158">
        <v>761199</v>
      </c>
      <c r="N274" s="158">
        <v>6017.38</v>
      </c>
      <c r="O274" s="238"/>
      <c r="P274" s="215"/>
      <c r="Q274" s="215"/>
      <c r="R274" s="158"/>
      <c r="S274" s="159"/>
      <c r="T274" s="175"/>
      <c r="U274" s="159" t="s">
        <v>226</v>
      </c>
      <c r="V274" s="158">
        <v>20000</v>
      </c>
      <c r="W274" s="159" t="s">
        <v>344</v>
      </c>
      <c r="X274" s="158">
        <v>152199</v>
      </c>
      <c r="Y274" s="143" t="s">
        <v>514</v>
      </c>
      <c r="Z274" s="158">
        <v>92000</v>
      </c>
      <c r="AA274" s="159" t="s">
        <v>470</v>
      </c>
      <c r="AB274" s="158">
        <v>497000</v>
      </c>
      <c r="AC274" s="159" t="s">
        <v>2791</v>
      </c>
      <c r="AH274" s="158">
        <f t="shared" si="31"/>
        <v>761199</v>
      </c>
      <c r="AK274" s="189">
        <f t="shared" si="34"/>
        <v>0</v>
      </c>
      <c r="AL274" s="216" t="s">
        <v>3572</v>
      </c>
      <c r="AM274" s="216"/>
      <c r="AN274" s="239"/>
      <c r="AO274" s="131">
        <f t="shared" si="32"/>
        <v>761199</v>
      </c>
      <c r="AP274" s="163">
        <f>0.7%+0.08%</f>
        <v>0.0078</v>
      </c>
      <c r="AQ274" s="192">
        <f t="shared" si="33"/>
        <v>0</v>
      </c>
      <c r="AR274" s="192"/>
      <c r="AS274" s="158"/>
      <c r="AT274" s="158"/>
      <c r="AU274" s="158"/>
      <c r="AV274" s="158"/>
      <c r="AW274" s="158"/>
      <c r="AX274" s="158"/>
      <c r="AY274" s="158"/>
      <c r="AZ274" s="158"/>
      <c r="BA274" s="220"/>
      <c r="BB274" s="158"/>
      <c r="BC274" s="220"/>
      <c r="BK274" s="131">
        <v>264199</v>
      </c>
      <c r="BL274" s="131">
        <v>497000</v>
      </c>
      <c r="BQ274" s="131" t="s">
        <v>205</v>
      </c>
      <c r="BR274" s="131" t="s">
        <v>206</v>
      </c>
    </row>
    <row r="275" s="131" customFormat="1" customHeight="1" spans="1:70">
      <c r="A275" s="131">
        <v>226</v>
      </c>
      <c r="C275" s="131" t="s">
        <v>699</v>
      </c>
      <c r="D275" s="215" t="s">
        <v>3573</v>
      </c>
      <c r="F275" s="216" t="s">
        <v>3574</v>
      </c>
      <c r="G275" s="175" t="s">
        <v>3575</v>
      </c>
      <c r="H275" s="727" t="s">
        <v>3576</v>
      </c>
      <c r="I275" s="191" t="s">
        <v>3577</v>
      </c>
      <c r="J275" s="131">
        <v>126.9</v>
      </c>
      <c r="K275" s="131">
        <v>126.9</v>
      </c>
      <c r="L275" s="131">
        <v>5949.38</v>
      </c>
      <c r="M275" s="237">
        <f>K275*L275</f>
        <v>754976.322</v>
      </c>
      <c r="N275" s="158">
        <f>5999.38-50</f>
        <v>5949.38</v>
      </c>
      <c r="O275" s="188"/>
      <c r="P275" s="215"/>
      <c r="Q275" s="215"/>
      <c r="R275" s="158"/>
      <c r="S275" s="159"/>
      <c r="T275" s="727" t="s">
        <v>1293</v>
      </c>
      <c r="U275" s="159" t="s">
        <v>226</v>
      </c>
      <c r="V275" s="158">
        <v>10000</v>
      </c>
      <c r="W275" s="159" t="s">
        <v>1850</v>
      </c>
      <c r="X275" s="158">
        <f>10000+184976</f>
        <v>194976</v>
      </c>
      <c r="Y275" s="159" t="s">
        <v>649</v>
      </c>
      <c r="Z275" s="131">
        <v>550000</v>
      </c>
      <c r="AA275" s="131" t="s">
        <v>1162</v>
      </c>
      <c r="AB275" s="158"/>
      <c r="AH275" s="158">
        <f t="shared" si="31"/>
        <v>754976</v>
      </c>
      <c r="AK275" s="189">
        <f t="shared" si="34"/>
        <v>0.322000000043772</v>
      </c>
      <c r="AL275" s="216" t="s">
        <v>3578</v>
      </c>
      <c r="AM275" s="216"/>
      <c r="AN275" s="239"/>
      <c r="AO275" s="131">
        <f t="shared" si="32"/>
        <v>754976</v>
      </c>
      <c r="AP275" s="163">
        <f>0.4%+0.05%+0.14%</f>
        <v>0.0059</v>
      </c>
      <c r="AQ275" s="192">
        <f t="shared" si="33"/>
        <v>300</v>
      </c>
      <c r="AR275" s="192"/>
      <c r="AS275" s="158"/>
      <c r="AT275" s="158">
        <v>100</v>
      </c>
      <c r="AU275" s="158"/>
      <c r="AV275" s="158">
        <v>200</v>
      </c>
      <c r="AW275" s="158"/>
      <c r="AX275" s="158"/>
      <c r="AY275" s="158"/>
      <c r="AZ275" s="158">
        <v>204976</v>
      </c>
      <c r="BA275" s="220"/>
      <c r="BB275" s="158"/>
      <c r="BC275" s="220">
        <v>550000</v>
      </c>
      <c r="BQ275" s="131" t="s">
        <v>205</v>
      </c>
      <c r="BR275" s="131" t="s">
        <v>206</v>
      </c>
    </row>
    <row r="276" s="131" customFormat="1" customHeight="1" spans="1:70">
      <c r="A276" s="131">
        <v>227</v>
      </c>
      <c r="C276" s="131" t="s">
        <v>334</v>
      </c>
      <c r="D276" s="215" t="s">
        <v>3579</v>
      </c>
      <c r="F276" s="216" t="s">
        <v>3580</v>
      </c>
      <c r="G276" s="175" t="s">
        <v>3581</v>
      </c>
      <c r="H276" s="727" t="s">
        <v>3582</v>
      </c>
      <c r="I276" s="191" t="s">
        <v>3583</v>
      </c>
      <c r="J276" s="131">
        <v>126.5</v>
      </c>
      <c r="K276" s="131">
        <v>126.5</v>
      </c>
      <c r="L276" s="131">
        <v>6042.38</v>
      </c>
      <c r="M276" s="237">
        <v>764362</v>
      </c>
      <c r="N276" s="158">
        <v>6042.38</v>
      </c>
      <c r="O276" s="188"/>
      <c r="P276" s="215"/>
      <c r="Q276" s="215"/>
      <c r="R276" s="158"/>
      <c r="S276" s="159"/>
      <c r="T276" s="175"/>
      <c r="U276" s="159" t="s">
        <v>291</v>
      </c>
      <c r="V276" s="158">
        <v>20000</v>
      </c>
      <c r="W276" s="159" t="s">
        <v>341</v>
      </c>
      <c r="X276" s="158">
        <v>44362</v>
      </c>
      <c r="Y276" s="159" t="s">
        <v>334</v>
      </c>
      <c r="Z276" s="131">
        <v>90000</v>
      </c>
      <c r="AA276" s="131" t="s">
        <v>502</v>
      </c>
      <c r="AB276" s="158">
        <v>610000</v>
      </c>
      <c r="AC276" s="131" t="s">
        <v>686</v>
      </c>
      <c r="AH276" s="158">
        <f t="shared" si="31"/>
        <v>764362</v>
      </c>
      <c r="AK276" s="189">
        <f t="shared" si="34"/>
        <v>0</v>
      </c>
      <c r="AL276" s="216" t="s">
        <v>3584</v>
      </c>
      <c r="AM276" s="216"/>
      <c r="AN276" s="239"/>
      <c r="AO276" s="131">
        <f t="shared" si="32"/>
        <v>764362</v>
      </c>
      <c r="AP276" s="163">
        <f>0.7%+0.05%+0.12%</f>
        <v>0.0087</v>
      </c>
      <c r="AQ276" s="192">
        <f t="shared" si="33"/>
        <v>200</v>
      </c>
      <c r="AR276" s="192"/>
      <c r="AS276" s="158"/>
      <c r="AT276" s="158"/>
      <c r="AU276" s="158"/>
      <c r="AV276" s="158"/>
      <c r="AW276" s="158"/>
      <c r="AX276" s="158">
        <v>200</v>
      </c>
      <c r="AY276" s="158"/>
      <c r="AZ276" s="158"/>
      <c r="BA276" s="220"/>
      <c r="BB276" s="158">
        <v>764362</v>
      </c>
      <c r="BC276" s="220"/>
      <c r="BQ276" s="131" t="s">
        <v>205</v>
      </c>
      <c r="BR276" s="131" t="s">
        <v>206</v>
      </c>
    </row>
    <row r="277" s="131" customFormat="1" customHeight="1" spans="1:69">
      <c r="A277" s="131">
        <v>228</v>
      </c>
      <c r="C277" s="143">
        <v>45516</v>
      </c>
      <c r="D277" s="215" t="s">
        <v>3585</v>
      </c>
      <c r="F277" s="216" t="s">
        <v>3586</v>
      </c>
      <c r="G277" s="175" t="s">
        <v>3587</v>
      </c>
      <c r="H277" s="727" t="s">
        <v>3588</v>
      </c>
      <c r="I277" s="191" t="s">
        <v>3589</v>
      </c>
      <c r="J277" s="131">
        <v>126.9</v>
      </c>
      <c r="K277" s="131">
        <v>126.9</v>
      </c>
      <c r="L277" s="131">
        <v>5844.55</v>
      </c>
      <c r="M277" s="158">
        <v>741673</v>
      </c>
      <c r="N277" s="190">
        <v>5844.55</v>
      </c>
      <c r="O277" s="238"/>
      <c r="P277" s="215"/>
      <c r="Q277" s="215"/>
      <c r="R277" s="158"/>
      <c r="S277" s="159"/>
      <c r="T277" s="175"/>
      <c r="U277" s="159" t="s">
        <v>291</v>
      </c>
      <c r="V277" s="158">
        <v>20000</v>
      </c>
      <c r="W277" s="159" t="s">
        <v>3590</v>
      </c>
      <c r="X277" s="158">
        <v>71673</v>
      </c>
      <c r="Y277" s="159" t="s">
        <v>3591</v>
      </c>
      <c r="Z277" s="158">
        <v>60000</v>
      </c>
      <c r="AA277" s="159">
        <v>45539</v>
      </c>
      <c r="AB277" s="158"/>
      <c r="AH277" s="158">
        <f t="shared" si="31"/>
        <v>151673</v>
      </c>
      <c r="AK277" s="189">
        <f t="shared" si="34"/>
        <v>590000</v>
      </c>
      <c r="AL277" s="216" t="s">
        <v>3592</v>
      </c>
      <c r="AM277" s="216" t="s">
        <v>3593</v>
      </c>
      <c r="AN277" s="239"/>
      <c r="AO277" s="131">
        <f t="shared" si="32"/>
        <v>151673</v>
      </c>
      <c r="AP277" s="163">
        <f>0.7%+0.02%+0.08%</f>
        <v>0.008</v>
      </c>
      <c r="AQ277" s="192">
        <f t="shared" si="33"/>
        <v>0</v>
      </c>
      <c r="AR277" s="192"/>
      <c r="AS277" s="158"/>
      <c r="AT277" s="158"/>
      <c r="AU277" s="158"/>
      <c r="AV277" s="158"/>
      <c r="AW277" s="158"/>
      <c r="AX277" s="158"/>
      <c r="AY277" s="158"/>
      <c r="AZ277" s="158"/>
      <c r="BA277" s="220"/>
      <c r="BB277" s="158"/>
      <c r="BC277" s="220"/>
      <c r="BM277" s="131">
        <v>151673</v>
      </c>
      <c r="BO277" s="131">
        <f>AP277*BM277</f>
        <v>1213.384</v>
      </c>
      <c r="BQ277" s="131" t="s">
        <v>205</v>
      </c>
    </row>
    <row r="278" s="131" customFormat="1" customHeight="1" spans="1:69">
      <c r="A278" s="131">
        <v>229</v>
      </c>
      <c r="C278" s="143">
        <v>45509</v>
      </c>
      <c r="D278" s="215" t="s">
        <v>3594</v>
      </c>
      <c r="F278" s="216" t="s">
        <v>3595</v>
      </c>
      <c r="G278" s="175" t="s">
        <v>3596</v>
      </c>
      <c r="H278" s="727" t="s">
        <v>3597</v>
      </c>
      <c r="I278" s="191" t="s">
        <v>3598</v>
      </c>
      <c r="J278" s="131">
        <v>126.5</v>
      </c>
      <c r="K278" s="131">
        <v>126.5</v>
      </c>
      <c r="L278" s="131">
        <v>5849.8</v>
      </c>
      <c r="M278" s="158">
        <v>740000</v>
      </c>
      <c r="N278" s="190">
        <v>5849.8</v>
      </c>
      <c r="O278" s="238"/>
      <c r="P278" s="215"/>
      <c r="Q278" s="215"/>
      <c r="R278" s="158"/>
      <c r="S278" s="159"/>
      <c r="T278" s="175"/>
      <c r="U278" s="159" t="s">
        <v>196</v>
      </c>
      <c r="V278" s="158">
        <v>20000</v>
      </c>
      <c r="W278" s="159" t="s">
        <v>3599</v>
      </c>
      <c r="X278" s="158">
        <v>130000</v>
      </c>
      <c r="Y278" s="159" t="s">
        <v>2939</v>
      </c>
      <c r="Z278" s="158">
        <v>590000</v>
      </c>
      <c r="AA278" s="159">
        <v>45544</v>
      </c>
      <c r="AB278" s="158"/>
      <c r="AH278" s="158">
        <f t="shared" si="31"/>
        <v>740000</v>
      </c>
      <c r="AK278" s="189">
        <f t="shared" si="34"/>
        <v>0</v>
      </c>
      <c r="AL278" s="216" t="s">
        <v>3600</v>
      </c>
      <c r="AM278" s="216" t="s">
        <v>3593</v>
      </c>
      <c r="AN278" s="239"/>
      <c r="AO278" s="131">
        <f t="shared" si="32"/>
        <v>740000</v>
      </c>
      <c r="AP278" s="161">
        <f>0.7%+0.04%+0.08%</f>
        <v>0.0082</v>
      </c>
      <c r="AQ278" s="192">
        <f t="shared" si="33"/>
        <v>0</v>
      </c>
      <c r="AR278" s="192"/>
      <c r="AS278" s="158"/>
      <c r="AT278" s="158"/>
      <c r="AU278" s="158"/>
      <c r="AV278" s="158"/>
      <c r="AW278" s="158"/>
      <c r="AX278" s="158"/>
      <c r="AY278" s="158"/>
      <c r="AZ278" s="158"/>
      <c r="BA278" s="220"/>
      <c r="BB278" s="158"/>
      <c r="BC278" s="220"/>
      <c r="BL278" s="131">
        <v>150000</v>
      </c>
      <c r="BM278" s="131">
        <v>590000</v>
      </c>
      <c r="BO278" s="131">
        <f>AP278*BM278</f>
        <v>4838</v>
      </c>
      <c r="BQ278" s="131" t="s">
        <v>205</v>
      </c>
    </row>
    <row r="279" s="89" customFormat="1" customHeight="1" spans="1:54">
      <c r="A279" s="89">
        <v>230</v>
      </c>
      <c r="D279" s="230"/>
      <c r="F279" s="227"/>
      <c r="G279" s="167"/>
      <c r="H279" s="167"/>
      <c r="I279" s="185" t="s">
        <v>3601</v>
      </c>
      <c r="J279" s="234">
        <v>126.9</v>
      </c>
      <c r="M279" s="168"/>
      <c r="N279" s="168">
        <v>6044.38</v>
      </c>
      <c r="O279" s="235"/>
      <c r="P279" s="230"/>
      <c r="Q279" s="230"/>
      <c r="R279" s="168"/>
      <c r="S279" s="171"/>
      <c r="T279" s="167"/>
      <c r="U279" s="171"/>
      <c r="V279" s="168"/>
      <c r="W279" s="225"/>
      <c r="X279" s="168"/>
      <c r="Y279" s="225"/>
      <c r="AB279" s="168"/>
      <c r="AH279" s="168">
        <f t="shared" si="31"/>
        <v>0</v>
      </c>
      <c r="AL279" s="227"/>
      <c r="AM279" s="227"/>
      <c r="AN279" s="240"/>
      <c r="AO279" s="89">
        <f t="shared" si="32"/>
        <v>0</v>
      </c>
      <c r="AP279" s="106"/>
      <c r="AQ279" s="204">
        <f t="shared" si="33"/>
        <v>0</v>
      </c>
      <c r="AR279" s="204"/>
      <c r="AS279" s="168"/>
      <c r="AT279" s="168"/>
      <c r="AU279" s="168"/>
      <c r="AV279" s="168"/>
      <c r="AW279" s="168"/>
      <c r="AX279" s="168"/>
      <c r="AY279" s="168"/>
      <c r="AZ279" s="168"/>
      <c r="BB279" s="168"/>
    </row>
    <row r="280" s="89" customFormat="1" customHeight="1" spans="1:55">
      <c r="A280" s="89">
        <v>231</v>
      </c>
      <c r="D280" s="230"/>
      <c r="F280" s="227"/>
      <c r="G280" s="167"/>
      <c r="H280" s="167"/>
      <c r="I280" s="185" t="s">
        <v>3602</v>
      </c>
      <c r="J280" s="234">
        <v>126.5</v>
      </c>
      <c r="M280" s="168"/>
      <c r="N280" s="168">
        <v>7064</v>
      </c>
      <c r="O280" s="235"/>
      <c r="P280" s="230"/>
      <c r="Q280" s="230"/>
      <c r="R280" s="168"/>
      <c r="S280" s="171"/>
      <c r="T280" s="167"/>
      <c r="U280" s="171"/>
      <c r="V280" s="168"/>
      <c r="W280" s="225"/>
      <c r="X280" s="168"/>
      <c r="Y280" s="225"/>
      <c r="AB280" s="168"/>
      <c r="AH280" s="168">
        <f t="shared" si="31"/>
        <v>0</v>
      </c>
      <c r="AL280" s="227"/>
      <c r="AM280" s="227"/>
      <c r="AN280" s="240"/>
      <c r="AO280" s="89">
        <f t="shared" si="32"/>
        <v>0</v>
      </c>
      <c r="AP280" s="106"/>
      <c r="AQ280" s="204">
        <f t="shared" si="33"/>
        <v>0</v>
      </c>
      <c r="AR280" s="204"/>
      <c r="AS280" s="168"/>
      <c r="AT280" s="168"/>
      <c r="AU280" s="168"/>
      <c r="AV280" s="168"/>
      <c r="AW280" s="168"/>
      <c r="AX280" s="168"/>
      <c r="AY280" s="168"/>
      <c r="AZ280" s="168"/>
      <c r="BA280" s="219"/>
      <c r="BB280" s="168"/>
      <c r="BC280" s="219"/>
    </row>
    <row r="281" s="131" customFormat="1" customHeight="1" spans="1:70">
      <c r="A281" s="131">
        <v>232</v>
      </c>
      <c r="C281" s="131" t="s">
        <v>648</v>
      </c>
      <c r="D281" s="215" t="s">
        <v>3603</v>
      </c>
      <c r="F281" s="216" t="s">
        <v>3604</v>
      </c>
      <c r="G281" s="175" t="s">
        <v>3605</v>
      </c>
      <c r="H281" s="727" t="s">
        <v>3606</v>
      </c>
      <c r="I281" s="191" t="s">
        <v>3607</v>
      </c>
      <c r="J281" s="131">
        <v>126.9</v>
      </c>
      <c r="K281" s="131">
        <v>126.9</v>
      </c>
      <c r="L281" s="131">
        <v>7100</v>
      </c>
      <c r="M281" s="158">
        <v>900990</v>
      </c>
      <c r="N281" s="158">
        <v>7054</v>
      </c>
      <c r="O281" s="188"/>
      <c r="P281" s="215"/>
      <c r="Q281" s="215"/>
      <c r="R281" s="158"/>
      <c r="S281" s="159"/>
      <c r="T281" s="175"/>
      <c r="U281" s="159" t="s">
        <v>422</v>
      </c>
      <c r="V281" s="158">
        <v>250000</v>
      </c>
      <c r="W281" s="159" t="s">
        <v>3608</v>
      </c>
      <c r="X281" s="158">
        <v>10990</v>
      </c>
      <c r="Y281" s="143" t="s">
        <v>648</v>
      </c>
      <c r="Z281" s="131">
        <v>440000</v>
      </c>
      <c r="AA281" s="131" t="s">
        <v>3437</v>
      </c>
      <c r="AB281" s="158">
        <v>200000</v>
      </c>
      <c r="AC281" s="159" t="s">
        <v>3271</v>
      </c>
      <c r="AH281" s="158">
        <f t="shared" si="31"/>
        <v>900990</v>
      </c>
      <c r="AK281" s="189">
        <f>M281-AH281</f>
        <v>0</v>
      </c>
      <c r="AL281" s="216" t="s">
        <v>3609</v>
      </c>
      <c r="AM281" s="216"/>
      <c r="AN281" s="239"/>
      <c r="AO281" s="131">
        <f t="shared" si="32"/>
        <v>900990</v>
      </c>
      <c r="AP281" s="161">
        <f>0.7%+0.05%+0.14%</f>
        <v>0.0089</v>
      </c>
      <c r="AQ281" s="192">
        <f t="shared" si="33"/>
        <v>0</v>
      </c>
      <c r="AR281" s="192"/>
      <c r="AS281" s="158"/>
      <c r="AT281" s="158"/>
      <c r="AU281" s="158"/>
      <c r="AV281" s="158"/>
      <c r="AW281" s="158"/>
      <c r="AX281" s="158"/>
      <c r="AY281" s="158"/>
      <c r="AZ281" s="158"/>
      <c r="BA281" s="220"/>
      <c r="BB281" s="158"/>
      <c r="BC281" s="220"/>
      <c r="BF281" s="131">
        <v>700990</v>
      </c>
      <c r="BG281" s="131">
        <v>200000</v>
      </c>
      <c r="BQ281" s="131" t="s">
        <v>205</v>
      </c>
      <c r="BR281" s="131" t="s">
        <v>206</v>
      </c>
    </row>
    <row r="282" s="89" customFormat="1" customHeight="1" spans="1:55">
      <c r="A282" s="89">
        <v>233</v>
      </c>
      <c r="D282" s="230"/>
      <c r="F282" s="227" t="s">
        <v>3610</v>
      </c>
      <c r="G282" s="167"/>
      <c r="H282" s="167"/>
      <c r="I282" s="185" t="s">
        <v>3611</v>
      </c>
      <c r="J282" s="234">
        <v>109.11</v>
      </c>
      <c r="M282" s="168"/>
      <c r="N282" s="168">
        <v>8634</v>
      </c>
      <c r="O282" s="235"/>
      <c r="P282" s="230"/>
      <c r="Q282" s="230"/>
      <c r="R282" s="168"/>
      <c r="S282" s="171"/>
      <c r="T282" s="167"/>
      <c r="U282" s="171"/>
      <c r="V282" s="168"/>
      <c r="W282" s="225"/>
      <c r="X282" s="168"/>
      <c r="Y282" s="225"/>
      <c r="AB282" s="168"/>
      <c r="AH282" s="168">
        <f t="shared" si="31"/>
        <v>0</v>
      </c>
      <c r="AL282" s="227"/>
      <c r="AM282" s="227"/>
      <c r="AN282" s="240"/>
      <c r="AO282" s="89">
        <f t="shared" si="32"/>
        <v>0</v>
      </c>
      <c r="AP282" s="106"/>
      <c r="AQ282" s="204">
        <f t="shared" si="33"/>
        <v>0</v>
      </c>
      <c r="AR282" s="204"/>
      <c r="AS282" s="168"/>
      <c r="AT282" s="168"/>
      <c r="AU282" s="168"/>
      <c r="AV282" s="168"/>
      <c r="AW282" s="168"/>
      <c r="AX282" s="168"/>
      <c r="AY282" s="168"/>
      <c r="AZ282" s="168"/>
      <c r="BA282" s="219"/>
      <c r="BB282" s="168"/>
      <c r="BC282" s="219"/>
    </row>
    <row r="283" s="131" customFormat="1" customHeight="1" spans="1:55">
      <c r="A283" s="131">
        <v>234</v>
      </c>
      <c r="B283" s="131">
        <v>1</v>
      </c>
      <c r="D283" s="215"/>
      <c r="F283" s="216" t="s">
        <v>3612</v>
      </c>
      <c r="G283" s="175" t="s">
        <v>3613</v>
      </c>
      <c r="H283" s="727" t="s">
        <v>3614</v>
      </c>
      <c r="I283" s="191" t="s">
        <v>3615</v>
      </c>
      <c r="J283" s="131">
        <v>128.07</v>
      </c>
      <c r="K283" s="131">
        <v>128.07</v>
      </c>
      <c r="L283" s="188">
        <v>8495.354</v>
      </c>
      <c r="M283" s="158">
        <v>1088000</v>
      </c>
      <c r="N283" s="158">
        <v>8444</v>
      </c>
      <c r="O283" s="238"/>
      <c r="P283" s="215"/>
      <c r="Q283" s="215"/>
      <c r="R283" s="158">
        <v>20000</v>
      </c>
      <c r="S283" s="159" t="s">
        <v>375</v>
      </c>
      <c r="T283" s="175"/>
      <c r="U283" s="159" t="s">
        <v>211</v>
      </c>
      <c r="V283" s="158">
        <v>20000</v>
      </c>
      <c r="W283" s="159" t="s">
        <v>375</v>
      </c>
      <c r="X283" s="158"/>
      <c r="Y283" s="143"/>
      <c r="AB283" s="158"/>
      <c r="AH283" s="158">
        <f t="shared" si="31"/>
        <v>20000</v>
      </c>
      <c r="AK283" s="189">
        <f>M283-AH283</f>
        <v>1068000</v>
      </c>
      <c r="AL283" s="216" t="s">
        <v>3616</v>
      </c>
      <c r="AM283" s="216" t="s">
        <v>3617</v>
      </c>
      <c r="AN283" s="239"/>
      <c r="AO283" s="131">
        <f t="shared" si="32"/>
        <v>0</v>
      </c>
      <c r="AP283" s="163"/>
      <c r="AQ283" s="192">
        <f t="shared" si="33"/>
        <v>0</v>
      </c>
      <c r="AR283" s="192"/>
      <c r="AS283" s="158"/>
      <c r="AT283" s="158"/>
      <c r="AU283" s="158"/>
      <c r="AV283" s="158"/>
      <c r="AW283" s="158"/>
      <c r="AX283" s="158"/>
      <c r="AY283" s="158"/>
      <c r="AZ283" s="158"/>
      <c r="BA283" s="220"/>
      <c r="BB283" s="158"/>
      <c r="BC283" s="220"/>
    </row>
    <row r="284" s="89" customFormat="1" customHeight="1" spans="1:55">
      <c r="A284" s="89">
        <v>235</v>
      </c>
      <c r="D284" s="230"/>
      <c r="F284" s="227"/>
      <c r="G284" s="167"/>
      <c r="H284" s="167"/>
      <c r="I284" s="185" t="s">
        <v>3618</v>
      </c>
      <c r="J284" s="234">
        <v>126.5</v>
      </c>
      <c r="M284" s="168"/>
      <c r="N284" s="168">
        <v>5751.1</v>
      </c>
      <c r="O284" s="235"/>
      <c r="P284" s="230"/>
      <c r="Q284" s="230"/>
      <c r="R284" s="168"/>
      <c r="S284" s="171"/>
      <c r="T284" s="167"/>
      <c r="U284" s="171"/>
      <c r="V284" s="168"/>
      <c r="W284" s="225"/>
      <c r="X284" s="168"/>
      <c r="Y284" s="225"/>
      <c r="AB284" s="168"/>
      <c r="AH284" s="168">
        <f t="shared" si="31"/>
        <v>0</v>
      </c>
      <c r="AL284" s="227"/>
      <c r="AM284" s="227"/>
      <c r="AN284" s="240"/>
      <c r="AO284" s="89">
        <f t="shared" si="32"/>
        <v>0</v>
      </c>
      <c r="AP284" s="106"/>
      <c r="AQ284" s="204">
        <f t="shared" si="33"/>
        <v>0</v>
      </c>
      <c r="AR284" s="204"/>
      <c r="AS284" s="168"/>
      <c r="AT284" s="168"/>
      <c r="AU284" s="168"/>
      <c r="AV284" s="168"/>
      <c r="AW284" s="168"/>
      <c r="AX284" s="168"/>
      <c r="AY284" s="168"/>
      <c r="AZ284" s="168"/>
      <c r="BA284" s="219"/>
      <c r="BB284" s="168"/>
      <c r="BC284" s="219"/>
    </row>
    <row r="285" s="89" customFormat="1" customHeight="1" spans="1:55">
      <c r="A285" s="89">
        <v>236</v>
      </c>
      <c r="D285" s="230"/>
      <c r="F285" s="227" t="s">
        <v>3619</v>
      </c>
      <c r="G285" s="167"/>
      <c r="H285" s="167"/>
      <c r="I285" s="185" t="s">
        <v>3620</v>
      </c>
      <c r="J285" s="234">
        <v>126.5</v>
      </c>
      <c r="M285" s="168"/>
      <c r="N285" s="168">
        <v>5744.1</v>
      </c>
      <c r="O285" s="235"/>
      <c r="P285" s="230"/>
      <c r="Q285" s="230"/>
      <c r="R285" s="168"/>
      <c r="S285" s="171"/>
      <c r="T285" s="167"/>
      <c r="U285" s="171"/>
      <c r="V285" s="168"/>
      <c r="W285" s="225"/>
      <c r="X285" s="168"/>
      <c r="Y285" s="225"/>
      <c r="AB285" s="168"/>
      <c r="AH285" s="168">
        <f t="shared" si="31"/>
        <v>0</v>
      </c>
      <c r="AL285" s="227"/>
      <c r="AM285" s="227"/>
      <c r="AN285" s="240"/>
      <c r="AO285" s="89">
        <f t="shared" si="32"/>
        <v>0</v>
      </c>
      <c r="AP285" s="106"/>
      <c r="AQ285" s="204">
        <f t="shared" si="33"/>
        <v>0</v>
      </c>
      <c r="AR285" s="204"/>
      <c r="AS285" s="168"/>
      <c r="AT285" s="168"/>
      <c r="AU285" s="168"/>
      <c r="AV285" s="168"/>
      <c r="AW285" s="168"/>
      <c r="AX285" s="168"/>
      <c r="AY285" s="168"/>
      <c r="AZ285" s="168"/>
      <c r="BA285" s="219"/>
      <c r="BB285" s="168"/>
      <c r="BC285" s="219"/>
    </row>
    <row r="286" s="131" customFormat="1" customHeight="1" spans="1:70">
      <c r="A286" s="131">
        <v>237</v>
      </c>
      <c r="C286" s="143">
        <v>45417</v>
      </c>
      <c r="D286" s="215" t="s">
        <v>3621</v>
      </c>
      <c r="F286" s="216" t="s">
        <v>3622</v>
      </c>
      <c r="G286" s="214" t="s">
        <v>3623</v>
      </c>
      <c r="H286" s="175"/>
      <c r="I286" s="191" t="s">
        <v>3624</v>
      </c>
      <c r="J286" s="131">
        <v>126.5</v>
      </c>
      <c r="K286" s="131">
        <v>126.5</v>
      </c>
      <c r="L286" s="131">
        <v>5849.8</v>
      </c>
      <c r="M286" s="158">
        <v>740000</v>
      </c>
      <c r="N286" s="158">
        <v>5801.38</v>
      </c>
      <c r="O286" s="238"/>
      <c r="P286" s="215"/>
      <c r="Q286" s="215"/>
      <c r="R286" s="158"/>
      <c r="S286" s="159"/>
      <c r="T286" s="175"/>
      <c r="U286" s="159" t="s">
        <v>201</v>
      </c>
      <c r="V286" s="158">
        <f>10495-10495</f>
        <v>0</v>
      </c>
      <c r="W286" s="159" t="s">
        <v>3625</v>
      </c>
      <c r="X286" s="158">
        <v>17000</v>
      </c>
      <c r="Y286" s="159" t="s">
        <v>687</v>
      </c>
      <c r="Z286" s="131">
        <v>205000</v>
      </c>
      <c r="AA286" s="131" t="s">
        <v>687</v>
      </c>
      <c r="AB286" s="158">
        <v>518000</v>
      </c>
      <c r="AC286" s="159" t="s">
        <v>319</v>
      </c>
      <c r="AH286" s="158">
        <f t="shared" si="31"/>
        <v>740000</v>
      </c>
      <c r="AK286" s="189">
        <f>M286-AH286</f>
        <v>0</v>
      </c>
      <c r="AL286" s="216" t="s">
        <v>3626</v>
      </c>
      <c r="AM286" s="216"/>
      <c r="AN286" s="239"/>
      <c r="AO286" s="131">
        <f t="shared" si="32"/>
        <v>740000</v>
      </c>
      <c r="AP286" s="163">
        <f>0.4%+0.03%+0.08%</f>
        <v>0.0051</v>
      </c>
      <c r="AQ286" s="192">
        <f t="shared" si="33"/>
        <v>0</v>
      </c>
      <c r="AR286" s="192"/>
      <c r="AS286" s="158"/>
      <c r="AT286" s="158"/>
      <c r="AU286" s="158"/>
      <c r="AV286" s="158"/>
      <c r="AW286" s="158"/>
      <c r="AX286" s="158"/>
      <c r="AY286" s="158"/>
      <c r="AZ286" s="158"/>
      <c r="BA286" s="220"/>
      <c r="BB286" s="158"/>
      <c r="BC286" s="220"/>
      <c r="BI286" s="131">
        <v>222000</v>
      </c>
      <c r="BJ286" s="131">
        <v>518000</v>
      </c>
      <c r="BQ286" s="131" t="s">
        <v>205</v>
      </c>
      <c r="BR286" s="131" t="s">
        <v>206</v>
      </c>
    </row>
    <row r="287" s="131" customFormat="1" customHeight="1" spans="1:70">
      <c r="A287" s="131">
        <v>238</v>
      </c>
      <c r="C287" s="131" t="s">
        <v>212</v>
      </c>
      <c r="D287" s="215" t="s">
        <v>3627</v>
      </c>
      <c r="F287" s="216" t="s">
        <v>3628</v>
      </c>
      <c r="G287" s="175" t="s">
        <v>3629</v>
      </c>
      <c r="H287" s="727" t="s">
        <v>3630</v>
      </c>
      <c r="I287" s="191" t="s">
        <v>3631</v>
      </c>
      <c r="J287" s="131">
        <v>126.5</v>
      </c>
      <c r="K287" s="131">
        <v>126.5</v>
      </c>
      <c r="L287" s="131">
        <v>5800</v>
      </c>
      <c r="M287" s="158">
        <v>733700</v>
      </c>
      <c r="N287" s="158">
        <v>5794.38</v>
      </c>
      <c r="O287" s="188"/>
      <c r="P287" s="215"/>
      <c r="Q287" s="215"/>
      <c r="R287" s="158"/>
      <c r="S287" s="159"/>
      <c r="T287" s="175"/>
      <c r="U287" s="159" t="s">
        <v>411</v>
      </c>
      <c r="V287" s="158">
        <v>20000</v>
      </c>
      <c r="W287" s="159" t="s">
        <v>3522</v>
      </c>
      <c r="X287" s="158">
        <v>133700</v>
      </c>
      <c r="Y287" s="159" t="s">
        <v>212</v>
      </c>
      <c r="Z287" s="158">
        <v>580000</v>
      </c>
      <c r="AA287" s="159" t="s">
        <v>1200</v>
      </c>
      <c r="AB287" s="158"/>
      <c r="AH287" s="158">
        <f t="shared" si="31"/>
        <v>733700</v>
      </c>
      <c r="AK287" s="189">
        <f>M287-AH287</f>
        <v>0</v>
      </c>
      <c r="AL287" s="216"/>
      <c r="AM287" s="216"/>
      <c r="AN287" s="239"/>
      <c r="AO287" s="131">
        <f t="shared" si="32"/>
        <v>733700</v>
      </c>
      <c r="AP287" s="163">
        <f>0.4%+0.08%</f>
        <v>0.0048</v>
      </c>
      <c r="AQ287" s="192">
        <f t="shared" si="33"/>
        <v>0</v>
      </c>
      <c r="AR287" s="192"/>
      <c r="AS287" s="158"/>
      <c r="AT287" s="158"/>
      <c r="AU287" s="158"/>
      <c r="AV287" s="158"/>
      <c r="AW287" s="158"/>
      <c r="AX287" s="158"/>
      <c r="AY287" s="158"/>
      <c r="AZ287" s="158"/>
      <c r="BA287" s="220"/>
      <c r="BB287" s="158"/>
      <c r="BC287" s="220"/>
      <c r="BD287" s="131">
        <v>153700</v>
      </c>
      <c r="BE287" s="131">
        <v>580000</v>
      </c>
      <c r="BQ287" s="131" t="s">
        <v>205</v>
      </c>
      <c r="BR287" s="131" t="s">
        <v>206</v>
      </c>
    </row>
    <row r="288" s="131" customFormat="1" customHeight="1" spans="1:70">
      <c r="A288" s="131">
        <v>239</v>
      </c>
      <c r="C288" s="131" t="s">
        <v>351</v>
      </c>
      <c r="D288" s="215" t="s">
        <v>3632</v>
      </c>
      <c r="F288" s="216"/>
      <c r="G288" s="175" t="s">
        <v>3633</v>
      </c>
      <c r="H288" s="175"/>
      <c r="I288" s="191" t="s">
        <v>3634</v>
      </c>
      <c r="J288" s="131">
        <v>126.5</v>
      </c>
      <c r="K288" s="131">
        <v>126.5</v>
      </c>
      <c r="L288" s="131">
        <v>5831.38</v>
      </c>
      <c r="M288" s="158">
        <v>737670</v>
      </c>
      <c r="N288" s="158">
        <v>5831.38</v>
      </c>
      <c r="O288" s="188"/>
      <c r="P288" s="215"/>
      <c r="Q288" s="215"/>
      <c r="R288" s="158"/>
      <c r="S288" s="159"/>
      <c r="T288" s="175"/>
      <c r="U288" s="159" t="s">
        <v>422</v>
      </c>
      <c r="V288" s="158">
        <v>147670</v>
      </c>
      <c r="W288" s="159" t="s">
        <v>351</v>
      </c>
      <c r="X288" s="158">
        <v>590000</v>
      </c>
      <c r="Y288" s="159" t="s">
        <v>3635</v>
      </c>
      <c r="AB288" s="158"/>
      <c r="AH288" s="158">
        <f t="shared" si="31"/>
        <v>737670</v>
      </c>
      <c r="AK288" s="189">
        <f>M288-AH288</f>
        <v>0</v>
      </c>
      <c r="AL288" s="216"/>
      <c r="AM288" s="216"/>
      <c r="AN288" s="239"/>
      <c r="AO288" s="131">
        <f t="shared" si="32"/>
        <v>737670</v>
      </c>
      <c r="AP288" s="163">
        <f>0.4%+0.02%+0.08%</f>
        <v>0.005</v>
      </c>
      <c r="AQ288" s="192">
        <f t="shared" si="33"/>
        <v>0</v>
      </c>
      <c r="AR288" s="192"/>
      <c r="AS288" s="158"/>
      <c r="AT288" s="158"/>
      <c r="AU288" s="158"/>
      <c r="AV288" s="158"/>
      <c r="AW288" s="158"/>
      <c r="AX288" s="158"/>
      <c r="AY288" s="158"/>
      <c r="AZ288" s="158"/>
      <c r="BB288" s="158">
        <v>147670</v>
      </c>
      <c r="BE288" s="131">
        <v>590000</v>
      </c>
      <c r="BQ288" s="131" t="s">
        <v>205</v>
      </c>
      <c r="BR288" s="131" t="s">
        <v>206</v>
      </c>
    </row>
    <row r="289" s="131" customFormat="1" customHeight="1" spans="1:70">
      <c r="A289" s="131">
        <v>240</v>
      </c>
      <c r="C289" s="131" t="s">
        <v>1924</v>
      </c>
      <c r="D289" s="215" t="s">
        <v>3636</v>
      </c>
      <c r="F289" s="216" t="s">
        <v>3637</v>
      </c>
      <c r="G289" s="175" t="s">
        <v>3638</v>
      </c>
      <c r="H289" s="727" t="s">
        <v>3639</v>
      </c>
      <c r="I289" s="191" t="s">
        <v>3640</v>
      </c>
      <c r="J289" s="131">
        <v>126.5</v>
      </c>
      <c r="K289" s="131">
        <v>126.5</v>
      </c>
      <c r="L289" s="131">
        <v>5833.99</v>
      </c>
      <c r="M289" s="239">
        <f>K289*L289</f>
        <v>737999.735</v>
      </c>
      <c r="N289" s="236">
        <v>5824.38</v>
      </c>
      <c r="O289" s="188"/>
      <c r="P289" s="215"/>
      <c r="Q289" s="215"/>
      <c r="R289" s="158"/>
      <c r="S289" s="159"/>
      <c r="T289" s="175"/>
      <c r="U289" s="159" t="s">
        <v>422</v>
      </c>
      <c r="V289" s="158">
        <v>20000</v>
      </c>
      <c r="W289" s="159" t="s">
        <v>3641</v>
      </c>
      <c r="X289" s="158">
        <v>30000</v>
      </c>
      <c r="Y289" s="243" t="s">
        <v>1924</v>
      </c>
      <c r="Z289" s="158">
        <v>98000</v>
      </c>
      <c r="AA289" s="159" t="s">
        <v>280</v>
      </c>
      <c r="AB289" s="158">
        <v>590000</v>
      </c>
      <c r="AC289" s="159" t="s">
        <v>467</v>
      </c>
      <c r="AH289" s="158">
        <f t="shared" si="31"/>
        <v>738000</v>
      </c>
      <c r="AK289" s="189">
        <f>M289-AH289</f>
        <v>-0.26500000001397</v>
      </c>
      <c r="AL289" s="216" t="s">
        <v>3642</v>
      </c>
      <c r="AM289" s="216"/>
      <c r="AN289" s="239"/>
      <c r="AO289" s="131">
        <f t="shared" si="32"/>
        <v>738000</v>
      </c>
      <c r="AP289" s="163">
        <f>0.5%+0.02%+0.08%</f>
        <v>0.006</v>
      </c>
      <c r="AQ289" s="192">
        <f t="shared" si="33"/>
        <v>0</v>
      </c>
      <c r="AR289" s="192"/>
      <c r="AS289" s="158"/>
      <c r="AT289" s="158"/>
      <c r="AU289" s="158"/>
      <c r="AV289" s="158"/>
      <c r="AW289" s="158"/>
      <c r="AX289" s="158"/>
      <c r="AY289" s="158"/>
      <c r="AZ289" s="158"/>
      <c r="BA289" s="220"/>
      <c r="BB289" s="158"/>
      <c r="BC289" s="220"/>
      <c r="BD289" s="131">
        <v>148000</v>
      </c>
      <c r="BE289" s="131">
        <v>590000</v>
      </c>
      <c r="BQ289" s="131" t="s">
        <v>205</v>
      </c>
      <c r="BR289" s="131" t="s">
        <v>206</v>
      </c>
    </row>
    <row r="290" s="131" customFormat="1" customHeight="1" spans="1:70">
      <c r="A290" s="131">
        <v>241</v>
      </c>
      <c r="C290" s="215" t="s">
        <v>341</v>
      </c>
      <c r="D290" s="131">
        <v>20230008282</v>
      </c>
      <c r="E290" s="215"/>
      <c r="F290" s="216" t="s">
        <v>3643</v>
      </c>
      <c r="G290" s="214" t="s">
        <v>3644</v>
      </c>
      <c r="H290" s="728" t="s">
        <v>3645</v>
      </c>
      <c r="I290" s="191" t="s">
        <v>3646</v>
      </c>
      <c r="J290" s="131">
        <v>126.5</v>
      </c>
      <c r="K290" s="131">
        <v>126.5</v>
      </c>
      <c r="L290" s="131">
        <v>5851.38</v>
      </c>
      <c r="M290" s="239">
        <v>740201</v>
      </c>
      <c r="N290" s="236">
        <f>5901.38-50</f>
        <v>5851.38</v>
      </c>
      <c r="O290" s="188"/>
      <c r="P290" s="215"/>
      <c r="Q290" s="215"/>
      <c r="R290" s="158"/>
      <c r="S290" s="213"/>
      <c r="T290" s="728" t="s">
        <v>940</v>
      </c>
      <c r="U290" s="213" t="s">
        <v>291</v>
      </c>
      <c r="V290" s="158">
        <v>10000</v>
      </c>
      <c r="W290" s="213" t="s">
        <v>601</v>
      </c>
      <c r="X290" s="158">
        <v>10000</v>
      </c>
      <c r="Y290" s="213" t="s">
        <v>694</v>
      </c>
      <c r="Z290" s="158">
        <v>130201</v>
      </c>
      <c r="AA290" s="213" t="s">
        <v>341</v>
      </c>
      <c r="AB290" s="158">
        <v>590000</v>
      </c>
      <c r="AC290" s="213" t="s">
        <v>3091</v>
      </c>
      <c r="AD290" s="143"/>
      <c r="AE290" s="143"/>
      <c r="AF290" s="143"/>
      <c r="AG290" s="143"/>
      <c r="AH290" s="158">
        <f t="shared" si="31"/>
        <v>740201</v>
      </c>
      <c r="AK290" s="189">
        <f t="shared" ref="AK290:AK299" si="35">M290-AH290</f>
        <v>0</v>
      </c>
      <c r="AL290" s="216" t="s">
        <v>3647</v>
      </c>
      <c r="AM290" s="216"/>
      <c r="AN290" s="239"/>
      <c r="AO290" s="131">
        <f t="shared" si="32"/>
        <v>740201</v>
      </c>
      <c r="AP290" s="163">
        <f>0.5%+0.04%+0.14%</f>
        <v>0.0068</v>
      </c>
      <c r="AQ290" s="192">
        <f t="shared" si="33"/>
        <v>300</v>
      </c>
      <c r="AR290" s="192"/>
      <c r="AS290" s="158"/>
      <c r="AT290" s="158">
        <v>100</v>
      </c>
      <c r="AU290" s="158"/>
      <c r="AV290" s="158">
        <v>200</v>
      </c>
      <c r="AW290" s="158"/>
      <c r="AX290" s="158"/>
      <c r="AY290" s="158"/>
      <c r="AZ290" s="158"/>
      <c r="BA290" s="220">
        <v>150201</v>
      </c>
      <c r="BB290" s="158"/>
      <c r="BC290" s="220"/>
      <c r="BD290" s="131">
        <v>590000</v>
      </c>
      <c r="BQ290" s="131" t="s">
        <v>205</v>
      </c>
      <c r="BR290" s="131" t="s">
        <v>206</v>
      </c>
    </row>
    <row r="291" s="131" customFormat="1" customHeight="1" spans="1:70">
      <c r="A291" s="131">
        <v>242</v>
      </c>
      <c r="C291" s="131" t="s">
        <v>341</v>
      </c>
      <c r="D291" s="216" t="s">
        <v>3648</v>
      </c>
      <c r="F291" s="216" t="s">
        <v>3649</v>
      </c>
      <c r="G291" s="214" t="s">
        <v>3650</v>
      </c>
      <c r="H291" s="727" t="s">
        <v>3651</v>
      </c>
      <c r="I291" s="191" t="s">
        <v>3652</v>
      </c>
      <c r="J291" s="131">
        <v>126.5</v>
      </c>
      <c r="K291" s="131">
        <v>126.5</v>
      </c>
      <c r="L291" s="131">
        <v>5894.38</v>
      </c>
      <c r="M291" s="239">
        <f t="shared" ref="M290:M296" si="36">K291*L291</f>
        <v>745639.07</v>
      </c>
      <c r="N291" s="236">
        <v>5894.38</v>
      </c>
      <c r="O291" s="188"/>
      <c r="P291" s="215"/>
      <c r="Q291" s="215"/>
      <c r="R291" s="158"/>
      <c r="S291" s="159"/>
      <c r="T291" s="214" t="s">
        <v>3653</v>
      </c>
      <c r="U291" s="213" t="s">
        <v>3654</v>
      </c>
      <c r="V291" s="158">
        <f>10000-10000</f>
        <v>0</v>
      </c>
      <c r="W291" s="143" t="s">
        <v>3655</v>
      </c>
      <c r="X291" s="158">
        <v>20000</v>
      </c>
      <c r="Y291" s="159" t="s">
        <v>578</v>
      </c>
      <c r="Z291" s="158">
        <v>129639</v>
      </c>
      <c r="AA291" s="159" t="s">
        <v>341</v>
      </c>
      <c r="AB291" s="158">
        <v>596000</v>
      </c>
      <c r="AC291" s="159" t="s">
        <v>3091</v>
      </c>
      <c r="AD291" s="143"/>
      <c r="AE291" s="143"/>
      <c r="AF291" s="143"/>
      <c r="AG291" s="143"/>
      <c r="AH291" s="158">
        <f t="shared" si="31"/>
        <v>745639</v>
      </c>
      <c r="AK291" s="189">
        <f t="shared" si="35"/>
        <v>0.0699999999487773</v>
      </c>
      <c r="AL291" s="216" t="s">
        <v>3656</v>
      </c>
      <c r="AM291" s="216"/>
      <c r="AN291" s="239"/>
      <c r="AO291" s="131">
        <f t="shared" si="32"/>
        <v>745639</v>
      </c>
      <c r="AP291" s="163">
        <f>0.5%+0.03%+0.14%</f>
        <v>0.0067</v>
      </c>
      <c r="AQ291" s="192">
        <f t="shared" si="33"/>
        <v>100</v>
      </c>
      <c r="AR291" s="192">
        <v>100</v>
      </c>
      <c r="AS291" s="158"/>
      <c r="AT291" s="158"/>
      <c r="AU291" s="158"/>
      <c r="AV291" s="158"/>
      <c r="AW291" s="158"/>
      <c r="AX291" s="158"/>
      <c r="AY291" s="158"/>
      <c r="AZ291" s="158"/>
      <c r="BA291" s="220">
        <v>149639</v>
      </c>
      <c r="BB291" s="158"/>
      <c r="BC291" s="220"/>
      <c r="BD291" s="131">
        <v>596000</v>
      </c>
      <c r="BQ291" s="131" t="s">
        <v>205</v>
      </c>
      <c r="BR291" s="131" t="s">
        <v>206</v>
      </c>
    </row>
    <row r="292" s="131" customFormat="1" customHeight="1" spans="1:70">
      <c r="A292" s="131">
        <v>243</v>
      </c>
      <c r="C292" s="131" t="s">
        <v>654</v>
      </c>
      <c r="D292" s="215" t="s">
        <v>3657</v>
      </c>
      <c r="F292" s="216" t="s">
        <v>3658</v>
      </c>
      <c r="G292" s="175" t="s">
        <v>3659</v>
      </c>
      <c r="H292" s="727" t="s">
        <v>3660</v>
      </c>
      <c r="I292" s="191" t="s">
        <v>3661</v>
      </c>
      <c r="J292" s="131">
        <v>126.5</v>
      </c>
      <c r="K292" s="131">
        <v>126.5</v>
      </c>
      <c r="L292" s="131">
        <v>5916.38</v>
      </c>
      <c r="M292" s="239">
        <f t="shared" si="36"/>
        <v>748422.07</v>
      </c>
      <c r="N292" s="236">
        <f>5966.38-50</f>
        <v>5916.38</v>
      </c>
      <c r="O292" s="188"/>
      <c r="P292" s="215"/>
      <c r="Q292" s="215"/>
      <c r="R292" s="158"/>
      <c r="S292" s="159"/>
      <c r="T292" s="175"/>
      <c r="U292" s="159" t="s">
        <v>291</v>
      </c>
      <c r="V292" s="158">
        <f>20000+68422+50000</f>
        <v>138422</v>
      </c>
      <c r="W292" s="159" t="s">
        <v>649</v>
      </c>
      <c r="X292" s="158">
        <v>20000</v>
      </c>
      <c r="Y292" s="159" t="s">
        <v>1651</v>
      </c>
      <c r="Z292" s="158">
        <v>590000</v>
      </c>
      <c r="AA292" s="159" t="s">
        <v>1924</v>
      </c>
      <c r="AB292" s="158"/>
      <c r="AH292" s="158">
        <f t="shared" si="31"/>
        <v>748422</v>
      </c>
      <c r="AK292" s="189">
        <f t="shared" si="35"/>
        <v>0.0699999999487773</v>
      </c>
      <c r="AL292" s="216" t="s">
        <v>3662</v>
      </c>
      <c r="AM292" s="216"/>
      <c r="AN292" s="239"/>
      <c r="AO292" s="131">
        <f t="shared" si="32"/>
        <v>748422</v>
      </c>
      <c r="AP292" s="163">
        <f>0.5%+0.04%+0.14%</f>
        <v>0.0068</v>
      </c>
      <c r="AQ292" s="192">
        <f t="shared" si="33"/>
        <v>100</v>
      </c>
      <c r="AR292" s="158"/>
      <c r="AS292" s="158">
        <v>100</v>
      </c>
      <c r="AT292" s="158"/>
      <c r="AU292" s="158"/>
      <c r="AV292" s="158"/>
      <c r="AW292" s="158"/>
      <c r="AX292" s="158"/>
      <c r="AY292" s="158"/>
      <c r="AZ292" s="158"/>
      <c r="BA292" s="220"/>
      <c r="BB292" s="158"/>
      <c r="BC292" s="220">
        <v>748422</v>
      </c>
      <c r="BQ292" s="131" t="s">
        <v>205</v>
      </c>
      <c r="BR292" s="131" t="s">
        <v>206</v>
      </c>
    </row>
    <row r="293" s="131" customFormat="1" customHeight="1" spans="1:70">
      <c r="A293" s="131">
        <v>244</v>
      </c>
      <c r="C293" s="131" t="s">
        <v>735</v>
      </c>
      <c r="D293" s="215" t="s">
        <v>3663</v>
      </c>
      <c r="F293" s="216" t="s">
        <v>3664</v>
      </c>
      <c r="G293" s="144" t="s">
        <v>3665</v>
      </c>
      <c r="H293" s="728" t="s">
        <v>3666</v>
      </c>
      <c r="I293" s="187" t="s">
        <v>3667</v>
      </c>
      <c r="J293" s="131">
        <v>126.5</v>
      </c>
      <c r="K293" s="131">
        <v>126.5</v>
      </c>
      <c r="L293" s="131">
        <v>5900</v>
      </c>
      <c r="M293" s="239">
        <f t="shared" si="36"/>
        <v>746350</v>
      </c>
      <c r="N293" s="236">
        <f>5959.38-59.38</f>
        <v>5900</v>
      </c>
      <c r="O293" s="188"/>
      <c r="P293" s="215"/>
      <c r="Q293" s="215"/>
      <c r="R293" s="158"/>
      <c r="S293" s="159"/>
      <c r="T293" s="727" t="s">
        <v>3668</v>
      </c>
      <c r="U293" s="159" t="s">
        <v>422</v>
      </c>
      <c r="V293" s="158">
        <v>10000</v>
      </c>
      <c r="W293" s="159" t="s">
        <v>601</v>
      </c>
      <c r="X293" s="158">
        <v>10000</v>
      </c>
      <c r="Y293" s="159" t="s">
        <v>649</v>
      </c>
      <c r="Z293" s="158">
        <f>280000+350</f>
        <v>280350</v>
      </c>
      <c r="AA293" s="159" t="s">
        <v>735</v>
      </c>
      <c r="AB293" s="158">
        <v>446000</v>
      </c>
      <c r="AC293" s="159" t="s">
        <v>280</v>
      </c>
      <c r="AD293" s="143"/>
      <c r="AE293" s="143"/>
      <c r="AF293" s="143"/>
      <c r="AG293" s="143"/>
      <c r="AH293" s="158">
        <f t="shared" si="31"/>
        <v>746350</v>
      </c>
      <c r="AK293" s="189">
        <f t="shared" si="35"/>
        <v>0</v>
      </c>
      <c r="AL293" s="216" t="s">
        <v>3669</v>
      </c>
      <c r="AM293" s="216"/>
      <c r="AN293" s="239"/>
      <c r="AO293" s="131">
        <f t="shared" si="32"/>
        <v>746350</v>
      </c>
      <c r="AP293" s="163">
        <f>0.7%+0.05%+0.14%</f>
        <v>0.0089</v>
      </c>
      <c r="AQ293" s="192">
        <f t="shared" si="33"/>
        <v>200</v>
      </c>
      <c r="AR293" s="158"/>
      <c r="AS293" s="158"/>
      <c r="AT293" s="158"/>
      <c r="AU293" s="158"/>
      <c r="AV293" s="158">
        <v>200</v>
      </c>
      <c r="AW293" s="158"/>
      <c r="AX293" s="158"/>
      <c r="AY293" s="158"/>
      <c r="AZ293" s="158">
        <v>300350</v>
      </c>
      <c r="BA293" s="220"/>
      <c r="BB293" s="158"/>
      <c r="BC293" s="220"/>
      <c r="BD293" s="131">
        <v>446000</v>
      </c>
      <c r="BQ293" s="131" t="s">
        <v>205</v>
      </c>
      <c r="BR293" s="131" t="s">
        <v>206</v>
      </c>
    </row>
    <row r="294" s="131" customFormat="1" customHeight="1" spans="1:70">
      <c r="A294" s="131">
        <v>245</v>
      </c>
      <c r="C294" s="131" t="s">
        <v>705</v>
      </c>
      <c r="D294" s="215" t="s">
        <v>3670</v>
      </c>
      <c r="F294" s="131" t="s">
        <v>3671</v>
      </c>
      <c r="G294" s="214" t="s">
        <v>3672</v>
      </c>
      <c r="H294" s="214"/>
      <c r="I294" s="191" t="s">
        <v>3673</v>
      </c>
      <c r="J294" s="131">
        <v>126.5</v>
      </c>
      <c r="K294" s="131">
        <v>126.5</v>
      </c>
      <c r="L294" s="131">
        <v>6011.38</v>
      </c>
      <c r="M294" s="239">
        <f t="shared" si="36"/>
        <v>760439.57</v>
      </c>
      <c r="N294" s="236">
        <v>6011.38</v>
      </c>
      <c r="O294" s="188"/>
      <c r="P294" s="215"/>
      <c r="Q294" s="215"/>
      <c r="R294" s="158"/>
      <c r="S294" s="159"/>
      <c r="T294" s="728" t="s">
        <v>3674</v>
      </c>
      <c r="U294" s="214" t="s">
        <v>411</v>
      </c>
      <c r="V294" s="158">
        <f>10000+60000+440+400000</f>
        <v>470440</v>
      </c>
      <c r="W294" s="159" t="s">
        <v>562</v>
      </c>
      <c r="X294" s="158">
        <v>290000</v>
      </c>
      <c r="Y294" s="159" t="s">
        <v>236</v>
      </c>
      <c r="AA294" s="143"/>
      <c r="AB294" s="158"/>
      <c r="AH294" s="158">
        <f t="shared" si="31"/>
        <v>760440</v>
      </c>
      <c r="AK294" s="189">
        <f t="shared" si="35"/>
        <v>-0.430000000051223</v>
      </c>
      <c r="AL294" s="216" t="s">
        <v>3675</v>
      </c>
      <c r="AM294" s="216"/>
      <c r="AN294" s="239"/>
      <c r="AO294" s="131">
        <f t="shared" si="32"/>
        <v>760440</v>
      </c>
      <c r="AP294" s="163">
        <f>0.7%+0.14%</f>
        <v>0.0084</v>
      </c>
      <c r="AQ294" s="192">
        <f t="shared" si="33"/>
        <v>300</v>
      </c>
      <c r="AR294" s="158"/>
      <c r="AS294" s="158"/>
      <c r="AT294" s="158"/>
      <c r="AU294" s="158"/>
      <c r="AV294" s="158">
        <f>100+200</f>
        <v>300</v>
      </c>
      <c r="AW294" s="158"/>
      <c r="AX294" s="158"/>
      <c r="AY294" s="158"/>
      <c r="AZ294" s="158"/>
      <c r="BA294" s="220"/>
      <c r="BB294" s="158"/>
      <c r="BC294" s="220">
        <v>760440</v>
      </c>
      <c r="BQ294" s="131" t="s">
        <v>205</v>
      </c>
      <c r="BR294" s="131" t="s">
        <v>206</v>
      </c>
    </row>
    <row r="295" s="131" customFormat="1" customHeight="1" spans="1:70">
      <c r="A295" s="131">
        <v>246</v>
      </c>
      <c r="C295" s="131" t="s">
        <v>1078</v>
      </c>
      <c r="D295" s="215" t="s">
        <v>3676</v>
      </c>
      <c r="F295" s="216" t="s">
        <v>3677</v>
      </c>
      <c r="G295" s="175" t="s">
        <v>3678</v>
      </c>
      <c r="H295" s="727" t="s">
        <v>3679</v>
      </c>
      <c r="I295" s="187" t="s">
        <v>3680</v>
      </c>
      <c r="J295" s="131">
        <v>126.5</v>
      </c>
      <c r="K295" s="131">
        <v>126.5</v>
      </c>
      <c r="L295" s="131">
        <v>5954.38</v>
      </c>
      <c r="M295" s="239">
        <f t="shared" si="36"/>
        <v>753229.07</v>
      </c>
      <c r="N295" s="236">
        <f>6004.38-50</f>
        <v>5954.38</v>
      </c>
      <c r="O295" s="188"/>
      <c r="P295" s="215"/>
      <c r="Q295" s="215"/>
      <c r="R295" s="158"/>
      <c r="S295" s="159"/>
      <c r="T295" s="727" t="s">
        <v>1206</v>
      </c>
      <c r="U295" s="159" t="s">
        <v>201</v>
      </c>
      <c r="V295" s="158">
        <v>10000</v>
      </c>
      <c r="W295" s="159" t="s">
        <v>1710</v>
      </c>
      <c r="X295" s="158">
        <v>10000</v>
      </c>
      <c r="Y295" s="159" t="s">
        <v>694</v>
      </c>
      <c r="Z295" s="158">
        <v>233229</v>
      </c>
      <c r="AA295" s="159" t="s">
        <v>1078</v>
      </c>
      <c r="AB295" s="158">
        <v>500000</v>
      </c>
      <c r="AC295" s="159" t="s">
        <v>1059</v>
      </c>
      <c r="AH295" s="158">
        <f t="shared" si="31"/>
        <v>753229</v>
      </c>
      <c r="AK295" s="189">
        <f t="shared" si="35"/>
        <v>0.0699999999487773</v>
      </c>
      <c r="AL295" s="216"/>
      <c r="AM295" s="216"/>
      <c r="AN295" s="239"/>
      <c r="AO295" s="131">
        <f t="shared" si="32"/>
        <v>753229</v>
      </c>
      <c r="AP295" s="163">
        <f>0.5%+0.14%</f>
        <v>0.0064</v>
      </c>
      <c r="AQ295" s="192">
        <f t="shared" si="33"/>
        <v>300</v>
      </c>
      <c r="AR295" s="158"/>
      <c r="AS295" s="158"/>
      <c r="AT295" s="158"/>
      <c r="AU295" s="158">
        <v>100</v>
      </c>
      <c r="AV295" s="158">
        <v>200</v>
      </c>
      <c r="AW295" s="158"/>
      <c r="AX295" s="158"/>
      <c r="AY295" s="158"/>
      <c r="AZ295" s="158">
        <v>253229</v>
      </c>
      <c r="BA295" s="220"/>
      <c r="BB295" s="158">
        <v>500000</v>
      </c>
      <c r="BC295" s="220"/>
      <c r="BQ295" s="131" t="s">
        <v>205</v>
      </c>
      <c r="BR295" s="131" t="s">
        <v>206</v>
      </c>
    </row>
    <row r="296" s="131" customFormat="1" customHeight="1" spans="1:70">
      <c r="A296" s="131">
        <v>247</v>
      </c>
      <c r="C296" s="131" t="s">
        <v>1546</v>
      </c>
      <c r="D296" s="232" t="s">
        <v>3681</v>
      </c>
      <c r="F296" s="216"/>
      <c r="G296" s="175" t="s">
        <v>3682</v>
      </c>
      <c r="H296" s="175"/>
      <c r="I296" s="191" t="s">
        <v>3683</v>
      </c>
      <c r="J296" s="131">
        <v>126.5</v>
      </c>
      <c r="K296" s="131">
        <v>126.5</v>
      </c>
      <c r="L296" s="131">
        <v>5986.38</v>
      </c>
      <c r="M296" s="239">
        <f t="shared" si="36"/>
        <v>757277.07</v>
      </c>
      <c r="N296" s="158">
        <f>6036.38-50</f>
        <v>5986.38</v>
      </c>
      <c r="O296" s="188"/>
      <c r="P296" s="232"/>
      <c r="Q296" s="232"/>
      <c r="R296" s="158"/>
      <c r="T296" s="728" t="s">
        <v>1090</v>
      </c>
      <c r="U296" s="131" t="s">
        <v>201</v>
      </c>
      <c r="V296" s="158">
        <v>10000</v>
      </c>
      <c r="W296" s="131" t="s">
        <v>769</v>
      </c>
      <c r="X296" s="158">
        <f>10000+97277</f>
        <v>107277</v>
      </c>
      <c r="Y296" s="131" t="s">
        <v>1545</v>
      </c>
      <c r="Z296" s="158">
        <v>40000</v>
      </c>
      <c r="AA296" s="131" t="s">
        <v>1546</v>
      </c>
      <c r="AB296" s="158">
        <v>600000</v>
      </c>
      <c r="AC296" s="131" t="s">
        <v>446</v>
      </c>
      <c r="AD296" s="244"/>
      <c r="AE296" s="244"/>
      <c r="AF296" s="244"/>
      <c r="AG296" s="244"/>
      <c r="AH296" s="158">
        <f t="shared" si="31"/>
        <v>757277</v>
      </c>
      <c r="AK296" s="189">
        <f t="shared" si="35"/>
        <v>0.0699999999487773</v>
      </c>
      <c r="AL296" s="216"/>
      <c r="AM296" s="216"/>
      <c r="AN296" s="237"/>
      <c r="AO296" s="131">
        <f t="shared" si="32"/>
        <v>757277</v>
      </c>
      <c r="AP296" s="163">
        <f>0.5%+0.14%</f>
        <v>0.0064</v>
      </c>
      <c r="AQ296" s="192">
        <f t="shared" si="33"/>
        <v>300</v>
      </c>
      <c r="AR296" s="158"/>
      <c r="AS296" s="158"/>
      <c r="AT296" s="158"/>
      <c r="AU296" s="158"/>
      <c r="AV296" s="158">
        <f>100+200</f>
        <v>300</v>
      </c>
      <c r="AW296" s="158"/>
      <c r="AX296" s="158"/>
      <c r="AY296" s="158"/>
      <c r="AZ296" s="158"/>
      <c r="BA296" s="131">
        <v>157277</v>
      </c>
      <c r="BB296" s="158"/>
      <c r="BD296" s="131">
        <v>600000</v>
      </c>
      <c r="BQ296" s="131" t="s">
        <v>205</v>
      </c>
      <c r="BR296" s="131" t="s">
        <v>206</v>
      </c>
    </row>
    <row r="297" s="131" customFormat="1" customHeight="1" spans="1:70">
      <c r="A297" s="131">
        <v>248</v>
      </c>
      <c r="C297" s="143">
        <v>45393</v>
      </c>
      <c r="D297" s="215" t="s">
        <v>3684</v>
      </c>
      <c r="F297" s="216" t="s">
        <v>3685</v>
      </c>
      <c r="G297" s="214" t="s">
        <v>3686</v>
      </c>
      <c r="H297" s="214"/>
      <c r="I297" s="187" t="s">
        <v>3687</v>
      </c>
      <c r="J297" s="131">
        <v>126.5</v>
      </c>
      <c r="K297" s="131">
        <v>126.5</v>
      </c>
      <c r="L297" s="131">
        <v>6029.38</v>
      </c>
      <c r="M297" s="236">
        <v>762717</v>
      </c>
      <c r="N297" s="236">
        <v>6029.38</v>
      </c>
      <c r="O297" s="188"/>
      <c r="P297" s="215"/>
      <c r="Q297" s="215"/>
      <c r="R297" s="158"/>
      <c r="S297" s="213"/>
      <c r="T297" s="214"/>
      <c r="U297" s="213" t="s">
        <v>201</v>
      </c>
      <c r="V297" s="158">
        <v>12717</v>
      </c>
      <c r="W297" s="213" t="s">
        <v>3226</v>
      </c>
      <c r="X297" s="158">
        <v>220000</v>
      </c>
      <c r="Y297" s="213" t="s">
        <v>3206</v>
      </c>
      <c r="Z297" s="131">
        <v>530000</v>
      </c>
      <c r="AA297" s="131" t="s">
        <v>364</v>
      </c>
      <c r="AB297" s="158"/>
      <c r="AH297" s="158">
        <f t="shared" si="31"/>
        <v>762717</v>
      </c>
      <c r="AK297" s="189">
        <f t="shared" si="35"/>
        <v>0</v>
      </c>
      <c r="AL297" s="216" t="s">
        <v>3688</v>
      </c>
      <c r="AM297" s="216"/>
      <c r="AN297" s="239"/>
      <c r="AO297" s="131">
        <f t="shared" si="32"/>
        <v>762717</v>
      </c>
      <c r="AP297" s="161">
        <f>0.6%+0.12%</f>
        <v>0.0072</v>
      </c>
      <c r="AQ297" s="192">
        <f t="shared" si="33"/>
        <v>0</v>
      </c>
      <c r="AR297" s="158"/>
      <c r="AS297" s="158"/>
      <c r="AT297" s="158"/>
      <c r="AU297" s="158"/>
      <c r="AV297" s="158"/>
      <c r="AW297" s="158"/>
      <c r="AX297" s="158"/>
      <c r="AY297" s="158"/>
      <c r="AZ297" s="158"/>
      <c r="BA297" s="220"/>
      <c r="BB297" s="158"/>
      <c r="BC297" s="220"/>
      <c r="BH297" s="131">
        <v>762717</v>
      </c>
      <c r="BQ297" s="131" t="s">
        <v>205</v>
      </c>
      <c r="BR297" s="131" t="s">
        <v>206</v>
      </c>
    </row>
    <row r="298" s="131" customFormat="1" customHeight="1" spans="1:70">
      <c r="A298" s="131">
        <v>249</v>
      </c>
      <c r="C298" s="131" t="s">
        <v>3689</v>
      </c>
      <c r="D298" s="215" t="s">
        <v>3690</v>
      </c>
      <c r="F298" s="216" t="s">
        <v>3691</v>
      </c>
      <c r="G298" s="214" t="s">
        <v>3692</v>
      </c>
      <c r="H298" s="728" t="s">
        <v>3693</v>
      </c>
      <c r="I298" s="191" t="s">
        <v>3694</v>
      </c>
      <c r="J298" s="131">
        <v>126.5</v>
      </c>
      <c r="K298" s="131">
        <v>126.5</v>
      </c>
      <c r="L298" s="131">
        <v>6065</v>
      </c>
      <c r="M298" s="236">
        <v>767223</v>
      </c>
      <c r="N298" s="236">
        <v>6061.38</v>
      </c>
      <c r="O298" s="188"/>
      <c r="P298" s="215"/>
      <c r="Q298" s="215"/>
      <c r="R298" s="158"/>
      <c r="S298" s="159"/>
      <c r="T298" s="214" t="s">
        <v>3695</v>
      </c>
      <c r="U298" s="213" t="s">
        <v>3696</v>
      </c>
      <c r="V298" s="158">
        <f>10000-10000</f>
        <v>0</v>
      </c>
      <c r="W298" s="143" t="s">
        <v>1447</v>
      </c>
      <c r="X298" s="158">
        <v>20000</v>
      </c>
      <c r="Y298" s="159" t="s">
        <v>456</v>
      </c>
      <c r="Z298" s="131">
        <v>497223</v>
      </c>
      <c r="AA298" s="143" t="s">
        <v>3689</v>
      </c>
      <c r="AB298" s="158">
        <v>250000</v>
      </c>
      <c r="AC298" s="159" t="s">
        <v>3192</v>
      </c>
      <c r="AD298" s="143"/>
      <c r="AE298" s="143"/>
      <c r="AF298" s="143"/>
      <c r="AG298" s="143"/>
      <c r="AH298" s="158">
        <f t="shared" si="31"/>
        <v>767223</v>
      </c>
      <c r="AK298" s="189">
        <f t="shared" si="35"/>
        <v>0</v>
      </c>
      <c r="AL298" s="216" t="s">
        <v>3697</v>
      </c>
      <c r="AM298" s="216"/>
      <c r="AN298" s="239"/>
      <c r="AO298" s="131">
        <f t="shared" si="32"/>
        <v>767223</v>
      </c>
      <c r="AP298" s="163">
        <f>0.5%+0.04%+0.12%</f>
        <v>0.0066</v>
      </c>
      <c r="AQ298" s="192">
        <f t="shared" si="33"/>
        <v>100</v>
      </c>
      <c r="AR298" s="158"/>
      <c r="AS298" s="158"/>
      <c r="AT298" s="158">
        <v>100</v>
      </c>
      <c r="AU298" s="158"/>
      <c r="AV298" s="158"/>
      <c r="AW298" s="158"/>
      <c r="AX298" s="158"/>
      <c r="AY298" s="158"/>
      <c r="AZ298" s="158"/>
      <c r="BA298" s="220"/>
      <c r="BB298" s="158"/>
      <c r="BC298" s="220"/>
      <c r="BE298" s="131">
        <v>517223</v>
      </c>
      <c r="BG298" s="131">
        <v>250000</v>
      </c>
      <c r="BQ298" s="131" t="s">
        <v>205</v>
      </c>
      <c r="BR298" s="131" t="s">
        <v>206</v>
      </c>
    </row>
    <row r="299" s="131" customFormat="1" customHeight="1" spans="1:74">
      <c r="A299" s="131">
        <v>250</v>
      </c>
      <c r="C299" s="131" t="s">
        <v>2916</v>
      </c>
      <c r="D299" s="215" t="s">
        <v>3698</v>
      </c>
      <c r="F299" s="216" t="s">
        <v>3699</v>
      </c>
      <c r="G299" s="214" t="s">
        <v>3700</v>
      </c>
      <c r="H299" s="728" t="s">
        <v>3701</v>
      </c>
      <c r="I299" s="187" t="s">
        <v>3702</v>
      </c>
      <c r="J299" s="131">
        <v>126.5</v>
      </c>
      <c r="K299" s="131">
        <v>126.5</v>
      </c>
      <c r="L299" s="131">
        <v>6054.38</v>
      </c>
      <c r="M299" s="236">
        <v>765879</v>
      </c>
      <c r="N299" s="236">
        <v>6054.38</v>
      </c>
      <c r="O299" s="188"/>
      <c r="P299" s="215"/>
      <c r="Q299" s="215"/>
      <c r="R299" s="158"/>
      <c r="S299" s="159"/>
      <c r="T299" s="214"/>
      <c r="U299" s="214" t="s">
        <v>217</v>
      </c>
      <c r="V299" s="158">
        <v>20000</v>
      </c>
      <c r="W299" s="159" t="s">
        <v>3093</v>
      </c>
      <c r="X299" s="158">
        <v>135879</v>
      </c>
      <c r="Y299" s="143" t="s">
        <v>2916</v>
      </c>
      <c r="Z299" s="158">
        <v>610000</v>
      </c>
      <c r="AA299" s="159" t="s">
        <v>3425</v>
      </c>
      <c r="AB299" s="158"/>
      <c r="AC299" s="143"/>
      <c r="AD299" s="143"/>
      <c r="AE299" s="143"/>
      <c r="AF299" s="143"/>
      <c r="AG299" s="143"/>
      <c r="AH299" s="158">
        <f t="shared" si="31"/>
        <v>765879</v>
      </c>
      <c r="AK299" s="189">
        <f t="shared" si="35"/>
        <v>0</v>
      </c>
      <c r="AL299" s="216" t="s">
        <v>3703</v>
      </c>
      <c r="AM299" s="216"/>
      <c r="AN299" s="239"/>
      <c r="AO299" s="131">
        <f t="shared" si="32"/>
        <v>765879</v>
      </c>
      <c r="AP299" s="161">
        <f>0.7%+0.04%+0.12%</f>
        <v>0.0086</v>
      </c>
      <c r="AQ299" s="192">
        <f t="shared" si="33"/>
        <v>0</v>
      </c>
      <c r="AR299" s="158"/>
      <c r="AS299" s="158"/>
      <c r="AT299" s="158"/>
      <c r="AU299" s="158"/>
      <c r="AV299" s="158"/>
      <c r="AW299" s="158"/>
      <c r="AX299" s="158"/>
      <c r="AY299" s="158"/>
      <c r="AZ299" s="158"/>
      <c r="BA299" s="220"/>
      <c r="BB299" s="158"/>
      <c r="BC299" s="220"/>
      <c r="BG299" s="131">
        <v>155879</v>
      </c>
      <c r="BH299" s="131">
        <v>610000</v>
      </c>
      <c r="BQ299" s="131" t="s">
        <v>205</v>
      </c>
      <c r="BR299" s="131" t="s">
        <v>206</v>
      </c>
      <c r="BV299" s="131">
        <f>BT299-BU299</f>
        <v>0</v>
      </c>
    </row>
    <row r="300" s="131" customFormat="1" customHeight="1" spans="1:70">
      <c r="A300" s="131">
        <v>251</v>
      </c>
      <c r="C300" s="131" t="s">
        <v>3424</v>
      </c>
      <c r="D300" s="215" t="s">
        <v>3704</v>
      </c>
      <c r="F300" s="216" t="s">
        <v>3705</v>
      </c>
      <c r="G300" s="214" t="s">
        <v>3706</v>
      </c>
      <c r="H300" s="214"/>
      <c r="I300" s="191" t="s">
        <v>3707</v>
      </c>
      <c r="J300" s="131">
        <v>126.5</v>
      </c>
      <c r="K300" s="131">
        <v>126.5</v>
      </c>
      <c r="L300" s="131">
        <v>6081.38</v>
      </c>
      <c r="M300" s="236">
        <v>769295</v>
      </c>
      <c r="N300" s="236">
        <v>6081.38</v>
      </c>
      <c r="O300" s="188"/>
      <c r="P300" s="215"/>
      <c r="Q300" s="215"/>
      <c r="R300" s="158"/>
      <c r="S300" s="159"/>
      <c r="T300" s="214"/>
      <c r="U300" s="213" t="s">
        <v>211</v>
      </c>
      <c r="V300" s="158">
        <v>9295</v>
      </c>
      <c r="W300" s="159" t="s">
        <v>2926</v>
      </c>
      <c r="X300" s="158">
        <v>150000</v>
      </c>
      <c r="Y300" s="159" t="s">
        <v>3177</v>
      </c>
      <c r="Z300" s="158">
        <v>610000</v>
      </c>
      <c r="AA300" s="159" t="s">
        <v>3708</v>
      </c>
      <c r="AB300" s="158"/>
      <c r="AH300" s="158">
        <f t="shared" si="31"/>
        <v>769295</v>
      </c>
      <c r="AK300" s="189">
        <f t="shared" ref="AK300:AK324" si="37">M300-AH300</f>
        <v>0</v>
      </c>
      <c r="AL300" s="216"/>
      <c r="AM300" s="216"/>
      <c r="AN300" s="239"/>
      <c r="AO300" s="131">
        <f t="shared" si="32"/>
        <v>769295</v>
      </c>
      <c r="AP300" s="161">
        <f>0.7%+0.05%+0.12%</f>
        <v>0.0087</v>
      </c>
      <c r="AQ300" s="192">
        <f t="shared" si="33"/>
        <v>0</v>
      </c>
      <c r="AR300" s="158"/>
      <c r="AS300" s="158"/>
      <c r="AT300" s="158"/>
      <c r="AU300" s="158"/>
      <c r="AV300" s="158"/>
      <c r="AW300" s="158"/>
      <c r="AX300" s="158"/>
      <c r="AY300" s="158"/>
      <c r="AZ300" s="158"/>
      <c r="BA300" s="220"/>
      <c r="BB300" s="158"/>
      <c r="BC300" s="220"/>
      <c r="BH300" s="131">
        <v>159295</v>
      </c>
      <c r="BI300" s="131">
        <v>610000</v>
      </c>
      <c r="BQ300" s="131" t="s">
        <v>205</v>
      </c>
      <c r="BR300" s="131" t="s">
        <v>206</v>
      </c>
    </row>
    <row r="301" s="131" customFormat="1" customHeight="1" spans="1:70">
      <c r="A301" s="131">
        <v>252</v>
      </c>
      <c r="C301" s="143">
        <v>45483</v>
      </c>
      <c r="D301" s="215" t="s">
        <v>3709</v>
      </c>
      <c r="F301" s="216" t="s">
        <v>3710</v>
      </c>
      <c r="G301" s="144" t="s">
        <v>3711</v>
      </c>
      <c r="H301" s="144"/>
      <c r="I301" s="187" t="s">
        <v>3712</v>
      </c>
      <c r="J301" s="131">
        <v>126.5</v>
      </c>
      <c r="K301" s="131">
        <v>126.5</v>
      </c>
      <c r="L301" s="131">
        <v>6119</v>
      </c>
      <c r="M301" s="236">
        <v>774053</v>
      </c>
      <c r="N301" s="236">
        <v>6074.38</v>
      </c>
      <c r="O301" s="239"/>
      <c r="P301" s="215"/>
      <c r="Q301" s="215"/>
      <c r="R301" s="158"/>
      <c r="S301" s="159"/>
      <c r="T301" s="175"/>
      <c r="U301" s="159" t="s">
        <v>217</v>
      </c>
      <c r="V301" s="158">
        <v>145053</v>
      </c>
      <c r="W301" s="159" t="s">
        <v>2785</v>
      </c>
      <c r="X301" s="158">
        <v>10000</v>
      </c>
      <c r="Y301" s="243" t="s">
        <v>3713</v>
      </c>
      <c r="Z301" s="158">
        <v>619000</v>
      </c>
      <c r="AA301" s="159">
        <v>45540</v>
      </c>
      <c r="AB301" s="158"/>
      <c r="AH301" s="158">
        <f t="shared" si="31"/>
        <v>774053</v>
      </c>
      <c r="AK301" s="189">
        <f t="shared" si="37"/>
        <v>0</v>
      </c>
      <c r="AL301" s="216" t="s">
        <v>3714</v>
      </c>
      <c r="AM301" s="216"/>
      <c r="AN301" s="239"/>
      <c r="AO301" s="131">
        <f t="shared" si="32"/>
        <v>774053</v>
      </c>
      <c r="AP301" s="162">
        <f>0.7%+0.03%+0.08%</f>
        <v>0.0081</v>
      </c>
      <c r="AQ301" s="192">
        <f t="shared" si="33"/>
        <v>0</v>
      </c>
      <c r="AR301" s="158"/>
      <c r="AS301" s="158"/>
      <c r="AT301" s="158"/>
      <c r="AU301" s="158"/>
      <c r="AV301" s="158"/>
      <c r="AW301" s="158"/>
      <c r="AX301" s="158"/>
      <c r="AY301" s="158"/>
      <c r="AZ301" s="158"/>
      <c r="BA301" s="220"/>
      <c r="BB301" s="158"/>
      <c r="BC301" s="220"/>
      <c r="BK301" s="131">
        <v>155053</v>
      </c>
      <c r="BM301" s="131">
        <v>619000</v>
      </c>
      <c r="BO301" s="131">
        <f>AP301*BM301</f>
        <v>5013.9</v>
      </c>
      <c r="BQ301" s="131" t="s">
        <v>205</v>
      </c>
      <c r="BR301" s="131" t="s">
        <v>206</v>
      </c>
    </row>
    <row r="302" s="89" customFormat="1" customHeight="1" spans="1:55">
      <c r="A302" s="89">
        <v>253</v>
      </c>
      <c r="D302" s="230"/>
      <c r="F302" s="227"/>
      <c r="G302" s="174"/>
      <c r="H302" s="174"/>
      <c r="I302" s="185" t="s">
        <v>3715</v>
      </c>
      <c r="J302" s="234">
        <v>126.5</v>
      </c>
      <c r="M302" s="222"/>
      <c r="N302" s="222">
        <v>7084</v>
      </c>
      <c r="O302" s="240"/>
      <c r="P302" s="230"/>
      <c r="Q302" s="230"/>
      <c r="R302" s="168"/>
      <c r="S302" s="217"/>
      <c r="T302" s="218"/>
      <c r="U302" s="217"/>
      <c r="V302" s="168"/>
      <c r="W302" s="224"/>
      <c r="X302" s="168"/>
      <c r="Y302" s="226"/>
      <c r="AB302" s="168"/>
      <c r="AH302" s="168">
        <f t="shared" si="31"/>
        <v>0</v>
      </c>
      <c r="AK302" s="184">
        <f t="shared" si="37"/>
        <v>0</v>
      </c>
      <c r="AL302" s="227"/>
      <c r="AM302" s="227"/>
      <c r="AN302" s="240"/>
      <c r="AO302" s="89">
        <f t="shared" si="32"/>
        <v>0</v>
      </c>
      <c r="AP302" s="106"/>
      <c r="AQ302" s="204">
        <f t="shared" si="33"/>
        <v>0</v>
      </c>
      <c r="AR302" s="168"/>
      <c r="AS302" s="168"/>
      <c r="AT302" s="168"/>
      <c r="AU302" s="168"/>
      <c r="AV302" s="168"/>
      <c r="AW302" s="168"/>
      <c r="AX302" s="168"/>
      <c r="AY302" s="168"/>
      <c r="AZ302" s="168"/>
      <c r="BA302" s="219"/>
      <c r="BB302" s="168"/>
      <c r="BC302" s="219"/>
    </row>
    <row r="303" s="89" customFormat="1" customHeight="1" spans="1:55">
      <c r="A303" s="89">
        <v>254</v>
      </c>
      <c r="D303" s="230"/>
      <c r="F303" s="227"/>
      <c r="G303" s="174"/>
      <c r="H303" s="174"/>
      <c r="I303" s="183" t="s">
        <v>3716</v>
      </c>
      <c r="J303" s="234">
        <v>126.5</v>
      </c>
      <c r="M303" s="222"/>
      <c r="N303" s="222">
        <v>7074</v>
      </c>
      <c r="O303" s="240"/>
      <c r="P303" s="230"/>
      <c r="Q303" s="230"/>
      <c r="R303" s="168"/>
      <c r="S303" s="171"/>
      <c r="T303" s="218"/>
      <c r="U303" s="174"/>
      <c r="V303" s="168"/>
      <c r="W303" s="225"/>
      <c r="X303" s="168"/>
      <c r="Y303" s="226"/>
      <c r="AB303" s="168"/>
      <c r="AH303" s="168">
        <f t="shared" si="31"/>
        <v>0</v>
      </c>
      <c r="AK303" s="184">
        <f t="shared" si="37"/>
        <v>0</v>
      </c>
      <c r="AL303" s="227"/>
      <c r="AM303" s="227"/>
      <c r="AN303" s="240"/>
      <c r="AO303" s="89">
        <f t="shared" si="32"/>
        <v>0</v>
      </c>
      <c r="AP303" s="106"/>
      <c r="AQ303" s="204">
        <f t="shared" si="33"/>
        <v>0</v>
      </c>
      <c r="AR303" s="168"/>
      <c r="AS303" s="168"/>
      <c r="AT303" s="168"/>
      <c r="AU303" s="168"/>
      <c r="AV303" s="168"/>
      <c r="AW303" s="168"/>
      <c r="AX303" s="168"/>
      <c r="AY303" s="168"/>
      <c r="AZ303" s="168"/>
      <c r="BA303" s="219"/>
      <c r="BB303" s="168"/>
      <c r="BC303" s="219"/>
    </row>
    <row r="304" s="131" customFormat="1" customHeight="1" spans="1:70">
      <c r="A304" s="131">
        <v>255</v>
      </c>
      <c r="C304" s="131" t="s">
        <v>2069</v>
      </c>
      <c r="D304" s="215" t="s">
        <v>3717</v>
      </c>
      <c r="F304" s="216" t="s">
        <v>3718</v>
      </c>
      <c r="G304" s="144" t="s">
        <v>3719</v>
      </c>
      <c r="H304" s="729" t="s">
        <v>3720</v>
      </c>
      <c r="I304" s="187" t="s">
        <v>3721</v>
      </c>
      <c r="J304" s="131">
        <v>128.47</v>
      </c>
      <c r="K304" s="131">
        <v>128.47</v>
      </c>
      <c r="L304" s="131">
        <v>8391.065</v>
      </c>
      <c r="M304" s="239">
        <f>K304*L304</f>
        <v>1078000.12055</v>
      </c>
      <c r="N304" s="236">
        <f>8464-72.93</f>
        <v>8391.07</v>
      </c>
      <c r="O304" s="188"/>
      <c r="P304" s="215"/>
      <c r="Q304" s="215"/>
      <c r="R304" s="158"/>
      <c r="S304" s="213"/>
      <c r="T304" s="728" t="s">
        <v>1664</v>
      </c>
      <c r="U304" s="213" t="s">
        <v>298</v>
      </c>
      <c r="V304" s="158">
        <f>10000-10000</f>
        <v>0</v>
      </c>
      <c r="W304" s="213" t="s">
        <v>592</v>
      </c>
      <c r="X304" s="158">
        <f>10000-10000</f>
        <v>0</v>
      </c>
      <c r="Y304" s="213" t="s">
        <v>649</v>
      </c>
      <c r="Z304" s="158">
        <f>28000-28000</f>
        <v>0</v>
      </c>
      <c r="AA304" s="213" t="s">
        <v>1078</v>
      </c>
      <c r="AB304" s="158">
        <v>1000</v>
      </c>
      <c r="AC304" s="131" t="s">
        <v>2069</v>
      </c>
      <c r="AD304" s="158">
        <v>277000</v>
      </c>
      <c r="AE304" s="213" t="s">
        <v>500</v>
      </c>
      <c r="AF304" s="131">
        <v>800000</v>
      </c>
      <c r="AG304" s="131" t="s">
        <v>686</v>
      </c>
      <c r="AH304" s="158">
        <f t="shared" si="31"/>
        <v>1078000</v>
      </c>
      <c r="AK304" s="189">
        <f t="shared" si="37"/>
        <v>0.120550000108778</v>
      </c>
      <c r="AL304" s="216" t="s">
        <v>3722</v>
      </c>
      <c r="AM304" s="216"/>
      <c r="AN304" s="239"/>
      <c r="AO304" s="131">
        <f t="shared" si="32"/>
        <v>1078000</v>
      </c>
      <c r="AP304" s="163">
        <f>0.6%+0.05%+0.14%</f>
        <v>0.0079</v>
      </c>
      <c r="AQ304" s="192">
        <f t="shared" si="33"/>
        <v>300</v>
      </c>
      <c r="AR304" s="158"/>
      <c r="AS304" s="158"/>
      <c r="AT304" s="158">
        <v>100</v>
      </c>
      <c r="AU304" s="158"/>
      <c r="AV304" s="158">
        <v>200</v>
      </c>
      <c r="AW304" s="158"/>
      <c r="AX304" s="158"/>
      <c r="AY304" s="158"/>
      <c r="AZ304" s="158"/>
      <c r="BA304" s="220"/>
      <c r="BB304" s="158">
        <v>1078000</v>
      </c>
      <c r="BC304" s="220"/>
      <c r="BQ304" s="131" t="s">
        <v>205</v>
      </c>
      <c r="BR304" s="131" t="s">
        <v>206</v>
      </c>
    </row>
    <row r="305" s="89" customFormat="1" customHeight="1" spans="1:55">
      <c r="A305" s="89">
        <v>256</v>
      </c>
      <c r="D305" s="230"/>
      <c r="F305" s="227"/>
      <c r="I305" s="185" t="s">
        <v>3723</v>
      </c>
      <c r="J305" s="241">
        <v>109.1</v>
      </c>
      <c r="M305" s="222"/>
      <c r="N305" s="222">
        <v>8654</v>
      </c>
      <c r="O305" s="240"/>
      <c r="P305" s="230"/>
      <c r="Q305" s="230"/>
      <c r="R305" s="168"/>
      <c r="S305" s="171"/>
      <c r="T305" s="218"/>
      <c r="U305" s="217"/>
      <c r="V305" s="168"/>
      <c r="W305" s="226"/>
      <c r="X305" s="168"/>
      <c r="Y305" s="226"/>
      <c r="AB305" s="168"/>
      <c r="AH305" s="168">
        <f t="shared" si="31"/>
        <v>0</v>
      </c>
      <c r="AK305" s="184">
        <f t="shared" si="37"/>
        <v>0</v>
      </c>
      <c r="AL305" s="227"/>
      <c r="AM305" s="227"/>
      <c r="AN305" s="240"/>
      <c r="AO305" s="89">
        <f t="shared" si="32"/>
        <v>0</v>
      </c>
      <c r="AP305" s="106"/>
      <c r="AQ305" s="204">
        <f t="shared" si="33"/>
        <v>0</v>
      </c>
      <c r="AR305" s="168"/>
      <c r="AS305" s="168"/>
      <c r="AT305" s="168"/>
      <c r="AU305" s="168"/>
      <c r="AV305" s="168"/>
      <c r="AW305" s="168"/>
      <c r="AX305" s="168"/>
      <c r="AY305" s="168"/>
      <c r="AZ305" s="168"/>
      <c r="BA305" s="219"/>
      <c r="BB305" s="168"/>
      <c r="BC305" s="219"/>
    </row>
    <row r="306" s="131" customFormat="1" customHeight="1" spans="1:70">
      <c r="A306" s="131">
        <v>257</v>
      </c>
      <c r="C306" s="143">
        <v>45446</v>
      </c>
      <c r="D306" s="215" t="s">
        <v>3724</v>
      </c>
      <c r="F306" s="216" t="s">
        <v>3725</v>
      </c>
      <c r="G306" s="144" t="s">
        <v>3726</v>
      </c>
      <c r="H306" s="729" t="s">
        <v>3727</v>
      </c>
      <c r="I306" s="191" t="s">
        <v>3728</v>
      </c>
      <c r="J306" s="131">
        <v>126.9</v>
      </c>
      <c r="K306" s="131">
        <v>126.9</v>
      </c>
      <c r="L306" s="131">
        <v>5764.1</v>
      </c>
      <c r="M306" s="239">
        <f>K306*L306</f>
        <v>731464.29</v>
      </c>
      <c r="N306" s="236">
        <v>5764.1</v>
      </c>
      <c r="O306" s="239"/>
      <c r="P306" s="215"/>
      <c r="Q306" s="215"/>
      <c r="R306" s="158"/>
      <c r="S306" s="159"/>
      <c r="T306" s="214" t="s">
        <v>3729</v>
      </c>
      <c r="U306" s="213" t="s">
        <v>3730</v>
      </c>
      <c r="V306" s="158">
        <f>10000-10000</f>
        <v>0</v>
      </c>
      <c r="W306" s="213" t="s">
        <v>1729</v>
      </c>
      <c r="X306" s="158">
        <f>10000-10000</f>
        <v>0</v>
      </c>
      <c r="Y306" s="159" t="s">
        <v>1545</v>
      </c>
      <c r="Z306" s="158">
        <v>20000</v>
      </c>
      <c r="AA306" s="159" t="s">
        <v>3344</v>
      </c>
      <c r="AB306" s="158">
        <f>126464+15000</f>
        <v>141464</v>
      </c>
      <c r="AC306" s="159" t="s">
        <v>2932</v>
      </c>
      <c r="AD306" s="158">
        <v>570000</v>
      </c>
      <c r="AE306" s="159" t="s">
        <v>479</v>
      </c>
      <c r="AH306" s="158">
        <f t="shared" si="31"/>
        <v>731464</v>
      </c>
      <c r="AK306" s="189">
        <f t="shared" si="37"/>
        <v>0.290000000037253</v>
      </c>
      <c r="AL306" s="216" t="s">
        <v>3731</v>
      </c>
      <c r="AM306" s="216"/>
      <c r="AN306" s="239"/>
      <c r="AO306" s="131">
        <f t="shared" si="32"/>
        <v>731464</v>
      </c>
      <c r="AP306" s="163">
        <f>0.7%+0.08%</f>
        <v>0.0078</v>
      </c>
      <c r="AQ306" s="192">
        <f t="shared" si="33"/>
        <v>200</v>
      </c>
      <c r="AR306" s="158"/>
      <c r="AS306" s="158"/>
      <c r="AT306" s="158"/>
      <c r="AU306" s="158"/>
      <c r="AV306" s="158">
        <v>200</v>
      </c>
      <c r="AW306" s="158"/>
      <c r="AX306" s="158"/>
      <c r="AY306" s="158"/>
      <c r="AZ306" s="158"/>
      <c r="BA306" s="220"/>
      <c r="BB306" s="158"/>
      <c r="BC306" s="220"/>
      <c r="BJ306" s="131">
        <v>161464</v>
      </c>
      <c r="BL306" s="131">
        <v>570000</v>
      </c>
      <c r="BQ306" s="131" t="s">
        <v>205</v>
      </c>
      <c r="BR306" s="131" t="s">
        <v>206</v>
      </c>
    </row>
    <row r="307" s="89" customFormat="1" customHeight="1" spans="1:55">
      <c r="A307" s="89">
        <v>258</v>
      </c>
      <c r="D307" s="230"/>
      <c r="F307" s="227"/>
      <c r="I307" s="183" t="s">
        <v>3732</v>
      </c>
      <c r="J307" s="234">
        <v>126.49</v>
      </c>
      <c r="M307" s="222"/>
      <c r="N307" s="222">
        <v>5758.1</v>
      </c>
      <c r="O307" s="240"/>
      <c r="P307" s="230"/>
      <c r="Q307" s="230"/>
      <c r="R307" s="168"/>
      <c r="S307" s="171"/>
      <c r="T307" s="218"/>
      <c r="U307" s="217"/>
      <c r="V307" s="168"/>
      <c r="W307" s="224"/>
      <c r="X307" s="168"/>
      <c r="Y307" s="226"/>
      <c r="AB307" s="168"/>
      <c r="AH307" s="168">
        <f t="shared" si="31"/>
        <v>0</v>
      </c>
      <c r="AK307" s="184">
        <f t="shared" si="37"/>
        <v>0</v>
      </c>
      <c r="AL307" s="227"/>
      <c r="AM307" s="227"/>
      <c r="AN307" s="240"/>
      <c r="AO307" s="89">
        <f t="shared" si="32"/>
        <v>0</v>
      </c>
      <c r="AP307" s="106"/>
      <c r="AQ307" s="204">
        <f t="shared" si="33"/>
        <v>0</v>
      </c>
      <c r="AR307" s="168"/>
      <c r="AS307" s="168"/>
      <c r="AT307" s="168"/>
      <c r="AU307" s="168"/>
      <c r="AV307" s="168"/>
      <c r="AW307" s="168"/>
      <c r="AX307" s="168"/>
      <c r="AY307" s="168"/>
      <c r="AZ307" s="168"/>
      <c r="BA307" s="219"/>
      <c r="BB307" s="168"/>
      <c r="BC307" s="219"/>
    </row>
    <row r="308" s="131" customFormat="1" customHeight="1" spans="1:70">
      <c r="A308" s="131">
        <v>259</v>
      </c>
      <c r="C308" s="131" t="s">
        <v>341</v>
      </c>
      <c r="D308" s="215" t="s">
        <v>3733</v>
      </c>
      <c r="F308" s="216" t="s">
        <v>3734</v>
      </c>
      <c r="G308" s="131" t="s">
        <v>3735</v>
      </c>
      <c r="H308" s="726" t="s">
        <v>3736</v>
      </c>
      <c r="I308" s="191" t="s">
        <v>3737</v>
      </c>
      <c r="J308" s="131">
        <v>126.9</v>
      </c>
      <c r="K308" s="131">
        <v>126.9</v>
      </c>
      <c r="L308" s="131">
        <v>5800</v>
      </c>
      <c r="M308" s="236">
        <v>736020</v>
      </c>
      <c r="N308" s="236">
        <f>5808.38-8.38</f>
        <v>5800</v>
      </c>
      <c r="O308" s="188"/>
      <c r="P308" s="215"/>
      <c r="Q308" s="215"/>
      <c r="R308" s="158"/>
      <c r="S308" s="159"/>
      <c r="T308" s="175"/>
      <c r="U308" s="159" t="s">
        <v>211</v>
      </c>
      <c r="V308" s="158">
        <v>20000</v>
      </c>
      <c r="W308" s="159" t="s">
        <v>341</v>
      </c>
      <c r="X308" s="158">
        <v>201020</v>
      </c>
      <c r="Y308" s="159" t="s">
        <v>243</v>
      </c>
      <c r="Z308" s="158">
        <v>515000</v>
      </c>
      <c r="AA308" s="159" t="s">
        <v>396</v>
      </c>
      <c r="AB308" s="158"/>
      <c r="AH308" s="158">
        <f t="shared" si="31"/>
        <v>736020</v>
      </c>
      <c r="AK308" s="189">
        <f t="shared" si="37"/>
        <v>0</v>
      </c>
      <c r="AL308" s="216" t="s">
        <v>3738</v>
      </c>
      <c r="AM308" s="216"/>
      <c r="AN308" s="239"/>
      <c r="AO308" s="131">
        <f t="shared" si="32"/>
        <v>736020</v>
      </c>
      <c r="AP308" s="163">
        <f>0.4%+0.04%+0.12%</f>
        <v>0.0056</v>
      </c>
      <c r="AQ308" s="192">
        <f t="shared" si="33"/>
        <v>0</v>
      </c>
      <c r="AR308" s="158"/>
      <c r="AS308" s="158"/>
      <c r="AT308" s="158"/>
      <c r="AU308" s="158"/>
      <c r="AV308" s="158"/>
      <c r="AW308" s="158"/>
      <c r="AX308" s="158"/>
      <c r="AY308" s="158"/>
      <c r="AZ308" s="158"/>
      <c r="BA308" s="220"/>
      <c r="BB308" s="158">
        <v>221020</v>
      </c>
      <c r="BC308" s="220"/>
      <c r="BD308" s="131">
        <v>515000</v>
      </c>
      <c r="BQ308" s="131" t="s">
        <v>205</v>
      </c>
      <c r="BR308" s="131" t="s">
        <v>206</v>
      </c>
    </row>
    <row r="309" s="131" customFormat="1" customHeight="1" spans="1:70">
      <c r="A309" s="131">
        <v>260</v>
      </c>
      <c r="C309" s="131" t="s">
        <v>334</v>
      </c>
      <c r="D309" s="215" t="s">
        <v>3739</v>
      </c>
      <c r="F309" s="216"/>
      <c r="G309" s="214" t="s">
        <v>3740</v>
      </c>
      <c r="H309" s="729" t="s">
        <v>3741</v>
      </c>
      <c r="I309" s="187" t="s">
        <v>3742</v>
      </c>
      <c r="J309" s="131">
        <v>126.49</v>
      </c>
      <c r="K309" s="131">
        <v>126.49</v>
      </c>
      <c r="L309" s="131">
        <v>5850</v>
      </c>
      <c r="M309" s="239">
        <v>739967</v>
      </c>
      <c r="N309" s="236">
        <v>5808.38</v>
      </c>
      <c r="O309" s="188"/>
      <c r="P309" s="215"/>
      <c r="Q309" s="215"/>
      <c r="R309" s="158"/>
      <c r="S309" s="213"/>
      <c r="T309" s="214"/>
      <c r="U309" s="213" t="s">
        <v>211</v>
      </c>
      <c r="V309" s="158">
        <v>20000</v>
      </c>
      <c r="W309" s="213" t="s">
        <v>1445</v>
      </c>
      <c r="X309" s="158">
        <v>419967</v>
      </c>
      <c r="Y309" s="213" t="s">
        <v>334</v>
      </c>
      <c r="Z309" s="131">
        <v>300000</v>
      </c>
      <c r="AA309" s="131" t="s">
        <v>388</v>
      </c>
      <c r="AB309" s="158"/>
      <c r="AH309" s="158">
        <f t="shared" si="31"/>
        <v>739967</v>
      </c>
      <c r="AK309" s="189">
        <f t="shared" si="37"/>
        <v>0</v>
      </c>
      <c r="AL309" s="216" t="s">
        <v>3743</v>
      </c>
      <c r="AM309" s="216"/>
      <c r="AN309" s="239"/>
      <c r="AO309" s="131">
        <f t="shared" si="32"/>
        <v>739967</v>
      </c>
      <c r="AP309" s="163">
        <f>0.4%+0.05%+0.12%</f>
        <v>0.0057</v>
      </c>
      <c r="AQ309" s="192">
        <f t="shared" si="33"/>
        <v>0</v>
      </c>
      <c r="AR309" s="158"/>
      <c r="AS309" s="158"/>
      <c r="AT309" s="158"/>
      <c r="AU309" s="158"/>
      <c r="AV309" s="158"/>
      <c r="AW309" s="158"/>
      <c r="AX309" s="158"/>
      <c r="AY309" s="158"/>
      <c r="AZ309" s="158"/>
      <c r="BA309" s="220"/>
      <c r="BB309" s="158">
        <v>739967</v>
      </c>
      <c r="BC309" s="220"/>
      <c r="BQ309" s="131" t="s">
        <v>205</v>
      </c>
      <c r="BR309" s="131" t="s">
        <v>206</v>
      </c>
    </row>
    <row r="310" s="131" customFormat="1" customHeight="1" spans="1:70">
      <c r="A310" s="131">
        <v>261</v>
      </c>
      <c r="C310" s="131" t="s">
        <v>486</v>
      </c>
      <c r="D310" s="215" t="s">
        <v>3744</v>
      </c>
      <c r="F310" s="216" t="s">
        <v>3745</v>
      </c>
      <c r="G310" s="144" t="s">
        <v>3746</v>
      </c>
      <c r="H310" s="729" t="s">
        <v>3747</v>
      </c>
      <c r="I310" s="191" t="s">
        <v>3748</v>
      </c>
      <c r="J310" s="131">
        <v>126.9</v>
      </c>
      <c r="K310" s="131">
        <v>126.9</v>
      </c>
      <c r="L310" s="131">
        <v>5844.38</v>
      </c>
      <c r="M310" s="236">
        <v>741652</v>
      </c>
      <c r="N310" s="236">
        <v>5844.38</v>
      </c>
      <c r="O310" s="188"/>
      <c r="P310" s="215"/>
      <c r="Q310" s="215"/>
      <c r="R310" s="158"/>
      <c r="S310" s="159"/>
      <c r="T310" s="175"/>
      <c r="U310" s="159" t="s">
        <v>217</v>
      </c>
      <c r="V310" s="158">
        <v>20000</v>
      </c>
      <c r="W310" s="159" t="s">
        <v>341</v>
      </c>
      <c r="X310" s="158">
        <f>80000+51652</f>
        <v>131652</v>
      </c>
      <c r="Y310" s="159" t="s">
        <v>243</v>
      </c>
      <c r="Z310" s="158">
        <v>590000</v>
      </c>
      <c r="AA310" s="159" t="s">
        <v>3749</v>
      </c>
      <c r="AB310" s="158"/>
      <c r="AH310" s="158">
        <f t="shared" si="31"/>
        <v>741652</v>
      </c>
      <c r="AK310" s="189">
        <f t="shared" si="37"/>
        <v>0</v>
      </c>
      <c r="AL310" s="216" t="s">
        <v>3750</v>
      </c>
      <c r="AM310" s="216"/>
      <c r="AN310" s="239"/>
      <c r="AO310" s="131">
        <f t="shared" si="32"/>
        <v>741652</v>
      </c>
      <c r="AP310" s="163">
        <f>0.4%+0.02%+0.12%</f>
        <v>0.0054</v>
      </c>
      <c r="AQ310" s="192">
        <f t="shared" si="33"/>
        <v>0</v>
      </c>
      <c r="AR310" s="158"/>
      <c r="AS310" s="158"/>
      <c r="AT310" s="158"/>
      <c r="AU310" s="158"/>
      <c r="AV310" s="158"/>
      <c r="AW310" s="158"/>
      <c r="AX310" s="158"/>
      <c r="AY310" s="158"/>
      <c r="AZ310" s="158"/>
      <c r="BA310" s="220"/>
      <c r="BB310" s="158">
        <v>151652</v>
      </c>
      <c r="BC310" s="220"/>
      <c r="BD310" s="131">
        <v>590000</v>
      </c>
      <c r="BQ310" s="131" t="s">
        <v>205</v>
      </c>
      <c r="BR310" s="131" t="s">
        <v>206</v>
      </c>
    </row>
    <row r="311" s="131" customFormat="1" customHeight="1" spans="1:70">
      <c r="A311" s="131">
        <v>262</v>
      </c>
      <c r="C311" s="131" t="s">
        <v>602</v>
      </c>
      <c r="D311" s="215" t="s">
        <v>3751</v>
      </c>
      <c r="F311" s="216"/>
      <c r="G311" s="144" t="s">
        <v>3752</v>
      </c>
      <c r="H311" s="144"/>
      <c r="I311" s="187" t="s">
        <v>3753</v>
      </c>
      <c r="J311" s="131">
        <v>126.49</v>
      </c>
      <c r="K311" s="131">
        <v>126.49</v>
      </c>
      <c r="L311" s="131">
        <v>5838.38</v>
      </c>
      <c r="M311" s="236">
        <v>738497</v>
      </c>
      <c r="N311" s="236">
        <v>5838.38</v>
      </c>
      <c r="O311" s="188"/>
      <c r="P311" s="215"/>
      <c r="Q311" s="215"/>
      <c r="R311" s="158"/>
      <c r="S311" s="159"/>
      <c r="T311" s="214"/>
      <c r="U311" s="213" t="s">
        <v>217</v>
      </c>
      <c r="V311" s="158">
        <v>20000</v>
      </c>
      <c r="W311" s="159" t="s">
        <v>388</v>
      </c>
      <c r="X311" s="158">
        <v>128497</v>
      </c>
      <c r="Y311" s="243" t="s">
        <v>602</v>
      </c>
      <c r="Z311" s="158">
        <v>590000</v>
      </c>
      <c r="AA311" s="159" t="s">
        <v>404</v>
      </c>
      <c r="AB311" s="158"/>
      <c r="AH311" s="158">
        <f t="shared" si="31"/>
        <v>738497</v>
      </c>
      <c r="AK311" s="189">
        <f t="shared" si="37"/>
        <v>0</v>
      </c>
      <c r="AL311" s="216"/>
      <c r="AM311" s="216"/>
      <c r="AN311" s="239"/>
      <c r="AO311" s="131">
        <f t="shared" si="32"/>
        <v>738497</v>
      </c>
      <c r="AP311" s="163">
        <f>0.4%+0.02%+0.08%</f>
        <v>0.005</v>
      </c>
      <c r="AQ311" s="192">
        <f t="shared" si="33"/>
        <v>300</v>
      </c>
      <c r="AR311" s="158"/>
      <c r="AS311" s="158"/>
      <c r="AT311" s="158"/>
      <c r="AU311" s="158">
        <v>100</v>
      </c>
      <c r="AV311" s="158">
        <v>200</v>
      </c>
      <c r="AW311" s="158"/>
      <c r="AX311" s="158"/>
      <c r="AY311" s="158"/>
      <c r="AZ311" s="158"/>
      <c r="BA311" s="220"/>
      <c r="BB311" s="158">
        <v>148497</v>
      </c>
      <c r="BC311" s="220"/>
      <c r="BD311" s="131">
        <v>590000</v>
      </c>
      <c r="BQ311" s="131" t="s">
        <v>205</v>
      </c>
      <c r="BR311" s="131" t="s">
        <v>206</v>
      </c>
    </row>
    <row r="312" s="131" customFormat="1" customHeight="1" spans="1:70">
      <c r="A312" s="131">
        <v>263</v>
      </c>
      <c r="C312" s="131" t="s">
        <v>1078</v>
      </c>
      <c r="D312" s="215" t="s">
        <v>3754</v>
      </c>
      <c r="F312" s="216" t="s">
        <v>3755</v>
      </c>
      <c r="G312" s="131" t="s">
        <v>3756</v>
      </c>
      <c r="H312" s="726" t="s">
        <v>3757</v>
      </c>
      <c r="I312" s="191" t="s">
        <v>3758</v>
      </c>
      <c r="J312" s="131">
        <v>126.9</v>
      </c>
      <c r="K312" s="131">
        <v>126.9</v>
      </c>
      <c r="L312" s="131">
        <v>5864.38</v>
      </c>
      <c r="M312" s="239">
        <f>K312*L312</f>
        <v>744189.822</v>
      </c>
      <c r="N312" s="236">
        <f>5914.38-50</f>
        <v>5864.38</v>
      </c>
      <c r="O312" s="188"/>
      <c r="P312" s="215"/>
      <c r="Q312" s="215"/>
      <c r="R312" s="158"/>
      <c r="S312" s="159"/>
      <c r="T312" s="175"/>
      <c r="U312" s="131" t="s">
        <v>1075</v>
      </c>
      <c r="V312" s="158">
        <v>20000</v>
      </c>
      <c r="W312" s="143" t="s">
        <v>970</v>
      </c>
      <c r="X312" s="158">
        <f>200000+238190+36000</f>
        <v>474190</v>
      </c>
      <c r="Y312" s="159" t="s">
        <v>649</v>
      </c>
      <c r="Z312" s="158">
        <v>250000</v>
      </c>
      <c r="AA312" s="159" t="s">
        <v>1924</v>
      </c>
      <c r="AB312" s="158"/>
      <c r="AH312" s="158">
        <f t="shared" si="31"/>
        <v>744190</v>
      </c>
      <c r="AK312" s="189">
        <f t="shared" si="37"/>
        <v>-0.177999999956228</v>
      </c>
      <c r="AL312" s="216" t="s">
        <v>3759</v>
      </c>
      <c r="AM312" s="216"/>
      <c r="AN312" s="239"/>
      <c r="AO312" s="131">
        <f t="shared" si="32"/>
        <v>744190</v>
      </c>
      <c r="AP312" s="163">
        <f>0.5%+0.04%+0.14%</f>
        <v>0.0068</v>
      </c>
      <c r="AQ312" s="192">
        <f t="shared" si="33"/>
        <v>0</v>
      </c>
      <c r="AR312" s="158"/>
      <c r="AS312" s="158"/>
      <c r="AT312" s="158"/>
      <c r="AU312" s="158"/>
      <c r="AV312" s="158"/>
      <c r="AW312" s="158"/>
      <c r="AX312" s="158"/>
      <c r="AY312" s="158"/>
      <c r="AZ312" s="158">
        <v>494190</v>
      </c>
      <c r="BA312" s="220"/>
      <c r="BB312" s="158"/>
      <c r="BC312" s="220">
        <v>250000</v>
      </c>
      <c r="BQ312" s="131" t="s">
        <v>205</v>
      </c>
      <c r="BR312" s="131" t="s">
        <v>206</v>
      </c>
    </row>
    <row r="313" s="131" customFormat="1" customHeight="1" spans="1:70">
      <c r="A313" s="131">
        <v>264</v>
      </c>
      <c r="C313" s="131" t="s">
        <v>351</v>
      </c>
      <c r="D313" s="215" t="s">
        <v>3760</v>
      </c>
      <c r="F313" s="216" t="s">
        <v>3761</v>
      </c>
      <c r="G313" s="144" t="s">
        <v>3762</v>
      </c>
      <c r="H313" s="726" t="s">
        <v>3763</v>
      </c>
      <c r="I313" s="187" t="s">
        <v>3764</v>
      </c>
      <c r="J313" s="131">
        <v>126.49</v>
      </c>
      <c r="K313" s="131">
        <v>126.49</v>
      </c>
      <c r="L313" s="131">
        <v>5858.38</v>
      </c>
      <c r="M313" s="239">
        <v>741027</v>
      </c>
      <c r="N313" s="236">
        <f>5908.38-50</f>
        <v>5858.38</v>
      </c>
      <c r="O313" s="188"/>
      <c r="P313" s="215"/>
      <c r="Q313" s="215"/>
      <c r="R313" s="158"/>
      <c r="S313" s="159"/>
      <c r="T313" s="728" t="s">
        <v>1560</v>
      </c>
      <c r="U313" s="213" t="s">
        <v>663</v>
      </c>
      <c r="V313" s="158">
        <f>10000</f>
        <v>10000</v>
      </c>
      <c r="W313" s="213" t="s">
        <v>3765</v>
      </c>
      <c r="X313" s="158">
        <f>10000+151027</f>
        <v>161027</v>
      </c>
      <c r="Y313" s="159" t="s">
        <v>649</v>
      </c>
      <c r="Z313" s="158">
        <v>130000</v>
      </c>
      <c r="AA313" s="159" t="s">
        <v>1162</v>
      </c>
      <c r="AB313" s="158">
        <v>440000</v>
      </c>
      <c r="AC313" s="159" t="s">
        <v>3766</v>
      </c>
      <c r="AH313" s="158">
        <f t="shared" si="31"/>
        <v>741027</v>
      </c>
      <c r="AK313" s="189">
        <f t="shared" si="37"/>
        <v>0</v>
      </c>
      <c r="AL313" s="216" t="s">
        <v>3767</v>
      </c>
      <c r="AM313" s="216"/>
      <c r="AN313" s="239"/>
      <c r="AO313" s="131">
        <f t="shared" si="32"/>
        <v>741027</v>
      </c>
      <c r="AP313" s="163">
        <f>0.7%+0.14%</f>
        <v>0.0084</v>
      </c>
      <c r="AQ313" s="192">
        <f t="shared" si="33"/>
        <v>300</v>
      </c>
      <c r="AR313" s="192"/>
      <c r="AS313" s="158">
        <v>100</v>
      </c>
      <c r="AT313" s="158"/>
      <c r="AU313" s="158"/>
      <c r="AV313" s="158">
        <v>200</v>
      </c>
      <c r="AW313" s="158"/>
      <c r="AX313" s="158"/>
      <c r="AY313" s="158"/>
      <c r="AZ313" s="158"/>
      <c r="BB313" s="158"/>
      <c r="BC313" s="131">
        <v>301027</v>
      </c>
      <c r="BD313" s="131">
        <v>440000</v>
      </c>
      <c r="BQ313" s="131" t="s">
        <v>205</v>
      </c>
      <c r="BR313" s="131" t="s">
        <v>206</v>
      </c>
    </row>
    <row r="314" s="131" customFormat="1" customHeight="1" spans="1:70">
      <c r="A314" s="131">
        <v>265</v>
      </c>
      <c r="C314" s="131" t="s">
        <v>3768</v>
      </c>
      <c r="D314" s="215" t="s">
        <v>3769</v>
      </c>
      <c r="F314" s="216" t="s">
        <v>3770</v>
      </c>
      <c r="G314" s="131" t="s">
        <v>3771</v>
      </c>
      <c r="H314" s="726" t="s">
        <v>2807</v>
      </c>
      <c r="I314" s="191" t="s">
        <v>3772</v>
      </c>
      <c r="J314" s="131">
        <v>126.9</v>
      </c>
      <c r="K314" s="131">
        <v>126.9</v>
      </c>
      <c r="L314" s="131">
        <v>5980</v>
      </c>
      <c r="M314" s="239">
        <f t="shared" ref="M313:M318" si="38">K314*L314</f>
        <v>758862</v>
      </c>
      <c r="N314" s="236">
        <v>5979.38</v>
      </c>
      <c r="O314" s="188"/>
      <c r="P314" s="215"/>
      <c r="Q314" s="215"/>
      <c r="R314" s="158"/>
      <c r="S314" s="159"/>
      <c r="T314" s="175"/>
      <c r="U314" s="159" t="s">
        <v>411</v>
      </c>
      <c r="V314" s="158">
        <v>20000</v>
      </c>
      <c r="W314" s="159" t="s">
        <v>1445</v>
      </c>
      <c r="X314" s="158">
        <v>238862</v>
      </c>
      <c r="Y314" s="159" t="s">
        <v>3768</v>
      </c>
      <c r="Z314" s="158">
        <v>500000</v>
      </c>
      <c r="AA314" s="159" t="s">
        <v>467</v>
      </c>
      <c r="AB314" s="158"/>
      <c r="AH314" s="158">
        <f t="shared" si="31"/>
        <v>758862</v>
      </c>
      <c r="AK314" s="189">
        <f t="shared" si="37"/>
        <v>0</v>
      </c>
      <c r="AL314" s="216" t="s">
        <v>3773</v>
      </c>
      <c r="AM314" s="216"/>
      <c r="AN314" s="239"/>
      <c r="AO314" s="131">
        <f t="shared" si="32"/>
        <v>758862</v>
      </c>
      <c r="AP314" s="163">
        <f>0.7%+0.12%</f>
        <v>0.0082</v>
      </c>
      <c r="AQ314" s="192">
        <f t="shared" si="33"/>
        <v>100</v>
      </c>
      <c r="AR314" s="192">
        <v>100</v>
      </c>
      <c r="AS314" s="158"/>
      <c r="AT314" s="158"/>
      <c r="AU314" s="158"/>
      <c r="AV314" s="158"/>
      <c r="AW314" s="158"/>
      <c r="AX314" s="158"/>
      <c r="AY314" s="158"/>
      <c r="AZ314" s="158"/>
      <c r="BA314" s="220"/>
      <c r="BB314" s="158"/>
      <c r="BC314" s="220"/>
      <c r="BD314" s="131">
        <v>258862</v>
      </c>
      <c r="BE314" s="131">
        <v>500000</v>
      </c>
      <c r="BQ314" s="131" t="s">
        <v>205</v>
      </c>
      <c r="BR314" s="131" t="s">
        <v>206</v>
      </c>
    </row>
    <row r="315" s="131" customFormat="1" customHeight="1" spans="1:70">
      <c r="A315" s="131">
        <v>266</v>
      </c>
      <c r="C315" s="131" t="s">
        <v>705</v>
      </c>
      <c r="D315" s="215" t="s">
        <v>3774</v>
      </c>
      <c r="F315" s="216" t="s">
        <v>3775</v>
      </c>
      <c r="G315" s="144" t="s">
        <v>3776</v>
      </c>
      <c r="H315" s="729" t="s">
        <v>3777</v>
      </c>
      <c r="I315" s="187" t="s">
        <v>3778</v>
      </c>
      <c r="J315" s="131">
        <v>126.49</v>
      </c>
      <c r="K315" s="131">
        <v>126.49</v>
      </c>
      <c r="L315" s="131">
        <v>5923.38</v>
      </c>
      <c r="M315" s="239">
        <f t="shared" si="38"/>
        <v>749248.3362</v>
      </c>
      <c r="N315" s="236">
        <f>5973.38-50</f>
        <v>5923.38</v>
      </c>
      <c r="O315" s="188"/>
      <c r="P315" s="215"/>
      <c r="Q315" s="215"/>
      <c r="R315" s="158"/>
      <c r="S315" s="213"/>
      <c r="T315" s="728" t="s">
        <v>2432</v>
      </c>
      <c r="U315" s="213" t="s">
        <v>211</v>
      </c>
      <c r="V315" s="158">
        <v>10000</v>
      </c>
      <c r="W315" s="213" t="s">
        <v>2482</v>
      </c>
      <c r="X315" s="158">
        <f>90000+100248</f>
        <v>190248</v>
      </c>
      <c r="Y315" s="213" t="s">
        <v>649</v>
      </c>
      <c r="Z315" s="158">
        <v>549000</v>
      </c>
      <c r="AA315" s="213" t="s">
        <v>1212</v>
      </c>
      <c r="AB315" s="158"/>
      <c r="AH315" s="158">
        <f t="shared" si="31"/>
        <v>749248</v>
      </c>
      <c r="AK315" s="189">
        <f t="shared" si="37"/>
        <v>0.336200000019744</v>
      </c>
      <c r="AL315" s="216" t="s">
        <v>3779</v>
      </c>
      <c r="AM315" s="216"/>
      <c r="AN315" s="239"/>
      <c r="AO315" s="131">
        <f t="shared" si="32"/>
        <v>749248</v>
      </c>
      <c r="AP315" s="163">
        <f>0.5%+0.05%+0.14%</f>
        <v>0.0069</v>
      </c>
      <c r="AQ315" s="192">
        <f t="shared" si="33"/>
        <v>300</v>
      </c>
      <c r="AR315" s="158"/>
      <c r="AS315" s="158"/>
      <c r="AT315" s="158">
        <v>100</v>
      </c>
      <c r="AU315" s="158"/>
      <c r="AV315" s="158">
        <v>200</v>
      </c>
      <c r="AW315" s="158"/>
      <c r="AX315" s="158"/>
      <c r="AY315" s="158"/>
      <c r="AZ315" s="158">
        <v>200248</v>
      </c>
      <c r="BA315" s="220"/>
      <c r="BB315" s="158"/>
      <c r="BC315" s="220">
        <v>549000</v>
      </c>
      <c r="BQ315" s="131" t="s">
        <v>205</v>
      </c>
      <c r="BR315" s="131" t="s">
        <v>206</v>
      </c>
    </row>
    <row r="316" s="131" customFormat="1" customHeight="1" spans="1:70">
      <c r="A316" s="131">
        <v>267</v>
      </c>
      <c r="C316" s="131" t="s">
        <v>2231</v>
      </c>
      <c r="D316" s="215" t="s">
        <v>3780</v>
      </c>
      <c r="F316" s="216" t="s">
        <v>3781</v>
      </c>
      <c r="G316" s="144" t="s">
        <v>3782</v>
      </c>
      <c r="H316" s="729" t="s">
        <v>3783</v>
      </c>
      <c r="I316" s="191" t="s">
        <v>3784</v>
      </c>
      <c r="J316" s="131">
        <v>126.9</v>
      </c>
      <c r="K316" s="131">
        <v>126.9</v>
      </c>
      <c r="L316" s="131">
        <v>6024.38</v>
      </c>
      <c r="M316" s="239">
        <f t="shared" si="38"/>
        <v>764493.822</v>
      </c>
      <c r="N316" s="236">
        <v>6024.38</v>
      </c>
      <c r="O316" s="188"/>
      <c r="P316" s="215"/>
      <c r="Q316" s="215"/>
      <c r="R316" s="158"/>
      <c r="S316" s="213"/>
      <c r="T316" s="214" t="s">
        <v>3785</v>
      </c>
      <c r="U316" s="213" t="s">
        <v>3786</v>
      </c>
      <c r="V316" s="158">
        <f>10000-10000</f>
        <v>0</v>
      </c>
      <c r="W316" s="213" t="s">
        <v>1633</v>
      </c>
      <c r="X316" s="131">
        <v>20000</v>
      </c>
      <c r="Y316" s="131" t="s">
        <v>3787</v>
      </c>
      <c r="Z316" s="158">
        <v>134494</v>
      </c>
      <c r="AA316" s="243" t="s">
        <v>2231</v>
      </c>
      <c r="AB316" s="158">
        <v>610000</v>
      </c>
      <c r="AC316" s="213" t="s">
        <v>1924</v>
      </c>
      <c r="AH316" s="158">
        <f t="shared" si="31"/>
        <v>764494</v>
      </c>
      <c r="AK316" s="189">
        <f t="shared" si="37"/>
        <v>-0.177999999956228</v>
      </c>
      <c r="AL316" s="216" t="s">
        <v>3788</v>
      </c>
      <c r="AM316" s="216"/>
      <c r="AN316" s="239"/>
      <c r="AO316" s="131">
        <f t="shared" si="32"/>
        <v>764494</v>
      </c>
      <c r="AP316" s="163">
        <f>0.6%+0.04%+0.12%</f>
        <v>0.0076</v>
      </c>
      <c r="AQ316" s="192">
        <f t="shared" si="33"/>
        <v>100</v>
      </c>
      <c r="AR316" s="192">
        <v>100</v>
      </c>
      <c r="AS316" s="158"/>
      <c r="AT316" s="158"/>
      <c r="AU316" s="158"/>
      <c r="AV316" s="158"/>
      <c r="AW316" s="158"/>
      <c r="AX316" s="158"/>
      <c r="AY316" s="158"/>
      <c r="AZ316" s="158">
        <v>154494</v>
      </c>
      <c r="BA316" s="220"/>
      <c r="BB316" s="158"/>
      <c r="BC316" s="220">
        <v>610000</v>
      </c>
      <c r="BQ316" s="131" t="s">
        <v>205</v>
      </c>
      <c r="BR316" s="131" t="s">
        <v>206</v>
      </c>
    </row>
    <row r="317" s="131" customFormat="1" customHeight="1" spans="1:70">
      <c r="A317" s="131">
        <v>268</v>
      </c>
      <c r="C317" s="131" t="s">
        <v>3768</v>
      </c>
      <c r="D317" s="215" t="s">
        <v>3789</v>
      </c>
      <c r="F317" s="216" t="s">
        <v>3790</v>
      </c>
      <c r="G317" s="144" t="s">
        <v>3791</v>
      </c>
      <c r="H317" s="729" t="s">
        <v>2851</v>
      </c>
      <c r="I317" s="187" t="s">
        <v>3792</v>
      </c>
      <c r="J317" s="131">
        <v>126.49</v>
      </c>
      <c r="K317" s="131">
        <v>126.49</v>
      </c>
      <c r="L317" s="131">
        <v>6019</v>
      </c>
      <c r="M317" s="239">
        <f t="shared" si="38"/>
        <v>761343.31</v>
      </c>
      <c r="N317" s="236">
        <v>6018.38</v>
      </c>
      <c r="O317" s="188"/>
      <c r="P317" s="215"/>
      <c r="Q317" s="215"/>
      <c r="R317" s="158"/>
      <c r="S317" s="159"/>
      <c r="T317" s="214"/>
      <c r="U317" s="213" t="s">
        <v>411</v>
      </c>
      <c r="V317" s="158">
        <f>10000-10000</f>
        <v>0</v>
      </c>
      <c r="W317" s="159" t="s">
        <v>2482</v>
      </c>
      <c r="X317" s="158">
        <v>20000</v>
      </c>
      <c r="Y317" s="159" t="s">
        <v>1445</v>
      </c>
      <c r="Z317" s="158">
        <v>241343</v>
      </c>
      <c r="AA317" s="159" t="s">
        <v>3768</v>
      </c>
      <c r="AB317" s="158">
        <v>500000</v>
      </c>
      <c r="AC317" s="159" t="s">
        <v>467</v>
      </c>
      <c r="AH317" s="158">
        <f t="shared" si="31"/>
        <v>761343</v>
      </c>
      <c r="AK317" s="189">
        <f t="shared" si="37"/>
        <v>0.310000000055879</v>
      </c>
      <c r="AL317" s="216" t="s">
        <v>3793</v>
      </c>
      <c r="AM317" s="216"/>
      <c r="AN317" s="239"/>
      <c r="AO317" s="131">
        <f t="shared" si="32"/>
        <v>761343</v>
      </c>
      <c r="AP317" s="163">
        <f>0.7%+0.12%</f>
        <v>0.0082</v>
      </c>
      <c r="AQ317" s="192">
        <f t="shared" si="33"/>
        <v>100</v>
      </c>
      <c r="AR317" s="192">
        <v>100</v>
      </c>
      <c r="AS317" s="158"/>
      <c r="AT317" s="158"/>
      <c r="AU317" s="158"/>
      <c r="AV317" s="158"/>
      <c r="AW317" s="158"/>
      <c r="AX317" s="158"/>
      <c r="AY317" s="158"/>
      <c r="AZ317" s="158"/>
      <c r="BA317" s="220"/>
      <c r="BB317" s="158"/>
      <c r="BC317" s="220"/>
      <c r="BD317" s="131">
        <v>261343</v>
      </c>
      <c r="BE317" s="131">
        <v>500000</v>
      </c>
      <c r="BQ317" s="131" t="s">
        <v>205</v>
      </c>
      <c r="BR317" s="131" t="s">
        <v>206</v>
      </c>
    </row>
    <row r="318" s="131" customFormat="1" customHeight="1" spans="1:70">
      <c r="A318" s="131">
        <v>269</v>
      </c>
      <c r="C318" s="131" t="s">
        <v>699</v>
      </c>
      <c r="D318" s="215" t="s">
        <v>3794</v>
      </c>
      <c r="F318" s="216" t="s">
        <v>3795</v>
      </c>
      <c r="G318" s="144" t="s">
        <v>3796</v>
      </c>
      <c r="H318" s="729" t="s">
        <v>3797</v>
      </c>
      <c r="I318" s="187" t="s">
        <v>3798</v>
      </c>
      <c r="J318" s="131">
        <v>126.9</v>
      </c>
      <c r="K318" s="131">
        <v>126.9</v>
      </c>
      <c r="L318" s="131">
        <v>5999.38</v>
      </c>
      <c r="M318" s="239">
        <f t="shared" si="38"/>
        <v>761321.322</v>
      </c>
      <c r="N318" s="236">
        <f>6049.38-50</f>
        <v>5999.38</v>
      </c>
      <c r="O318" s="188"/>
      <c r="P318" s="215"/>
      <c r="Q318" s="215"/>
      <c r="R318" s="158"/>
      <c r="S318" s="159"/>
      <c r="T318" s="728" t="s">
        <v>957</v>
      </c>
      <c r="U318" s="144" t="s">
        <v>226</v>
      </c>
      <c r="V318" s="158">
        <v>10000</v>
      </c>
      <c r="W318" s="159" t="s">
        <v>1315</v>
      </c>
      <c r="X318" s="158">
        <v>62321</v>
      </c>
      <c r="Y318" s="159" t="s">
        <v>1438</v>
      </c>
      <c r="Z318" s="131">
        <v>80000</v>
      </c>
      <c r="AA318" s="131" t="s">
        <v>1433</v>
      </c>
      <c r="AB318" s="158">
        <v>609000</v>
      </c>
      <c r="AC318" s="131" t="s">
        <v>1162</v>
      </c>
      <c r="AH318" s="158">
        <f t="shared" si="31"/>
        <v>761321</v>
      </c>
      <c r="AK318" s="189">
        <f t="shared" si="37"/>
        <v>0.322000000043772</v>
      </c>
      <c r="AL318" s="216" t="s">
        <v>3799</v>
      </c>
      <c r="AM318" s="216"/>
      <c r="AN318" s="239"/>
      <c r="AO318" s="131">
        <f t="shared" si="32"/>
        <v>761321</v>
      </c>
      <c r="AP318" s="163">
        <f>0.7%+0.05%+0.12%</f>
        <v>0.0087</v>
      </c>
      <c r="AQ318" s="192">
        <f t="shared" si="33"/>
        <v>300</v>
      </c>
      <c r="AR318" s="158"/>
      <c r="AS318" s="158"/>
      <c r="AT318" s="158"/>
      <c r="AU318" s="131">
        <v>100</v>
      </c>
      <c r="AV318" s="158"/>
      <c r="AW318" s="158">
        <v>200</v>
      </c>
      <c r="AX318" s="158"/>
      <c r="AY318" s="158"/>
      <c r="AZ318" s="158">
        <v>152321</v>
      </c>
      <c r="BA318" s="220"/>
      <c r="BB318" s="158"/>
      <c r="BC318" s="220"/>
      <c r="BD318" s="131">
        <v>609000</v>
      </c>
      <c r="BQ318" s="131" t="s">
        <v>205</v>
      </c>
      <c r="BR318" s="131" t="s">
        <v>206</v>
      </c>
    </row>
    <row r="319" s="131" customFormat="1" customHeight="1" spans="1:69">
      <c r="A319" s="131">
        <v>270</v>
      </c>
      <c r="D319" s="215"/>
      <c r="F319" s="216" t="s">
        <v>3800</v>
      </c>
      <c r="G319" s="144" t="s">
        <v>3801</v>
      </c>
      <c r="H319" s="144"/>
      <c r="I319" s="242" t="s">
        <v>3802</v>
      </c>
      <c r="J319" s="131">
        <v>126.49</v>
      </c>
      <c r="K319" s="131">
        <v>126.49</v>
      </c>
      <c r="L319" s="131">
        <v>6047.91</v>
      </c>
      <c r="M319" s="236">
        <v>765000</v>
      </c>
      <c r="N319" s="236">
        <v>6043.38</v>
      </c>
      <c r="O319" s="239"/>
      <c r="P319" s="215"/>
      <c r="Q319" s="215"/>
      <c r="R319" s="158"/>
      <c r="S319" s="159"/>
      <c r="T319" s="214"/>
      <c r="U319" s="213" t="s">
        <v>211</v>
      </c>
      <c r="V319" s="158">
        <f>10000-10000</f>
        <v>0</v>
      </c>
      <c r="W319" s="159" t="s">
        <v>2322</v>
      </c>
      <c r="X319" s="158">
        <v>20000</v>
      </c>
      <c r="Y319" s="159" t="s">
        <v>3803</v>
      </c>
      <c r="AB319" s="158"/>
      <c r="AH319" s="158">
        <f t="shared" si="31"/>
        <v>20000</v>
      </c>
      <c r="AK319" s="189">
        <f t="shared" si="37"/>
        <v>745000</v>
      </c>
      <c r="AL319" s="216" t="s">
        <v>3804</v>
      </c>
      <c r="AM319" s="216"/>
      <c r="AN319" s="239"/>
      <c r="AO319" s="131">
        <f t="shared" si="32"/>
        <v>0</v>
      </c>
      <c r="AP319" s="163">
        <f>0.6%+0.02%+0.08%</f>
        <v>0.007</v>
      </c>
      <c r="AQ319" s="192">
        <f t="shared" si="33"/>
        <v>100</v>
      </c>
      <c r="AR319" s="158"/>
      <c r="AS319" s="158">
        <v>100</v>
      </c>
      <c r="AT319" s="158"/>
      <c r="AU319" s="158"/>
      <c r="AV319" s="158"/>
      <c r="AW319" s="158"/>
      <c r="AX319" s="158"/>
      <c r="AY319" s="158"/>
      <c r="AZ319" s="158"/>
      <c r="BA319" s="220"/>
      <c r="BB319" s="158"/>
      <c r="BC319" s="220"/>
      <c r="BQ319" s="131" t="s">
        <v>205</v>
      </c>
    </row>
    <row r="320" s="131" customFormat="1" customHeight="1" spans="1:70">
      <c r="A320" s="131">
        <v>271</v>
      </c>
      <c r="C320" s="131" t="s">
        <v>384</v>
      </c>
      <c r="D320" s="215" t="s">
        <v>3805</v>
      </c>
      <c r="F320" s="233" t="s">
        <v>3806</v>
      </c>
      <c r="G320" s="144" t="s">
        <v>3807</v>
      </c>
      <c r="H320" s="144"/>
      <c r="I320" s="191" t="s">
        <v>3808</v>
      </c>
      <c r="J320" s="131">
        <v>126.9</v>
      </c>
      <c r="K320" s="131">
        <v>126.9</v>
      </c>
      <c r="L320" s="131">
        <v>6074.38</v>
      </c>
      <c r="M320" s="236">
        <v>770839</v>
      </c>
      <c r="N320" s="236">
        <v>6074.38</v>
      </c>
      <c r="O320" s="188"/>
      <c r="P320" s="215"/>
      <c r="Q320" s="215"/>
      <c r="R320" s="158"/>
      <c r="S320" s="213"/>
      <c r="T320" s="214"/>
      <c r="U320" s="213" t="s">
        <v>422</v>
      </c>
      <c r="V320" s="158">
        <v>10000</v>
      </c>
      <c r="W320" s="213" t="s">
        <v>341</v>
      </c>
      <c r="X320" s="158">
        <v>390839</v>
      </c>
      <c r="Y320" s="213" t="s">
        <v>243</v>
      </c>
      <c r="Z320" s="158">
        <v>370000</v>
      </c>
      <c r="AA320" s="213" t="s">
        <v>479</v>
      </c>
      <c r="AB320" s="158"/>
      <c r="AH320" s="158">
        <f t="shared" si="31"/>
        <v>770839</v>
      </c>
      <c r="AK320" s="189">
        <f t="shared" si="37"/>
        <v>0</v>
      </c>
      <c r="AL320" s="216" t="s">
        <v>3809</v>
      </c>
      <c r="AM320" s="216"/>
      <c r="AN320" s="239"/>
      <c r="AO320" s="131">
        <f t="shared" si="32"/>
        <v>770839</v>
      </c>
      <c r="AP320" s="163">
        <f>0.7%+0.04%+0.12%</f>
        <v>0.0086</v>
      </c>
      <c r="AQ320" s="192">
        <f t="shared" si="33"/>
        <v>0</v>
      </c>
      <c r="AR320" s="158"/>
      <c r="AS320" s="158"/>
      <c r="AT320" s="158"/>
      <c r="AU320" s="158"/>
      <c r="AV320" s="158"/>
      <c r="AW320" s="158"/>
      <c r="AX320" s="158"/>
      <c r="AY320" s="158"/>
      <c r="AZ320" s="158"/>
      <c r="BA320" s="220"/>
      <c r="BB320" s="158">
        <v>400839</v>
      </c>
      <c r="BC320" s="220"/>
      <c r="BL320" s="131">
        <v>370000</v>
      </c>
      <c r="BQ320" s="131" t="s">
        <v>205</v>
      </c>
      <c r="BR320" s="131" t="s">
        <v>206</v>
      </c>
    </row>
    <row r="321" s="131" customFormat="1" ht="41" customHeight="1" spans="1:70">
      <c r="A321" s="131">
        <v>272</v>
      </c>
      <c r="C321" s="131" t="s">
        <v>341</v>
      </c>
      <c r="D321" s="215" t="s">
        <v>3810</v>
      </c>
      <c r="F321" s="216"/>
      <c r="G321" s="144" t="s">
        <v>3811</v>
      </c>
      <c r="H321" s="144"/>
      <c r="I321" s="191" t="s">
        <v>3812</v>
      </c>
      <c r="J321" s="131">
        <v>126.49</v>
      </c>
      <c r="K321" s="131">
        <v>126.49</v>
      </c>
      <c r="L321" s="131">
        <v>6068.385</v>
      </c>
      <c r="M321" s="236">
        <v>767590</v>
      </c>
      <c r="N321" s="236">
        <v>6068.38</v>
      </c>
      <c r="O321" s="188"/>
      <c r="P321" s="215"/>
      <c r="Q321" s="215"/>
      <c r="R321" s="158"/>
      <c r="S321" s="213"/>
      <c r="T321" s="214" t="s">
        <v>3813</v>
      </c>
      <c r="U321" s="213" t="s">
        <v>291</v>
      </c>
      <c r="V321" s="158">
        <f>10000-10000</f>
        <v>0</v>
      </c>
      <c r="W321" s="213" t="s">
        <v>1136</v>
      </c>
      <c r="X321" s="158">
        <v>20000</v>
      </c>
      <c r="Y321" s="213" t="s">
        <v>341</v>
      </c>
      <c r="Z321" s="131">
        <v>407590</v>
      </c>
      <c r="AA321" s="131" t="s">
        <v>341</v>
      </c>
      <c r="AB321" s="158">
        <v>340000</v>
      </c>
      <c r="AC321" s="213" t="s">
        <v>2543</v>
      </c>
      <c r="AH321" s="158">
        <f t="shared" si="31"/>
        <v>767590</v>
      </c>
      <c r="AK321" s="189">
        <f t="shared" si="37"/>
        <v>0</v>
      </c>
      <c r="AL321" s="216"/>
      <c r="AM321" s="216"/>
      <c r="AN321" s="239"/>
      <c r="AO321" s="131">
        <f t="shared" si="32"/>
        <v>767590</v>
      </c>
      <c r="AP321" s="163">
        <f>0.7%+0.05%+0.12%</f>
        <v>0.0087</v>
      </c>
      <c r="AQ321" s="192">
        <f t="shared" si="33"/>
        <v>100</v>
      </c>
      <c r="AR321" s="158"/>
      <c r="AS321" s="158"/>
      <c r="AT321" s="158">
        <v>100</v>
      </c>
      <c r="AU321" s="158"/>
      <c r="AV321" s="158"/>
      <c r="AW321" s="158"/>
      <c r="AX321" s="158"/>
      <c r="AY321" s="158"/>
      <c r="AZ321" s="158"/>
      <c r="BB321" s="158">
        <v>767590</v>
      </c>
      <c r="BQ321" s="131" t="s">
        <v>205</v>
      </c>
      <c r="BR321" s="131" t="s">
        <v>206</v>
      </c>
    </row>
    <row r="322" s="131" customFormat="1" customHeight="1" spans="1:70">
      <c r="A322" s="131">
        <v>273</v>
      </c>
      <c r="C322" s="143">
        <v>45418</v>
      </c>
      <c r="D322" s="215" t="s">
        <v>3814</v>
      </c>
      <c r="F322" s="216" t="s">
        <v>3815</v>
      </c>
      <c r="G322" s="214" t="s">
        <v>3816</v>
      </c>
      <c r="H322" s="728" t="s">
        <v>3817</v>
      </c>
      <c r="I322" s="191" t="s">
        <v>3818</v>
      </c>
      <c r="J322" s="131">
        <v>126.9</v>
      </c>
      <c r="K322" s="131">
        <v>126.9</v>
      </c>
      <c r="L322" s="131">
        <v>6095</v>
      </c>
      <c r="M322" s="236">
        <v>773456</v>
      </c>
      <c r="N322" s="236">
        <v>6094.38</v>
      </c>
      <c r="O322" s="239"/>
      <c r="P322" s="215"/>
      <c r="Q322" s="215"/>
      <c r="R322" s="158"/>
      <c r="S322" s="213"/>
      <c r="T322" s="214"/>
      <c r="U322" s="213" t="s">
        <v>201</v>
      </c>
      <c r="V322" s="158">
        <v>20000</v>
      </c>
      <c r="W322" s="213" t="s">
        <v>456</v>
      </c>
      <c r="X322" s="158">
        <v>123456</v>
      </c>
      <c r="Y322" s="213" t="s">
        <v>2990</v>
      </c>
      <c r="Z322" s="131">
        <v>360000</v>
      </c>
      <c r="AA322" s="131" t="s">
        <v>3819</v>
      </c>
      <c r="AB322" s="158">
        <v>70000</v>
      </c>
      <c r="AC322" s="213" t="s">
        <v>558</v>
      </c>
      <c r="AD322" s="158">
        <v>200000</v>
      </c>
      <c r="AE322" s="213" t="s">
        <v>3820</v>
      </c>
      <c r="AH322" s="158">
        <f t="shared" si="31"/>
        <v>773456</v>
      </c>
      <c r="AK322" s="189">
        <f t="shared" si="37"/>
        <v>0</v>
      </c>
      <c r="AL322" s="216" t="s">
        <v>3821</v>
      </c>
      <c r="AM322" s="216"/>
      <c r="AN322" s="239"/>
      <c r="AO322" s="131">
        <f t="shared" si="32"/>
        <v>773456</v>
      </c>
      <c r="AP322" s="161">
        <f>0.6%+0.12%</f>
        <v>0.0072</v>
      </c>
      <c r="AQ322" s="192">
        <f t="shared" si="33"/>
        <v>0</v>
      </c>
      <c r="AR322" s="158"/>
      <c r="AS322" s="158"/>
      <c r="AT322" s="158"/>
      <c r="AU322" s="158"/>
      <c r="AV322" s="158"/>
      <c r="AW322" s="158"/>
      <c r="AX322" s="158"/>
      <c r="AY322" s="158"/>
      <c r="AZ322" s="158"/>
      <c r="BA322" s="220"/>
      <c r="BB322" s="158"/>
      <c r="BC322" s="220"/>
      <c r="BJ322" s="131">
        <v>573456</v>
      </c>
      <c r="BK322" s="131">
        <v>200000</v>
      </c>
      <c r="BQ322" s="131" t="s">
        <v>205</v>
      </c>
      <c r="BR322" s="131" t="s">
        <v>206</v>
      </c>
    </row>
    <row r="323" s="131" customFormat="1" customHeight="1" spans="1:70">
      <c r="A323" s="131">
        <v>274</v>
      </c>
      <c r="C323" s="131" t="s">
        <v>691</v>
      </c>
      <c r="D323" s="215" t="s">
        <v>3822</v>
      </c>
      <c r="F323" s="216" t="s">
        <v>3823</v>
      </c>
      <c r="G323" s="214" t="s">
        <v>3824</v>
      </c>
      <c r="H323" s="729" t="s">
        <v>3825</v>
      </c>
      <c r="I323" s="191" t="s">
        <v>3826</v>
      </c>
      <c r="J323" s="131">
        <v>126.49</v>
      </c>
      <c r="K323" s="131">
        <v>126.49</v>
      </c>
      <c r="L323" s="131">
        <v>6088.38</v>
      </c>
      <c r="M323" s="236">
        <v>770120</v>
      </c>
      <c r="N323" s="236">
        <v>6088.38</v>
      </c>
      <c r="O323" s="239"/>
      <c r="P323" s="215"/>
      <c r="Q323" s="215"/>
      <c r="R323" s="158"/>
      <c r="S323" s="159"/>
      <c r="T323" s="214" t="s">
        <v>3827</v>
      </c>
      <c r="U323" s="213" t="s">
        <v>3828</v>
      </c>
      <c r="V323" s="158">
        <f>10000-10000</f>
        <v>0</v>
      </c>
      <c r="W323" s="244" t="s">
        <v>1076</v>
      </c>
      <c r="X323" s="158">
        <v>20000</v>
      </c>
      <c r="Y323" s="159" t="s">
        <v>222</v>
      </c>
      <c r="Z323" s="158">
        <v>134120</v>
      </c>
      <c r="AA323" s="159" t="s">
        <v>691</v>
      </c>
      <c r="AB323" s="158">
        <v>616000</v>
      </c>
      <c r="AC323" s="159" t="s">
        <v>366</v>
      </c>
      <c r="AH323" s="158">
        <f t="shared" si="31"/>
        <v>770120</v>
      </c>
      <c r="AK323" s="189">
        <f t="shared" si="37"/>
        <v>0</v>
      </c>
      <c r="AL323" s="216" t="s">
        <v>3829</v>
      </c>
      <c r="AM323" s="216"/>
      <c r="AN323" s="239"/>
      <c r="AO323" s="131">
        <f t="shared" si="32"/>
        <v>770120</v>
      </c>
      <c r="AP323" s="163">
        <f>0.7%+0.12%</f>
        <v>0.0082</v>
      </c>
      <c r="AQ323" s="192">
        <f t="shared" si="33"/>
        <v>0</v>
      </c>
      <c r="AR323" s="158"/>
      <c r="AS323" s="158"/>
      <c r="AT323" s="158"/>
      <c r="AU323" s="158"/>
      <c r="AV323" s="158"/>
      <c r="AW323" s="158"/>
      <c r="AX323" s="158"/>
      <c r="AY323" s="158"/>
      <c r="AZ323" s="158"/>
      <c r="BA323" s="220"/>
      <c r="BB323" s="158"/>
      <c r="BC323" s="220"/>
      <c r="BI323" s="131">
        <v>154120</v>
      </c>
      <c r="BK323" s="131">
        <v>616000</v>
      </c>
      <c r="BQ323" s="131" t="s">
        <v>205</v>
      </c>
      <c r="BR323" s="131" t="s">
        <v>206</v>
      </c>
    </row>
    <row r="324" s="131" customFormat="1" customHeight="1" spans="1:70">
      <c r="A324" s="131">
        <v>275</v>
      </c>
      <c r="C324" s="143">
        <v>45362</v>
      </c>
      <c r="D324" s="215" t="s">
        <v>3830</v>
      </c>
      <c r="F324" s="233" t="s">
        <v>3831</v>
      </c>
      <c r="G324" s="144" t="s">
        <v>3832</v>
      </c>
      <c r="H324" s="729" t="s">
        <v>3833</v>
      </c>
      <c r="I324" s="191" t="s">
        <v>3834</v>
      </c>
      <c r="J324" s="131">
        <v>126.9</v>
      </c>
      <c r="K324" s="131">
        <v>126.9</v>
      </c>
      <c r="L324" s="131">
        <v>7120</v>
      </c>
      <c r="M324" s="236">
        <v>903528</v>
      </c>
      <c r="N324" s="236">
        <v>7104</v>
      </c>
      <c r="O324" s="188"/>
      <c r="P324" s="215"/>
      <c r="Q324" s="215"/>
      <c r="R324" s="158"/>
      <c r="S324" s="213"/>
      <c r="T324" s="214"/>
      <c r="U324" s="213" t="s">
        <v>422</v>
      </c>
      <c r="V324" s="158">
        <v>20000</v>
      </c>
      <c r="W324" s="213" t="s">
        <v>3835</v>
      </c>
      <c r="X324" s="158">
        <f>683528+20000</f>
        <v>703528</v>
      </c>
      <c r="Y324" s="213" t="s">
        <v>325</v>
      </c>
      <c r="Z324" s="158">
        <v>180000</v>
      </c>
      <c r="AA324" s="213" t="s">
        <v>518</v>
      </c>
      <c r="AB324" s="158"/>
      <c r="AH324" s="158">
        <f t="shared" si="31"/>
        <v>903528</v>
      </c>
      <c r="AK324" s="189">
        <f t="shared" si="37"/>
        <v>0</v>
      </c>
      <c r="AL324" s="216" t="s">
        <v>3836</v>
      </c>
      <c r="AM324" s="216"/>
      <c r="AN324" s="239"/>
      <c r="AO324" s="131">
        <f t="shared" si="32"/>
        <v>903528</v>
      </c>
      <c r="AP324" s="161">
        <f>0.7%+0.05%+0.14%</f>
        <v>0.0089</v>
      </c>
      <c r="AQ324" s="192">
        <f t="shared" si="33"/>
        <v>0</v>
      </c>
      <c r="AR324" s="158"/>
      <c r="AS324" s="158"/>
      <c r="AT324" s="158"/>
      <c r="AU324" s="158"/>
      <c r="AV324" s="158"/>
      <c r="AW324" s="158"/>
      <c r="AX324" s="158"/>
      <c r="AY324" s="158"/>
      <c r="AZ324" s="158"/>
      <c r="BA324" s="220"/>
      <c r="BB324" s="158"/>
      <c r="BC324" s="220"/>
      <c r="BG324" s="131">
        <v>723528</v>
      </c>
      <c r="BI324" s="131">
        <v>180000</v>
      </c>
      <c r="BQ324" s="131" t="s">
        <v>205</v>
      </c>
      <c r="BR324" s="131" t="s">
        <v>206</v>
      </c>
    </row>
    <row r="325" s="89" customFormat="1" customHeight="1" spans="1:55">
      <c r="A325" s="89">
        <v>276</v>
      </c>
      <c r="D325" s="230"/>
      <c r="F325" s="227"/>
      <c r="G325" s="174"/>
      <c r="H325" s="174"/>
      <c r="I325" s="185" t="s">
        <v>3837</v>
      </c>
      <c r="J325" s="234">
        <v>126.49</v>
      </c>
      <c r="M325" s="222"/>
      <c r="N325" s="222">
        <v>7094</v>
      </c>
      <c r="O325" s="240"/>
      <c r="P325" s="230"/>
      <c r="Q325" s="230"/>
      <c r="R325" s="168"/>
      <c r="S325" s="217"/>
      <c r="T325" s="167"/>
      <c r="U325" s="171"/>
      <c r="V325" s="168"/>
      <c r="W325" s="225"/>
      <c r="X325" s="168"/>
      <c r="Y325" s="226"/>
      <c r="AB325" s="168"/>
      <c r="AH325" s="168">
        <f t="shared" ref="AH325:AH388" si="39">V325+X325+Z325+AB325+AD325+AF325</f>
        <v>0</v>
      </c>
      <c r="AK325" s="184"/>
      <c r="AL325" s="227"/>
      <c r="AM325" s="227"/>
      <c r="AN325" s="240"/>
      <c r="AO325" s="89">
        <f t="shared" ref="AO325:AO388" si="40">SUM(AZ325:BN325)</f>
        <v>0</v>
      </c>
      <c r="AP325" s="106"/>
      <c r="AQ325" s="204">
        <f t="shared" ref="AQ325:AQ388" si="41">AR325+AS325+AT325+AU325+AV325+AW325+AX325+AY325</f>
        <v>0</v>
      </c>
      <c r="AR325" s="168"/>
      <c r="AS325" s="168"/>
      <c r="AT325" s="168"/>
      <c r="AU325" s="168"/>
      <c r="AV325" s="168"/>
      <c r="AW325" s="168"/>
      <c r="AX325" s="168"/>
      <c r="AY325" s="168"/>
      <c r="AZ325" s="168"/>
      <c r="BA325" s="219"/>
      <c r="BB325" s="168"/>
      <c r="BC325" s="219"/>
    </row>
    <row r="326" s="89" customFormat="1" customHeight="1" spans="4:55">
      <c r="D326" s="230"/>
      <c r="F326" s="227"/>
      <c r="G326" s="174"/>
      <c r="H326" s="174"/>
      <c r="I326" s="185" t="s">
        <v>3838</v>
      </c>
      <c r="J326" s="221">
        <v>45.49</v>
      </c>
      <c r="M326" s="222"/>
      <c r="N326" s="222"/>
      <c r="O326" s="240"/>
      <c r="P326" s="230"/>
      <c r="Q326" s="230"/>
      <c r="R326" s="168"/>
      <c r="S326" s="171"/>
      <c r="T326" s="218"/>
      <c r="U326" s="217"/>
      <c r="V326" s="168"/>
      <c r="W326" s="226"/>
      <c r="AB326" s="168"/>
      <c r="AH326" s="168">
        <f t="shared" si="39"/>
        <v>0</v>
      </c>
      <c r="AK326" s="184"/>
      <c r="AL326" s="227"/>
      <c r="AM326" s="227"/>
      <c r="AN326" s="240"/>
      <c r="AO326" s="89">
        <f t="shared" si="40"/>
        <v>0</v>
      </c>
      <c r="AP326" s="106"/>
      <c r="AQ326" s="204">
        <f t="shared" si="41"/>
        <v>0</v>
      </c>
      <c r="AR326" s="168"/>
      <c r="AS326" s="168"/>
      <c r="AT326" s="168"/>
      <c r="AU326" s="168"/>
      <c r="AV326" s="168"/>
      <c r="AW326" s="168"/>
      <c r="AX326" s="168"/>
      <c r="AY326" s="168"/>
      <c r="AZ326" s="168"/>
      <c r="BA326" s="219"/>
      <c r="BB326" s="168"/>
      <c r="BC326" s="219"/>
    </row>
    <row r="327" s="89" customFormat="1" customHeight="1" spans="4:55">
      <c r="D327" s="230"/>
      <c r="F327" s="227"/>
      <c r="G327" s="174"/>
      <c r="H327" s="174"/>
      <c r="I327" s="185" t="s">
        <v>3839</v>
      </c>
      <c r="J327" s="221">
        <v>14.74</v>
      </c>
      <c r="M327" s="222"/>
      <c r="N327" s="222"/>
      <c r="O327" s="240"/>
      <c r="P327" s="230"/>
      <c r="Q327" s="230"/>
      <c r="R327" s="168"/>
      <c r="S327" s="171"/>
      <c r="T327" s="167"/>
      <c r="U327" s="171"/>
      <c r="V327" s="168"/>
      <c r="X327" s="168"/>
      <c r="Y327" s="226"/>
      <c r="AB327" s="168"/>
      <c r="AH327" s="168">
        <f t="shared" si="39"/>
        <v>0</v>
      </c>
      <c r="AK327" s="184"/>
      <c r="AL327" s="227"/>
      <c r="AM327" s="227"/>
      <c r="AN327" s="240"/>
      <c r="AO327" s="89">
        <f t="shared" si="40"/>
        <v>0</v>
      </c>
      <c r="AP327" s="106"/>
      <c r="AQ327" s="204">
        <f t="shared" si="41"/>
        <v>0</v>
      </c>
      <c r="AR327" s="168"/>
      <c r="AS327" s="168"/>
      <c r="AT327" s="168"/>
      <c r="AU327" s="168"/>
      <c r="AV327" s="168"/>
      <c r="AW327" s="168"/>
      <c r="AX327" s="168"/>
      <c r="AY327" s="168"/>
      <c r="AZ327" s="168"/>
      <c r="BA327" s="219"/>
      <c r="BB327" s="168"/>
      <c r="BC327" s="219"/>
    </row>
    <row r="328" s="89" customFormat="1" customHeight="1" spans="4:54">
      <c r="D328" s="230"/>
      <c r="F328" s="227"/>
      <c r="G328" s="174"/>
      <c r="H328" s="174"/>
      <c r="I328" s="185" t="s">
        <v>3840</v>
      </c>
      <c r="J328" s="221">
        <v>22.03</v>
      </c>
      <c r="M328" s="222"/>
      <c r="N328" s="222"/>
      <c r="O328" s="240"/>
      <c r="P328" s="230"/>
      <c r="Q328" s="230"/>
      <c r="R328" s="168"/>
      <c r="S328" s="171"/>
      <c r="T328" s="167"/>
      <c r="U328" s="171"/>
      <c r="V328" s="168"/>
      <c r="W328" s="225"/>
      <c r="X328" s="168"/>
      <c r="Y328" s="226"/>
      <c r="AB328" s="168"/>
      <c r="AH328" s="168">
        <f t="shared" si="39"/>
        <v>0</v>
      </c>
      <c r="AK328" s="184"/>
      <c r="AL328" s="227"/>
      <c r="AM328" s="227"/>
      <c r="AN328" s="240"/>
      <c r="AO328" s="89">
        <f t="shared" si="40"/>
        <v>0</v>
      </c>
      <c r="AP328" s="106"/>
      <c r="AQ328" s="204">
        <f t="shared" si="41"/>
        <v>0</v>
      </c>
      <c r="AR328" s="168"/>
      <c r="AS328" s="168"/>
      <c r="AT328" s="168"/>
      <c r="AU328" s="168"/>
      <c r="AV328" s="168"/>
      <c r="AW328" s="168"/>
      <c r="AX328" s="168"/>
      <c r="AY328" s="168"/>
      <c r="AZ328" s="168"/>
      <c r="BB328" s="168"/>
    </row>
    <row r="329" s="89" customFormat="1" customHeight="1" spans="4:55">
      <c r="D329" s="230"/>
      <c r="F329" s="227"/>
      <c r="G329" s="167"/>
      <c r="H329" s="167"/>
      <c r="I329" s="185" t="s">
        <v>3841</v>
      </c>
      <c r="J329" s="221">
        <v>69.4</v>
      </c>
      <c r="M329" s="222"/>
      <c r="N329" s="222"/>
      <c r="O329" s="235"/>
      <c r="P329" s="230"/>
      <c r="Q329" s="230"/>
      <c r="R329" s="168"/>
      <c r="S329" s="171"/>
      <c r="T329" s="167"/>
      <c r="U329" s="167"/>
      <c r="V329" s="168"/>
      <c r="W329" s="225"/>
      <c r="X329" s="168"/>
      <c r="Y329" s="225"/>
      <c r="AA329" s="225"/>
      <c r="AB329" s="168"/>
      <c r="AH329" s="168">
        <f t="shared" si="39"/>
        <v>0</v>
      </c>
      <c r="AK329" s="184"/>
      <c r="AL329" s="227"/>
      <c r="AM329" s="227"/>
      <c r="AN329" s="240"/>
      <c r="AO329" s="89">
        <f t="shared" si="40"/>
        <v>0</v>
      </c>
      <c r="AP329" s="106"/>
      <c r="AQ329" s="204">
        <f t="shared" si="41"/>
        <v>0</v>
      </c>
      <c r="AR329" s="168"/>
      <c r="AS329" s="168"/>
      <c r="AT329" s="168"/>
      <c r="AU329" s="168"/>
      <c r="AV329" s="168"/>
      <c r="AW329" s="168"/>
      <c r="AX329" s="168"/>
      <c r="AY329" s="168"/>
      <c r="AZ329" s="168"/>
      <c r="BA329" s="219"/>
      <c r="BB329" s="168"/>
      <c r="BC329" s="219"/>
    </row>
    <row r="330" s="89" customFormat="1" customHeight="1" spans="4:55">
      <c r="D330" s="230"/>
      <c r="F330" s="227"/>
      <c r="G330" s="167"/>
      <c r="H330" s="167"/>
      <c r="I330" s="185" t="s">
        <v>3842</v>
      </c>
      <c r="J330" s="221">
        <v>66.06</v>
      </c>
      <c r="M330" s="222"/>
      <c r="N330" s="222"/>
      <c r="O330" s="235"/>
      <c r="P330" s="230"/>
      <c r="Q330" s="230"/>
      <c r="R330" s="168"/>
      <c r="S330" s="171"/>
      <c r="T330" s="167"/>
      <c r="U330" s="171"/>
      <c r="V330" s="168"/>
      <c r="W330" s="225"/>
      <c r="X330" s="168"/>
      <c r="Y330" s="197"/>
      <c r="AB330" s="168"/>
      <c r="AH330" s="168">
        <f t="shared" si="39"/>
        <v>0</v>
      </c>
      <c r="AK330" s="184"/>
      <c r="AL330" s="227"/>
      <c r="AM330" s="227"/>
      <c r="AN330" s="240"/>
      <c r="AO330" s="89">
        <f t="shared" si="40"/>
        <v>0</v>
      </c>
      <c r="AP330" s="106"/>
      <c r="AQ330" s="204">
        <f t="shared" si="41"/>
        <v>0</v>
      </c>
      <c r="AR330" s="168"/>
      <c r="AS330" s="168"/>
      <c r="AT330" s="168"/>
      <c r="AU330" s="168"/>
      <c r="AV330" s="168"/>
      <c r="AW330" s="168"/>
      <c r="AX330" s="168"/>
      <c r="AY330" s="168"/>
      <c r="AZ330" s="168"/>
      <c r="BA330" s="219"/>
      <c r="BB330" s="168"/>
      <c r="BC330" s="219"/>
    </row>
    <row r="331" s="89" customFormat="1" customHeight="1" spans="4:55">
      <c r="D331" s="230"/>
      <c r="F331" s="227"/>
      <c r="G331" s="218"/>
      <c r="H331" s="218"/>
      <c r="I331" s="185" t="s">
        <v>3843</v>
      </c>
      <c r="J331" s="221">
        <v>22.03</v>
      </c>
      <c r="M331" s="222"/>
      <c r="N331" s="222"/>
      <c r="O331" s="235"/>
      <c r="P331" s="230"/>
      <c r="Q331" s="230"/>
      <c r="R331" s="168"/>
      <c r="S331" s="171"/>
      <c r="T331" s="218"/>
      <c r="U331" s="217"/>
      <c r="V331" s="168"/>
      <c r="W331" s="224"/>
      <c r="X331" s="251"/>
      <c r="Z331" s="251"/>
      <c r="AB331" s="168"/>
      <c r="AH331" s="168">
        <f t="shared" si="39"/>
        <v>0</v>
      </c>
      <c r="AK331" s="184"/>
      <c r="AL331" s="227"/>
      <c r="AM331" s="227"/>
      <c r="AN331" s="240"/>
      <c r="AO331" s="89">
        <f t="shared" si="40"/>
        <v>0</v>
      </c>
      <c r="AP331" s="106"/>
      <c r="AQ331" s="204">
        <f t="shared" si="41"/>
        <v>0</v>
      </c>
      <c r="AR331" s="168"/>
      <c r="AS331" s="168"/>
      <c r="AT331" s="168"/>
      <c r="AU331" s="168"/>
      <c r="AV331" s="168"/>
      <c r="AW331" s="168"/>
      <c r="AX331" s="168"/>
      <c r="AY331" s="168"/>
      <c r="AZ331" s="168"/>
      <c r="BA331" s="219"/>
      <c r="BB331" s="168"/>
      <c r="BC331" s="219"/>
    </row>
    <row r="332" s="89" customFormat="1" customHeight="1" spans="4:55">
      <c r="D332" s="227"/>
      <c r="F332" s="246"/>
      <c r="G332" s="218"/>
      <c r="H332" s="218"/>
      <c r="I332" s="185" t="s">
        <v>3844</v>
      </c>
      <c r="J332" s="221">
        <v>22.03</v>
      </c>
      <c r="M332" s="222"/>
      <c r="N332" s="222"/>
      <c r="O332" s="235"/>
      <c r="P332" s="230"/>
      <c r="Q332" s="230"/>
      <c r="R332" s="168"/>
      <c r="S332" s="171"/>
      <c r="T332" s="218"/>
      <c r="U332" s="217"/>
      <c r="V332" s="168"/>
      <c r="W332" s="197"/>
      <c r="AB332" s="168"/>
      <c r="AH332" s="168">
        <f t="shared" si="39"/>
        <v>0</v>
      </c>
      <c r="AK332" s="184"/>
      <c r="AL332" s="227"/>
      <c r="AM332" s="227"/>
      <c r="AN332" s="240"/>
      <c r="AO332" s="89">
        <f t="shared" si="40"/>
        <v>0</v>
      </c>
      <c r="AP332" s="106"/>
      <c r="AQ332" s="204">
        <f t="shared" si="41"/>
        <v>0</v>
      </c>
      <c r="AR332" s="168"/>
      <c r="AS332" s="168"/>
      <c r="AT332" s="168"/>
      <c r="AU332" s="168"/>
      <c r="AV332" s="168"/>
      <c r="AW332" s="168"/>
      <c r="AX332" s="168"/>
      <c r="AY332" s="168"/>
      <c r="AZ332" s="168"/>
      <c r="BA332" s="219"/>
      <c r="BB332" s="168"/>
      <c r="BC332" s="219"/>
    </row>
    <row r="333" s="89" customFormat="1" ht="65" customHeight="1" spans="6:54">
      <c r="F333" s="227"/>
      <c r="G333" s="218"/>
      <c r="H333" s="218"/>
      <c r="I333" s="185" t="s">
        <v>3845</v>
      </c>
      <c r="J333" s="221">
        <v>66.06</v>
      </c>
      <c r="M333" s="168"/>
      <c r="N333" s="168"/>
      <c r="O333" s="170"/>
      <c r="R333" s="168"/>
      <c r="S333" s="217"/>
      <c r="T333" s="218"/>
      <c r="U333" s="217"/>
      <c r="V333" s="168"/>
      <c r="W333" s="224"/>
      <c r="X333" s="168"/>
      <c r="Y333" s="197"/>
      <c r="AA333" s="225"/>
      <c r="AB333" s="168"/>
      <c r="AH333" s="168">
        <f t="shared" si="39"/>
        <v>0</v>
      </c>
      <c r="AK333" s="184"/>
      <c r="AL333" s="227"/>
      <c r="AM333" s="227"/>
      <c r="AN333" s="245"/>
      <c r="AO333" s="89">
        <f t="shared" si="40"/>
        <v>0</v>
      </c>
      <c r="AP333" s="106"/>
      <c r="AQ333" s="204">
        <f t="shared" si="41"/>
        <v>0</v>
      </c>
      <c r="AR333" s="168"/>
      <c r="AS333" s="168"/>
      <c r="AT333" s="168"/>
      <c r="AU333" s="168"/>
      <c r="AV333" s="168"/>
      <c r="AW333" s="168"/>
      <c r="AX333" s="168"/>
      <c r="AY333" s="168"/>
      <c r="AZ333" s="168"/>
      <c r="BB333" s="168"/>
    </row>
    <row r="334" s="89" customFormat="1" customHeight="1" spans="4:55">
      <c r="D334" s="227"/>
      <c r="F334" s="227"/>
      <c r="G334" s="218"/>
      <c r="H334" s="218"/>
      <c r="I334" s="185" t="s">
        <v>3846</v>
      </c>
      <c r="J334" s="221">
        <v>66.06</v>
      </c>
      <c r="M334" s="222"/>
      <c r="N334" s="222"/>
      <c r="O334" s="235"/>
      <c r="P334" s="230"/>
      <c r="Q334" s="230"/>
      <c r="R334" s="168"/>
      <c r="S334" s="217"/>
      <c r="T334" s="218"/>
      <c r="U334" s="217"/>
      <c r="V334" s="168"/>
      <c r="W334" s="252"/>
      <c r="X334" s="168"/>
      <c r="Y334" s="197"/>
      <c r="AA334" s="225"/>
      <c r="AB334" s="168"/>
      <c r="AH334" s="168">
        <f t="shared" si="39"/>
        <v>0</v>
      </c>
      <c r="AL334" s="227"/>
      <c r="AM334" s="227"/>
      <c r="AN334" s="240"/>
      <c r="AO334" s="89">
        <f t="shared" si="40"/>
        <v>0</v>
      </c>
      <c r="AP334" s="106"/>
      <c r="AQ334" s="204">
        <f t="shared" si="41"/>
        <v>0</v>
      </c>
      <c r="AR334" s="168"/>
      <c r="AS334" s="168"/>
      <c r="AT334" s="168"/>
      <c r="AU334" s="168"/>
      <c r="AV334" s="168"/>
      <c r="AW334" s="168"/>
      <c r="AX334" s="168"/>
      <c r="AY334" s="168"/>
      <c r="AZ334" s="168"/>
      <c r="BA334" s="219"/>
      <c r="BB334" s="168"/>
      <c r="BC334" s="219"/>
    </row>
    <row r="335" s="89" customFormat="1" customHeight="1" spans="4:55">
      <c r="D335" s="230"/>
      <c r="F335" s="227"/>
      <c r="G335" s="167"/>
      <c r="H335" s="167"/>
      <c r="I335" s="185" t="s">
        <v>3847</v>
      </c>
      <c r="J335" s="221">
        <v>10.72</v>
      </c>
      <c r="M335" s="222"/>
      <c r="N335" s="222"/>
      <c r="O335" s="235"/>
      <c r="P335" s="230"/>
      <c r="Q335" s="230"/>
      <c r="R335" s="168"/>
      <c r="S335" s="171"/>
      <c r="T335" s="167"/>
      <c r="U335" s="171"/>
      <c r="V335" s="168"/>
      <c r="X335" s="168"/>
      <c r="AB335" s="168"/>
      <c r="AH335" s="168">
        <f t="shared" si="39"/>
        <v>0</v>
      </c>
      <c r="AK335" s="184"/>
      <c r="AL335" s="227"/>
      <c r="AM335" s="227"/>
      <c r="AN335" s="240"/>
      <c r="AO335" s="89">
        <f t="shared" si="40"/>
        <v>0</v>
      </c>
      <c r="AP335" s="106"/>
      <c r="AQ335" s="204">
        <f t="shared" si="41"/>
        <v>0</v>
      </c>
      <c r="AR335" s="168"/>
      <c r="AS335" s="168"/>
      <c r="AT335" s="168"/>
      <c r="AU335" s="168"/>
      <c r="AV335" s="168"/>
      <c r="AW335" s="168"/>
      <c r="AX335" s="168"/>
      <c r="AY335" s="168"/>
      <c r="AZ335" s="168"/>
      <c r="BA335" s="219"/>
      <c r="BB335" s="168"/>
      <c r="BC335" s="219"/>
    </row>
    <row r="336" s="89" customFormat="1" customHeight="1" spans="3:55">
      <c r="C336" s="225"/>
      <c r="D336" s="230"/>
      <c r="F336" s="227"/>
      <c r="G336" s="167"/>
      <c r="H336" s="167"/>
      <c r="I336" s="185" t="s">
        <v>3848</v>
      </c>
      <c r="J336" s="249">
        <v>11.05</v>
      </c>
      <c r="M336" s="222"/>
      <c r="N336" s="222"/>
      <c r="O336" s="235"/>
      <c r="P336" s="230"/>
      <c r="Q336" s="230"/>
      <c r="R336" s="168"/>
      <c r="S336" s="171"/>
      <c r="T336" s="167"/>
      <c r="U336" s="171"/>
      <c r="V336" s="168"/>
      <c r="W336" s="225"/>
      <c r="X336" s="168"/>
      <c r="Y336" s="225"/>
      <c r="AA336" s="225"/>
      <c r="AB336" s="168"/>
      <c r="AC336" s="225"/>
      <c r="AD336" s="225"/>
      <c r="AE336" s="225"/>
      <c r="AF336" s="225"/>
      <c r="AG336" s="225"/>
      <c r="AH336" s="168">
        <f t="shared" si="39"/>
        <v>0</v>
      </c>
      <c r="AL336" s="227"/>
      <c r="AM336" s="227"/>
      <c r="AN336" s="240"/>
      <c r="AO336" s="89">
        <f t="shared" si="40"/>
        <v>0</v>
      </c>
      <c r="AP336" s="106"/>
      <c r="AQ336" s="204">
        <f t="shared" si="41"/>
        <v>0</v>
      </c>
      <c r="AR336" s="168"/>
      <c r="AS336" s="168"/>
      <c r="AT336" s="168"/>
      <c r="AU336" s="168"/>
      <c r="AV336" s="168"/>
      <c r="AW336" s="168"/>
      <c r="AX336" s="168"/>
      <c r="AY336" s="168"/>
      <c r="AZ336" s="168"/>
      <c r="BA336" s="219"/>
      <c r="BB336" s="168"/>
      <c r="BC336" s="219"/>
    </row>
    <row r="337" s="89" customFormat="1" customHeight="1" spans="6:55">
      <c r="F337" s="229"/>
      <c r="G337" s="218"/>
      <c r="H337" s="218"/>
      <c r="I337" s="185" t="s">
        <v>3849</v>
      </c>
      <c r="J337" s="221">
        <v>38.52</v>
      </c>
      <c r="M337" s="222"/>
      <c r="N337" s="222"/>
      <c r="O337" s="235"/>
      <c r="P337" s="230"/>
      <c r="Q337" s="230"/>
      <c r="R337" s="168"/>
      <c r="S337" s="217"/>
      <c r="T337" s="218"/>
      <c r="U337" s="217"/>
      <c r="V337" s="168"/>
      <c r="W337" s="197"/>
      <c r="X337" s="168"/>
      <c r="Y337" s="197"/>
      <c r="Z337" s="167"/>
      <c r="AA337" s="197"/>
      <c r="AB337" s="168"/>
      <c r="AH337" s="168">
        <f t="shared" si="39"/>
        <v>0</v>
      </c>
      <c r="AK337" s="184"/>
      <c r="AL337" s="227"/>
      <c r="AM337" s="227"/>
      <c r="AN337" s="240"/>
      <c r="AO337" s="89">
        <f t="shared" si="40"/>
        <v>0</v>
      </c>
      <c r="AP337" s="106"/>
      <c r="AQ337" s="204">
        <f t="shared" si="41"/>
        <v>0</v>
      </c>
      <c r="AR337" s="168"/>
      <c r="AS337" s="168"/>
      <c r="AT337" s="168"/>
      <c r="AU337" s="168"/>
      <c r="AV337" s="168"/>
      <c r="AW337" s="168"/>
      <c r="AX337" s="168"/>
      <c r="AY337" s="168"/>
      <c r="AZ337" s="168"/>
      <c r="BA337" s="219"/>
      <c r="BB337" s="168"/>
      <c r="BC337" s="219"/>
    </row>
    <row r="338" s="89" customFormat="1" customHeight="1" spans="6:55">
      <c r="F338" s="227"/>
      <c r="G338" s="218"/>
      <c r="H338" s="218"/>
      <c r="I338" s="185" t="s">
        <v>3850</v>
      </c>
      <c r="J338" s="249">
        <v>18.4</v>
      </c>
      <c r="M338" s="168"/>
      <c r="N338" s="168"/>
      <c r="O338" s="170"/>
      <c r="P338" s="246"/>
      <c r="Q338" s="227"/>
      <c r="R338" s="168"/>
      <c r="S338" s="171"/>
      <c r="T338" s="218"/>
      <c r="U338" s="217"/>
      <c r="V338" s="168"/>
      <c r="W338" s="253"/>
      <c r="X338" s="168"/>
      <c r="Y338" s="197"/>
      <c r="AA338" s="225"/>
      <c r="AB338" s="168"/>
      <c r="AC338" s="254"/>
      <c r="AD338" s="254"/>
      <c r="AE338" s="254"/>
      <c r="AF338" s="254"/>
      <c r="AG338" s="254"/>
      <c r="AH338" s="168">
        <f t="shared" si="39"/>
        <v>0</v>
      </c>
      <c r="AK338" s="184"/>
      <c r="AL338" s="227"/>
      <c r="AM338" s="227"/>
      <c r="AN338" s="245"/>
      <c r="AO338" s="89">
        <f t="shared" si="40"/>
        <v>0</v>
      </c>
      <c r="AP338" s="106"/>
      <c r="AQ338" s="204">
        <f t="shared" si="41"/>
        <v>0</v>
      </c>
      <c r="AR338" s="168"/>
      <c r="AS338" s="168"/>
      <c r="AT338" s="168"/>
      <c r="AU338" s="168"/>
      <c r="AV338" s="168"/>
      <c r="AW338" s="168"/>
      <c r="AX338" s="168"/>
      <c r="AY338" s="168"/>
      <c r="AZ338" s="168"/>
      <c r="BA338" s="219"/>
      <c r="BB338" s="168"/>
      <c r="BC338" s="219"/>
    </row>
    <row r="339" s="89" customFormat="1" ht="62" customHeight="1" spans="4:55">
      <c r="D339" s="230"/>
      <c r="F339" s="227"/>
      <c r="G339" s="218"/>
      <c r="H339" s="218"/>
      <c r="I339" s="185" t="s">
        <v>3851</v>
      </c>
      <c r="J339" s="221">
        <v>14.87</v>
      </c>
      <c r="M339" s="222"/>
      <c r="N339" s="222"/>
      <c r="O339" s="235"/>
      <c r="P339" s="230"/>
      <c r="Q339" s="230"/>
      <c r="R339" s="168"/>
      <c r="S339" s="217"/>
      <c r="T339" s="218"/>
      <c r="U339" s="217"/>
      <c r="V339" s="168"/>
      <c r="W339" s="224"/>
      <c r="Y339" s="225"/>
      <c r="AA339" s="225"/>
      <c r="AB339" s="168"/>
      <c r="AH339" s="168">
        <f t="shared" si="39"/>
        <v>0</v>
      </c>
      <c r="AK339" s="184"/>
      <c r="AL339" s="227"/>
      <c r="AM339" s="227"/>
      <c r="AN339" s="240"/>
      <c r="AO339" s="89">
        <f t="shared" si="40"/>
        <v>0</v>
      </c>
      <c r="AP339" s="106"/>
      <c r="AQ339" s="204">
        <f t="shared" si="41"/>
        <v>0</v>
      </c>
      <c r="AR339" s="168"/>
      <c r="AS339" s="168"/>
      <c r="AT339" s="168"/>
      <c r="AU339" s="168"/>
      <c r="AV339" s="168"/>
      <c r="AW339" s="168"/>
      <c r="AX339" s="168"/>
      <c r="AY339" s="168"/>
      <c r="AZ339" s="168"/>
      <c r="BA339" s="219"/>
      <c r="BB339" s="168"/>
      <c r="BC339" s="219"/>
    </row>
    <row r="340" s="89" customFormat="1" ht="47" customHeight="1" spans="4:55">
      <c r="D340" s="230"/>
      <c r="F340" s="227"/>
      <c r="G340" s="218"/>
      <c r="H340" s="218"/>
      <c r="I340" s="185" t="s">
        <v>3852</v>
      </c>
      <c r="J340" s="249">
        <v>14.12</v>
      </c>
      <c r="M340" s="222"/>
      <c r="N340" s="222"/>
      <c r="O340" s="235"/>
      <c r="P340" s="230"/>
      <c r="Q340" s="230"/>
      <c r="R340" s="168"/>
      <c r="S340" s="171"/>
      <c r="T340" s="218"/>
      <c r="U340" s="217"/>
      <c r="V340" s="168"/>
      <c r="W340" s="253"/>
      <c r="X340" s="168"/>
      <c r="Y340" s="197"/>
      <c r="AB340" s="168"/>
      <c r="AH340" s="168">
        <f t="shared" si="39"/>
        <v>0</v>
      </c>
      <c r="AK340" s="184"/>
      <c r="AL340" s="227"/>
      <c r="AM340" s="227"/>
      <c r="AN340" s="240"/>
      <c r="AO340" s="89">
        <f t="shared" si="40"/>
        <v>0</v>
      </c>
      <c r="AP340" s="106"/>
      <c r="AQ340" s="204">
        <f t="shared" si="41"/>
        <v>0</v>
      </c>
      <c r="AR340" s="168"/>
      <c r="AS340" s="168"/>
      <c r="AT340" s="168"/>
      <c r="AU340" s="168"/>
      <c r="AV340" s="168"/>
      <c r="AW340" s="168"/>
      <c r="AX340" s="168"/>
      <c r="AY340" s="168"/>
      <c r="AZ340" s="168"/>
      <c r="BA340" s="219"/>
      <c r="BB340" s="168"/>
      <c r="BC340" s="219"/>
    </row>
    <row r="341" s="89" customFormat="1" customHeight="1" spans="4:55">
      <c r="D341" s="230"/>
      <c r="F341" s="227"/>
      <c r="G341" s="218"/>
      <c r="H341" s="218"/>
      <c r="I341" s="185" t="s">
        <v>3853</v>
      </c>
      <c r="J341" s="221">
        <v>11.05</v>
      </c>
      <c r="M341" s="222"/>
      <c r="N341" s="222"/>
      <c r="O341" s="235"/>
      <c r="P341" s="230"/>
      <c r="Q341" s="230"/>
      <c r="R341" s="168"/>
      <c r="S341" s="217"/>
      <c r="T341" s="218"/>
      <c r="U341" s="217"/>
      <c r="V341" s="168"/>
      <c r="W341" s="224"/>
      <c r="X341" s="168"/>
      <c r="Y341" s="197"/>
      <c r="Z341" s="251"/>
      <c r="AB341" s="168"/>
      <c r="AH341" s="168">
        <f t="shared" si="39"/>
        <v>0</v>
      </c>
      <c r="AK341" s="184"/>
      <c r="AL341" s="227"/>
      <c r="AM341" s="227"/>
      <c r="AN341" s="240"/>
      <c r="AO341" s="89">
        <f t="shared" si="40"/>
        <v>0</v>
      </c>
      <c r="AP341" s="106"/>
      <c r="AQ341" s="204">
        <f t="shared" si="41"/>
        <v>0</v>
      </c>
      <c r="AR341" s="168"/>
      <c r="AS341" s="168"/>
      <c r="AT341" s="168"/>
      <c r="AU341" s="168"/>
      <c r="AV341" s="168"/>
      <c r="AW341" s="168"/>
      <c r="AX341" s="168"/>
      <c r="AY341" s="168"/>
      <c r="AZ341" s="168"/>
      <c r="BA341" s="219"/>
      <c r="BB341" s="168"/>
      <c r="BC341" s="219"/>
    </row>
    <row r="342" s="89" customFormat="1" customHeight="1" spans="4:54">
      <c r="D342" s="230"/>
      <c r="F342" s="227"/>
      <c r="G342" s="218"/>
      <c r="H342" s="218"/>
      <c r="I342" s="185" t="s">
        <v>3854</v>
      </c>
      <c r="J342" s="249">
        <v>11.05</v>
      </c>
      <c r="K342" s="170"/>
      <c r="M342" s="222"/>
      <c r="N342" s="222"/>
      <c r="O342" s="235"/>
      <c r="P342" s="230"/>
      <c r="Q342" s="230"/>
      <c r="R342" s="168"/>
      <c r="S342" s="171"/>
      <c r="T342" s="218"/>
      <c r="U342" s="218"/>
      <c r="V342" s="168"/>
      <c r="W342" s="171"/>
      <c r="X342" s="168"/>
      <c r="Y342" s="225"/>
      <c r="AA342" s="225"/>
      <c r="AB342" s="168"/>
      <c r="AC342" s="225"/>
      <c r="AD342" s="225"/>
      <c r="AE342" s="225"/>
      <c r="AF342" s="225"/>
      <c r="AG342" s="225"/>
      <c r="AH342" s="168">
        <f t="shared" si="39"/>
        <v>0</v>
      </c>
      <c r="AK342" s="184"/>
      <c r="AL342" s="227"/>
      <c r="AM342" s="227"/>
      <c r="AN342" s="240"/>
      <c r="AO342" s="89">
        <f t="shared" si="40"/>
        <v>0</v>
      </c>
      <c r="AP342" s="106"/>
      <c r="AQ342" s="204">
        <f t="shared" si="41"/>
        <v>0</v>
      </c>
      <c r="AR342" s="168"/>
      <c r="AS342" s="168"/>
      <c r="AT342" s="168"/>
      <c r="AU342" s="168"/>
      <c r="AV342" s="168"/>
      <c r="AW342" s="168"/>
      <c r="AX342" s="168"/>
      <c r="AY342" s="168"/>
      <c r="AZ342" s="168"/>
      <c r="BB342" s="168"/>
    </row>
    <row r="343" s="89" customFormat="1" ht="52" customHeight="1" spans="4:55">
      <c r="D343" s="230"/>
      <c r="F343" s="247"/>
      <c r="G343" s="218"/>
      <c r="H343" s="218"/>
      <c r="I343" s="185" t="s">
        <v>3855</v>
      </c>
      <c r="J343" s="221">
        <v>14.12</v>
      </c>
      <c r="M343" s="168"/>
      <c r="N343" s="168"/>
      <c r="O343" s="170"/>
      <c r="P343" s="230"/>
      <c r="Q343" s="230"/>
      <c r="R343" s="168"/>
      <c r="S343" s="217"/>
      <c r="T343" s="218"/>
      <c r="U343" s="217"/>
      <c r="V343" s="168"/>
      <c r="W343" s="224"/>
      <c r="AB343" s="168"/>
      <c r="AH343" s="168">
        <f t="shared" si="39"/>
        <v>0</v>
      </c>
      <c r="AK343" s="184"/>
      <c r="AL343" s="227"/>
      <c r="AM343" s="227"/>
      <c r="AN343" s="245"/>
      <c r="AO343" s="89">
        <f t="shared" si="40"/>
        <v>0</v>
      </c>
      <c r="AP343" s="106"/>
      <c r="AQ343" s="204">
        <f t="shared" si="41"/>
        <v>0</v>
      </c>
      <c r="AR343" s="168"/>
      <c r="AS343" s="168"/>
      <c r="AT343" s="168"/>
      <c r="AU343" s="168"/>
      <c r="AV343" s="168"/>
      <c r="AW343" s="168"/>
      <c r="AX343" s="168"/>
      <c r="AY343" s="168"/>
      <c r="AZ343" s="168"/>
      <c r="BA343" s="219"/>
      <c r="BB343" s="168"/>
      <c r="BC343" s="219"/>
    </row>
    <row r="344" s="89" customFormat="1" customHeight="1" spans="4:55">
      <c r="D344" s="230"/>
      <c r="F344" s="227"/>
      <c r="G344" s="218"/>
      <c r="H344" s="218"/>
      <c r="I344" s="185" t="s">
        <v>3856</v>
      </c>
      <c r="J344" s="249">
        <v>22.68</v>
      </c>
      <c r="M344" s="222"/>
      <c r="N344" s="222"/>
      <c r="O344" s="235"/>
      <c r="P344" s="230"/>
      <c r="Q344" s="230"/>
      <c r="R344" s="168"/>
      <c r="S344" s="217"/>
      <c r="T344" s="218"/>
      <c r="U344" s="217"/>
      <c r="V344" s="168"/>
      <c r="W344" s="225"/>
      <c r="X344" s="168"/>
      <c r="Y344" s="225"/>
      <c r="AA344" s="225"/>
      <c r="AB344" s="168"/>
      <c r="AH344" s="168">
        <f t="shared" si="39"/>
        <v>0</v>
      </c>
      <c r="AK344" s="184"/>
      <c r="AL344" s="227"/>
      <c r="AM344" s="227"/>
      <c r="AN344" s="240"/>
      <c r="AO344" s="89">
        <f t="shared" si="40"/>
        <v>0</v>
      </c>
      <c r="AP344" s="106"/>
      <c r="AQ344" s="204">
        <f t="shared" si="41"/>
        <v>0</v>
      </c>
      <c r="AR344" s="168"/>
      <c r="AS344" s="168"/>
      <c r="AT344" s="168"/>
      <c r="AU344" s="168"/>
      <c r="AV344" s="168"/>
      <c r="AW344" s="168"/>
      <c r="AX344" s="168"/>
      <c r="AY344" s="168"/>
      <c r="AZ344" s="168"/>
      <c r="BA344" s="219"/>
      <c r="BB344" s="168"/>
      <c r="BC344" s="219"/>
    </row>
    <row r="345" s="131" customFormat="1" customHeight="1" spans="1:70">
      <c r="A345" s="175">
        <v>277</v>
      </c>
      <c r="C345" s="131" t="s">
        <v>351</v>
      </c>
      <c r="D345" s="215" t="s">
        <v>3857</v>
      </c>
      <c r="F345" s="233"/>
      <c r="G345" s="214" t="s">
        <v>3858</v>
      </c>
      <c r="H345" s="214"/>
      <c r="I345" s="191" t="s">
        <v>3859</v>
      </c>
      <c r="J345" s="131">
        <v>150.01</v>
      </c>
      <c r="K345" s="131">
        <v>150.01</v>
      </c>
      <c r="L345" s="131">
        <v>8264</v>
      </c>
      <c r="M345" s="236">
        <v>1239683</v>
      </c>
      <c r="N345" s="236">
        <v>8264</v>
      </c>
      <c r="O345" s="188"/>
      <c r="P345" s="215"/>
      <c r="Q345" s="215"/>
      <c r="R345" s="158"/>
      <c r="T345" s="728" t="s">
        <v>3860</v>
      </c>
      <c r="U345" s="213" t="s">
        <v>3861</v>
      </c>
      <c r="V345" s="158"/>
      <c r="W345" s="213"/>
      <c r="X345" s="158">
        <f>10000-10000</f>
        <v>0</v>
      </c>
      <c r="Y345" s="213" t="s">
        <v>694</v>
      </c>
      <c r="Z345" s="158">
        <v>10000</v>
      </c>
      <c r="AA345" s="159" t="s">
        <v>341</v>
      </c>
      <c r="AB345" s="158">
        <v>129683</v>
      </c>
      <c r="AC345" s="159" t="s">
        <v>351</v>
      </c>
      <c r="AD345" s="131">
        <v>300000</v>
      </c>
      <c r="AE345" s="131" t="s">
        <v>1951</v>
      </c>
      <c r="AF345" s="131">
        <v>800000</v>
      </c>
      <c r="AG345" s="131" t="s">
        <v>467</v>
      </c>
      <c r="AH345" s="158">
        <f t="shared" si="39"/>
        <v>1239683</v>
      </c>
      <c r="AK345" s="131">
        <f t="shared" ref="AK345:AK351" si="42">M345-AH345</f>
        <v>0</v>
      </c>
      <c r="AL345" s="233"/>
      <c r="AM345" s="216"/>
      <c r="AN345" s="239"/>
      <c r="AO345" s="131">
        <f t="shared" si="40"/>
        <v>1239683</v>
      </c>
      <c r="AP345" s="163">
        <f>0.7%+0.05%+0.12%</f>
        <v>0.0087</v>
      </c>
      <c r="AQ345" s="192">
        <f t="shared" si="41"/>
        <v>200</v>
      </c>
      <c r="AR345" s="158"/>
      <c r="AS345" s="158"/>
      <c r="AT345" s="158"/>
      <c r="AU345" s="158">
        <v>100</v>
      </c>
      <c r="AV345" s="158">
        <v>100</v>
      </c>
      <c r="AW345" s="158"/>
      <c r="AX345" s="158"/>
      <c r="AY345" s="158"/>
      <c r="AZ345" s="158"/>
      <c r="BA345" s="220"/>
      <c r="BB345" s="158"/>
      <c r="BC345" s="220">
        <v>439683</v>
      </c>
      <c r="BE345" s="131">
        <v>800000</v>
      </c>
      <c r="BQ345" s="131" t="s">
        <v>205</v>
      </c>
      <c r="BR345" s="131" t="s">
        <v>206</v>
      </c>
    </row>
    <row r="346" s="131" customFormat="1" ht="44" customHeight="1" spans="1:69">
      <c r="A346" s="175">
        <v>278</v>
      </c>
      <c r="C346" s="143">
        <v>45410</v>
      </c>
      <c r="D346" s="216" t="s">
        <v>3862</v>
      </c>
      <c r="F346" s="216" t="s">
        <v>3863</v>
      </c>
      <c r="G346" s="214" t="s">
        <v>3864</v>
      </c>
      <c r="H346" s="728" t="s">
        <v>3865</v>
      </c>
      <c r="I346" s="187" t="s">
        <v>3866</v>
      </c>
      <c r="J346" s="131">
        <v>140.45</v>
      </c>
      <c r="K346" s="131">
        <v>140.45</v>
      </c>
      <c r="L346" s="131">
        <v>8254</v>
      </c>
      <c r="M346" s="236">
        <v>1159275</v>
      </c>
      <c r="N346" s="236">
        <v>8254</v>
      </c>
      <c r="O346" s="238"/>
      <c r="P346" s="215"/>
      <c r="Q346" s="215"/>
      <c r="R346" s="158">
        <v>800000</v>
      </c>
      <c r="S346" s="159" t="s">
        <v>441</v>
      </c>
      <c r="T346" s="214"/>
      <c r="U346" s="213" t="s">
        <v>422</v>
      </c>
      <c r="V346" s="158">
        <v>2000</v>
      </c>
      <c r="W346" s="159" t="s">
        <v>3867</v>
      </c>
      <c r="X346" s="158">
        <v>7275</v>
      </c>
      <c r="Y346" s="159" t="s">
        <v>3343</v>
      </c>
      <c r="Z346" s="158">
        <v>5000</v>
      </c>
      <c r="AA346" s="159" t="s">
        <v>3868</v>
      </c>
      <c r="AB346" s="158">
        <v>265000</v>
      </c>
      <c r="AC346" s="159" t="s">
        <v>3373</v>
      </c>
      <c r="AD346" s="131">
        <v>80000</v>
      </c>
      <c r="AE346" s="143">
        <v>45564</v>
      </c>
      <c r="AF346" s="158">
        <v>800000</v>
      </c>
      <c r="AG346" s="159" t="s">
        <v>441</v>
      </c>
      <c r="AH346" s="158">
        <f t="shared" si="39"/>
        <v>1159275</v>
      </c>
      <c r="AK346" s="131">
        <f t="shared" si="42"/>
        <v>0</v>
      </c>
      <c r="AL346" s="216" t="s">
        <v>3869</v>
      </c>
      <c r="AM346" s="216"/>
      <c r="AN346" s="239"/>
      <c r="AO346" s="131">
        <f t="shared" si="40"/>
        <v>359275</v>
      </c>
      <c r="AP346" s="161">
        <f>0.7%+0.05%+0.12%</f>
        <v>0.0087</v>
      </c>
      <c r="AQ346" s="192">
        <f t="shared" si="41"/>
        <v>100</v>
      </c>
      <c r="AR346" s="158"/>
      <c r="AS346" s="158"/>
      <c r="AT346" s="158">
        <v>100</v>
      </c>
      <c r="AU346" s="158"/>
      <c r="AV346" s="158"/>
      <c r="AW346" s="158"/>
      <c r="AX346" s="158"/>
      <c r="AY346" s="158"/>
      <c r="AZ346" s="158"/>
      <c r="BB346" s="158"/>
      <c r="BM346" s="131">
        <v>359275</v>
      </c>
      <c r="BO346" s="131">
        <f>AP346*BM346</f>
        <v>3125.6925</v>
      </c>
      <c r="BQ346" s="131" t="s">
        <v>205</v>
      </c>
    </row>
    <row r="347" s="131" customFormat="1" customHeight="1" spans="1:55">
      <c r="A347" s="175">
        <v>279</v>
      </c>
      <c r="B347" s="131"/>
      <c r="C347" s="131" t="s">
        <v>98</v>
      </c>
      <c r="D347" s="131">
        <v>20240005473</v>
      </c>
      <c r="F347" s="216" t="s">
        <v>3870</v>
      </c>
      <c r="G347" s="214" t="s">
        <v>3871</v>
      </c>
      <c r="H347" s="728" t="s">
        <v>3872</v>
      </c>
      <c r="I347" s="191" t="s">
        <v>3873</v>
      </c>
      <c r="J347" s="131">
        <v>147.09</v>
      </c>
      <c r="K347" s="131">
        <v>147.09</v>
      </c>
      <c r="L347" s="188">
        <v>5568</v>
      </c>
      <c r="M347" s="158">
        <v>819000</v>
      </c>
      <c r="N347" s="158">
        <v>5568</v>
      </c>
      <c r="O347" s="188"/>
      <c r="R347" s="158">
        <v>400000</v>
      </c>
      <c r="S347" s="159" t="s">
        <v>609</v>
      </c>
      <c r="T347" s="175"/>
      <c r="U347" s="159" t="s">
        <v>201</v>
      </c>
      <c r="V347" s="158">
        <v>20000</v>
      </c>
      <c r="W347" s="159">
        <v>45561</v>
      </c>
      <c r="X347" s="158">
        <v>399000</v>
      </c>
      <c r="Y347" s="198">
        <v>45565</v>
      </c>
      <c r="Z347" s="158">
        <v>400000</v>
      </c>
      <c r="AA347" s="159" t="s">
        <v>609</v>
      </c>
      <c r="AB347" s="158"/>
      <c r="AH347" s="158">
        <f t="shared" si="39"/>
        <v>819000</v>
      </c>
      <c r="AK347" s="131">
        <f t="shared" si="42"/>
        <v>0</v>
      </c>
      <c r="AL347" s="216" t="s">
        <v>3874</v>
      </c>
      <c r="AM347" s="216"/>
      <c r="AN347" s="237"/>
      <c r="AO347" s="131">
        <f t="shared" si="40"/>
        <v>0</v>
      </c>
      <c r="AP347" s="161">
        <f>0.6%+0.1%</f>
        <v>0.007</v>
      </c>
      <c r="AQ347" s="192">
        <f t="shared" si="41"/>
        <v>0</v>
      </c>
      <c r="AR347" s="158"/>
      <c r="AS347" s="158"/>
      <c r="AT347" s="158"/>
      <c r="AU347" s="158"/>
      <c r="AV347" s="158"/>
      <c r="AW347" s="158"/>
      <c r="AX347" s="158"/>
      <c r="AY347" s="158"/>
      <c r="AZ347" s="158"/>
      <c r="BA347" s="220"/>
      <c r="BB347" s="158"/>
      <c r="BC347" s="220"/>
    </row>
    <row r="348" s="131" customFormat="1" customHeight="1" spans="1:55">
      <c r="A348" s="175">
        <v>280</v>
      </c>
      <c r="B348" s="131"/>
      <c r="D348" s="215"/>
      <c r="G348" s="131" t="s">
        <v>3875</v>
      </c>
      <c r="I348" s="187" t="s">
        <v>3876</v>
      </c>
      <c r="J348" s="131">
        <v>137.88</v>
      </c>
      <c r="K348" s="131">
        <v>137.88</v>
      </c>
      <c r="L348" s="131">
        <v>5787.64</v>
      </c>
      <c r="M348" s="236">
        <v>798000</v>
      </c>
      <c r="N348" s="236">
        <v>5776.15</v>
      </c>
      <c r="O348" s="238"/>
      <c r="P348" s="215"/>
      <c r="Q348" s="215"/>
      <c r="R348" s="158"/>
      <c r="S348" s="159"/>
      <c r="T348" s="175"/>
      <c r="U348" s="131" t="s">
        <v>291</v>
      </c>
      <c r="V348" s="158">
        <v>10000</v>
      </c>
      <c r="W348" s="159">
        <v>45565</v>
      </c>
      <c r="X348" s="158"/>
      <c r="Y348" s="143"/>
      <c r="Z348" s="158"/>
      <c r="AB348" s="158"/>
      <c r="AH348" s="158">
        <f t="shared" si="39"/>
        <v>10000</v>
      </c>
      <c r="AK348" s="131">
        <f t="shared" si="42"/>
        <v>788000</v>
      </c>
      <c r="AL348" s="216"/>
      <c r="AM348" s="216" t="s">
        <v>3617</v>
      </c>
      <c r="AN348" s="239"/>
      <c r="AO348" s="131">
        <f t="shared" si="40"/>
        <v>0</v>
      </c>
      <c r="AP348" s="163">
        <f>0.6%+0.05%+0.1%</f>
        <v>0.0075</v>
      </c>
      <c r="AQ348" s="192">
        <f t="shared" si="41"/>
        <v>0</v>
      </c>
      <c r="AR348" s="158"/>
      <c r="AS348" s="158"/>
      <c r="AT348" s="158"/>
      <c r="AU348" s="158"/>
      <c r="AV348" s="158"/>
      <c r="AW348" s="158"/>
      <c r="AX348" s="158"/>
      <c r="AY348" s="158"/>
      <c r="AZ348" s="158"/>
      <c r="BA348" s="220"/>
      <c r="BB348" s="158"/>
      <c r="BC348" s="220"/>
    </row>
    <row r="349" s="131" customFormat="1" customHeight="1" spans="1:65">
      <c r="A349" s="175">
        <v>281</v>
      </c>
      <c r="B349" s="131"/>
      <c r="D349" s="215"/>
      <c r="F349" s="248" t="s">
        <v>3877</v>
      </c>
      <c r="G349" s="214" t="s">
        <v>3878</v>
      </c>
      <c r="H349" s="728" t="s">
        <v>3879</v>
      </c>
      <c r="I349" s="191" t="s">
        <v>3880</v>
      </c>
      <c r="J349" s="131">
        <v>147.09</v>
      </c>
      <c r="K349" s="131">
        <v>147.09</v>
      </c>
      <c r="L349" s="131">
        <v>5574.82</v>
      </c>
      <c r="M349" s="236">
        <v>820000</v>
      </c>
      <c r="N349" s="236">
        <v>5574.82</v>
      </c>
      <c r="O349" s="238"/>
      <c r="P349" s="215"/>
      <c r="Q349" s="215"/>
      <c r="R349" s="158"/>
      <c r="S349" s="213"/>
      <c r="T349" s="214"/>
      <c r="U349" s="213" t="s">
        <v>211</v>
      </c>
      <c r="V349" s="158">
        <v>20000</v>
      </c>
      <c r="W349" s="213">
        <v>45540</v>
      </c>
      <c r="X349" s="158">
        <v>400000</v>
      </c>
      <c r="Y349" s="213">
        <v>45562</v>
      </c>
      <c r="Z349" s="175"/>
      <c r="AA349" s="198"/>
      <c r="AB349" s="158"/>
      <c r="AH349" s="158">
        <f t="shared" si="39"/>
        <v>420000</v>
      </c>
      <c r="AK349" s="131">
        <f t="shared" si="42"/>
        <v>400000</v>
      </c>
      <c r="AL349" s="216" t="s">
        <v>3881</v>
      </c>
      <c r="AM349" s="216"/>
      <c r="AN349" s="239"/>
      <c r="AO349" s="131">
        <f t="shared" si="40"/>
        <v>0</v>
      </c>
      <c r="AP349" s="163">
        <f>0.5%+0.02%+0.1%</f>
        <v>0.0062</v>
      </c>
      <c r="AQ349" s="192">
        <f t="shared" si="41"/>
        <v>100</v>
      </c>
      <c r="AR349" s="158"/>
      <c r="AS349" s="158"/>
      <c r="AT349" s="158"/>
      <c r="AU349" s="158"/>
      <c r="AV349" s="158">
        <v>100</v>
      </c>
      <c r="AW349" s="158"/>
      <c r="AX349" s="158"/>
      <c r="AY349" s="158"/>
      <c r="AZ349" s="158"/>
      <c r="BA349" s="220"/>
      <c r="BB349" s="158"/>
      <c r="BC349" s="220"/>
      <c r="BL349" s="89"/>
      <c r="BM349" s="89"/>
    </row>
    <row r="350" s="131" customFormat="1" customHeight="1" spans="1:70">
      <c r="A350" s="175">
        <v>282</v>
      </c>
      <c r="C350" s="131" t="s">
        <v>2717</v>
      </c>
      <c r="D350" s="131">
        <v>20230010089</v>
      </c>
      <c r="F350" s="216" t="s">
        <v>3882</v>
      </c>
      <c r="G350" s="214" t="s">
        <v>3883</v>
      </c>
      <c r="H350" s="727" t="s">
        <v>3884</v>
      </c>
      <c r="I350" s="187" t="s">
        <v>3885</v>
      </c>
      <c r="J350" s="131">
        <v>137.88</v>
      </c>
      <c r="K350" s="131">
        <v>137.88</v>
      </c>
      <c r="L350" s="131">
        <v>5802.146</v>
      </c>
      <c r="M350" s="158">
        <v>800000</v>
      </c>
      <c r="N350" s="158">
        <f>5830.81-28.66</f>
        <v>5802.15</v>
      </c>
      <c r="O350" s="188"/>
      <c r="P350" s="216"/>
      <c r="R350" s="158"/>
      <c r="S350" s="159"/>
      <c r="T350" s="214" t="s">
        <v>3886</v>
      </c>
      <c r="U350" s="214" t="s">
        <v>3887</v>
      </c>
      <c r="V350" s="158">
        <f>10000-10000</f>
        <v>0</v>
      </c>
      <c r="W350" s="198" t="s">
        <v>1078</v>
      </c>
      <c r="X350" s="158">
        <v>20000</v>
      </c>
      <c r="Y350" s="159" t="s">
        <v>1924</v>
      </c>
      <c r="Z350" s="158">
        <f>20000+20000</f>
        <v>40000</v>
      </c>
      <c r="AA350" s="159" t="s">
        <v>1835</v>
      </c>
      <c r="AB350" s="158">
        <v>100000</v>
      </c>
      <c r="AC350" s="143" t="s">
        <v>2717</v>
      </c>
      <c r="AD350" s="158">
        <v>640000</v>
      </c>
      <c r="AE350" s="159" t="s">
        <v>467</v>
      </c>
      <c r="AF350" s="143"/>
      <c r="AG350" s="143"/>
      <c r="AH350" s="158">
        <f t="shared" si="39"/>
        <v>800000</v>
      </c>
      <c r="AK350" s="131">
        <f t="shared" si="42"/>
        <v>0</v>
      </c>
      <c r="AL350" s="216" t="s">
        <v>3888</v>
      </c>
      <c r="AM350" s="216"/>
      <c r="AN350" s="237"/>
      <c r="AO350" s="131">
        <f t="shared" si="40"/>
        <v>800000</v>
      </c>
      <c r="AP350" s="163">
        <f>0.4%+0.02%+0.08%</f>
        <v>0.005</v>
      </c>
      <c r="AQ350" s="192">
        <f t="shared" si="41"/>
        <v>100</v>
      </c>
      <c r="AR350" s="158"/>
      <c r="AS350" s="158"/>
      <c r="AT350" s="158"/>
      <c r="AU350" s="158"/>
      <c r="AV350" s="158"/>
      <c r="AW350" s="158">
        <v>100</v>
      </c>
      <c r="AX350" s="158"/>
      <c r="AY350" s="158"/>
      <c r="AZ350" s="158"/>
      <c r="BA350" s="220"/>
      <c r="BB350" s="158"/>
      <c r="BC350" s="220"/>
      <c r="BD350" s="131">
        <v>160000</v>
      </c>
      <c r="BE350" s="131">
        <v>640000</v>
      </c>
      <c r="BQ350" s="131" t="s">
        <v>205</v>
      </c>
      <c r="BR350" s="131" t="s">
        <v>206</v>
      </c>
    </row>
    <row r="351" s="131" customFormat="1" customHeight="1" spans="1:55">
      <c r="A351" s="175">
        <v>283</v>
      </c>
      <c r="C351" s="131" t="s">
        <v>98</v>
      </c>
      <c r="D351" s="131">
        <v>20240005456</v>
      </c>
      <c r="F351" s="216" t="s">
        <v>3889</v>
      </c>
      <c r="G351" s="175" t="s">
        <v>3890</v>
      </c>
      <c r="H351" s="727" t="s">
        <v>3891</v>
      </c>
      <c r="I351" s="191" t="s">
        <v>3892</v>
      </c>
      <c r="J351" s="131">
        <v>147.09</v>
      </c>
      <c r="K351" s="131">
        <v>147.09</v>
      </c>
      <c r="L351" s="131">
        <v>5848.49</v>
      </c>
      <c r="M351" s="158">
        <v>860255</v>
      </c>
      <c r="N351" s="158">
        <v>5848.49</v>
      </c>
      <c r="O351" s="188"/>
      <c r="P351" s="216"/>
      <c r="R351" s="158">
        <v>200000</v>
      </c>
      <c r="S351" s="159" t="s">
        <v>98</v>
      </c>
      <c r="T351" s="175"/>
      <c r="U351" s="159" t="s">
        <v>291</v>
      </c>
      <c r="V351" s="158">
        <v>20000</v>
      </c>
      <c r="W351" s="159" t="s">
        <v>364</v>
      </c>
      <c r="X351" s="158">
        <v>75255</v>
      </c>
      <c r="Y351" s="159" t="s">
        <v>2927</v>
      </c>
      <c r="Z351" s="158">
        <v>200000</v>
      </c>
      <c r="AA351" s="159" t="s">
        <v>98</v>
      </c>
      <c r="AB351" s="158"/>
      <c r="AC351" s="143"/>
      <c r="AD351" s="143"/>
      <c r="AE351" s="143"/>
      <c r="AF351" s="143"/>
      <c r="AG351" s="143"/>
      <c r="AH351" s="158">
        <f t="shared" si="39"/>
        <v>295255</v>
      </c>
      <c r="AK351" s="131">
        <f t="shared" si="42"/>
        <v>565000</v>
      </c>
      <c r="AL351" s="216" t="s">
        <v>3893</v>
      </c>
      <c r="AM351" s="216"/>
      <c r="AN351" s="237"/>
      <c r="AO351" s="131">
        <f t="shared" si="40"/>
        <v>0</v>
      </c>
      <c r="AP351" s="163">
        <f>0.4%+0.02%+0.12%</f>
        <v>0.0054</v>
      </c>
      <c r="AQ351" s="192">
        <f t="shared" si="41"/>
        <v>0</v>
      </c>
      <c r="AR351" s="158"/>
      <c r="AS351" s="158"/>
      <c r="AT351" s="158"/>
      <c r="AU351" s="158"/>
      <c r="AV351" s="158"/>
      <c r="AW351" s="158"/>
      <c r="AX351" s="158"/>
      <c r="AY351" s="158"/>
      <c r="AZ351" s="158"/>
      <c r="BA351" s="220"/>
      <c r="BB351" s="158"/>
      <c r="BC351" s="220"/>
    </row>
    <row r="352" s="131" customFormat="1" customHeight="1" spans="1:70">
      <c r="A352" s="175">
        <v>284</v>
      </c>
      <c r="C352" s="131" t="s">
        <v>3894</v>
      </c>
      <c r="D352" s="131">
        <v>20230010358</v>
      </c>
      <c r="F352" s="216" t="s">
        <v>3895</v>
      </c>
      <c r="G352" s="175" t="s">
        <v>3896</v>
      </c>
      <c r="H352" s="727" t="s">
        <v>3897</v>
      </c>
      <c r="I352" s="187" t="s">
        <v>3898</v>
      </c>
      <c r="J352" s="131">
        <v>137.88</v>
      </c>
      <c r="K352" s="131">
        <v>137.88</v>
      </c>
      <c r="L352" s="131">
        <v>5863.42</v>
      </c>
      <c r="M352" s="158">
        <v>808448</v>
      </c>
      <c r="N352" s="158">
        <v>5863.42</v>
      </c>
      <c r="O352" s="188"/>
      <c r="P352" s="216"/>
      <c r="R352" s="158"/>
      <c r="S352" s="159"/>
      <c r="T352" s="175"/>
      <c r="U352" s="159" t="s">
        <v>291</v>
      </c>
      <c r="V352" s="158">
        <v>20000</v>
      </c>
      <c r="W352" s="143" t="s">
        <v>1162</v>
      </c>
      <c r="X352" s="158">
        <v>115448</v>
      </c>
      <c r="Y352" s="159" t="s">
        <v>3894</v>
      </c>
      <c r="Z352" s="175">
        <v>33000</v>
      </c>
      <c r="AA352" s="198" t="s">
        <v>3899</v>
      </c>
      <c r="AB352" s="158">
        <v>640000</v>
      </c>
      <c r="AC352" s="159" t="s">
        <v>3098</v>
      </c>
      <c r="AD352" s="143"/>
      <c r="AE352" s="143"/>
      <c r="AF352" s="143"/>
      <c r="AG352" s="143"/>
      <c r="AH352" s="158">
        <f t="shared" si="39"/>
        <v>808448</v>
      </c>
      <c r="AK352" s="131">
        <f t="shared" ref="AK352:AK358" si="43">M352-AH352</f>
        <v>0</v>
      </c>
      <c r="AL352" s="216" t="s">
        <v>3900</v>
      </c>
      <c r="AM352" s="216"/>
      <c r="AN352" s="237"/>
      <c r="AO352" s="131">
        <f t="shared" si="40"/>
        <v>808448</v>
      </c>
      <c r="AP352" s="163">
        <f>0.7%+0.02%+0.08%</f>
        <v>0.008</v>
      </c>
      <c r="AQ352" s="192">
        <f t="shared" si="41"/>
        <v>0</v>
      </c>
      <c r="AR352" s="158"/>
      <c r="AS352" s="158"/>
      <c r="AT352" s="158"/>
      <c r="AU352" s="158"/>
      <c r="AV352" s="158"/>
      <c r="AW352" s="158"/>
      <c r="AX352" s="158"/>
      <c r="AY352" s="158"/>
      <c r="AZ352" s="158"/>
      <c r="BA352" s="220"/>
      <c r="BB352" s="158"/>
      <c r="BC352" s="220"/>
      <c r="BD352" s="131">
        <v>168448</v>
      </c>
      <c r="BF352" s="131">
        <v>640000</v>
      </c>
      <c r="BQ352" s="131" t="s">
        <v>205</v>
      </c>
      <c r="BR352" s="131" t="s">
        <v>206</v>
      </c>
    </row>
    <row r="353" s="131" customFormat="1" customHeight="1" spans="1:70">
      <c r="A353" s="175">
        <v>285</v>
      </c>
      <c r="C353" s="143">
        <v>45360</v>
      </c>
      <c r="D353" s="131">
        <v>20240001236</v>
      </c>
      <c r="F353" s="216" t="s">
        <v>3901</v>
      </c>
      <c r="G353" s="175" t="s">
        <v>3902</v>
      </c>
      <c r="H353" s="727" t="s">
        <v>3903</v>
      </c>
      <c r="I353" s="191" t="s">
        <v>3904</v>
      </c>
      <c r="J353" s="131">
        <v>147.09</v>
      </c>
      <c r="K353" s="131">
        <v>147.09</v>
      </c>
      <c r="L353" s="131">
        <v>5922.84</v>
      </c>
      <c r="M353" s="158">
        <v>871191</v>
      </c>
      <c r="N353" s="158">
        <v>5922.84</v>
      </c>
      <c r="O353" s="188"/>
      <c r="P353" s="216"/>
      <c r="R353" s="158"/>
      <c r="S353" s="159"/>
      <c r="T353" s="175"/>
      <c r="U353" s="159" t="s">
        <v>529</v>
      </c>
      <c r="V353" s="158">
        <v>20000</v>
      </c>
      <c r="W353" s="159" t="s">
        <v>2945</v>
      </c>
      <c r="X353" s="158">
        <f>240000+2191</f>
        <v>242191</v>
      </c>
      <c r="Y353" s="159" t="s">
        <v>3394</v>
      </c>
      <c r="Z353" s="175">
        <v>609000</v>
      </c>
      <c r="AA353" s="198" t="s">
        <v>2916</v>
      </c>
      <c r="AB353" s="158"/>
      <c r="AC353" s="143"/>
      <c r="AD353" s="143"/>
      <c r="AE353" s="143"/>
      <c r="AF353" s="143"/>
      <c r="AG353" s="143"/>
      <c r="AH353" s="158">
        <f t="shared" si="39"/>
        <v>871191</v>
      </c>
      <c r="AK353" s="131">
        <f t="shared" si="43"/>
        <v>0</v>
      </c>
      <c r="AL353" s="216" t="s">
        <v>3905</v>
      </c>
      <c r="AM353" s="216"/>
      <c r="AN353" s="237"/>
      <c r="AO353" s="131">
        <f t="shared" si="40"/>
        <v>871191</v>
      </c>
      <c r="AP353" s="163">
        <f>0.4%+0.12%</f>
        <v>0.0052</v>
      </c>
      <c r="AQ353" s="192">
        <f t="shared" si="41"/>
        <v>0</v>
      </c>
      <c r="AR353" s="158"/>
      <c r="AS353" s="158"/>
      <c r="AT353" s="158"/>
      <c r="AU353" s="158"/>
      <c r="AV353" s="158"/>
      <c r="AW353" s="158"/>
      <c r="AX353" s="158"/>
      <c r="AY353" s="158"/>
      <c r="AZ353" s="158"/>
      <c r="BA353" s="220"/>
      <c r="BB353" s="158"/>
      <c r="BC353" s="220"/>
      <c r="BG353" s="131">
        <v>871191</v>
      </c>
      <c r="BQ353" s="131" t="s">
        <v>205</v>
      </c>
      <c r="BR353" s="131" t="s">
        <v>206</v>
      </c>
    </row>
    <row r="354" s="131" customFormat="1" customHeight="1" spans="1:70">
      <c r="A354" s="175">
        <v>286</v>
      </c>
      <c r="C354" s="131" t="s">
        <v>341</v>
      </c>
      <c r="D354" s="131">
        <v>20230008236</v>
      </c>
      <c r="F354" s="216"/>
      <c r="G354" s="175" t="s">
        <v>3906</v>
      </c>
      <c r="H354" s="175"/>
      <c r="I354" s="187" t="s">
        <v>3907</v>
      </c>
      <c r="J354" s="131">
        <v>137.88</v>
      </c>
      <c r="K354" s="131">
        <v>137.88</v>
      </c>
      <c r="L354" s="131">
        <v>5937.765</v>
      </c>
      <c r="M354" s="158">
        <v>818699</v>
      </c>
      <c r="N354" s="158">
        <v>5937.76</v>
      </c>
      <c r="O354" s="188"/>
      <c r="P354" s="216"/>
      <c r="R354" s="158"/>
      <c r="S354" s="159"/>
      <c r="T354" s="727" t="s">
        <v>2522</v>
      </c>
      <c r="U354" s="159" t="s">
        <v>298</v>
      </c>
      <c r="V354" s="158">
        <f>10000-10000</f>
        <v>0</v>
      </c>
      <c r="W354" s="159" t="s">
        <v>2357</v>
      </c>
      <c r="X354" s="158">
        <v>28699</v>
      </c>
      <c r="Y354" s="159" t="s">
        <v>341</v>
      </c>
      <c r="Z354" s="158">
        <v>140000</v>
      </c>
      <c r="AA354" s="159" t="s">
        <v>677</v>
      </c>
      <c r="AB354" s="158">
        <v>650000</v>
      </c>
      <c r="AC354" s="159" t="s">
        <v>585</v>
      </c>
      <c r="AD354" s="143"/>
      <c r="AE354" s="143"/>
      <c r="AF354" s="143"/>
      <c r="AG354" s="143"/>
      <c r="AH354" s="158">
        <f t="shared" si="39"/>
        <v>818699</v>
      </c>
      <c r="AK354" s="131">
        <f t="shared" si="43"/>
        <v>0</v>
      </c>
      <c r="AL354" s="216"/>
      <c r="AM354" s="216"/>
      <c r="AN354" s="237"/>
      <c r="AO354" s="131">
        <f t="shared" si="40"/>
        <v>818699</v>
      </c>
      <c r="AP354" s="163">
        <f>0.6%+0.04%+0.12%</f>
        <v>0.0076</v>
      </c>
      <c r="AQ354" s="192">
        <f t="shared" si="41"/>
        <v>300</v>
      </c>
      <c r="AR354" s="192">
        <v>100</v>
      </c>
      <c r="AS354" s="158"/>
      <c r="AT354" s="158"/>
      <c r="AU354" s="158"/>
      <c r="AV354" s="158"/>
      <c r="AW354" s="158"/>
      <c r="AX354" s="158">
        <v>200</v>
      </c>
      <c r="AY354" s="158"/>
      <c r="AZ354" s="158"/>
      <c r="BA354" s="220"/>
      <c r="BB354" s="158">
        <v>168699</v>
      </c>
      <c r="BC354" s="220">
        <v>650000</v>
      </c>
      <c r="BQ354" s="131" t="s">
        <v>205</v>
      </c>
      <c r="BR354" s="131" t="s">
        <v>206</v>
      </c>
    </row>
    <row r="355" s="131" customFormat="1" ht="47" customHeight="1" spans="1:70">
      <c r="A355" s="175">
        <v>287</v>
      </c>
      <c r="C355" s="131" t="s">
        <v>253</v>
      </c>
      <c r="D355" s="131">
        <v>20230010500</v>
      </c>
      <c r="F355" s="216" t="s">
        <v>3908</v>
      </c>
      <c r="G355" s="214" t="s">
        <v>3909</v>
      </c>
      <c r="H355" s="727" t="s">
        <v>3910</v>
      </c>
      <c r="I355" s="191" t="s">
        <v>3911</v>
      </c>
      <c r="J355" s="131">
        <v>147.09</v>
      </c>
      <c r="K355" s="131">
        <v>147.09</v>
      </c>
      <c r="L355" s="131">
        <v>5991.75</v>
      </c>
      <c r="M355" s="158">
        <v>881328</v>
      </c>
      <c r="N355" s="158">
        <v>5991.75</v>
      </c>
      <c r="O355" s="188"/>
      <c r="P355" s="216"/>
      <c r="R355" s="158"/>
      <c r="S355" s="159"/>
      <c r="T355" s="728" t="s">
        <v>3912</v>
      </c>
      <c r="U355" s="213" t="s">
        <v>3913</v>
      </c>
      <c r="V355" s="158">
        <f>10000-10000</f>
        <v>0</v>
      </c>
      <c r="W355" s="159" t="s">
        <v>2132</v>
      </c>
      <c r="X355" s="158">
        <v>10000</v>
      </c>
      <c r="Y355" s="159" t="s">
        <v>1649</v>
      </c>
      <c r="Z355" s="175">
        <v>10000</v>
      </c>
      <c r="AA355" s="198" t="s">
        <v>341</v>
      </c>
      <c r="AB355" s="158">
        <v>171328</v>
      </c>
      <c r="AC355" s="159" t="s">
        <v>253</v>
      </c>
      <c r="AD355" s="158">
        <v>690000</v>
      </c>
      <c r="AE355" s="159" t="s">
        <v>2302</v>
      </c>
      <c r="AF355" s="143"/>
      <c r="AG355" s="143"/>
      <c r="AH355" s="158">
        <f t="shared" si="39"/>
        <v>881328</v>
      </c>
      <c r="AK355" s="131">
        <f t="shared" si="43"/>
        <v>0</v>
      </c>
      <c r="AL355" s="216" t="s">
        <v>3914</v>
      </c>
      <c r="AM355" s="216"/>
      <c r="AN355" s="237"/>
      <c r="AO355" s="131">
        <f t="shared" si="40"/>
        <v>881328</v>
      </c>
      <c r="AP355" s="163">
        <f t="shared" ref="AP355:AP357" si="44">0.7%+0.12%</f>
        <v>0.0082</v>
      </c>
      <c r="AQ355" s="192">
        <f t="shared" si="41"/>
        <v>400</v>
      </c>
      <c r="AR355" s="158"/>
      <c r="AS355" s="158"/>
      <c r="AT355" s="158"/>
      <c r="AU355" s="158"/>
      <c r="AV355" s="158"/>
      <c r="AW355" s="158">
        <v>100</v>
      </c>
      <c r="AX355" s="158">
        <f>100+200</f>
        <v>300</v>
      </c>
      <c r="AY355" s="158"/>
      <c r="AZ355" s="158"/>
      <c r="BB355" s="158"/>
      <c r="BD355" s="131">
        <v>191328</v>
      </c>
      <c r="BF355" s="131">
        <v>690000</v>
      </c>
      <c r="BQ355" s="131" t="s">
        <v>205</v>
      </c>
      <c r="BR355" s="131" t="s">
        <v>206</v>
      </c>
    </row>
    <row r="356" s="131" customFormat="1" customHeight="1" spans="1:70">
      <c r="A356" s="175">
        <v>288</v>
      </c>
      <c r="C356" s="143">
        <v>45417</v>
      </c>
      <c r="D356" s="131">
        <v>20240002622</v>
      </c>
      <c r="F356" s="216" t="s">
        <v>3915</v>
      </c>
      <c r="G356" s="175" t="s">
        <v>3916</v>
      </c>
      <c r="H356" s="727" t="s">
        <v>3917</v>
      </c>
      <c r="I356" s="187" t="s">
        <v>3918</v>
      </c>
      <c r="J356" s="131">
        <v>137.88</v>
      </c>
      <c r="K356" s="131">
        <v>137.88</v>
      </c>
      <c r="L356" s="131">
        <v>6000</v>
      </c>
      <c r="M356" s="158">
        <v>827280</v>
      </c>
      <c r="N356" s="158">
        <v>6000</v>
      </c>
      <c r="O356" s="188"/>
      <c r="P356" s="216"/>
      <c r="R356" s="158"/>
      <c r="S356" s="159"/>
      <c r="T356" s="175"/>
      <c r="U356" s="159" t="s">
        <v>201</v>
      </c>
      <c r="V356" s="158">
        <v>10000</v>
      </c>
      <c r="W356" s="159" t="s">
        <v>341</v>
      </c>
      <c r="X356" s="158">
        <v>157280</v>
      </c>
      <c r="Y356" s="159" t="s">
        <v>447</v>
      </c>
      <c r="Z356" s="158">
        <v>660000</v>
      </c>
      <c r="AA356" s="159" t="s">
        <v>3150</v>
      </c>
      <c r="AB356" s="158"/>
      <c r="AC356" s="143"/>
      <c r="AD356" s="143"/>
      <c r="AE356" s="143"/>
      <c r="AF356" s="143"/>
      <c r="AG356" s="143"/>
      <c r="AH356" s="158">
        <f t="shared" si="39"/>
        <v>827280</v>
      </c>
      <c r="AK356" s="131">
        <f t="shared" si="43"/>
        <v>0</v>
      </c>
      <c r="AL356" s="216" t="s">
        <v>3919</v>
      </c>
      <c r="AM356" s="216"/>
      <c r="AN356" s="237"/>
      <c r="AO356" s="131">
        <f t="shared" si="40"/>
        <v>827280</v>
      </c>
      <c r="AP356" s="163">
        <f t="shared" si="44"/>
        <v>0.0082</v>
      </c>
      <c r="AQ356" s="192">
        <f t="shared" si="41"/>
        <v>100</v>
      </c>
      <c r="AR356" s="192">
        <v>100</v>
      </c>
      <c r="AS356" s="158"/>
      <c r="AT356" s="158"/>
      <c r="AU356" s="158"/>
      <c r="AV356" s="158"/>
      <c r="AW356" s="158"/>
      <c r="AX356" s="158"/>
      <c r="AY356" s="158"/>
      <c r="AZ356" s="158"/>
      <c r="BA356" s="220"/>
      <c r="BB356" s="158"/>
      <c r="BC356" s="220"/>
      <c r="BI356" s="131">
        <v>167280</v>
      </c>
      <c r="BL356" s="131">
        <v>660000</v>
      </c>
      <c r="BQ356" s="131" t="s">
        <v>205</v>
      </c>
      <c r="BR356" s="131" t="s">
        <v>206</v>
      </c>
    </row>
    <row r="357" s="131" customFormat="1" customHeight="1" spans="1:70">
      <c r="A357" s="175">
        <v>289</v>
      </c>
      <c r="C357" s="131" t="s">
        <v>351</v>
      </c>
      <c r="D357" s="131">
        <v>20230008703</v>
      </c>
      <c r="F357" s="216" t="s">
        <v>3920</v>
      </c>
      <c r="G357" s="175" t="s">
        <v>3921</v>
      </c>
      <c r="H357" s="727" t="s">
        <v>3922</v>
      </c>
      <c r="I357" s="187" t="s">
        <v>3923</v>
      </c>
      <c r="J357" s="131">
        <v>147.09</v>
      </c>
      <c r="K357" s="131">
        <v>147.09</v>
      </c>
      <c r="L357" s="131">
        <v>6040.67</v>
      </c>
      <c r="M357" s="158">
        <v>888523</v>
      </c>
      <c r="N357" s="158">
        <v>6040.67</v>
      </c>
      <c r="O357" s="188"/>
      <c r="P357" s="216"/>
      <c r="R357" s="158"/>
      <c r="S357" s="159"/>
      <c r="T357" s="175"/>
      <c r="U357" s="159" t="s">
        <v>201</v>
      </c>
      <c r="V357" s="158">
        <v>20000</v>
      </c>
      <c r="W357" s="159" t="s">
        <v>341</v>
      </c>
      <c r="X357" s="158">
        <v>736023</v>
      </c>
      <c r="Y357" s="198" t="s">
        <v>351</v>
      </c>
      <c r="Z357" s="175">
        <v>132500</v>
      </c>
      <c r="AA357" s="198" t="s">
        <v>500</v>
      </c>
      <c r="AB357" s="158"/>
      <c r="AC357" s="143"/>
      <c r="AD357" s="143"/>
      <c r="AE357" s="143"/>
      <c r="AF357" s="143"/>
      <c r="AG357" s="143"/>
      <c r="AH357" s="158">
        <f t="shared" si="39"/>
        <v>888523</v>
      </c>
      <c r="AK357" s="131">
        <f t="shared" si="43"/>
        <v>0</v>
      </c>
      <c r="AL357" s="216" t="s">
        <v>3924</v>
      </c>
      <c r="AM357" s="216"/>
      <c r="AN357" s="237"/>
      <c r="AO357" s="131">
        <f t="shared" si="40"/>
        <v>888523</v>
      </c>
      <c r="AP357" s="163">
        <f t="shared" si="44"/>
        <v>0.0082</v>
      </c>
      <c r="AQ357" s="192">
        <f t="shared" si="41"/>
        <v>200</v>
      </c>
      <c r="AR357" s="158"/>
      <c r="AS357" s="158"/>
      <c r="AT357" s="158"/>
      <c r="AU357" s="158"/>
      <c r="AV357" s="158"/>
      <c r="AW357" s="158"/>
      <c r="AX357" s="158">
        <v>200</v>
      </c>
      <c r="AY357" s="158"/>
      <c r="AZ357" s="158"/>
      <c r="BA357" s="220"/>
      <c r="BB357" s="158">
        <v>888523</v>
      </c>
      <c r="BC357" s="220"/>
      <c r="BQ357" s="131" t="s">
        <v>205</v>
      </c>
      <c r="BR357" s="131" t="s">
        <v>206</v>
      </c>
    </row>
    <row r="358" s="131" customFormat="1" customHeight="1" spans="1:70">
      <c r="A358" s="175">
        <v>290</v>
      </c>
      <c r="C358" s="131" t="s">
        <v>357</v>
      </c>
      <c r="D358" s="131">
        <v>20230009916</v>
      </c>
      <c r="F358" s="216" t="s">
        <v>3925</v>
      </c>
      <c r="G358" s="175" t="s">
        <v>3926</v>
      </c>
      <c r="H358" s="727" t="s">
        <v>3927</v>
      </c>
      <c r="I358" s="191" t="s">
        <v>3928</v>
      </c>
      <c r="J358" s="131">
        <v>137.88</v>
      </c>
      <c r="K358" s="131">
        <v>137.88</v>
      </c>
      <c r="L358" s="131">
        <v>6055.59</v>
      </c>
      <c r="M358" s="158">
        <v>834945</v>
      </c>
      <c r="N358" s="158">
        <v>6055.59</v>
      </c>
      <c r="O358" s="188"/>
      <c r="P358" s="216"/>
      <c r="R358" s="158"/>
      <c r="S358" s="159"/>
      <c r="T358" s="727" t="s">
        <v>3929</v>
      </c>
      <c r="U358" s="159" t="s">
        <v>291</v>
      </c>
      <c r="V358" s="158">
        <v>10000</v>
      </c>
      <c r="W358" s="159" t="s">
        <v>1120</v>
      </c>
      <c r="X358" s="158">
        <v>10000</v>
      </c>
      <c r="Y358" s="159" t="s">
        <v>3355</v>
      </c>
      <c r="Z358" s="175">
        <v>154945</v>
      </c>
      <c r="AA358" s="198" t="s">
        <v>357</v>
      </c>
      <c r="AB358" s="158">
        <v>660000</v>
      </c>
      <c r="AC358" s="159" t="s">
        <v>3930</v>
      </c>
      <c r="AD358" s="143"/>
      <c r="AE358" s="143"/>
      <c r="AF358" s="143"/>
      <c r="AG358" s="143"/>
      <c r="AH358" s="158">
        <f t="shared" si="39"/>
        <v>834945</v>
      </c>
      <c r="AK358" s="131">
        <f t="shared" si="43"/>
        <v>0</v>
      </c>
      <c r="AL358" s="216"/>
      <c r="AM358" s="216"/>
      <c r="AN358" s="237"/>
      <c r="AO358" s="131">
        <f t="shared" si="40"/>
        <v>834945</v>
      </c>
      <c r="AP358" s="163">
        <f>0.7%+0.02%+0.08%</f>
        <v>0.008</v>
      </c>
      <c r="AQ358" s="192">
        <f t="shared" si="41"/>
        <v>100</v>
      </c>
      <c r="AR358" s="192">
        <v>100</v>
      </c>
      <c r="AS358" s="158"/>
      <c r="AT358" s="158"/>
      <c r="AU358" s="158"/>
      <c r="AV358" s="158"/>
      <c r="AW358" s="158"/>
      <c r="AX358" s="158"/>
      <c r="AY358" s="158"/>
      <c r="AZ358" s="158"/>
      <c r="BB358" s="158"/>
      <c r="BC358" s="131">
        <v>174945</v>
      </c>
      <c r="BF358" s="131">
        <v>660000</v>
      </c>
      <c r="BQ358" s="131" t="s">
        <v>205</v>
      </c>
      <c r="BR358" s="131" t="s">
        <v>206</v>
      </c>
    </row>
    <row r="359" s="131" customFormat="1" customHeight="1" spans="1:70">
      <c r="A359" s="175">
        <v>291</v>
      </c>
      <c r="C359" s="131" t="s">
        <v>384</v>
      </c>
      <c r="D359" s="131">
        <v>20230008368</v>
      </c>
      <c r="F359" s="216" t="s">
        <v>3931</v>
      </c>
      <c r="G359" s="175" t="s">
        <v>3932</v>
      </c>
      <c r="H359" s="727" t="s">
        <v>3933</v>
      </c>
      <c r="I359" s="191" t="s">
        <v>3934</v>
      </c>
      <c r="J359" s="131">
        <v>147.09</v>
      </c>
      <c r="K359" s="131">
        <v>147.09</v>
      </c>
      <c r="L359" s="131">
        <v>6067.84</v>
      </c>
      <c r="M359" s="158">
        <v>892519</v>
      </c>
      <c r="N359" s="158">
        <v>6067.84</v>
      </c>
      <c r="O359" s="188"/>
      <c r="P359" s="216"/>
      <c r="R359" s="158"/>
      <c r="S359" s="159"/>
      <c r="T359" s="727" t="s">
        <v>1479</v>
      </c>
      <c r="U359" s="159" t="s">
        <v>226</v>
      </c>
      <c r="V359" s="158">
        <f>10000-10000</f>
        <v>0</v>
      </c>
      <c r="W359" s="159" t="s">
        <v>1286</v>
      </c>
      <c r="X359" s="158">
        <v>10000</v>
      </c>
      <c r="Y359" s="159" t="s">
        <v>341</v>
      </c>
      <c r="Z359" s="158">
        <v>60519</v>
      </c>
      <c r="AA359" s="159" t="s">
        <v>243</v>
      </c>
      <c r="AB359" s="158">
        <v>75900</v>
      </c>
      <c r="AC359" s="143" t="s">
        <v>502</v>
      </c>
      <c r="AD359" s="143">
        <f>36100+11000</f>
        <v>47100</v>
      </c>
      <c r="AE359" s="143" t="s">
        <v>1287</v>
      </c>
      <c r="AF359" s="158">
        <v>699000</v>
      </c>
      <c r="AG359" s="159" t="s">
        <v>3935</v>
      </c>
      <c r="AH359" s="158">
        <f t="shared" si="39"/>
        <v>892519</v>
      </c>
      <c r="AK359" s="131">
        <f t="shared" ref="AK359:AK366" si="45">M359-AH359</f>
        <v>0</v>
      </c>
      <c r="AL359" s="216" t="s">
        <v>3936</v>
      </c>
      <c r="AM359" s="216"/>
      <c r="AN359" s="237"/>
      <c r="AO359" s="131">
        <f t="shared" si="40"/>
        <v>892519</v>
      </c>
      <c r="AP359" s="163">
        <f>0.6%+0.04%+0.12%</f>
        <v>0.0076</v>
      </c>
      <c r="AQ359" s="192">
        <f t="shared" si="41"/>
        <v>300</v>
      </c>
      <c r="AR359" s="158"/>
      <c r="AS359" s="158"/>
      <c r="AT359" s="158"/>
      <c r="AU359" s="158"/>
      <c r="AV359" s="158"/>
      <c r="AW359" s="158">
        <v>100</v>
      </c>
      <c r="AX359" s="158">
        <v>200</v>
      </c>
      <c r="AY359" s="158"/>
      <c r="AZ359" s="158"/>
      <c r="BA359" s="220"/>
      <c r="BB359" s="158">
        <v>193519</v>
      </c>
      <c r="BC359" s="220">
        <v>699000</v>
      </c>
      <c r="BQ359" s="131" t="s">
        <v>205</v>
      </c>
      <c r="BR359" s="131" t="s">
        <v>206</v>
      </c>
    </row>
    <row r="360" s="131" customFormat="1" ht="45" customHeight="1" spans="1:70">
      <c r="A360" s="175">
        <v>292</v>
      </c>
      <c r="C360" s="131" t="s">
        <v>2977</v>
      </c>
      <c r="D360" s="131">
        <v>20240000310</v>
      </c>
      <c r="F360" s="216" t="s">
        <v>3937</v>
      </c>
      <c r="G360" s="214" t="s">
        <v>3938</v>
      </c>
      <c r="H360" s="175"/>
      <c r="I360" s="187" t="s">
        <v>3939</v>
      </c>
      <c r="J360" s="131">
        <v>137.88</v>
      </c>
      <c r="K360" s="131">
        <v>137.88</v>
      </c>
      <c r="L360" s="131">
        <v>6082.76</v>
      </c>
      <c r="M360" s="158">
        <v>838692</v>
      </c>
      <c r="N360" s="158">
        <v>6082.76</v>
      </c>
      <c r="O360" s="188"/>
      <c r="P360" s="216"/>
      <c r="R360" s="158"/>
      <c r="S360" s="159"/>
      <c r="T360" s="214" t="s">
        <v>3940</v>
      </c>
      <c r="U360" s="213" t="s">
        <v>3941</v>
      </c>
      <c r="V360" s="158">
        <f>10000-10000</f>
        <v>0</v>
      </c>
      <c r="W360" s="159"/>
      <c r="X360" s="158">
        <v>20000</v>
      </c>
      <c r="Y360" s="159" t="s">
        <v>251</v>
      </c>
      <c r="Z360" s="158">
        <v>20000</v>
      </c>
      <c r="AA360" s="159" t="s">
        <v>1835</v>
      </c>
      <c r="AB360" s="158">
        <v>128692</v>
      </c>
      <c r="AC360" s="159" t="s">
        <v>2977</v>
      </c>
      <c r="AD360" s="158">
        <v>670000</v>
      </c>
      <c r="AE360" s="159" t="s">
        <v>3098</v>
      </c>
      <c r="AF360" s="143"/>
      <c r="AG360" s="143"/>
      <c r="AH360" s="158">
        <f t="shared" si="39"/>
        <v>838692</v>
      </c>
      <c r="AK360" s="131">
        <f t="shared" si="45"/>
        <v>0</v>
      </c>
      <c r="AL360" s="216" t="s">
        <v>3942</v>
      </c>
      <c r="AM360" s="216"/>
      <c r="AN360" s="237"/>
      <c r="AO360" s="131">
        <f t="shared" si="40"/>
        <v>838692</v>
      </c>
      <c r="AP360" s="163">
        <f>0.6%+0.02%+0.08%</f>
        <v>0.007</v>
      </c>
      <c r="AQ360" s="192">
        <f t="shared" si="41"/>
        <v>200</v>
      </c>
      <c r="AR360" s="158"/>
      <c r="AS360" s="158"/>
      <c r="AT360" s="158"/>
      <c r="AU360" s="158"/>
      <c r="AV360" s="158">
        <v>100</v>
      </c>
      <c r="AW360" s="158"/>
      <c r="AX360" s="158">
        <v>100</v>
      </c>
      <c r="AY360" s="158"/>
      <c r="AZ360" s="158"/>
      <c r="BA360" s="220"/>
      <c r="BB360" s="158"/>
      <c r="BC360" s="220"/>
      <c r="BE360" s="131">
        <v>168692</v>
      </c>
      <c r="BF360" s="131">
        <v>670000</v>
      </c>
      <c r="BQ360" s="131" t="s">
        <v>205</v>
      </c>
      <c r="BR360" s="131" t="s">
        <v>206</v>
      </c>
    </row>
    <row r="361" s="131" customFormat="1" ht="50" customHeight="1" spans="1:70">
      <c r="A361" s="175">
        <v>293</v>
      </c>
      <c r="C361" s="131" t="s">
        <v>351</v>
      </c>
      <c r="D361" s="131">
        <v>20230008636</v>
      </c>
      <c r="F361" s="216" t="s">
        <v>3943</v>
      </c>
      <c r="G361" s="214" t="s">
        <v>3944</v>
      </c>
      <c r="H361" s="727" t="s">
        <v>3945</v>
      </c>
      <c r="I361" s="191" t="s">
        <v>3946</v>
      </c>
      <c r="J361" s="131">
        <v>147.09</v>
      </c>
      <c r="K361" s="131">
        <v>147.09</v>
      </c>
      <c r="L361" s="131">
        <v>6096.75</v>
      </c>
      <c r="M361" s="158">
        <v>896772</v>
      </c>
      <c r="N361" s="158">
        <v>6096.75</v>
      </c>
      <c r="O361" s="188"/>
      <c r="P361" s="216"/>
      <c r="R361" s="158"/>
      <c r="S361" s="159"/>
      <c r="T361" s="727" t="s">
        <v>1840</v>
      </c>
      <c r="U361" s="213" t="s">
        <v>3913</v>
      </c>
      <c r="V361" s="158">
        <f>10000-10000</f>
        <v>0</v>
      </c>
      <c r="W361" s="159" t="s">
        <v>3787</v>
      </c>
      <c r="X361" s="158">
        <v>10000</v>
      </c>
      <c r="Y361" s="159" t="s">
        <v>341</v>
      </c>
      <c r="Z361" s="158">
        <v>156772</v>
      </c>
      <c r="AA361" s="159" t="s">
        <v>351</v>
      </c>
      <c r="AB361" s="158">
        <v>20000</v>
      </c>
      <c r="AC361" s="159" t="s">
        <v>324</v>
      </c>
      <c r="AD361" s="175">
        <v>8000</v>
      </c>
      <c r="AE361" s="143" t="s">
        <v>3641</v>
      </c>
      <c r="AF361" s="158">
        <v>702000</v>
      </c>
      <c r="AG361" s="159" t="s">
        <v>3749</v>
      </c>
      <c r="AH361" s="158">
        <f t="shared" si="39"/>
        <v>896772</v>
      </c>
      <c r="AK361" s="131">
        <f t="shared" si="45"/>
        <v>0</v>
      </c>
      <c r="AL361" s="216" t="s">
        <v>3947</v>
      </c>
      <c r="AM361" s="216"/>
      <c r="AN361" s="237"/>
      <c r="AO361" s="131">
        <f t="shared" si="40"/>
        <v>896772</v>
      </c>
      <c r="AP361" s="163">
        <f>0.6%+0.04%+0.12%</f>
        <v>0.0076</v>
      </c>
      <c r="AQ361" s="192">
        <f t="shared" si="41"/>
        <v>300</v>
      </c>
      <c r="AR361" s="158"/>
      <c r="AS361" s="158"/>
      <c r="AT361" s="158"/>
      <c r="AU361" s="158"/>
      <c r="AV361" s="158"/>
      <c r="AW361" s="158">
        <v>100</v>
      </c>
      <c r="AX361" s="158">
        <v>200</v>
      </c>
      <c r="AY361" s="158"/>
      <c r="AZ361" s="158"/>
      <c r="BA361" s="220"/>
      <c r="BB361" s="158"/>
      <c r="BC361" s="220">
        <v>194772</v>
      </c>
      <c r="BD361" s="131">
        <v>702000</v>
      </c>
      <c r="BQ361" s="131" t="s">
        <v>205</v>
      </c>
      <c r="BR361" s="131" t="s">
        <v>206</v>
      </c>
    </row>
    <row r="362" s="131" customFormat="1" customHeight="1" spans="1:70">
      <c r="A362" s="175">
        <v>294</v>
      </c>
      <c r="C362" s="131">
        <v>2024.1</v>
      </c>
      <c r="D362" s="131">
        <v>20240000114</v>
      </c>
      <c r="F362" s="216" t="s">
        <v>3948</v>
      </c>
      <c r="G362" s="214" t="s">
        <v>3949</v>
      </c>
      <c r="H362" s="727" t="s">
        <v>3950</v>
      </c>
      <c r="I362" s="191" t="s">
        <v>3951</v>
      </c>
      <c r="J362" s="131">
        <v>137.88</v>
      </c>
      <c r="K362" s="131">
        <v>137.88</v>
      </c>
      <c r="L362" s="131">
        <v>6114.01</v>
      </c>
      <c r="M362" s="158">
        <v>843000</v>
      </c>
      <c r="N362" s="158">
        <v>6111.68</v>
      </c>
      <c r="O362" s="188"/>
      <c r="P362" s="216"/>
      <c r="R362" s="158"/>
      <c r="S362" s="159"/>
      <c r="T362" s="727" t="s">
        <v>2350</v>
      </c>
      <c r="U362" s="159" t="s">
        <v>291</v>
      </c>
      <c r="V362" s="158">
        <f>10000-10000</f>
        <v>0</v>
      </c>
      <c r="W362" s="159" t="s">
        <v>3952</v>
      </c>
      <c r="X362" s="158">
        <v>20000</v>
      </c>
      <c r="Y362" s="159" t="s">
        <v>426</v>
      </c>
      <c r="Z362" s="175">
        <v>103000</v>
      </c>
      <c r="AA362" s="198" t="s">
        <v>2808</v>
      </c>
      <c r="AB362" s="158">
        <v>50000</v>
      </c>
      <c r="AC362" s="143" t="s">
        <v>3953</v>
      </c>
      <c r="AD362" s="158">
        <v>670000</v>
      </c>
      <c r="AE362" s="159" t="s">
        <v>2996</v>
      </c>
      <c r="AF362" s="143"/>
      <c r="AG362" s="143"/>
      <c r="AH362" s="158">
        <f t="shared" si="39"/>
        <v>843000</v>
      </c>
      <c r="AK362" s="131">
        <f t="shared" si="45"/>
        <v>0</v>
      </c>
      <c r="AL362" s="216" t="s">
        <v>3954</v>
      </c>
      <c r="AM362" s="216"/>
      <c r="AN362" s="237"/>
      <c r="AO362" s="131">
        <f t="shared" si="40"/>
        <v>843000</v>
      </c>
      <c r="AP362" s="161">
        <f>0.4%+0.03%+0.08%</f>
        <v>0.0051</v>
      </c>
      <c r="AQ362" s="192">
        <f t="shared" si="41"/>
        <v>100</v>
      </c>
      <c r="AR362" s="192">
        <v>100</v>
      </c>
      <c r="AS362" s="158"/>
      <c r="AT362" s="158"/>
      <c r="AU362" s="158"/>
      <c r="AV362" s="158"/>
      <c r="AW362" s="158"/>
      <c r="AX362" s="158"/>
      <c r="AY362" s="158"/>
      <c r="AZ362" s="158"/>
      <c r="BA362" s="220"/>
      <c r="BB362" s="158"/>
      <c r="BC362" s="220"/>
      <c r="BE362" s="131">
        <v>173000</v>
      </c>
      <c r="BG362" s="131">
        <v>670000</v>
      </c>
      <c r="BQ362" s="131" t="s">
        <v>205</v>
      </c>
      <c r="BR362" s="131" t="s">
        <v>206</v>
      </c>
    </row>
    <row r="363" s="131" customFormat="1" customHeight="1" spans="1:70">
      <c r="A363" s="175">
        <v>295</v>
      </c>
      <c r="C363" s="143">
        <v>45463</v>
      </c>
      <c r="D363" s="131">
        <v>20240003533</v>
      </c>
      <c r="F363" s="216" t="s">
        <v>3955</v>
      </c>
      <c r="G363" s="175" t="s">
        <v>3956</v>
      </c>
      <c r="H363" s="727" t="s">
        <v>3957</v>
      </c>
      <c r="I363" s="191" t="s">
        <v>3958</v>
      </c>
      <c r="J363" s="131">
        <v>147.09</v>
      </c>
      <c r="K363" s="131">
        <v>147.09</v>
      </c>
      <c r="L363" s="131">
        <f>M363/K363</f>
        <v>6118.70283499898</v>
      </c>
      <c r="M363" s="158">
        <v>900000</v>
      </c>
      <c r="N363" s="158">
        <v>6118.49</v>
      </c>
      <c r="O363" s="188"/>
      <c r="P363" s="216"/>
      <c r="T363" s="726" t="s">
        <v>3945</v>
      </c>
      <c r="U363" s="131" t="s">
        <v>226</v>
      </c>
      <c r="V363" s="131">
        <v>2000</v>
      </c>
      <c r="W363" s="131" t="s">
        <v>3959</v>
      </c>
      <c r="X363" s="158">
        <v>18000</v>
      </c>
      <c r="Y363" s="198" t="s">
        <v>3343</v>
      </c>
      <c r="Z363" s="131">
        <v>160000</v>
      </c>
      <c r="AA363" s="131" t="s">
        <v>3039</v>
      </c>
      <c r="AB363" s="158">
        <v>45000</v>
      </c>
      <c r="AC363" s="143" t="s">
        <v>3039</v>
      </c>
      <c r="AD363" s="147">
        <v>675000</v>
      </c>
      <c r="AE363" s="143" t="s">
        <v>3960</v>
      </c>
      <c r="AF363" s="143"/>
      <c r="AG363" s="143"/>
      <c r="AH363" s="158">
        <f t="shared" si="39"/>
        <v>900000</v>
      </c>
      <c r="AK363" s="131">
        <f t="shared" si="45"/>
        <v>0</v>
      </c>
      <c r="AL363" s="216" t="s">
        <v>3961</v>
      </c>
      <c r="AM363" s="216"/>
      <c r="AN363" s="237"/>
      <c r="AO363" s="131">
        <f t="shared" si="40"/>
        <v>900000</v>
      </c>
      <c r="AP363" s="163">
        <f>0.7%+0.12%</f>
        <v>0.0082</v>
      </c>
      <c r="AQ363" s="192">
        <f t="shared" si="41"/>
        <v>0</v>
      </c>
      <c r="AR363" s="158"/>
      <c r="AS363" s="158"/>
      <c r="AT363" s="158"/>
      <c r="AU363" s="158"/>
      <c r="AV363" s="158"/>
      <c r="AW363" s="158"/>
      <c r="AX363" s="158"/>
      <c r="AY363" s="158"/>
      <c r="AZ363" s="158"/>
      <c r="BA363" s="220"/>
      <c r="BB363" s="158"/>
      <c r="BC363" s="220"/>
      <c r="BJ363" s="131">
        <v>900000</v>
      </c>
      <c r="BQ363" s="131" t="s">
        <v>205</v>
      </c>
      <c r="BR363" s="131" t="s">
        <v>206</v>
      </c>
    </row>
    <row r="364" s="131" customFormat="1" ht="46" customHeight="1" spans="1:70">
      <c r="A364" s="175">
        <v>296</v>
      </c>
      <c r="C364" s="131" t="s">
        <v>351</v>
      </c>
      <c r="D364" s="131">
        <v>20230008640</v>
      </c>
      <c r="F364" s="216" t="s">
        <v>3962</v>
      </c>
      <c r="G364" s="214" t="s">
        <v>3963</v>
      </c>
      <c r="H364" s="727" t="s">
        <v>3964</v>
      </c>
      <c r="I364" s="187" t="s">
        <v>3965</v>
      </c>
      <c r="J364" s="131">
        <v>137.88</v>
      </c>
      <c r="K364" s="131">
        <v>137.88</v>
      </c>
      <c r="L364" s="131">
        <v>6133.42</v>
      </c>
      <c r="M364" s="158">
        <v>845676</v>
      </c>
      <c r="N364" s="158">
        <v>6133.42</v>
      </c>
      <c r="O364" s="188"/>
      <c r="P364" s="216"/>
      <c r="R364" s="158"/>
      <c r="S364" s="159"/>
      <c r="T364" s="727" t="s">
        <v>3966</v>
      </c>
      <c r="U364" s="213" t="s">
        <v>3967</v>
      </c>
      <c r="V364" s="158">
        <f>10000-10000</f>
        <v>0</v>
      </c>
      <c r="W364" s="159" t="s">
        <v>1710</v>
      </c>
      <c r="X364" s="158">
        <v>10000</v>
      </c>
      <c r="Y364" s="159" t="s">
        <v>341</v>
      </c>
      <c r="Z364" s="158">
        <v>65000</v>
      </c>
      <c r="AA364" s="159" t="s">
        <v>388</v>
      </c>
      <c r="AB364" s="158">
        <f>120000+676</f>
        <v>120676</v>
      </c>
      <c r="AC364" s="143" t="s">
        <v>1528</v>
      </c>
      <c r="AD364" s="147">
        <v>10000</v>
      </c>
      <c r="AE364" s="143" t="s">
        <v>3527</v>
      </c>
      <c r="AF364" s="158">
        <f>190000+450000</f>
        <v>640000</v>
      </c>
      <c r="AG364" s="213" t="s">
        <v>3968</v>
      </c>
      <c r="AH364" s="158">
        <f t="shared" si="39"/>
        <v>845676</v>
      </c>
      <c r="AK364" s="131">
        <f t="shared" si="45"/>
        <v>0</v>
      </c>
      <c r="AL364" s="216" t="s">
        <v>3969</v>
      </c>
      <c r="AM364" s="216"/>
      <c r="AN364" s="237"/>
      <c r="AO364" s="131">
        <f t="shared" si="40"/>
        <v>845676</v>
      </c>
      <c r="AP364" s="163">
        <f>0.7%+0.02%+0.12%</f>
        <v>0.0084</v>
      </c>
      <c r="AQ364" s="192">
        <f t="shared" si="41"/>
        <v>300</v>
      </c>
      <c r="AR364" s="158"/>
      <c r="AS364" s="158"/>
      <c r="AT364" s="158"/>
      <c r="AU364" s="158">
        <v>100</v>
      </c>
      <c r="AV364" s="158"/>
      <c r="AW364" s="158"/>
      <c r="AX364" s="158">
        <v>200</v>
      </c>
      <c r="AY364" s="158"/>
      <c r="AZ364" s="158"/>
      <c r="BA364" s="220"/>
      <c r="BB364" s="158"/>
      <c r="BC364" s="220">
        <v>395676</v>
      </c>
      <c r="BD364" s="131">
        <v>450000</v>
      </c>
      <c r="BQ364" s="131" t="s">
        <v>205</v>
      </c>
      <c r="BR364" s="131" t="s">
        <v>206</v>
      </c>
    </row>
    <row r="365" s="131" customFormat="1" ht="49" customHeight="1" spans="1:70">
      <c r="A365" s="175">
        <v>297</v>
      </c>
      <c r="C365" s="143">
        <v>45398</v>
      </c>
      <c r="D365" s="131">
        <v>20240002103</v>
      </c>
      <c r="F365" s="216" t="s">
        <v>3970</v>
      </c>
      <c r="G365" s="214" t="s">
        <v>3971</v>
      </c>
      <c r="H365" s="175"/>
      <c r="I365" s="191" t="s">
        <v>3972</v>
      </c>
      <c r="J365" s="131">
        <v>147.09</v>
      </c>
      <c r="K365" s="131">
        <v>147.09</v>
      </c>
      <c r="L365" s="131">
        <v>7160</v>
      </c>
      <c r="M365" s="158">
        <v>1053164</v>
      </c>
      <c r="N365" s="158">
        <v>7159</v>
      </c>
      <c r="O365" s="188"/>
      <c r="P365" s="216"/>
      <c r="R365" s="158"/>
      <c r="S365" s="159"/>
      <c r="T365" s="214"/>
      <c r="U365" s="213" t="s">
        <v>422</v>
      </c>
      <c r="V365" s="158">
        <v>20000</v>
      </c>
      <c r="W365" s="159" t="s">
        <v>3098</v>
      </c>
      <c r="X365" s="158">
        <v>300000</v>
      </c>
      <c r="Y365" s="243" t="s">
        <v>3973</v>
      </c>
      <c r="Z365" s="158">
        <v>733164</v>
      </c>
      <c r="AA365" s="159" t="s">
        <v>3959</v>
      </c>
      <c r="AB365" s="158"/>
      <c r="AC365" s="243"/>
      <c r="AD365" s="158"/>
      <c r="AE365" s="159"/>
      <c r="AF365" s="143"/>
      <c r="AG365" s="143"/>
      <c r="AH365" s="158">
        <f t="shared" si="39"/>
        <v>1053164</v>
      </c>
      <c r="AK365" s="131">
        <f t="shared" si="45"/>
        <v>0</v>
      </c>
      <c r="AL365" s="216" t="s">
        <v>3974</v>
      </c>
      <c r="AM365" s="216"/>
      <c r="AN365" s="237"/>
      <c r="AO365" s="131">
        <f t="shared" si="40"/>
        <v>1053164</v>
      </c>
      <c r="AP365" s="161">
        <f>0.7%+0.05%+0.14%</f>
        <v>0.0089</v>
      </c>
      <c r="AQ365" s="192">
        <f t="shared" si="41"/>
        <v>200</v>
      </c>
      <c r="AR365" s="192">
        <v>100</v>
      </c>
      <c r="AS365" s="158"/>
      <c r="AT365" s="158"/>
      <c r="AU365" s="158"/>
      <c r="AV365" s="158">
        <v>100</v>
      </c>
      <c r="AW365" s="158"/>
      <c r="AX365" s="158"/>
      <c r="AY365" s="158"/>
      <c r="AZ365" s="158"/>
      <c r="BA365" s="220"/>
      <c r="BB365" s="158"/>
      <c r="BC365" s="220"/>
      <c r="BH365" s="131">
        <v>1053164</v>
      </c>
      <c r="BQ365" s="131" t="s">
        <v>205</v>
      </c>
      <c r="BR365" s="131" t="s">
        <v>206</v>
      </c>
    </row>
    <row r="366" s="131" customFormat="1" customHeight="1" spans="1:54">
      <c r="A366" s="175">
        <v>298</v>
      </c>
      <c r="F366" s="216"/>
      <c r="G366" s="175" t="s">
        <v>3975</v>
      </c>
      <c r="H366" s="175"/>
      <c r="I366" s="187" t="s">
        <v>3976</v>
      </c>
      <c r="J366" s="131">
        <v>137.88</v>
      </c>
      <c r="K366" s="131">
        <v>137.88</v>
      </c>
      <c r="L366" s="131">
        <v>7107.63</v>
      </c>
      <c r="M366" s="158">
        <v>980000</v>
      </c>
      <c r="N366" s="158">
        <v>7107.63</v>
      </c>
      <c r="O366" s="188"/>
      <c r="P366" s="216"/>
      <c r="R366" s="158"/>
      <c r="S366" s="159"/>
      <c r="T366" s="175"/>
      <c r="U366" s="159" t="s">
        <v>211</v>
      </c>
      <c r="V366" s="158">
        <f>10000-10000</f>
        <v>0</v>
      </c>
      <c r="W366" s="159" t="s">
        <v>397</v>
      </c>
      <c r="X366" s="158"/>
      <c r="Y366" s="198"/>
      <c r="Z366" s="175"/>
      <c r="AA366" s="198"/>
      <c r="AB366" s="158"/>
      <c r="AC366" s="143"/>
      <c r="AD366" s="143"/>
      <c r="AE366" s="143"/>
      <c r="AF366" s="143"/>
      <c r="AG366" s="143"/>
      <c r="AH366" s="158">
        <f t="shared" si="39"/>
        <v>0</v>
      </c>
      <c r="AK366" s="131">
        <f t="shared" si="45"/>
        <v>980000</v>
      </c>
      <c r="AL366" s="216"/>
      <c r="AM366" s="216"/>
      <c r="AN366" s="237"/>
      <c r="AO366" s="131">
        <f t="shared" si="40"/>
        <v>0</v>
      </c>
      <c r="AP366" s="161">
        <f>0.7%+0.05%+0.12%</f>
        <v>0.0087</v>
      </c>
      <c r="AQ366" s="192">
        <f t="shared" si="41"/>
        <v>0</v>
      </c>
      <c r="AR366" s="158"/>
      <c r="AS366" s="158"/>
      <c r="AT366" s="158"/>
      <c r="AU366" s="158"/>
      <c r="AV366" s="158"/>
      <c r="AW366" s="158"/>
      <c r="AX366" s="158"/>
      <c r="AY366" s="158"/>
      <c r="AZ366" s="158"/>
      <c r="BB366" s="158"/>
    </row>
    <row r="367" s="131" customFormat="1" customHeight="1" spans="1:70">
      <c r="A367" s="175">
        <v>299</v>
      </c>
      <c r="C367" s="131" t="s">
        <v>262</v>
      </c>
      <c r="D367" s="131">
        <v>20230008511</v>
      </c>
      <c r="F367" s="216" t="s">
        <v>3977</v>
      </c>
      <c r="G367" s="175" t="s">
        <v>3978</v>
      </c>
      <c r="H367" s="727" t="s">
        <v>3979</v>
      </c>
      <c r="I367" s="191" t="s">
        <v>3980</v>
      </c>
      <c r="J367" s="131">
        <v>140.45</v>
      </c>
      <c r="K367" s="131">
        <v>140.48</v>
      </c>
      <c r="L367" s="131">
        <v>8246</v>
      </c>
      <c r="M367" s="158">
        <v>1158151</v>
      </c>
      <c r="N367" s="158">
        <v>8246</v>
      </c>
      <c r="O367" s="188"/>
      <c r="P367" s="216"/>
      <c r="R367" s="158"/>
      <c r="S367" s="159"/>
      <c r="T367" s="727" t="s">
        <v>1615</v>
      </c>
      <c r="U367" s="159" t="s">
        <v>422</v>
      </c>
      <c r="V367" s="158">
        <v>10000</v>
      </c>
      <c r="W367" s="159" t="s">
        <v>1172</v>
      </c>
      <c r="X367" s="158">
        <v>10000</v>
      </c>
      <c r="Y367" s="159" t="s">
        <v>341</v>
      </c>
      <c r="Z367" s="158">
        <f>30000+57151</f>
        <v>87151</v>
      </c>
      <c r="AA367" s="159" t="s">
        <v>243</v>
      </c>
      <c r="AB367" s="158">
        <v>100000</v>
      </c>
      <c r="AC367" s="159" t="s">
        <v>236</v>
      </c>
      <c r="AD367" s="158">
        <v>25000</v>
      </c>
      <c r="AE367" s="159" t="s">
        <v>280</v>
      </c>
      <c r="AF367" s="175">
        <v>926000</v>
      </c>
      <c r="AG367" s="143" t="s">
        <v>3894</v>
      </c>
      <c r="AH367" s="158">
        <f t="shared" si="39"/>
        <v>1158151</v>
      </c>
      <c r="AK367" s="131">
        <f t="shared" ref="AK367:AK374" si="46">M367-AH367</f>
        <v>0</v>
      </c>
      <c r="AL367" s="216" t="s">
        <v>3981</v>
      </c>
      <c r="AM367" s="216"/>
      <c r="AN367" s="237"/>
      <c r="AO367" s="131">
        <f t="shared" si="40"/>
        <v>1158151</v>
      </c>
      <c r="AP367" s="163">
        <f>0.7%+0.04%+0.12%</f>
        <v>0.0086</v>
      </c>
      <c r="AQ367" s="192">
        <f t="shared" si="41"/>
        <v>300</v>
      </c>
      <c r="AR367" s="158"/>
      <c r="AS367" s="158"/>
      <c r="AT367" s="158">
        <v>100</v>
      </c>
      <c r="AU367" s="158"/>
      <c r="AV367" s="158"/>
      <c r="AW367" s="158"/>
      <c r="AX367" s="158">
        <v>200</v>
      </c>
      <c r="AY367" s="158"/>
      <c r="AZ367" s="158"/>
      <c r="BB367" s="158"/>
      <c r="BD367" s="131">
        <v>1158151</v>
      </c>
      <c r="BQ367" s="131" t="s">
        <v>205</v>
      </c>
      <c r="BR367" s="131" t="s">
        <v>206</v>
      </c>
    </row>
    <row r="368" s="131" customFormat="1" ht="46" customHeight="1" spans="1:70">
      <c r="A368" s="175">
        <v>300</v>
      </c>
      <c r="C368" s="143">
        <v>45417</v>
      </c>
      <c r="D368" s="131">
        <v>20240002580</v>
      </c>
      <c r="F368" s="216" t="s">
        <v>3982</v>
      </c>
      <c r="G368" s="214" t="s">
        <v>3983</v>
      </c>
      <c r="H368" s="727" t="s">
        <v>3984</v>
      </c>
      <c r="I368" s="187" t="s">
        <v>3985</v>
      </c>
      <c r="J368" s="131">
        <v>141.05</v>
      </c>
      <c r="K368" s="131">
        <v>141.05</v>
      </c>
      <c r="L368" s="131">
        <v>8231.1</v>
      </c>
      <c r="M368" s="158">
        <v>1161000</v>
      </c>
      <c r="N368" s="158">
        <v>8227</v>
      </c>
      <c r="O368" s="188"/>
      <c r="P368" s="216"/>
      <c r="R368" s="158"/>
      <c r="S368" s="159"/>
      <c r="T368" s="214"/>
      <c r="U368" s="213" t="s">
        <v>211</v>
      </c>
      <c r="V368" s="158">
        <v>20000</v>
      </c>
      <c r="W368" s="159" t="s">
        <v>691</v>
      </c>
      <c r="X368" s="158">
        <f>422000+719000</f>
        <v>1141000</v>
      </c>
      <c r="Y368" s="159" t="s">
        <v>687</v>
      </c>
      <c r="Z368" s="158"/>
      <c r="AA368" s="159"/>
      <c r="AB368" s="158"/>
      <c r="AC368" s="143"/>
      <c r="AD368" s="143"/>
      <c r="AE368" s="143"/>
      <c r="AF368" s="143"/>
      <c r="AG368" s="143"/>
      <c r="AH368" s="158">
        <f t="shared" si="39"/>
        <v>1161000</v>
      </c>
      <c r="AK368" s="131">
        <f t="shared" si="46"/>
        <v>0</v>
      </c>
      <c r="AL368" s="216" t="s">
        <v>3986</v>
      </c>
      <c r="AM368" s="216"/>
      <c r="AN368" s="237"/>
      <c r="AO368" s="131">
        <f t="shared" si="40"/>
        <v>1161000</v>
      </c>
      <c r="AP368" s="161">
        <f>0.7%+0.03%+0.08%</f>
        <v>0.0081</v>
      </c>
      <c r="AQ368" s="192">
        <f t="shared" si="41"/>
        <v>400</v>
      </c>
      <c r="AR368" s="158"/>
      <c r="AS368" s="158"/>
      <c r="AT368" s="158"/>
      <c r="AU368" s="158">
        <v>100</v>
      </c>
      <c r="AV368" s="158"/>
      <c r="AW368" s="158">
        <v>100</v>
      </c>
      <c r="AX368" s="158">
        <v>200</v>
      </c>
      <c r="AY368" s="158"/>
      <c r="AZ368" s="158"/>
      <c r="BB368" s="158"/>
      <c r="BI368" s="131">
        <v>1161000</v>
      </c>
      <c r="BQ368" s="131" t="s">
        <v>205</v>
      </c>
      <c r="BR368" s="131" t="s">
        <v>206</v>
      </c>
    </row>
    <row r="369" s="131" customFormat="1" customHeight="1" spans="1:54">
      <c r="A369" s="175">
        <v>301</v>
      </c>
      <c r="B369" s="131">
        <v>1</v>
      </c>
      <c r="C369" s="131" t="s">
        <v>91</v>
      </c>
      <c r="D369" s="131">
        <v>20240005865</v>
      </c>
      <c r="F369" s="216" t="s">
        <v>3987</v>
      </c>
      <c r="G369" s="175" t="s">
        <v>3988</v>
      </c>
      <c r="H369" s="175"/>
      <c r="I369" s="191" t="s">
        <v>3989</v>
      </c>
      <c r="J369" s="131">
        <v>137.88</v>
      </c>
      <c r="K369" s="131">
        <v>137.88</v>
      </c>
      <c r="L369" s="131">
        <v>5475.776</v>
      </c>
      <c r="M369" s="158">
        <v>755000</v>
      </c>
      <c r="N369" s="158">
        <v>5475.776</v>
      </c>
      <c r="O369" s="188"/>
      <c r="P369" s="216"/>
      <c r="R369" s="158">
        <v>41000</v>
      </c>
      <c r="S369" s="159" t="s">
        <v>91</v>
      </c>
      <c r="T369" s="175"/>
      <c r="U369" s="159"/>
      <c r="V369" s="158">
        <v>41000</v>
      </c>
      <c r="W369" s="159" t="s">
        <v>91</v>
      </c>
      <c r="X369" s="158"/>
      <c r="Y369" s="198"/>
      <c r="Z369" s="175"/>
      <c r="AA369" s="198"/>
      <c r="AB369" s="158"/>
      <c r="AC369" s="143"/>
      <c r="AD369" s="143"/>
      <c r="AE369" s="143"/>
      <c r="AF369" s="143"/>
      <c r="AG369" s="143"/>
      <c r="AH369" s="158">
        <f t="shared" si="39"/>
        <v>41000</v>
      </c>
      <c r="AK369" s="131">
        <f t="shared" si="46"/>
        <v>714000</v>
      </c>
      <c r="AL369" s="216" t="s">
        <v>3990</v>
      </c>
      <c r="AM369" s="216" t="s">
        <v>2860</v>
      </c>
      <c r="AN369" s="237"/>
      <c r="AO369" s="131">
        <f t="shared" si="40"/>
        <v>0</v>
      </c>
      <c r="AP369" s="163"/>
      <c r="AQ369" s="192">
        <f t="shared" si="41"/>
        <v>0</v>
      </c>
      <c r="AR369" s="158"/>
      <c r="AS369" s="158"/>
      <c r="AT369" s="158"/>
      <c r="AU369" s="158"/>
      <c r="AV369" s="158"/>
      <c r="AW369" s="158"/>
      <c r="AX369" s="158"/>
      <c r="AY369" s="158"/>
      <c r="AZ369" s="158"/>
      <c r="BB369" s="158"/>
    </row>
    <row r="370" s="89" customFormat="1" customHeight="1" spans="1:54">
      <c r="A370" s="167">
        <v>302</v>
      </c>
      <c r="F370" s="227"/>
      <c r="G370" s="167"/>
      <c r="H370" s="167"/>
      <c r="I370" s="183" t="s">
        <v>3991</v>
      </c>
      <c r="J370" s="89">
        <v>138.37</v>
      </c>
      <c r="M370" s="168"/>
      <c r="N370" s="168">
        <v>5750.63</v>
      </c>
      <c r="O370" s="170"/>
      <c r="P370" s="227"/>
      <c r="R370" s="168"/>
      <c r="S370" s="171"/>
      <c r="T370" s="167"/>
      <c r="U370" s="171"/>
      <c r="V370" s="168"/>
      <c r="W370" s="225"/>
      <c r="X370" s="168"/>
      <c r="Y370" s="197"/>
      <c r="Z370" s="167"/>
      <c r="AA370" s="197"/>
      <c r="AB370" s="168"/>
      <c r="AC370" s="225"/>
      <c r="AD370" s="225"/>
      <c r="AE370" s="225"/>
      <c r="AF370" s="225"/>
      <c r="AG370" s="225"/>
      <c r="AH370" s="168">
        <f t="shared" si="39"/>
        <v>0</v>
      </c>
      <c r="AL370" s="227"/>
      <c r="AM370" s="227"/>
      <c r="AN370" s="245"/>
      <c r="AO370" s="89">
        <f t="shared" si="40"/>
        <v>0</v>
      </c>
      <c r="AP370" s="106"/>
      <c r="AQ370" s="204">
        <f t="shared" si="41"/>
        <v>0</v>
      </c>
      <c r="AR370" s="168"/>
      <c r="AS370" s="168"/>
      <c r="AT370" s="168"/>
      <c r="AU370" s="168"/>
      <c r="AV370" s="168"/>
      <c r="AW370" s="168"/>
      <c r="AX370" s="168"/>
      <c r="AY370" s="168"/>
      <c r="AZ370" s="168"/>
      <c r="BB370" s="168"/>
    </row>
    <row r="371" s="131" customFormat="1" customHeight="1" spans="1:70">
      <c r="A371" s="175">
        <v>303</v>
      </c>
      <c r="C371" s="131" t="s">
        <v>3635</v>
      </c>
      <c r="D371" s="131">
        <v>20240000085</v>
      </c>
      <c r="F371" s="727" t="s">
        <v>3992</v>
      </c>
      <c r="G371" s="175" t="s">
        <v>3993</v>
      </c>
      <c r="H371" s="727" t="s">
        <v>3994</v>
      </c>
      <c r="I371" s="191" t="s">
        <v>3995</v>
      </c>
      <c r="J371" s="131">
        <v>137.88</v>
      </c>
      <c r="K371" s="131">
        <v>137.88</v>
      </c>
      <c r="L371" s="131">
        <v>5840</v>
      </c>
      <c r="M371" s="158">
        <v>805219</v>
      </c>
      <c r="N371" s="158">
        <v>5824.29</v>
      </c>
      <c r="O371" s="188"/>
      <c r="P371" s="216"/>
      <c r="R371" s="158"/>
      <c r="S371" s="159"/>
      <c r="T371" s="175"/>
      <c r="U371" s="159" t="s">
        <v>1811</v>
      </c>
      <c r="V371" s="158">
        <v>20000</v>
      </c>
      <c r="W371" s="159" t="s">
        <v>455</v>
      </c>
      <c r="X371" s="158">
        <v>5219</v>
      </c>
      <c r="Y371" s="198" t="s">
        <v>374</v>
      </c>
      <c r="Z371" s="158">
        <v>65000</v>
      </c>
      <c r="AA371" s="159" t="s">
        <v>457</v>
      </c>
      <c r="AB371" s="158">
        <v>75000</v>
      </c>
      <c r="AC371" s="143" t="s">
        <v>457</v>
      </c>
      <c r="AD371" s="158">
        <v>640000</v>
      </c>
      <c r="AE371" s="159" t="s">
        <v>3045</v>
      </c>
      <c r="AF371" s="143"/>
      <c r="AG371" s="143"/>
      <c r="AH371" s="158">
        <f t="shared" si="39"/>
        <v>805219</v>
      </c>
      <c r="AK371" s="131">
        <f t="shared" si="46"/>
        <v>0</v>
      </c>
      <c r="AL371" s="216" t="s">
        <v>3996</v>
      </c>
      <c r="AM371" s="216"/>
      <c r="AN371" s="237"/>
      <c r="AO371" s="131">
        <f t="shared" si="40"/>
        <v>805219</v>
      </c>
      <c r="AP371" s="161">
        <f>0.4%+0.02%+0.08%</f>
        <v>0.005</v>
      </c>
      <c r="AQ371" s="192">
        <f t="shared" si="41"/>
        <v>0</v>
      </c>
      <c r="AR371" s="158"/>
      <c r="AS371" s="158"/>
      <c r="AT371" s="158"/>
      <c r="AU371" s="158"/>
      <c r="AV371" s="158"/>
      <c r="AW371" s="158"/>
      <c r="AX371" s="158"/>
      <c r="AY371" s="158"/>
      <c r="AZ371" s="158"/>
      <c r="BB371" s="158"/>
      <c r="BE371" s="131">
        <v>165219</v>
      </c>
      <c r="BG371" s="131">
        <v>640000</v>
      </c>
      <c r="BQ371" s="131" t="s">
        <v>205</v>
      </c>
      <c r="BR371" s="131" t="s">
        <v>206</v>
      </c>
    </row>
    <row r="372" s="131" customFormat="1" customHeight="1" spans="1:64">
      <c r="A372" s="175">
        <v>304</v>
      </c>
      <c r="C372" s="131" t="s">
        <v>2939</v>
      </c>
      <c r="D372" s="131">
        <v>20240004487</v>
      </c>
      <c r="F372" s="216" t="s">
        <v>3997</v>
      </c>
      <c r="G372" s="175" t="s">
        <v>3998</v>
      </c>
      <c r="H372" s="727" t="s">
        <v>3999</v>
      </c>
      <c r="I372" s="191" t="s">
        <v>4000</v>
      </c>
      <c r="J372" s="131">
        <v>138.37</v>
      </c>
      <c r="K372" s="131">
        <v>138.37</v>
      </c>
      <c r="L372" s="131">
        <v>5510</v>
      </c>
      <c r="M372" s="158">
        <v>762419</v>
      </c>
      <c r="N372" s="158">
        <v>5510</v>
      </c>
      <c r="O372" s="188"/>
      <c r="P372" s="216"/>
      <c r="R372" s="158"/>
      <c r="S372" s="159"/>
      <c r="T372" s="175"/>
      <c r="U372" s="159" t="s">
        <v>226</v>
      </c>
      <c r="V372" s="158">
        <v>10000</v>
      </c>
      <c r="W372" s="159" t="s">
        <v>4001</v>
      </c>
      <c r="X372" s="158">
        <v>50000</v>
      </c>
      <c r="Y372" s="159" t="s">
        <v>4002</v>
      </c>
      <c r="Z372" s="175">
        <v>102419</v>
      </c>
      <c r="AA372" s="198" t="s">
        <v>3713</v>
      </c>
      <c r="AB372" s="158"/>
      <c r="AC372" s="143"/>
      <c r="AD372" s="143"/>
      <c r="AE372" s="143"/>
      <c r="AF372" s="143"/>
      <c r="AG372" s="143"/>
      <c r="AH372" s="158">
        <f t="shared" si="39"/>
        <v>162419</v>
      </c>
      <c r="AK372" s="131">
        <f t="shared" si="46"/>
        <v>600000</v>
      </c>
      <c r="AL372" s="216" t="s">
        <v>4003</v>
      </c>
      <c r="AM372" s="216" t="s">
        <v>3007</v>
      </c>
      <c r="AN372" s="237"/>
      <c r="AO372" s="131">
        <f t="shared" si="40"/>
        <v>162419</v>
      </c>
      <c r="AP372" s="161">
        <f>0.7%+0.08%</f>
        <v>0.0078</v>
      </c>
      <c r="AQ372" s="192">
        <f t="shared" si="41"/>
        <v>0</v>
      </c>
      <c r="AR372" s="158"/>
      <c r="AS372" s="158"/>
      <c r="AT372" s="158"/>
      <c r="AU372" s="158"/>
      <c r="AV372" s="158"/>
      <c r="AW372" s="158"/>
      <c r="AX372" s="158"/>
      <c r="AY372" s="158"/>
      <c r="AZ372" s="158"/>
      <c r="BB372" s="158"/>
      <c r="BL372" s="131">
        <v>162419</v>
      </c>
    </row>
    <row r="373" s="131" customFormat="1" customHeight="1" spans="1:70">
      <c r="A373" s="175">
        <v>305</v>
      </c>
      <c r="C373" s="131" t="s">
        <v>2808</v>
      </c>
      <c r="D373" s="131">
        <v>20240000115</v>
      </c>
      <c r="F373" s="216" t="s">
        <v>4004</v>
      </c>
      <c r="G373" s="175" t="s">
        <v>4005</v>
      </c>
      <c r="H373" s="727" t="s">
        <v>4006</v>
      </c>
      <c r="I373" s="191" t="s">
        <v>4007</v>
      </c>
      <c r="J373" s="131">
        <v>137.88</v>
      </c>
      <c r="K373" s="131">
        <v>137.88</v>
      </c>
      <c r="L373" s="131">
        <v>5874.675</v>
      </c>
      <c r="M373" s="158">
        <v>810000</v>
      </c>
      <c r="N373" s="158">
        <v>5856.89</v>
      </c>
      <c r="O373" s="188"/>
      <c r="P373" s="216"/>
      <c r="R373" s="158"/>
      <c r="S373" s="159"/>
      <c r="T373" s="175"/>
      <c r="U373" s="159" t="s">
        <v>201</v>
      </c>
      <c r="V373" s="158">
        <v>20000</v>
      </c>
      <c r="W373" s="159" t="s">
        <v>426</v>
      </c>
      <c r="X373" s="158">
        <v>280000</v>
      </c>
      <c r="Y373" s="198" t="s">
        <v>2808</v>
      </c>
      <c r="Z373" s="175">
        <v>460000</v>
      </c>
      <c r="AA373" s="198" t="s">
        <v>1200</v>
      </c>
      <c r="AB373" s="158">
        <v>50000</v>
      </c>
      <c r="AC373" s="143" t="s">
        <v>3002</v>
      </c>
      <c r="AD373" s="143"/>
      <c r="AE373" s="143"/>
      <c r="AF373" s="143"/>
      <c r="AG373" s="143"/>
      <c r="AH373" s="158">
        <f t="shared" si="39"/>
        <v>810000</v>
      </c>
      <c r="AK373" s="131">
        <f t="shared" si="46"/>
        <v>0</v>
      </c>
      <c r="AL373" s="216" t="s">
        <v>4008</v>
      </c>
      <c r="AM373" s="216"/>
      <c r="AN373" s="237"/>
      <c r="AO373" s="131">
        <f t="shared" si="40"/>
        <v>810000</v>
      </c>
      <c r="AP373" s="161">
        <f>0.7%+0.08%</f>
        <v>0.0078</v>
      </c>
      <c r="AQ373" s="192">
        <f t="shared" si="41"/>
        <v>0</v>
      </c>
      <c r="AR373" s="158"/>
      <c r="AS373" s="158"/>
      <c r="AT373" s="158"/>
      <c r="AU373" s="158"/>
      <c r="AV373" s="158"/>
      <c r="AW373" s="158"/>
      <c r="AX373" s="158"/>
      <c r="AY373" s="158"/>
      <c r="AZ373" s="158"/>
      <c r="BB373" s="158"/>
      <c r="BE373" s="131">
        <v>810000</v>
      </c>
      <c r="BQ373" s="131" t="s">
        <v>205</v>
      </c>
      <c r="BR373" s="131" t="s">
        <v>206</v>
      </c>
    </row>
    <row r="374" s="131" customFormat="1" customHeight="1" spans="1:65">
      <c r="A374" s="175">
        <v>306</v>
      </c>
      <c r="B374" s="131"/>
      <c r="F374" s="216" t="s">
        <v>4009</v>
      </c>
      <c r="G374" s="175" t="s">
        <v>4010</v>
      </c>
      <c r="H374" s="727" t="s">
        <v>4011</v>
      </c>
      <c r="I374" s="191" t="s">
        <v>4012</v>
      </c>
      <c r="J374" s="131">
        <v>138.37</v>
      </c>
      <c r="K374" s="131">
        <v>138.37</v>
      </c>
      <c r="L374" s="131">
        <v>5540</v>
      </c>
      <c r="M374" s="158">
        <v>766570</v>
      </c>
      <c r="N374" s="158">
        <v>5540</v>
      </c>
      <c r="O374" s="188"/>
      <c r="P374" s="216"/>
      <c r="R374" s="158">
        <v>98000</v>
      </c>
      <c r="S374" s="159" t="s">
        <v>297</v>
      </c>
      <c r="T374" s="175"/>
      <c r="U374" s="159" t="s">
        <v>411</v>
      </c>
      <c r="V374" s="158">
        <v>10000</v>
      </c>
      <c r="W374" s="159">
        <v>45544</v>
      </c>
      <c r="X374" s="158">
        <v>45570</v>
      </c>
      <c r="Y374" s="198">
        <v>45550</v>
      </c>
      <c r="Z374" s="158">
        <v>98000</v>
      </c>
      <c r="AA374" s="159" t="s">
        <v>297</v>
      </c>
      <c r="AB374" s="158"/>
      <c r="AC374" s="143"/>
      <c r="AD374" s="143"/>
      <c r="AE374" s="143"/>
      <c r="AF374" s="143"/>
      <c r="AG374" s="143"/>
      <c r="AH374" s="158">
        <f t="shared" si="39"/>
        <v>153570</v>
      </c>
      <c r="AK374" s="131">
        <f t="shared" si="46"/>
        <v>613000</v>
      </c>
      <c r="AL374" s="216" t="s">
        <v>4013</v>
      </c>
      <c r="AM374" s="216" t="s">
        <v>2860</v>
      </c>
      <c r="AN374" s="237"/>
      <c r="AO374" s="131">
        <f t="shared" si="40"/>
        <v>0</v>
      </c>
      <c r="AP374" s="163">
        <f>0.6%+0.1%</f>
        <v>0.007</v>
      </c>
      <c r="AQ374" s="192">
        <f t="shared" si="41"/>
        <v>0</v>
      </c>
      <c r="AR374" s="158"/>
      <c r="AS374" s="158"/>
      <c r="AT374" s="158"/>
      <c r="AU374" s="158"/>
      <c r="AV374" s="158"/>
      <c r="AW374" s="158"/>
      <c r="AX374" s="158"/>
      <c r="AY374" s="158"/>
      <c r="AZ374" s="158"/>
      <c r="BB374" s="158"/>
      <c r="BL374" s="89"/>
      <c r="BM374" s="89"/>
    </row>
    <row r="375" s="131" customFormat="1" customHeight="1" spans="1:70">
      <c r="A375" s="175">
        <v>307</v>
      </c>
      <c r="C375" s="131" t="s">
        <v>341</v>
      </c>
      <c r="D375" s="131">
        <v>20230008287</v>
      </c>
      <c r="F375" s="216" t="s">
        <v>4014</v>
      </c>
      <c r="G375" s="175" t="s">
        <v>4015</v>
      </c>
      <c r="H375" s="727" t="s">
        <v>4016</v>
      </c>
      <c r="I375" s="191" t="s">
        <v>4017</v>
      </c>
      <c r="J375" s="131">
        <v>137.88</v>
      </c>
      <c r="K375" s="131">
        <v>137.88</v>
      </c>
      <c r="L375" s="131">
        <v>5931.24</v>
      </c>
      <c r="M375" s="158">
        <v>817800</v>
      </c>
      <c r="N375" s="158">
        <v>5931.24</v>
      </c>
      <c r="O375" s="188"/>
      <c r="P375" s="216"/>
      <c r="R375" s="158"/>
      <c r="S375" s="159"/>
      <c r="T375" s="727" t="s">
        <v>1428</v>
      </c>
      <c r="U375" s="159" t="s">
        <v>422</v>
      </c>
      <c r="V375" s="158">
        <v>10000</v>
      </c>
      <c r="W375" s="159" t="s">
        <v>1447</v>
      </c>
      <c r="X375" s="158">
        <v>10000</v>
      </c>
      <c r="Y375" s="159" t="s">
        <v>2679</v>
      </c>
      <c r="Z375" s="175">
        <v>143800</v>
      </c>
      <c r="AA375" s="198" t="s">
        <v>341</v>
      </c>
      <c r="AB375" s="158">
        <v>654000</v>
      </c>
      <c r="AC375" s="159" t="s">
        <v>1212</v>
      </c>
      <c r="AD375" s="143"/>
      <c r="AE375" s="143"/>
      <c r="AF375" s="143"/>
      <c r="AG375" s="143"/>
      <c r="AH375" s="158">
        <f t="shared" si="39"/>
        <v>817800</v>
      </c>
      <c r="AK375" s="131">
        <f t="shared" ref="AK375:AK386" si="47">M375-AH375</f>
        <v>0</v>
      </c>
      <c r="AL375" s="216" t="s">
        <v>4018</v>
      </c>
      <c r="AM375" s="216"/>
      <c r="AN375" s="237"/>
      <c r="AO375" s="131">
        <f t="shared" si="40"/>
        <v>817800</v>
      </c>
      <c r="AP375" s="163">
        <f>0.7%+0.04%+0.12%</f>
        <v>0.0086</v>
      </c>
      <c r="AQ375" s="192">
        <f t="shared" si="41"/>
        <v>300</v>
      </c>
      <c r="AR375" s="158"/>
      <c r="AS375" s="158"/>
      <c r="AT375" s="158">
        <v>100</v>
      </c>
      <c r="AU375" s="158"/>
      <c r="AV375" s="158"/>
      <c r="AW375" s="158"/>
      <c r="AX375" s="158">
        <v>200</v>
      </c>
      <c r="AY375" s="158"/>
      <c r="AZ375" s="158"/>
      <c r="BB375" s="158">
        <v>163800</v>
      </c>
      <c r="BC375" s="131">
        <v>654000</v>
      </c>
      <c r="BQ375" s="131" t="s">
        <v>205</v>
      </c>
      <c r="BR375" s="131" t="s">
        <v>206</v>
      </c>
    </row>
    <row r="376" s="131" customFormat="1" customHeight="1" spans="1:70">
      <c r="A376" s="175">
        <v>308</v>
      </c>
      <c r="C376" s="143">
        <v>45472</v>
      </c>
      <c r="D376" s="215" t="s">
        <v>4019</v>
      </c>
      <c r="F376" s="216" t="s">
        <v>4020</v>
      </c>
      <c r="G376" s="214" t="s">
        <v>4021</v>
      </c>
      <c r="H376" s="728" t="s">
        <v>4022</v>
      </c>
      <c r="I376" s="191" t="s">
        <v>4023</v>
      </c>
      <c r="J376" s="131">
        <v>138.37</v>
      </c>
      <c r="K376" s="131">
        <v>138.37</v>
      </c>
      <c r="L376" s="188">
        <f>M376/K376</f>
        <v>5626.1400592614</v>
      </c>
      <c r="M376" s="236">
        <v>778489</v>
      </c>
      <c r="N376" s="236">
        <v>5626.14</v>
      </c>
      <c r="O376" s="238"/>
      <c r="P376" s="215"/>
      <c r="Q376" s="215"/>
      <c r="R376" s="158"/>
      <c r="S376" s="213"/>
      <c r="T376" s="214"/>
      <c r="U376" s="213" t="s">
        <v>196</v>
      </c>
      <c r="V376" s="158">
        <v>20000</v>
      </c>
      <c r="W376" s="213" t="s">
        <v>4024</v>
      </c>
      <c r="X376" s="158">
        <v>178489</v>
      </c>
      <c r="Y376" s="143" t="s">
        <v>4001</v>
      </c>
      <c r="Z376" s="158">
        <v>580000</v>
      </c>
      <c r="AA376" s="213" t="s">
        <v>768</v>
      </c>
      <c r="AB376" s="158"/>
      <c r="AH376" s="158">
        <f t="shared" si="39"/>
        <v>778489</v>
      </c>
      <c r="AK376" s="131">
        <f t="shared" si="47"/>
        <v>0</v>
      </c>
      <c r="AL376" s="216" t="s">
        <v>4025</v>
      </c>
      <c r="AM376" s="216" t="s">
        <v>3007</v>
      </c>
      <c r="AN376" s="239"/>
      <c r="AO376" s="131">
        <f t="shared" si="40"/>
        <v>778489</v>
      </c>
      <c r="AP376" s="163">
        <f>0.6%+0.04%+0.08%</f>
        <v>0.0072</v>
      </c>
      <c r="AQ376" s="192">
        <f t="shared" si="41"/>
        <v>100</v>
      </c>
      <c r="AR376" s="158"/>
      <c r="AS376" s="158"/>
      <c r="AT376" s="158">
        <v>100</v>
      </c>
      <c r="AU376" s="158"/>
      <c r="AV376" s="158"/>
      <c r="AW376" s="158"/>
      <c r="AX376" s="158"/>
      <c r="AY376" s="158"/>
      <c r="AZ376" s="158"/>
      <c r="BB376" s="158"/>
      <c r="BJ376" s="131">
        <v>198489</v>
      </c>
      <c r="BL376" s="131">
        <v>580000</v>
      </c>
      <c r="BQ376" s="131" t="s">
        <v>205</v>
      </c>
      <c r="BR376" s="131" t="s">
        <v>206</v>
      </c>
    </row>
    <row r="377" s="131" customFormat="1" customHeight="1" spans="1:70">
      <c r="A377" s="175">
        <v>309</v>
      </c>
      <c r="C377" s="131" t="s">
        <v>351</v>
      </c>
      <c r="D377" s="131">
        <v>20230008678</v>
      </c>
      <c r="F377" s="216"/>
      <c r="G377" s="214" t="s">
        <v>4026</v>
      </c>
      <c r="H377" s="214"/>
      <c r="I377" s="191" t="s">
        <v>4027</v>
      </c>
      <c r="J377" s="131">
        <v>137.88</v>
      </c>
      <c r="K377" s="131">
        <v>137.88</v>
      </c>
      <c r="L377" s="131">
        <v>6019.725</v>
      </c>
      <c r="M377" s="236">
        <v>830000</v>
      </c>
      <c r="N377" s="236">
        <v>6000.16</v>
      </c>
      <c r="O377" s="188"/>
      <c r="P377" s="215"/>
      <c r="Q377" s="215"/>
      <c r="R377" s="158"/>
      <c r="S377" s="213"/>
      <c r="T377" s="214" t="s">
        <v>4028</v>
      </c>
      <c r="U377" s="213" t="s">
        <v>3941</v>
      </c>
      <c r="V377" s="158">
        <v>165000</v>
      </c>
      <c r="W377" s="213" t="s">
        <v>351</v>
      </c>
      <c r="X377" s="131">
        <v>360000</v>
      </c>
      <c r="Y377" s="143" t="s">
        <v>500</v>
      </c>
      <c r="Z377" s="158">
        <v>305000</v>
      </c>
      <c r="AA377" s="213" t="s">
        <v>585</v>
      </c>
      <c r="AB377" s="158"/>
      <c r="AC377" s="213"/>
      <c r="AD377" s="143"/>
      <c r="AE377" s="143"/>
      <c r="AF377" s="143"/>
      <c r="AG377" s="143"/>
      <c r="AH377" s="158">
        <f t="shared" si="39"/>
        <v>830000</v>
      </c>
      <c r="AK377" s="131">
        <f t="shared" si="47"/>
        <v>0</v>
      </c>
      <c r="AL377" s="216"/>
      <c r="AM377" s="216"/>
      <c r="AN377" s="239"/>
      <c r="AO377" s="131">
        <f t="shared" si="40"/>
        <v>830000</v>
      </c>
      <c r="AP377" s="163">
        <f>0.6%+0.02%+0.08%</f>
        <v>0.007</v>
      </c>
      <c r="AQ377" s="192">
        <f t="shared" si="41"/>
        <v>100</v>
      </c>
      <c r="AR377" s="192">
        <v>100</v>
      </c>
      <c r="AS377" s="158"/>
      <c r="AT377" s="158"/>
      <c r="AU377" s="158"/>
      <c r="AV377" s="158"/>
      <c r="AW377" s="158"/>
      <c r="AX377" s="158"/>
      <c r="AY377" s="158"/>
      <c r="AZ377" s="158"/>
      <c r="BB377" s="158">
        <v>525000</v>
      </c>
      <c r="BC377" s="131">
        <v>305000</v>
      </c>
      <c r="BQ377" s="131" t="s">
        <v>205</v>
      </c>
      <c r="BR377" s="131" t="s">
        <v>206</v>
      </c>
    </row>
    <row r="378" s="131" customFormat="1" ht="58" customHeight="1" spans="1:70">
      <c r="A378" s="175">
        <v>310</v>
      </c>
      <c r="C378" s="131" t="s">
        <v>3002</v>
      </c>
      <c r="D378" s="215" t="s">
        <v>4029</v>
      </c>
      <c r="F378" s="216" t="s">
        <v>4030</v>
      </c>
      <c r="G378" s="144" t="s">
        <v>4031</v>
      </c>
      <c r="H378" s="726" t="s">
        <v>4032</v>
      </c>
      <c r="I378" s="191" t="s">
        <v>4033</v>
      </c>
      <c r="J378" s="131">
        <v>138.37</v>
      </c>
      <c r="K378" s="131">
        <v>138.37</v>
      </c>
      <c r="L378" s="131">
        <v>5983.95</v>
      </c>
      <c r="M378" s="236">
        <v>828000</v>
      </c>
      <c r="N378" s="236">
        <v>5981.16</v>
      </c>
      <c r="O378" s="188"/>
      <c r="P378" s="215"/>
      <c r="Q378" s="215"/>
      <c r="R378" s="158"/>
      <c r="S378" s="159"/>
      <c r="T378" s="175"/>
      <c r="U378" s="159" t="s">
        <v>408</v>
      </c>
      <c r="V378" s="158">
        <v>20000</v>
      </c>
      <c r="W378" s="159" t="s">
        <v>385</v>
      </c>
      <c r="X378" s="158">
        <v>208000</v>
      </c>
      <c r="Y378" s="159" t="s">
        <v>3002</v>
      </c>
      <c r="Z378" s="147">
        <v>100000</v>
      </c>
      <c r="AA378" s="131" t="s">
        <v>386</v>
      </c>
      <c r="AB378" s="158">
        <v>500000</v>
      </c>
      <c r="AC378" s="159" t="s">
        <v>928</v>
      </c>
      <c r="AH378" s="158">
        <f t="shared" si="39"/>
        <v>828000</v>
      </c>
      <c r="AK378" s="131">
        <f t="shared" si="47"/>
        <v>0</v>
      </c>
      <c r="AL378" s="216" t="s">
        <v>4034</v>
      </c>
      <c r="AM378" s="216"/>
      <c r="AN378" s="250"/>
      <c r="AO378" s="131">
        <f t="shared" si="40"/>
        <v>828000</v>
      </c>
      <c r="AP378" s="163">
        <f>0.4%+0.03%+0.08%</f>
        <v>0.0051</v>
      </c>
      <c r="AQ378" s="192">
        <f t="shared" si="41"/>
        <v>100</v>
      </c>
      <c r="AR378" s="158"/>
      <c r="AS378" s="158"/>
      <c r="AT378" s="158">
        <v>100</v>
      </c>
      <c r="AU378" s="158"/>
      <c r="AV378" s="158"/>
      <c r="AW378" s="158"/>
      <c r="AX378" s="158"/>
      <c r="AY378" s="158"/>
      <c r="AZ378" s="158"/>
      <c r="BB378" s="158"/>
      <c r="BE378" s="131">
        <v>328000</v>
      </c>
      <c r="BH378" s="131">
        <v>500000</v>
      </c>
      <c r="BQ378" s="131" t="s">
        <v>205</v>
      </c>
      <c r="BR378" s="131" t="s">
        <v>206</v>
      </c>
    </row>
    <row r="379" s="131" customFormat="1" ht="45" customHeight="1" spans="1:70">
      <c r="A379" s="175">
        <v>311</v>
      </c>
      <c r="C379" s="176" t="s">
        <v>4035</v>
      </c>
      <c r="D379" s="215" t="s">
        <v>4036</v>
      </c>
      <c r="F379" s="216" t="s">
        <v>4037</v>
      </c>
      <c r="G379" s="144" t="s">
        <v>4038</v>
      </c>
      <c r="I379" s="191" t="s">
        <v>4039</v>
      </c>
      <c r="J379" s="131">
        <v>137.88</v>
      </c>
      <c r="K379" s="131">
        <v>137.88</v>
      </c>
      <c r="L379" s="131">
        <f>M379/K379</f>
        <v>6049.07165651291</v>
      </c>
      <c r="M379" s="236">
        <v>834046</v>
      </c>
      <c r="N379" s="236">
        <v>6049.07</v>
      </c>
      <c r="O379" s="250"/>
      <c r="P379" s="215"/>
      <c r="Q379" s="215"/>
      <c r="R379" s="158"/>
      <c r="S379" s="159"/>
      <c r="T379" s="175"/>
      <c r="U379" s="159" t="s">
        <v>196</v>
      </c>
      <c r="V379" s="158">
        <v>1000</v>
      </c>
      <c r="W379" s="159" t="s">
        <v>4040</v>
      </c>
      <c r="X379" s="158">
        <v>20000</v>
      </c>
      <c r="Y379" s="159" t="s">
        <v>344</v>
      </c>
      <c r="Z379" s="147">
        <f>200000+167046</f>
        <v>367046</v>
      </c>
      <c r="AA379" s="131" t="s">
        <v>514</v>
      </c>
      <c r="AB379" s="158">
        <v>147000</v>
      </c>
      <c r="AC379" s="131" t="s">
        <v>514</v>
      </c>
      <c r="AD379" s="158">
        <v>300000</v>
      </c>
      <c r="AE379" s="159" t="s">
        <v>2557</v>
      </c>
      <c r="AH379" s="158">
        <f t="shared" si="39"/>
        <v>835046</v>
      </c>
      <c r="AK379" s="131">
        <f t="shared" si="47"/>
        <v>-1000</v>
      </c>
      <c r="AL379" s="216" t="s">
        <v>4041</v>
      </c>
      <c r="AM379" s="216"/>
      <c r="AN379" s="250"/>
      <c r="AO379" s="131">
        <f t="shared" si="40"/>
        <v>834046</v>
      </c>
      <c r="AP379" s="163">
        <f>0.4%+0.02%+0.08%</f>
        <v>0.005</v>
      </c>
      <c r="AQ379" s="192">
        <f t="shared" si="41"/>
        <v>100</v>
      </c>
      <c r="AR379" s="158"/>
      <c r="AS379" s="158">
        <v>100</v>
      </c>
      <c r="AT379" s="158"/>
      <c r="AU379" s="158"/>
      <c r="AV379" s="158"/>
      <c r="AW379" s="158"/>
      <c r="AX379" s="158"/>
      <c r="AY379" s="158"/>
      <c r="AZ379" s="158"/>
      <c r="BB379" s="158"/>
      <c r="BJ379" s="131">
        <v>534046</v>
      </c>
      <c r="BK379" s="131">
        <v>300000</v>
      </c>
      <c r="BQ379" s="131" t="s">
        <v>205</v>
      </c>
      <c r="BR379" s="131" t="s">
        <v>206</v>
      </c>
    </row>
    <row r="380" s="131" customFormat="1" customHeight="1" spans="1:70">
      <c r="A380" s="175">
        <v>312</v>
      </c>
      <c r="C380" s="131" t="s">
        <v>687</v>
      </c>
      <c r="D380" s="215" t="s">
        <v>4042</v>
      </c>
      <c r="F380" s="216" t="s">
        <v>4043</v>
      </c>
      <c r="G380" s="144" t="s">
        <v>4044</v>
      </c>
      <c r="H380" s="726" t="s">
        <v>4045</v>
      </c>
      <c r="I380" s="191" t="s">
        <v>4046</v>
      </c>
      <c r="J380" s="131">
        <v>138.37</v>
      </c>
      <c r="K380" s="131">
        <v>138.37</v>
      </c>
      <c r="L380" s="131">
        <v>6000</v>
      </c>
      <c r="M380" s="236">
        <v>830220</v>
      </c>
      <c r="N380" s="236">
        <v>6000</v>
      </c>
      <c r="O380" s="250"/>
      <c r="P380" s="215"/>
      <c r="Q380" s="215"/>
      <c r="R380" s="158"/>
      <c r="S380" s="159"/>
      <c r="T380" s="727" t="s">
        <v>4047</v>
      </c>
      <c r="U380" s="159" t="s">
        <v>422</v>
      </c>
      <c r="V380" s="158">
        <v>20000</v>
      </c>
      <c r="W380" s="159" t="s">
        <v>3488</v>
      </c>
      <c r="X380" s="158">
        <v>80220</v>
      </c>
      <c r="Y380" s="159" t="s">
        <v>687</v>
      </c>
      <c r="Z380" s="158">
        <v>200000</v>
      </c>
      <c r="AA380" s="159" t="s">
        <v>2785</v>
      </c>
      <c r="AB380" s="158">
        <v>530000</v>
      </c>
      <c r="AC380" s="159" t="s">
        <v>3150</v>
      </c>
      <c r="AH380" s="158">
        <f t="shared" si="39"/>
        <v>830220</v>
      </c>
      <c r="AK380" s="131">
        <f t="shared" si="47"/>
        <v>0</v>
      </c>
      <c r="AL380" s="216" t="s">
        <v>4048</v>
      </c>
      <c r="AM380" s="216"/>
      <c r="AN380" s="250"/>
      <c r="AO380" s="131">
        <f t="shared" si="40"/>
        <v>830220</v>
      </c>
      <c r="AP380" s="161">
        <f>0.7%+0.05%+0.12%</f>
        <v>0.0087</v>
      </c>
      <c r="AQ380" s="192">
        <f t="shared" si="41"/>
        <v>100</v>
      </c>
      <c r="AR380" s="158"/>
      <c r="AS380" s="158"/>
      <c r="AT380" s="158">
        <v>100</v>
      </c>
      <c r="AU380" s="158"/>
      <c r="AV380" s="158"/>
      <c r="AW380" s="158"/>
      <c r="AX380" s="158"/>
      <c r="AY380" s="158"/>
      <c r="AZ380" s="158"/>
      <c r="BB380" s="158"/>
      <c r="BL380" s="131">
        <v>830220</v>
      </c>
      <c r="BQ380" s="131" t="s">
        <v>205</v>
      </c>
      <c r="BR380" s="131" t="s">
        <v>206</v>
      </c>
    </row>
    <row r="381" s="131" customFormat="1" customHeight="1" spans="1:70">
      <c r="A381" s="175">
        <v>313</v>
      </c>
      <c r="C381" s="143">
        <v>45390</v>
      </c>
      <c r="D381" s="131">
        <v>20240001952</v>
      </c>
      <c r="F381" s="216" t="s">
        <v>4049</v>
      </c>
      <c r="G381" s="144" t="s">
        <v>4050</v>
      </c>
      <c r="H381" s="144"/>
      <c r="I381" s="191" t="s">
        <v>4051</v>
      </c>
      <c r="J381" s="131">
        <v>137.88</v>
      </c>
      <c r="K381" s="131">
        <v>137.88</v>
      </c>
      <c r="L381" s="131">
        <f t="shared" ref="L381:L386" si="48">M381/K381</f>
        <v>6076.24020887729</v>
      </c>
      <c r="M381" s="236">
        <v>837792</v>
      </c>
      <c r="N381" s="236">
        <v>6076.24</v>
      </c>
      <c r="O381" s="188"/>
      <c r="P381" s="215"/>
      <c r="Q381" s="215"/>
      <c r="R381" s="158"/>
      <c r="S381" s="159"/>
      <c r="T381" s="175"/>
      <c r="U381" s="213" t="s">
        <v>226</v>
      </c>
      <c r="V381" s="158">
        <v>20000</v>
      </c>
      <c r="W381" s="159" t="s">
        <v>417</v>
      </c>
      <c r="X381" s="158">
        <v>20000</v>
      </c>
      <c r="Y381" s="243" t="s">
        <v>413</v>
      </c>
      <c r="Z381" s="147">
        <v>197792</v>
      </c>
      <c r="AA381" s="131" t="s">
        <v>3424</v>
      </c>
      <c r="AB381" s="158">
        <v>600000</v>
      </c>
      <c r="AC381" s="131" t="s">
        <v>3425</v>
      </c>
      <c r="AH381" s="158">
        <f t="shared" si="39"/>
        <v>837792</v>
      </c>
      <c r="AK381" s="131">
        <f t="shared" si="47"/>
        <v>0</v>
      </c>
      <c r="AL381" s="216" t="s">
        <v>4052</v>
      </c>
      <c r="AM381" s="216"/>
      <c r="AN381" s="250"/>
      <c r="AO381" s="131">
        <f t="shared" si="40"/>
        <v>837792</v>
      </c>
      <c r="AP381" s="163">
        <f>0.7%+0.12%</f>
        <v>0.0082</v>
      </c>
      <c r="AQ381" s="192">
        <f t="shared" si="41"/>
        <v>100</v>
      </c>
      <c r="AR381" s="192">
        <v>100</v>
      </c>
      <c r="AS381" s="158"/>
      <c r="AT381" s="158"/>
      <c r="AU381" s="158"/>
      <c r="AV381" s="158"/>
      <c r="AW381" s="158"/>
      <c r="AX381" s="158"/>
      <c r="AY381" s="158"/>
      <c r="AZ381" s="158"/>
      <c r="BB381" s="158"/>
      <c r="BH381" s="131">
        <v>837792</v>
      </c>
      <c r="BQ381" s="131" t="s">
        <v>205</v>
      </c>
      <c r="BR381" s="131" t="s">
        <v>206</v>
      </c>
    </row>
    <row r="382" s="131" customFormat="1" customHeight="1" spans="1:69">
      <c r="A382" s="175">
        <v>314</v>
      </c>
      <c r="C382" s="143">
        <v>45509</v>
      </c>
      <c r="D382" s="215" t="s">
        <v>4053</v>
      </c>
      <c r="F382" s="216" t="s">
        <v>4054</v>
      </c>
      <c r="G382" s="144" t="s">
        <v>4055</v>
      </c>
      <c r="H382" s="726" t="s">
        <v>4056</v>
      </c>
      <c r="I382" s="191" t="s">
        <v>4057</v>
      </c>
      <c r="J382" s="131">
        <v>138.37</v>
      </c>
      <c r="K382" s="131">
        <v>138.37</v>
      </c>
      <c r="L382" s="131">
        <v>5700</v>
      </c>
      <c r="M382" s="236">
        <v>788709</v>
      </c>
      <c r="N382" s="236">
        <v>5700</v>
      </c>
      <c r="O382" s="250"/>
      <c r="P382" s="215"/>
      <c r="Q382" s="215"/>
      <c r="R382" s="158"/>
      <c r="S382" s="159"/>
      <c r="T382" s="214" t="s">
        <v>4058</v>
      </c>
      <c r="U382" s="213" t="s">
        <v>3967</v>
      </c>
      <c r="V382" s="158">
        <f>10000-10000</f>
        <v>0</v>
      </c>
      <c r="W382" s="159" t="s">
        <v>1306</v>
      </c>
      <c r="X382" s="158">
        <v>10000</v>
      </c>
      <c r="Y382" s="159" t="s">
        <v>518</v>
      </c>
      <c r="Z382" s="158">
        <v>108709</v>
      </c>
      <c r="AA382" s="159" t="s">
        <v>2939</v>
      </c>
      <c r="AB382" s="158">
        <v>670000</v>
      </c>
      <c r="AC382" s="131" t="s">
        <v>525</v>
      </c>
      <c r="AH382" s="158">
        <f t="shared" si="39"/>
        <v>788709</v>
      </c>
      <c r="AK382" s="131">
        <f t="shared" si="47"/>
        <v>0</v>
      </c>
      <c r="AL382" s="216" t="s">
        <v>4059</v>
      </c>
      <c r="AM382" s="216" t="s">
        <v>3007</v>
      </c>
      <c r="AN382" s="250"/>
      <c r="AO382" s="131">
        <f t="shared" si="40"/>
        <v>788709</v>
      </c>
      <c r="AP382" s="163">
        <f>0.5%+0.02%+0.08%</f>
        <v>0.006</v>
      </c>
      <c r="AQ382" s="192">
        <f t="shared" si="41"/>
        <v>100</v>
      </c>
      <c r="AR382" s="158"/>
      <c r="AS382" s="158"/>
      <c r="AT382" s="158">
        <v>100</v>
      </c>
      <c r="AU382" s="158"/>
      <c r="AV382" s="158"/>
      <c r="AW382" s="158"/>
      <c r="AX382" s="158"/>
      <c r="AY382" s="158"/>
      <c r="AZ382" s="158"/>
      <c r="BB382" s="158"/>
      <c r="BL382" s="131">
        <v>788709</v>
      </c>
      <c r="BQ382" s="131" t="s">
        <v>205</v>
      </c>
    </row>
    <row r="383" s="131" customFormat="1" customHeight="1" spans="1:70">
      <c r="A383" s="175">
        <v>315</v>
      </c>
      <c r="C383" s="131" t="s">
        <v>417</v>
      </c>
      <c r="D383" s="215" t="s">
        <v>4060</v>
      </c>
      <c r="F383" s="216" t="s">
        <v>4061</v>
      </c>
      <c r="G383" s="214" t="s">
        <v>4062</v>
      </c>
      <c r="I383" s="191" t="s">
        <v>4063</v>
      </c>
      <c r="J383" s="131">
        <v>137.88</v>
      </c>
      <c r="K383" s="131">
        <v>137.88</v>
      </c>
      <c r="L383" s="131">
        <f t="shared" si="48"/>
        <v>6105.15665796345</v>
      </c>
      <c r="M383" s="236">
        <v>841779</v>
      </c>
      <c r="N383" s="236">
        <v>6105.16</v>
      </c>
      <c r="O383" s="188"/>
      <c r="P383" s="215"/>
      <c r="Q383" s="215"/>
      <c r="R383" s="158"/>
      <c r="S383" s="213"/>
      <c r="T383" s="214"/>
      <c r="U383" s="213" t="s">
        <v>226</v>
      </c>
      <c r="V383" s="158">
        <v>111779</v>
      </c>
      <c r="W383" s="213" t="s">
        <v>417</v>
      </c>
      <c r="X383" s="158">
        <v>90000</v>
      </c>
      <c r="Y383" s="243" t="s">
        <v>417</v>
      </c>
      <c r="Z383" s="147">
        <v>140000</v>
      </c>
      <c r="AA383" s="131" t="s">
        <v>3520</v>
      </c>
      <c r="AB383" s="158">
        <v>500000</v>
      </c>
      <c r="AC383" s="213" t="s">
        <v>4064</v>
      </c>
      <c r="AH383" s="158">
        <f t="shared" si="39"/>
        <v>841779</v>
      </c>
      <c r="AK383" s="131">
        <f t="shared" si="47"/>
        <v>0</v>
      </c>
      <c r="AL383" s="216"/>
      <c r="AM383" s="216"/>
      <c r="AN383" s="250"/>
      <c r="AO383" s="131">
        <f t="shared" si="40"/>
        <v>841779</v>
      </c>
      <c r="AP383" s="161">
        <f>0.7%+0.05%+0.12%</f>
        <v>0.0087</v>
      </c>
      <c r="AQ383" s="192">
        <f t="shared" si="41"/>
        <v>100</v>
      </c>
      <c r="AR383" s="192">
        <v>100</v>
      </c>
      <c r="AS383" s="158"/>
      <c r="AT383" s="158"/>
      <c r="AU383" s="158"/>
      <c r="AV383" s="158"/>
      <c r="AW383" s="158"/>
      <c r="AX383" s="158"/>
      <c r="AY383" s="158"/>
      <c r="AZ383" s="158"/>
      <c r="BB383" s="158"/>
      <c r="BH383" s="131">
        <v>341779</v>
      </c>
      <c r="BI383" s="131">
        <v>500000</v>
      </c>
      <c r="BQ383" s="131" t="s">
        <v>205</v>
      </c>
      <c r="BR383" s="131" t="s">
        <v>206</v>
      </c>
    </row>
    <row r="384" s="131" customFormat="1" customHeight="1" spans="1:69">
      <c r="A384" s="175">
        <v>316</v>
      </c>
      <c r="C384" s="143">
        <v>45493</v>
      </c>
      <c r="D384" s="215" t="s">
        <v>4065</v>
      </c>
      <c r="F384" s="216" t="s">
        <v>4066</v>
      </c>
      <c r="G384" s="144" t="s">
        <v>4067</v>
      </c>
      <c r="H384" s="729" t="s">
        <v>4068</v>
      </c>
      <c r="I384" s="191" t="s">
        <v>4069</v>
      </c>
      <c r="J384" s="131">
        <v>138.37</v>
      </c>
      <c r="K384" s="131">
        <v>138.37</v>
      </c>
      <c r="L384" s="131">
        <v>6100</v>
      </c>
      <c r="M384" s="236">
        <v>844057</v>
      </c>
      <c r="N384" s="236">
        <v>6086.16</v>
      </c>
      <c r="O384" s="250"/>
      <c r="P384" s="215"/>
      <c r="Q384" s="215"/>
      <c r="R384" s="158"/>
      <c r="S384" s="213"/>
      <c r="T384" s="728" t="s">
        <v>1443</v>
      </c>
      <c r="U384" s="213" t="s">
        <v>4070</v>
      </c>
      <c r="V384" s="158">
        <f>10000-10000</f>
        <v>0</v>
      </c>
      <c r="W384" s="213" t="s">
        <v>2057</v>
      </c>
      <c r="X384" s="158">
        <v>5000</v>
      </c>
      <c r="Y384" s="213" t="s">
        <v>3475</v>
      </c>
      <c r="Z384" s="158">
        <f>14057+150000</f>
        <v>164057</v>
      </c>
      <c r="AA384" s="213" t="s">
        <v>3465</v>
      </c>
      <c r="AB384" s="158">
        <v>675000</v>
      </c>
      <c r="AC384" s="213" t="s">
        <v>4071</v>
      </c>
      <c r="AH384" s="158">
        <f t="shared" si="39"/>
        <v>844057</v>
      </c>
      <c r="AK384" s="131">
        <f t="shared" si="47"/>
        <v>0</v>
      </c>
      <c r="AL384" s="216" t="s">
        <v>4072</v>
      </c>
      <c r="AM384" s="216"/>
      <c r="AN384" s="250"/>
      <c r="AO384" s="131">
        <f t="shared" si="40"/>
        <v>844057</v>
      </c>
      <c r="AP384" s="163">
        <f>0.4%+0.05%+0.12%</f>
        <v>0.0057</v>
      </c>
      <c r="AQ384" s="192">
        <f t="shared" si="41"/>
        <v>200</v>
      </c>
      <c r="AR384" s="158"/>
      <c r="AS384" s="158"/>
      <c r="AT384" s="158">
        <v>100</v>
      </c>
      <c r="AU384" s="158"/>
      <c r="AV384" s="158"/>
      <c r="AW384" s="158">
        <v>100</v>
      </c>
      <c r="AX384" s="158"/>
      <c r="AY384" s="158"/>
      <c r="AZ384" s="158"/>
      <c r="BB384" s="158"/>
      <c r="BK384" s="131">
        <v>169057</v>
      </c>
      <c r="BL384" s="131">
        <v>675000</v>
      </c>
      <c r="BQ384" s="131" t="s">
        <v>205</v>
      </c>
    </row>
    <row r="385" s="131" customFormat="1" customHeight="1" spans="1:69">
      <c r="A385" s="175">
        <v>317</v>
      </c>
      <c r="C385" s="143">
        <v>45493</v>
      </c>
      <c r="D385" s="215" t="s">
        <v>4073</v>
      </c>
      <c r="F385" s="216" t="s">
        <v>4074</v>
      </c>
      <c r="G385" s="144" t="s">
        <v>4075</v>
      </c>
      <c r="H385" s="144"/>
      <c r="I385" s="191" t="s">
        <v>4076</v>
      </c>
      <c r="J385" s="131">
        <v>137.88</v>
      </c>
      <c r="K385" s="131">
        <v>137.88</v>
      </c>
      <c r="L385" s="131">
        <f t="shared" si="48"/>
        <v>6017.20336524514</v>
      </c>
      <c r="M385" s="236">
        <v>829652</v>
      </c>
      <c r="N385" s="258">
        <v>6017.2</v>
      </c>
      <c r="O385" s="238"/>
      <c r="P385" s="215"/>
      <c r="Q385" s="215"/>
      <c r="R385" s="158"/>
      <c r="S385" s="159"/>
      <c r="T385" s="175"/>
      <c r="U385" s="159" t="s">
        <v>217</v>
      </c>
      <c r="V385" s="158">
        <v>59652</v>
      </c>
      <c r="W385" s="159" t="s">
        <v>3465</v>
      </c>
      <c r="X385" s="158">
        <v>110000</v>
      </c>
      <c r="Y385" s="159" t="s">
        <v>2791</v>
      </c>
      <c r="Z385" s="158">
        <v>660000</v>
      </c>
      <c r="AA385" s="159" t="s">
        <v>4077</v>
      </c>
      <c r="AB385" s="158"/>
      <c r="AH385" s="158">
        <f t="shared" si="39"/>
        <v>829652</v>
      </c>
      <c r="AK385" s="131">
        <f t="shared" si="47"/>
        <v>0</v>
      </c>
      <c r="AL385" s="216" t="s">
        <v>4078</v>
      </c>
      <c r="AM385" s="216" t="s">
        <v>3593</v>
      </c>
      <c r="AN385" s="250"/>
      <c r="AO385" s="131">
        <f t="shared" si="40"/>
        <v>829652</v>
      </c>
      <c r="AP385" s="162">
        <f>0.7%+0.03%+0.08%</f>
        <v>0.0081</v>
      </c>
      <c r="AQ385" s="192">
        <f t="shared" si="41"/>
        <v>100</v>
      </c>
      <c r="AR385" s="158"/>
      <c r="AS385" s="158"/>
      <c r="AT385" s="158"/>
      <c r="AU385" s="158"/>
      <c r="AV385" s="158">
        <v>100</v>
      </c>
      <c r="AW385" s="158"/>
      <c r="AX385" s="158"/>
      <c r="AY385" s="158"/>
      <c r="AZ385" s="158"/>
      <c r="BB385" s="158"/>
      <c r="BL385" s="131">
        <v>169652</v>
      </c>
      <c r="BM385" s="131">
        <v>660000</v>
      </c>
      <c r="BO385" s="131">
        <f>AP385*BM385</f>
        <v>5346</v>
      </c>
      <c r="BQ385" s="131" t="s">
        <v>205</v>
      </c>
    </row>
    <row r="386" s="131" customFormat="1" customHeight="1" spans="1:65">
      <c r="A386" s="175">
        <v>318</v>
      </c>
      <c r="B386" s="131"/>
      <c r="D386" s="215"/>
      <c r="F386" s="216" t="s">
        <v>4079</v>
      </c>
      <c r="G386" s="175" t="s">
        <v>4080</v>
      </c>
      <c r="H386" s="727" t="s">
        <v>4081</v>
      </c>
      <c r="I386" s="191" t="s">
        <v>4082</v>
      </c>
      <c r="J386" s="131">
        <v>138.37</v>
      </c>
      <c r="K386" s="131">
        <v>138.37</v>
      </c>
      <c r="L386" s="131">
        <v>5817.735</v>
      </c>
      <c r="M386" s="236">
        <v>805000</v>
      </c>
      <c r="N386" s="259">
        <v>5817.735</v>
      </c>
      <c r="O386" s="188"/>
      <c r="P386" s="215"/>
      <c r="Q386" s="215"/>
      <c r="R386" s="158"/>
      <c r="S386" s="159"/>
      <c r="T386" s="175"/>
      <c r="U386" s="159" t="s">
        <v>226</v>
      </c>
      <c r="V386" s="158">
        <v>20000</v>
      </c>
      <c r="W386" s="159">
        <v>45536</v>
      </c>
      <c r="X386" s="158">
        <f>165000+220000</f>
        <v>385000</v>
      </c>
      <c r="Y386" s="243" t="s">
        <v>4083</v>
      </c>
      <c r="Z386" s="147"/>
      <c r="AB386" s="158"/>
      <c r="AH386" s="158">
        <f t="shared" si="39"/>
        <v>405000</v>
      </c>
      <c r="AK386" s="131">
        <f t="shared" si="47"/>
        <v>400000</v>
      </c>
      <c r="AL386" s="216" t="s">
        <v>4084</v>
      </c>
      <c r="AM386" s="216" t="s">
        <v>2860</v>
      </c>
      <c r="AN386" s="250"/>
      <c r="AO386" s="131">
        <f t="shared" si="40"/>
        <v>0</v>
      </c>
      <c r="AP386" s="161">
        <f>0.7%+0.1%</f>
        <v>0.008</v>
      </c>
      <c r="AQ386" s="192">
        <f t="shared" si="41"/>
        <v>0</v>
      </c>
      <c r="AR386" s="158"/>
      <c r="AS386" s="158"/>
      <c r="AT386" s="158"/>
      <c r="AU386" s="158"/>
      <c r="AV386" s="158"/>
      <c r="AW386" s="158"/>
      <c r="AX386" s="158"/>
      <c r="AY386" s="158"/>
      <c r="AZ386" s="158"/>
      <c r="BB386" s="158"/>
      <c r="BL386" s="89"/>
      <c r="BM386" s="89"/>
    </row>
    <row r="387" s="89" customFormat="1" customHeight="1" spans="1:54">
      <c r="A387" s="167">
        <v>319</v>
      </c>
      <c r="D387" s="230"/>
      <c r="F387" s="227"/>
      <c r="G387" s="174"/>
      <c r="H387" s="174"/>
      <c r="I387" s="185" t="s">
        <v>4085</v>
      </c>
      <c r="J387" s="89">
        <v>137.88</v>
      </c>
      <c r="M387" s="222"/>
      <c r="N387" s="222">
        <v>7133</v>
      </c>
      <c r="O387" s="228"/>
      <c r="P387" s="230"/>
      <c r="Q387" s="230"/>
      <c r="R387" s="168"/>
      <c r="S387" s="171"/>
      <c r="T387" s="218"/>
      <c r="U387" s="217"/>
      <c r="V387" s="168"/>
      <c r="W387" s="226"/>
      <c r="X387" s="168"/>
      <c r="Y387" s="226"/>
      <c r="Z387" s="251"/>
      <c r="AB387" s="168"/>
      <c r="AH387" s="168">
        <f t="shared" si="39"/>
        <v>0</v>
      </c>
      <c r="AK387" s="184"/>
      <c r="AL387" s="227"/>
      <c r="AM387" s="227"/>
      <c r="AN387" s="228"/>
      <c r="AO387" s="89">
        <f t="shared" si="40"/>
        <v>0</v>
      </c>
      <c r="AP387" s="106"/>
      <c r="AQ387" s="204">
        <f t="shared" si="41"/>
        <v>0</v>
      </c>
      <c r="AR387" s="168"/>
      <c r="AS387" s="168"/>
      <c r="AT387" s="168"/>
      <c r="AU387" s="168"/>
      <c r="AV387" s="168"/>
      <c r="AW387" s="168"/>
      <c r="AX387" s="168"/>
      <c r="AY387" s="168"/>
      <c r="AZ387" s="168"/>
      <c r="BB387" s="168"/>
    </row>
    <row r="388" s="89" customFormat="1" customHeight="1" spans="1:54">
      <c r="A388" s="167">
        <v>320</v>
      </c>
      <c r="D388" s="230"/>
      <c r="F388" s="227"/>
      <c r="G388" s="174"/>
      <c r="H388" s="174"/>
      <c r="I388" s="185" t="s">
        <v>4086</v>
      </c>
      <c r="J388" s="89">
        <v>138.37</v>
      </c>
      <c r="M388" s="222"/>
      <c r="N388" s="222">
        <v>7116</v>
      </c>
      <c r="O388" s="228"/>
      <c r="P388" s="230"/>
      <c r="Q388" s="230"/>
      <c r="R388" s="168"/>
      <c r="S388" s="171"/>
      <c r="T388" s="167"/>
      <c r="U388" s="171"/>
      <c r="V388" s="168"/>
      <c r="W388" s="225"/>
      <c r="X388" s="168"/>
      <c r="Y388" s="226"/>
      <c r="Z388" s="251"/>
      <c r="AB388" s="168"/>
      <c r="AH388" s="168">
        <f t="shared" si="39"/>
        <v>0</v>
      </c>
      <c r="AL388" s="227"/>
      <c r="AM388" s="227"/>
      <c r="AN388" s="228"/>
      <c r="AO388" s="89">
        <f t="shared" si="40"/>
        <v>0</v>
      </c>
      <c r="AP388" s="106"/>
      <c r="AQ388" s="204">
        <f t="shared" si="41"/>
        <v>0</v>
      </c>
      <c r="AR388" s="168"/>
      <c r="AS388" s="168"/>
      <c r="AT388" s="168"/>
      <c r="AU388" s="168"/>
      <c r="AV388" s="168"/>
      <c r="AW388" s="168"/>
      <c r="AX388" s="168"/>
      <c r="AY388" s="168"/>
      <c r="AZ388" s="168"/>
      <c r="BB388" s="168"/>
    </row>
    <row r="389" s="89" customFormat="1" customHeight="1" spans="4:54">
      <c r="D389" s="230"/>
      <c r="F389" s="227"/>
      <c r="G389" s="167"/>
      <c r="H389" s="167"/>
      <c r="I389" s="185" t="s">
        <v>4087</v>
      </c>
      <c r="J389" s="221">
        <v>8.18</v>
      </c>
      <c r="M389" s="222"/>
      <c r="N389" s="222"/>
      <c r="O389" s="228"/>
      <c r="P389" s="230"/>
      <c r="Q389" s="230"/>
      <c r="R389" s="168"/>
      <c r="S389" s="171"/>
      <c r="T389" s="167"/>
      <c r="U389" s="171"/>
      <c r="V389" s="168"/>
      <c r="W389" s="225"/>
      <c r="X389" s="168"/>
      <c r="Y389" s="226"/>
      <c r="Z389" s="251"/>
      <c r="AB389" s="168"/>
      <c r="AH389" s="168">
        <f t="shared" ref="AH389:AH441" si="49">V389+X389+Z389+AB389+AD389+AF389</f>
        <v>0</v>
      </c>
      <c r="AL389" s="227"/>
      <c r="AM389" s="227"/>
      <c r="AN389" s="228"/>
      <c r="AO389" s="89">
        <f t="shared" ref="AO389:AO441" si="50">SUM(AZ389:BN389)</f>
        <v>0</v>
      </c>
      <c r="AP389" s="106"/>
      <c r="AQ389" s="204">
        <f t="shared" ref="AQ389:AQ441" si="51">AR389+AS389+AT389+AU389+AV389+AW389+AX389+AY389</f>
        <v>0</v>
      </c>
      <c r="AR389" s="168"/>
      <c r="AS389" s="168"/>
      <c r="AT389" s="168"/>
      <c r="AU389" s="168"/>
      <c r="AV389" s="168"/>
      <c r="AW389" s="168"/>
      <c r="AX389" s="168"/>
      <c r="AY389" s="168"/>
      <c r="AZ389" s="168"/>
      <c r="BB389" s="168"/>
    </row>
    <row r="390" s="89" customFormat="1" customHeight="1" spans="4:54">
      <c r="D390" s="230"/>
      <c r="F390" s="227"/>
      <c r="I390" s="185" t="s">
        <v>4088</v>
      </c>
      <c r="J390" s="221">
        <v>22.27</v>
      </c>
      <c r="M390" s="222"/>
      <c r="N390" s="222"/>
      <c r="O390" s="228"/>
      <c r="P390" s="230"/>
      <c r="Q390" s="230"/>
      <c r="R390" s="168"/>
      <c r="S390" s="171"/>
      <c r="T390" s="167"/>
      <c r="U390" s="171"/>
      <c r="V390" s="168"/>
      <c r="W390" s="225"/>
      <c r="X390" s="168"/>
      <c r="Y390" s="226"/>
      <c r="Z390" s="251"/>
      <c r="AB390" s="168"/>
      <c r="AH390" s="168">
        <f t="shared" si="49"/>
        <v>0</v>
      </c>
      <c r="AL390" s="227"/>
      <c r="AM390" s="227"/>
      <c r="AN390" s="228"/>
      <c r="AO390" s="89">
        <f t="shared" si="50"/>
        <v>0</v>
      </c>
      <c r="AP390" s="106"/>
      <c r="AQ390" s="204">
        <f t="shared" si="51"/>
        <v>0</v>
      </c>
      <c r="AR390" s="168"/>
      <c r="AS390" s="168"/>
      <c r="AT390" s="168"/>
      <c r="AU390" s="168"/>
      <c r="AV390" s="168"/>
      <c r="AW390" s="168"/>
      <c r="AX390" s="168"/>
      <c r="AY390" s="168"/>
      <c r="AZ390" s="168"/>
      <c r="BB390" s="168"/>
    </row>
    <row r="391" s="89" customFormat="1" customHeight="1" spans="4:54">
      <c r="D391" s="230"/>
      <c r="F391" s="227"/>
      <c r="I391" s="185" t="s">
        <v>4089</v>
      </c>
      <c r="J391" s="221">
        <v>28.52</v>
      </c>
      <c r="M391" s="222"/>
      <c r="N391" s="222"/>
      <c r="O391" s="228"/>
      <c r="P391" s="230"/>
      <c r="Q391" s="230"/>
      <c r="R391" s="168"/>
      <c r="S391" s="171"/>
      <c r="T391" s="167"/>
      <c r="U391" s="171"/>
      <c r="V391" s="168"/>
      <c r="W391" s="225"/>
      <c r="X391" s="168"/>
      <c r="Y391" s="226"/>
      <c r="Z391" s="251"/>
      <c r="AB391" s="168"/>
      <c r="AH391" s="168">
        <f t="shared" si="49"/>
        <v>0</v>
      </c>
      <c r="AL391" s="227"/>
      <c r="AM391" s="227"/>
      <c r="AN391" s="228"/>
      <c r="AO391" s="89">
        <f t="shared" si="50"/>
        <v>0</v>
      </c>
      <c r="AP391" s="106"/>
      <c r="AQ391" s="204">
        <f t="shared" si="51"/>
        <v>0</v>
      </c>
      <c r="AR391" s="168"/>
      <c r="AS391" s="168"/>
      <c r="AT391" s="168"/>
      <c r="AU391" s="168"/>
      <c r="AV391" s="168"/>
      <c r="AW391" s="168"/>
      <c r="AX391" s="168"/>
      <c r="AY391" s="168"/>
      <c r="AZ391" s="168"/>
      <c r="BB391" s="168"/>
    </row>
    <row r="392" s="89" customFormat="1" customHeight="1" spans="4:54">
      <c r="D392" s="230"/>
      <c r="F392" s="227"/>
      <c r="I392" s="185" t="s">
        <v>4090</v>
      </c>
      <c r="J392" s="221">
        <v>15.98</v>
      </c>
      <c r="M392" s="222"/>
      <c r="N392" s="222"/>
      <c r="O392" s="228"/>
      <c r="P392" s="230"/>
      <c r="Q392" s="230"/>
      <c r="R392" s="168"/>
      <c r="S392" s="171"/>
      <c r="T392" s="167"/>
      <c r="U392" s="171"/>
      <c r="V392" s="168"/>
      <c r="W392" s="225"/>
      <c r="X392" s="168"/>
      <c r="Y392" s="226"/>
      <c r="Z392" s="251"/>
      <c r="AB392" s="168"/>
      <c r="AH392" s="168">
        <f t="shared" si="49"/>
        <v>0</v>
      </c>
      <c r="AL392" s="227"/>
      <c r="AM392" s="227"/>
      <c r="AN392" s="228"/>
      <c r="AO392" s="89">
        <f t="shared" si="50"/>
        <v>0</v>
      </c>
      <c r="AP392" s="106"/>
      <c r="AQ392" s="204">
        <f t="shared" si="51"/>
        <v>0</v>
      </c>
      <c r="AR392" s="168"/>
      <c r="AS392" s="168"/>
      <c r="AT392" s="168"/>
      <c r="AU392" s="168"/>
      <c r="AV392" s="168"/>
      <c r="AW392" s="168"/>
      <c r="AX392" s="168"/>
      <c r="AY392" s="168"/>
      <c r="AZ392" s="168"/>
      <c r="BB392" s="168"/>
    </row>
    <row r="393" s="89" customFormat="1" customHeight="1" spans="4:54">
      <c r="D393" s="230"/>
      <c r="F393" s="227"/>
      <c r="I393" s="185" t="s">
        <v>4091</v>
      </c>
      <c r="J393" s="221">
        <v>109.91</v>
      </c>
      <c r="M393" s="222"/>
      <c r="N393" s="222"/>
      <c r="O393" s="228"/>
      <c r="P393" s="230"/>
      <c r="Q393" s="230"/>
      <c r="R393" s="168"/>
      <c r="S393" s="171"/>
      <c r="T393" s="167"/>
      <c r="U393" s="171"/>
      <c r="V393" s="168"/>
      <c r="W393" s="225"/>
      <c r="X393" s="168"/>
      <c r="Y393" s="226"/>
      <c r="Z393" s="251"/>
      <c r="AB393" s="168"/>
      <c r="AH393" s="168">
        <f t="shared" si="49"/>
        <v>0</v>
      </c>
      <c r="AL393" s="227"/>
      <c r="AM393" s="227"/>
      <c r="AN393" s="228"/>
      <c r="AO393" s="89">
        <f t="shared" si="50"/>
        <v>0</v>
      </c>
      <c r="AP393" s="106"/>
      <c r="AQ393" s="204">
        <f t="shared" si="51"/>
        <v>0</v>
      </c>
      <c r="AR393" s="168"/>
      <c r="AS393" s="168"/>
      <c r="AT393" s="168"/>
      <c r="AU393" s="168"/>
      <c r="AV393" s="168"/>
      <c r="AW393" s="168"/>
      <c r="AX393" s="168"/>
      <c r="AY393" s="168"/>
      <c r="AZ393" s="168"/>
      <c r="BB393" s="168"/>
    </row>
    <row r="394" s="89" customFormat="1" customHeight="1" spans="4:54">
      <c r="D394" s="230"/>
      <c r="F394" s="227"/>
      <c r="I394" s="185" t="s">
        <v>4092</v>
      </c>
      <c r="J394" s="221">
        <v>260.95</v>
      </c>
      <c r="M394" s="222"/>
      <c r="N394" s="222"/>
      <c r="O394" s="228"/>
      <c r="P394" s="230"/>
      <c r="Q394" s="230"/>
      <c r="R394" s="168"/>
      <c r="S394" s="171"/>
      <c r="T394" s="167"/>
      <c r="U394" s="171"/>
      <c r="V394" s="168"/>
      <c r="W394" s="225"/>
      <c r="X394" s="168"/>
      <c r="Y394" s="226"/>
      <c r="Z394" s="251"/>
      <c r="AB394" s="168"/>
      <c r="AH394" s="168">
        <f t="shared" si="49"/>
        <v>0</v>
      </c>
      <c r="AL394" s="227"/>
      <c r="AM394" s="227"/>
      <c r="AN394" s="228"/>
      <c r="AO394" s="89">
        <f t="shared" si="50"/>
        <v>0</v>
      </c>
      <c r="AP394" s="106"/>
      <c r="AQ394" s="204">
        <f t="shared" si="51"/>
        <v>0</v>
      </c>
      <c r="AR394" s="168"/>
      <c r="AS394" s="168"/>
      <c r="AT394" s="168"/>
      <c r="AU394" s="168"/>
      <c r="AV394" s="168"/>
      <c r="AW394" s="168"/>
      <c r="AX394" s="168"/>
      <c r="AY394" s="168"/>
      <c r="AZ394" s="168"/>
      <c r="BB394" s="168"/>
    </row>
    <row r="395" s="89" customFormat="1" customHeight="1" spans="4:54">
      <c r="D395" s="230"/>
      <c r="F395" s="227"/>
      <c r="I395" s="185" t="s">
        <v>4093</v>
      </c>
      <c r="J395" s="221">
        <v>111.69</v>
      </c>
      <c r="M395" s="222"/>
      <c r="N395" s="222"/>
      <c r="O395" s="228"/>
      <c r="P395" s="230"/>
      <c r="Q395" s="230"/>
      <c r="R395" s="168"/>
      <c r="S395" s="171"/>
      <c r="T395" s="167"/>
      <c r="U395" s="171"/>
      <c r="V395" s="168"/>
      <c r="W395" s="225"/>
      <c r="X395" s="168"/>
      <c r="Y395" s="226"/>
      <c r="Z395" s="251"/>
      <c r="AB395" s="168"/>
      <c r="AH395" s="168">
        <f t="shared" si="49"/>
        <v>0</v>
      </c>
      <c r="AL395" s="227"/>
      <c r="AM395" s="227"/>
      <c r="AN395" s="228"/>
      <c r="AO395" s="89">
        <f t="shared" si="50"/>
        <v>0</v>
      </c>
      <c r="AP395" s="106"/>
      <c r="AQ395" s="204">
        <f t="shared" si="51"/>
        <v>0</v>
      </c>
      <c r="AR395" s="168"/>
      <c r="AS395" s="168"/>
      <c r="AT395" s="168"/>
      <c r="AU395" s="168"/>
      <c r="AV395" s="168"/>
      <c r="AW395" s="168"/>
      <c r="AX395" s="168"/>
      <c r="AY395" s="168"/>
      <c r="AZ395" s="168"/>
      <c r="BB395" s="168"/>
    </row>
    <row r="396" s="131" customFormat="1" ht="30" customHeight="1" spans="1:65">
      <c r="A396" s="175">
        <v>321</v>
      </c>
      <c r="B396" s="131"/>
      <c r="C396" s="131" t="s">
        <v>560</v>
      </c>
      <c r="D396" s="215" t="s">
        <v>4094</v>
      </c>
      <c r="F396" s="216" t="s">
        <v>4095</v>
      </c>
      <c r="G396" s="214" t="s">
        <v>4096</v>
      </c>
      <c r="H396" s="728" t="s">
        <v>4097</v>
      </c>
      <c r="I396" s="191" t="s">
        <v>4098</v>
      </c>
      <c r="J396" s="188">
        <v>123.34</v>
      </c>
      <c r="K396" s="131">
        <v>123.34</v>
      </c>
      <c r="L396" s="131">
        <v>7159.07</v>
      </c>
      <c r="M396" s="236">
        <v>883000</v>
      </c>
      <c r="N396" s="236">
        <v>7159.07</v>
      </c>
      <c r="O396" s="188"/>
      <c r="P396" s="215"/>
      <c r="Q396" s="215"/>
      <c r="R396" s="158">
        <v>143000</v>
      </c>
      <c r="S396" s="159" t="s">
        <v>91</v>
      </c>
      <c r="T396" s="175"/>
      <c r="U396" s="159" t="s">
        <v>201</v>
      </c>
      <c r="V396" s="158">
        <v>20000</v>
      </c>
      <c r="W396" s="159">
        <v>45552</v>
      </c>
      <c r="X396" s="158">
        <v>143000</v>
      </c>
      <c r="Y396" s="159" t="s">
        <v>91</v>
      </c>
      <c r="AA396" s="143"/>
      <c r="AB396" s="158"/>
      <c r="AC396" s="143"/>
      <c r="AD396" s="143"/>
      <c r="AE396" s="143"/>
      <c r="AF396" s="143"/>
      <c r="AG396" s="143"/>
      <c r="AH396" s="158">
        <f t="shared" si="49"/>
        <v>163000</v>
      </c>
      <c r="AK396" s="189">
        <f t="shared" ref="AK396:AK399" si="52">M396-AH396</f>
        <v>720000</v>
      </c>
      <c r="AL396" s="216" t="s">
        <v>4099</v>
      </c>
      <c r="AM396" s="216"/>
      <c r="AN396" s="239"/>
      <c r="AO396" s="131">
        <f t="shared" si="50"/>
        <v>0</v>
      </c>
      <c r="AP396" s="161">
        <f>0.6%+0.1%</f>
        <v>0.007</v>
      </c>
      <c r="AQ396" s="192">
        <f t="shared" si="51"/>
        <v>100</v>
      </c>
      <c r="AR396" s="158"/>
      <c r="AS396" s="158"/>
      <c r="AT396" s="158">
        <v>100</v>
      </c>
      <c r="AU396" s="158"/>
      <c r="AV396" s="158"/>
      <c r="AW396" s="158"/>
      <c r="AX396" s="158"/>
      <c r="AY396" s="158"/>
      <c r="AZ396" s="158"/>
      <c r="BB396" s="158"/>
      <c r="BL396" s="89"/>
      <c r="BM396" s="89"/>
    </row>
    <row r="397" s="131" customFormat="1" ht="65" customHeight="1" spans="1:70">
      <c r="A397" s="175">
        <v>322</v>
      </c>
      <c r="C397" s="131" t="s">
        <v>2132</v>
      </c>
      <c r="D397" s="215" t="s">
        <v>4100</v>
      </c>
      <c r="F397" s="248" t="s">
        <v>4101</v>
      </c>
      <c r="G397" s="214" t="s">
        <v>4102</v>
      </c>
      <c r="H397" s="727" t="s">
        <v>4103</v>
      </c>
      <c r="I397" s="187" t="s">
        <v>4104</v>
      </c>
      <c r="J397" s="188">
        <v>140.71</v>
      </c>
      <c r="K397" s="131">
        <v>140.71</v>
      </c>
      <c r="L397" s="131">
        <v>7364.59</v>
      </c>
      <c r="M397" s="239">
        <v>1036271</v>
      </c>
      <c r="N397" s="236">
        <v>7364.59</v>
      </c>
      <c r="O397" s="188"/>
      <c r="P397" s="215"/>
      <c r="Q397" s="215"/>
      <c r="R397" s="158"/>
      <c r="S397" s="159"/>
      <c r="T397" s="728" t="s">
        <v>4105</v>
      </c>
      <c r="U397" s="213" t="s">
        <v>4106</v>
      </c>
      <c r="V397" s="158">
        <f>10000-10000+10000-10000</f>
        <v>0</v>
      </c>
      <c r="W397" s="213" t="s">
        <v>4107</v>
      </c>
      <c r="X397" s="158">
        <v>10000</v>
      </c>
      <c r="Y397" s="159" t="s">
        <v>1545</v>
      </c>
      <c r="Z397" s="158">
        <v>10000</v>
      </c>
      <c r="AA397" s="159" t="s">
        <v>2132</v>
      </c>
      <c r="AB397" s="158">
        <f>60000+236271</f>
        <v>296271</v>
      </c>
      <c r="AC397" s="159" t="s">
        <v>2125</v>
      </c>
      <c r="AD397" s="143">
        <v>720000</v>
      </c>
      <c r="AE397" s="143" t="s">
        <v>618</v>
      </c>
      <c r="AF397" s="143"/>
      <c r="AG397" s="143"/>
      <c r="AH397" s="158">
        <f t="shared" si="49"/>
        <v>1036271</v>
      </c>
      <c r="AK397" s="189">
        <f t="shared" si="52"/>
        <v>0</v>
      </c>
      <c r="AL397" s="216" t="s">
        <v>4108</v>
      </c>
      <c r="AM397" s="216"/>
      <c r="AN397" s="239"/>
      <c r="AO397" s="131">
        <f t="shared" si="50"/>
        <v>1036271</v>
      </c>
      <c r="AP397" s="163">
        <f>0.5%+0.05%+0.12%</f>
        <v>0.0067</v>
      </c>
      <c r="AQ397" s="192">
        <f t="shared" si="51"/>
        <v>400</v>
      </c>
      <c r="AR397" s="158"/>
      <c r="AS397" s="158"/>
      <c r="AT397" s="158">
        <v>100</v>
      </c>
      <c r="AU397" s="158">
        <v>100</v>
      </c>
      <c r="AV397" s="158"/>
      <c r="AW397" s="158">
        <v>200</v>
      </c>
      <c r="AX397" s="158"/>
      <c r="AY397" s="158"/>
      <c r="AZ397" s="158"/>
      <c r="BA397" s="131">
        <v>316271</v>
      </c>
      <c r="BB397" s="158">
        <v>720000</v>
      </c>
      <c r="BQ397" s="131" t="s">
        <v>205</v>
      </c>
      <c r="BR397" s="131" t="s">
        <v>206</v>
      </c>
    </row>
    <row r="398" s="89" customFormat="1" customHeight="1" spans="1:54">
      <c r="A398" s="167">
        <v>323</v>
      </c>
      <c r="D398" s="230"/>
      <c r="F398" s="227"/>
      <c r="G398" s="167"/>
      <c r="H398" s="167"/>
      <c r="I398" s="185" t="s">
        <v>4109</v>
      </c>
      <c r="J398" s="170">
        <v>138.52</v>
      </c>
      <c r="M398" s="222">
        <f>K398*L398</f>
        <v>0</v>
      </c>
      <c r="N398" s="222">
        <v>5747.22</v>
      </c>
      <c r="O398" s="235"/>
      <c r="P398" s="230"/>
      <c r="Q398" s="230"/>
      <c r="R398" s="168"/>
      <c r="S398" s="171"/>
      <c r="T398" s="167"/>
      <c r="U398" s="171"/>
      <c r="V398" s="168"/>
      <c r="W398" s="253"/>
      <c r="X398" s="168"/>
      <c r="Y398" s="197"/>
      <c r="AA398" s="225"/>
      <c r="AB398" s="168"/>
      <c r="AH398" s="168">
        <f t="shared" si="49"/>
        <v>0</v>
      </c>
      <c r="AL398" s="227"/>
      <c r="AM398" s="227"/>
      <c r="AN398" s="240"/>
      <c r="AO398" s="89">
        <f t="shared" si="50"/>
        <v>0</v>
      </c>
      <c r="AP398" s="106"/>
      <c r="AQ398" s="204">
        <f t="shared" si="51"/>
        <v>0</v>
      </c>
      <c r="AR398" s="168"/>
      <c r="AS398" s="168"/>
      <c r="AT398" s="168"/>
      <c r="AU398" s="168"/>
      <c r="AV398" s="168"/>
      <c r="AW398" s="168"/>
      <c r="AX398" s="168"/>
      <c r="AY398" s="168"/>
      <c r="AZ398" s="168"/>
      <c r="BB398" s="168"/>
    </row>
    <row r="399" s="131" customFormat="1" customHeight="1" spans="1:65">
      <c r="A399" s="175">
        <v>324</v>
      </c>
      <c r="B399" s="131"/>
      <c r="D399" s="215"/>
      <c r="F399" s="248" t="s">
        <v>4110</v>
      </c>
      <c r="G399" s="175" t="s">
        <v>4111</v>
      </c>
      <c r="H399" s="727" t="s">
        <v>4112</v>
      </c>
      <c r="I399" s="187" t="s">
        <v>4113</v>
      </c>
      <c r="J399" s="131">
        <v>138.03</v>
      </c>
      <c r="K399" s="131">
        <v>138.03</v>
      </c>
      <c r="L399" s="131">
        <v>5578.5</v>
      </c>
      <c r="M399" s="236">
        <v>770000</v>
      </c>
      <c r="N399" s="260">
        <v>5578.495</v>
      </c>
      <c r="O399" s="238"/>
      <c r="P399" s="215"/>
      <c r="Q399" s="215"/>
      <c r="R399" s="158">
        <v>20000</v>
      </c>
      <c r="S399" s="159" t="s">
        <v>98</v>
      </c>
      <c r="T399" s="175"/>
      <c r="U399" s="159" t="s">
        <v>1075</v>
      </c>
      <c r="V399" s="158">
        <v>355000</v>
      </c>
      <c r="W399" s="159">
        <v>45552</v>
      </c>
      <c r="X399" s="158">
        <v>395000</v>
      </c>
      <c r="Y399" s="198">
        <v>45553</v>
      </c>
      <c r="Z399" s="158">
        <v>20000</v>
      </c>
      <c r="AA399" s="159" t="s">
        <v>98</v>
      </c>
      <c r="AB399" s="158"/>
      <c r="AH399" s="158">
        <f t="shared" si="49"/>
        <v>770000</v>
      </c>
      <c r="AK399" s="189">
        <f t="shared" si="52"/>
        <v>0</v>
      </c>
      <c r="AL399" s="216" t="s">
        <v>4114</v>
      </c>
      <c r="AM399" s="216"/>
      <c r="AN399" s="239"/>
      <c r="AO399" s="131">
        <f t="shared" si="50"/>
        <v>0</v>
      </c>
      <c r="AP399" s="163">
        <f>0.5%+0.05%+0.1%</f>
        <v>0.0065</v>
      </c>
      <c r="AQ399" s="192">
        <f t="shared" si="51"/>
        <v>0</v>
      </c>
      <c r="AR399" s="158"/>
      <c r="AS399" s="158"/>
      <c r="AT399" s="158"/>
      <c r="AU399" s="158"/>
      <c r="AV399" s="158"/>
      <c r="AW399" s="158"/>
      <c r="AX399" s="158"/>
      <c r="AY399" s="158"/>
      <c r="AZ399" s="158"/>
      <c r="BB399" s="158"/>
      <c r="BL399" s="89"/>
      <c r="BM399" s="89"/>
    </row>
    <row r="400" s="131" customFormat="1" customHeight="1" spans="1:69">
      <c r="A400" s="175">
        <v>325</v>
      </c>
      <c r="C400" s="143">
        <v>45537</v>
      </c>
      <c r="D400" s="215" t="s">
        <v>4115</v>
      </c>
      <c r="F400" s="216" t="s">
        <v>4116</v>
      </c>
      <c r="G400" s="131" t="s">
        <v>4117</v>
      </c>
      <c r="H400" s="727" t="s">
        <v>4118</v>
      </c>
      <c r="I400" s="191" t="s">
        <v>4119</v>
      </c>
      <c r="J400" s="188">
        <v>138.52</v>
      </c>
      <c r="K400" s="131">
        <v>138.52</v>
      </c>
      <c r="L400" s="131">
        <v>5801.88</v>
      </c>
      <c r="M400" s="236">
        <v>803676</v>
      </c>
      <c r="N400" s="236">
        <v>5801.88</v>
      </c>
      <c r="O400" s="238"/>
      <c r="P400" s="215"/>
      <c r="Q400" s="215"/>
      <c r="R400" s="158">
        <v>628000</v>
      </c>
      <c r="S400" s="159" t="s">
        <v>436</v>
      </c>
      <c r="T400" s="727" t="s">
        <v>4120</v>
      </c>
      <c r="U400" s="159" t="s">
        <v>422</v>
      </c>
      <c r="V400" s="158">
        <v>10000</v>
      </c>
      <c r="W400" s="159" t="s">
        <v>373</v>
      </c>
      <c r="X400" s="158">
        <v>10000</v>
      </c>
      <c r="Y400" s="159" t="s">
        <v>2132</v>
      </c>
      <c r="Z400" s="158">
        <v>676</v>
      </c>
      <c r="AA400" s="159">
        <v>45537</v>
      </c>
      <c r="AB400" s="158">
        <v>155000</v>
      </c>
      <c r="AC400" s="143">
        <v>45560</v>
      </c>
      <c r="AD400" s="158">
        <v>628000</v>
      </c>
      <c r="AE400" s="159" t="s">
        <v>436</v>
      </c>
      <c r="AH400" s="158">
        <f t="shared" si="49"/>
        <v>803676</v>
      </c>
      <c r="AK400" s="189">
        <f t="shared" ref="AK400:AK405" si="53">M400-AH400</f>
        <v>0</v>
      </c>
      <c r="AL400" s="216" t="s">
        <v>4121</v>
      </c>
      <c r="AM400" s="216"/>
      <c r="AN400" s="239"/>
      <c r="AO400" s="131">
        <f t="shared" si="50"/>
        <v>175676</v>
      </c>
      <c r="AP400" s="163">
        <f>0.7%+0.05%+0.12%</f>
        <v>0.0087</v>
      </c>
      <c r="AQ400" s="192">
        <f t="shared" si="51"/>
        <v>200</v>
      </c>
      <c r="AR400" s="158"/>
      <c r="AS400" s="158"/>
      <c r="AT400" s="158"/>
      <c r="AU400" s="158"/>
      <c r="AV400" s="158"/>
      <c r="AW400" s="158">
        <v>200</v>
      </c>
      <c r="AX400" s="158"/>
      <c r="AY400" s="158"/>
      <c r="AZ400" s="158"/>
      <c r="BB400" s="158"/>
      <c r="BM400" s="131">
        <v>175676</v>
      </c>
      <c r="BO400" s="131">
        <f>AP400*BM400</f>
        <v>1528.3812</v>
      </c>
      <c r="BQ400" s="131" t="s">
        <v>205</v>
      </c>
    </row>
    <row r="401" s="131" customFormat="1" customHeight="1" spans="1:70">
      <c r="A401" s="175">
        <v>326</v>
      </c>
      <c r="C401" s="131" t="s">
        <v>2123</v>
      </c>
      <c r="D401" s="215" t="s">
        <v>4122</v>
      </c>
      <c r="F401" s="216"/>
      <c r="G401" s="175" t="s">
        <v>4123</v>
      </c>
      <c r="H401" s="727" t="s">
        <v>4124</v>
      </c>
      <c r="I401" s="187" t="s">
        <v>4125</v>
      </c>
      <c r="J401" s="131">
        <v>138.03</v>
      </c>
      <c r="K401" s="131">
        <v>138.03</v>
      </c>
      <c r="L401" s="131">
        <v>5820.88</v>
      </c>
      <c r="M401" s="236">
        <v>803455</v>
      </c>
      <c r="N401" s="236">
        <v>5820.88</v>
      </c>
      <c r="O401" s="188"/>
      <c r="P401" s="215"/>
      <c r="Q401" s="215"/>
      <c r="R401" s="158"/>
      <c r="S401" s="159"/>
      <c r="T401" s="727" t="s">
        <v>4126</v>
      </c>
      <c r="U401" s="159" t="s">
        <v>201</v>
      </c>
      <c r="V401" s="158">
        <v>10000</v>
      </c>
      <c r="W401" s="159" t="s">
        <v>4127</v>
      </c>
      <c r="X401" s="158">
        <v>10000</v>
      </c>
      <c r="Y401" s="198" t="s">
        <v>2123</v>
      </c>
      <c r="Z401" s="131">
        <v>143455</v>
      </c>
      <c r="AA401" s="131" t="s">
        <v>2069</v>
      </c>
      <c r="AB401" s="158">
        <v>640000</v>
      </c>
      <c r="AC401" s="159" t="s">
        <v>286</v>
      </c>
      <c r="AH401" s="158">
        <f t="shared" si="49"/>
        <v>803455</v>
      </c>
      <c r="AK401" s="189">
        <f t="shared" si="53"/>
        <v>0</v>
      </c>
      <c r="AL401" s="216"/>
      <c r="AM401" s="216"/>
      <c r="AN401" s="239"/>
      <c r="AO401" s="131">
        <f t="shared" si="50"/>
        <v>803455</v>
      </c>
      <c r="AP401" s="163">
        <f>0.5%+0.12%</f>
        <v>0.0062</v>
      </c>
      <c r="AQ401" s="192">
        <f t="shared" si="51"/>
        <v>300</v>
      </c>
      <c r="AR401" s="158"/>
      <c r="AS401" s="158"/>
      <c r="AT401" s="158"/>
      <c r="AU401" s="158"/>
      <c r="AV401" s="158"/>
      <c r="AW401" s="158">
        <f>100+200</f>
        <v>300</v>
      </c>
      <c r="AX401" s="158"/>
      <c r="AY401" s="158"/>
      <c r="AZ401" s="158">
        <v>163455</v>
      </c>
      <c r="BB401" s="158"/>
      <c r="BG401" s="131">
        <v>640000</v>
      </c>
      <c r="BQ401" s="131" t="s">
        <v>205</v>
      </c>
      <c r="BR401" s="131" t="s">
        <v>206</v>
      </c>
    </row>
    <row r="402" s="131" customFormat="1" customHeight="1" spans="1:65">
      <c r="A402" s="175">
        <v>327</v>
      </c>
      <c r="B402" s="131"/>
      <c r="D402" s="215"/>
      <c r="F402" s="216" t="s">
        <v>4128</v>
      </c>
      <c r="G402" s="175" t="s">
        <v>4129</v>
      </c>
      <c r="H402" s="727" t="s">
        <v>4130</v>
      </c>
      <c r="I402" s="191" t="s">
        <v>4131</v>
      </c>
      <c r="J402" s="188">
        <v>138.52</v>
      </c>
      <c r="K402" s="131">
        <v>138.52</v>
      </c>
      <c r="L402" s="131">
        <v>5847.53</v>
      </c>
      <c r="M402" s="236">
        <v>810000</v>
      </c>
      <c r="N402" s="236">
        <v>5834.48</v>
      </c>
      <c r="O402" s="238"/>
      <c r="P402" s="215"/>
      <c r="Q402" s="215"/>
      <c r="R402" s="158"/>
      <c r="S402" s="159"/>
      <c r="T402" s="175"/>
      <c r="U402" s="159" t="s">
        <v>422</v>
      </c>
      <c r="V402" s="158">
        <v>50000</v>
      </c>
      <c r="W402" s="159">
        <v>45536</v>
      </c>
      <c r="X402" s="158">
        <v>50000</v>
      </c>
      <c r="Y402" s="198">
        <v>45537</v>
      </c>
      <c r="AA402" s="143"/>
      <c r="AB402" s="158"/>
      <c r="AC402" s="143"/>
      <c r="AD402" s="143"/>
      <c r="AE402" s="143"/>
      <c r="AF402" s="143"/>
      <c r="AG402" s="143"/>
      <c r="AH402" s="158">
        <f t="shared" si="49"/>
        <v>100000</v>
      </c>
      <c r="AK402" s="189">
        <f t="shared" si="53"/>
        <v>710000</v>
      </c>
      <c r="AL402" s="216" t="s">
        <v>4132</v>
      </c>
      <c r="AM402" s="216" t="s">
        <v>4133</v>
      </c>
      <c r="AN402" s="239"/>
      <c r="AO402" s="131">
        <f t="shared" si="50"/>
        <v>0</v>
      </c>
      <c r="AP402" s="163">
        <f>0.4%+0.02%+0.1%</f>
        <v>0.0052</v>
      </c>
      <c r="AQ402" s="192">
        <f t="shared" si="51"/>
        <v>100</v>
      </c>
      <c r="AR402" s="158"/>
      <c r="AS402" s="158"/>
      <c r="AT402" s="158"/>
      <c r="AU402" s="158"/>
      <c r="AV402" s="158">
        <v>100</v>
      </c>
      <c r="AW402" s="158"/>
      <c r="AX402" s="158"/>
      <c r="AY402" s="158"/>
      <c r="AZ402" s="158"/>
      <c r="BB402" s="158"/>
      <c r="BL402" s="89"/>
      <c r="BM402" s="89"/>
    </row>
    <row r="403" s="131" customFormat="1" customHeight="1" spans="1:70">
      <c r="A403" s="175">
        <v>328</v>
      </c>
      <c r="C403" s="131" t="s">
        <v>1079</v>
      </c>
      <c r="D403" s="215" t="s">
        <v>4134</v>
      </c>
      <c r="F403" s="216" t="s">
        <v>4135</v>
      </c>
      <c r="G403" s="214" t="s">
        <v>4136</v>
      </c>
      <c r="H403" s="728" t="s">
        <v>4137</v>
      </c>
      <c r="I403" s="187" t="s">
        <v>4138</v>
      </c>
      <c r="J403" s="131">
        <v>138.03</v>
      </c>
      <c r="K403" s="131">
        <v>138.03</v>
      </c>
      <c r="L403" s="131">
        <v>5853.48</v>
      </c>
      <c r="M403" s="236">
        <v>807957</v>
      </c>
      <c r="N403" s="236">
        <v>5853.48</v>
      </c>
      <c r="O403" s="188"/>
      <c r="P403" s="215"/>
      <c r="Q403" s="215"/>
      <c r="R403" s="158"/>
      <c r="S403" s="159"/>
      <c r="T403" s="727" t="s">
        <v>542</v>
      </c>
      <c r="U403" s="159" t="s">
        <v>1075</v>
      </c>
      <c r="V403" s="158">
        <v>10000</v>
      </c>
      <c r="W403" s="159" t="s">
        <v>2209</v>
      </c>
      <c r="X403" s="158">
        <v>10000</v>
      </c>
      <c r="Y403" s="159" t="s">
        <v>2123</v>
      </c>
      <c r="Z403" s="131">
        <v>120000</v>
      </c>
      <c r="AA403" s="131" t="s">
        <v>2132</v>
      </c>
      <c r="AB403" s="158">
        <v>27957</v>
      </c>
      <c r="AC403" s="131" t="s">
        <v>1079</v>
      </c>
      <c r="AD403" s="131">
        <v>640000</v>
      </c>
      <c r="AE403" s="131" t="s">
        <v>1162</v>
      </c>
      <c r="AH403" s="158">
        <f t="shared" si="49"/>
        <v>807957</v>
      </c>
      <c r="AK403" s="189">
        <f t="shared" si="53"/>
        <v>0</v>
      </c>
      <c r="AL403" s="216" t="s">
        <v>4139</v>
      </c>
      <c r="AM403" s="216"/>
      <c r="AN403" s="239"/>
      <c r="AO403" s="131">
        <f t="shared" si="50"/>
        <v>807957</v>
      </c>
      <c r="AP403" s="163">
        <f>0.4%+0.04%+0.12%</f>
        <v>0.0056</v>
      </c>
      <c r="AQ403" s="192">
        <f t="shared" si="51"/>
        <v>200</v>
      </c>
      <c r="AR403" s="158"/>
      <c r="AS403" s="158"/>
      <c r="AT403" s="158"/>
      <c r="AU403" s="158"/>
      <c r="AV403" s="158"/>
      <c r="AW403" s="158">
        <v>200</v>
      </c>
      <c r="AX403" s="158"/>
      <c r="AY403" s="158"/>
      <c r="AZ403" s="158">
        <v>167957</v>
      </c>
      <c r="BB403" s="158"/>
      <c r="BC403" s="131">
        <v>640000</v>
      </c>
      <c r="BQ403" s="131" t="s">
        <v>205</v>
      </c>
      <c r="BR403" s="131" t="s">
        <v>206</v>
      </c>
    </row>
    <row r="404" s="131" customFormat="1" customHeight="1" spans="1:70">
      <c r="A404" s="175">
        <v>329</v>
      </c>
      <c r="C404" s="131" t="s">
        <v>3527</v>
      </c>
      <c r="D404" s="215" t="s">
        <v>4140</v>
      </c>
      <c r="F404" s="726" t="s">
        <v>4141</v>
      </c>
      <c r="G404" s="175" t="s">
        <v>4142</v>
      </c>
      <c r="H404" s="727" t="s">
        <v>4143</v>
      </c>
      <c r="I404" s="191" t="s">
        <v>4144</v>
      </c>
      <c r="J404" s="188">
        <v>138.52</v>
      </c>
      <c r="K404" s="131">
        <v>138.52</v>
      </c>
      <c r="L404" s="131">
        <v>5908.83</v>
      </c>
      <c r="M404" s="236">
        <v>818492</v>
      </c>
      <c r="N404" s="236">
        <v>5908.83</v>
      </c>
      <c r="O404" s="188"/>
      <c r="P404" s="215"/>
      <c r="Q404" s="215"/>
      <c r="R404" s="158"/>
      <c r="S404" s="159"/>
      <c r="T404" s="175"/>
      <c r="U404" s="159" t="s">
        <v>291</v>
      </c>
      <c r="V404" s="158">
        <v>20000</v>
      </c>
      <c r="W404" s="159" t="s">
        <v>341</v>
      </c>
      <c r="X404" s="158">
        <v>158492</v>
      </c>
      <c r="Y404" s="159" t="s">
        <v>334</v>
      </c>
      <c r="Z404" s="147">
        <v>20000</v>
      </c>
      <c r="AA404" s="143" t="s">
        <v>618</v>
      </c>
      <c r="AB404" s="158">
        <v>620000</v>
      </c>
      <c r="AC404" s="143" t="s">
        <v>1162</v>
      </c>
      <c r="AD404" s="143"/>
      <c r="AE404" s="143"/>
      <c r="AF404" s="143"/>
      <c r="AG404" s="143"/>
      <c r="AH404" s="158">
        <f t="shared" si="49"/>
        <v>818492</v>
      </c>
      <c r="AK404" s="189">
        <f t="shared" si="53"/>
        <v>0</v>
      </c>
      <c r="AL404" s="216" t="s">
        <v>4145</v>
      </c>
      <c r="AM404" s="216"/>
      <c r="AN404" s="239"/>
      <c r="AO404" s="131">
        <f t="shared" si="50"/>
        <v>818492</v>
      </c>
      <c r="AP404" s="163">
        <f>0.7%+0.05%+0.12%</f>
        <v>0.0087</v>
      </c>
      <c r="AQ404" s="192">
        <f t="shared" si="51"/>
        <v>100</v>
      </c>
      <c r="AR404" s="158"/>
      <c r="AS404" s="158">
        <v>100</v>
      </c>
      <c r="AT404" s="158"/>
      <c r="AU404" s="158"/>
      <c r="AV404" s="158"/>
      <c r="AW404" s="158"/>
      <c r="AX404" s="158"/>
      <c r="AY404" s="158"/>
      <c r="AZ404" s="158"/>
      <c r="BB404" s="158">
        <v>198492</v>
      </c>
      <c r="BC404" s="131">
        <v>620000</v>
      </c>
      <c r="BQ404" s="131" t="s">
        <v>205</v>
      </c>
      <c r="BR404" s="131" t="s">
        <v>206</v>
      </c>
    </row>
    <row r="405" s="131" customFormat="1" ht="60" customHeight="1" spans="1:70">
      <c r="A405" s="175">
        <v>330</v>
      </c>
      <c r="C405" s="131" t="s">
        <v>2069</v>
      </c>
      <c r="D405" s="215" t="s">
        <v>4146</v>
      </c>
      <c r="F405" s="216"/>
      <c r="G405" s="214" t="s">
        <v>4147</v>
      </c>
      <c r="H405" s="175"/>
      <c r="I405" s="187" t="s">
        <v>4148</v>
      </c>
      <c r="J405" s="131">
        <v>138.03</v>
      </c>
      <c r="K405" s="131">
        <v>138.03</v>
      </c>
      <c r="L405" s="131">
        <v>5927.835</v>
      </c>
      <c r="M405" s="236">
        <v>818219</v>
      </c>
      <c r="N405" s="236">
        <v>5927.83</v>
      </c>
      <c r="O405" s="188"/>
      <c r="P405" s="215"/>
      <c r="Q405" s="215"/>
      <c r="R405" s="158"/>
      <c r="S405" s="159"/>
      <c r="T405" s="728" t="s">
        <v>4149</v>
      </c>
      <c r="U405" s="213" t="s">
        <v>4150</v>
      </c>
      <c r="V405" s="158">
        <f>10000-10000</f>
        <v>0</v>
      </c>
      <c r="W405" s="159" t="s">
        <v>1869</v>
      </c>
      <c r="X405" s="158">
        <v>10000</v>
      </c>
      <c r="Y405" s="159" t="s">
        <v>2123</v>
      </c>
      <c r="Z405" s="131">
        <v>219</v>
      </c>
      <c r="AA405" s="131" t="s">
        <v>2141</v>
      </c>
      <c r="AB405" s="158">
        <v>10000</v>
      </c>
      <c r="AC405" s="143" t="s">
        <v>1345</v>
      </c>
      <c r="AD405" s="158">
        <v>298000</v>
      </c>
      <c r="AE405" s="159" t="s">
        <v>602</v>
      </c>
      <c r="AF405" s="158">
        <v>500000</v>
      </c>
      <c r="AG405" s="159" t="s">
        <v>2300</v>
      </c>
      <c r="AH405" s="158">
        <f t="shared" si="49"/>
        <v>818219</v>
      </c>
      <c r="AK405" s="189">
        <f t="shared" si="53"/>
        <v>0</v>
      </c>
      <c r="AL405" s="216"/>
      <c r="AM405" s="216"/>
      <c r="AN405" s="239"/>
      <c r="AO405" s="131">
        <f t="shared" si="50"/>
        <v>818219</v>
      </c>
      <c r="AP405" s="163">
        <f>0.4%+0.02%+0.12%</f>
        <v>0.0054</v>
      </c>
      <c r="AQ405" s="192">
        <f t="shared" si="51"/>
        <v>300</v>
      </c>
      <c r="AR405" s="158"/>
      <c r="AS405" s="158">
        <v>100</v>
      </c>
      <c r="AT405" s="158"/>
      <c r="AU405" s="158"/>
      <c r="AV405" s="158"/>
      <c r="AW405" s="158">
        <v>200</v>
      </c>
      <c r="AX405" s="158"/>
      <c r="AY405" s="158"/>
      <c r="AZ405" s="158"/>
      <c r="BB405" s="158">
        <v>318219</v>
      </c>
      <c r="BD405" s="131">
        <v>500000</v>
      </c>
      <c r="BQ405" s="131" t="s">
        <v>205</v>
      </c>
      <c r="BR405" s="131" t="s">
        <v>206</v>
      </c>
    </row>
    <row r="406" s="131" customFormat="1" ht="49" customHeight="1" spans="1:70">
      <c r="A406" s="175">
        <v>331</v>
      </c>
      <c r="C406" s="131" t="s">
        <v>2010</v>
      </c>
      <c r="D406" s="131">
        <v>20230007702</v>
      </c>
      <c r="F406" s="216" t="s">
        <v>4151</v>
      </c>
      <c r="G406" s="214" t="s">
        <v>4152</v>
      </c>
      <c r="H406" s="727" t="s">
        <v>4153</v>
      </c>
      <c r="I406" s="191" t="s">
        <v>4154</v>
      </c>
      <c r="J406" s="188">
        <v>138.52</v>
      </c>
      <c r="K406" s="131">
        <v>138.52</v>
      </c>
      <c r="L406" s="131">
        <v>5977.75</v>
      </c>
      <c r="M406" s="239">
        <v>828038</v>
      </c>
      <c r="N406" s="158">
        <v>5977.75</v>
      </c>
      <c r="O406" s="188"/>
      <c r="P406" s="216"/>
      <c r="Q406" s="216"/>
      <c r="R406" s="158"/>
      <c r="S406" s="159"/>
      <c r="T406" s="728" t="s">
        <v>4155</v>
      </c>
      <c r="U406" s="213" t="s">
        <v>4156</v>
      </c>
      <c r="V406" s="158">
        <f>10000-10000</f>
        <v>0</v>
      </c>
      <c r="W406" s="159" t="s">
        <v>2571</v>
      </c>
      <c r="X406" s="158">
        <v>10000</v>
      </c>
      <c r="Y406" s="159" t="s">
        <v>1400</v>
      </c>
      <c r="Z406" s="158">
        <v>10000</v>
      </c>
      <c r="AA406" s="159" t="s">
        <v>2123</v>
      </c>
      <c r="AB406" s="158">
        <v>1038</v>
      </c>
      <c r="AC406" s="159" t="s">
        <v>1546</v>
      </c>
      <c r="AD406" s="131">
        <v>177000</v>
      </c>
      <c r="AE406" s="131" t="s">
        <v>686</v>
      </c>
      <c r="AF406" s="158">
        <v>630000</v>
      </c>
      <c r="AG406" s="159" t="s">
        <v>236</v>
      </c>
      <c r="AH406" s="158">
        <f t="shared" si="49"/>
        <v>828038</v>
      </c>
      <c r="AK406" s="189">
        <f t="shared" ref="AK406:AK416" si="54">M406-AH406</f>
        <v>0</v>
      </c>
      <c r="AL406" s="216" t="s">
        <v>4157</v>
      </c>
      <c r="AM406" s="216"/>
      <c r="AN406" s="237"/>
      <c r="AO406" s="131">
        <f t="shared" si="50"/>
        <v>828038</v>
      </c>
      <c r="AP406" s="163">
        <f>0.4%+0.04%+0.12%</f>
        <v>0.0056</v>
      </c>
      <c r="AQ406" s="192">
        <f t="shared" si="51"/>
        <v>300</v>
      </c>
      <c r="AR406" s="158"/>
      <c r="AS406" s="158">
        <v>100</v>
      </c>
      <c r="AT406" s="158"/>
      <c r="AU406" s="158"/>
      <c r="AV406" s="158"/>
      <c r="AW406" s="158">
        <v>200</v>
      </c>
      <c r="AX406" s="158"/>
      <c r="AY406" s="158"/>
      <c r="AZ406" s="158"/>
      <c r="BB406" s="158">
        <v>198038</v>
      </c>
      <c r="BC406" s="131">
        <v>630000</v>
      </c>
      <c r="BQ406" s="131" t="s">
        <v>205</v>
      </c>
      <c r="BR406" s="131" t="s">
        <v>206</v>
      </c>
    </row>
    <row r="407" s="131" customFormat="1" ht="44" customHeight="1" spans="1:69">
      <c r="A407" s="175">
        <v>332</v>
      </c>
      <c r="D407" s="215"/>
      <c r="F407" s="216" t="s">
        <v>4158</v>
      </c>
      <c r="G407" s="214" t="s">
        <v>4159</v>
      </c>
      <c r="H407" s="727" t="s">
        <v>4160</v>
      </c>
      <c r="I407" s="187" t="s">
        <v>4161</v>
      </c>
      <c r="J407" s="131">
        <v>138.03</v>
      </c>
      <c r="K407" s="131">
        <v>138.03</v>
      </c>
      <c r="L407" s="131">
        <v>5996.75</v>
      </c>
      <c r="M407" s="239">
        <f>K407*L407</f>
        <v>827731.4025</v>
      </c>
      <c r="N407" s="236">
        <v>5996.75</v>
      </c>
      <c r="O407" s="238"/>
      <c r="P407" s="215"/>
      <c r="Q407" s="215"/>
      <c r="R407" s="158">
        <v>151000</v>
      </c>
      <c r="S407" s="159" t="s">
        <v>113</v>
      </c>
      <c r="T407" s="728" t="s">
        <v>4162</v>
      </c>
      <c r="U407" s="213" t="s">
        <v>226</v>
      </c>
      <c r="V407" s="158">
        <v>10000</v>
      </c>
      <c r="W407" s="213" t="s">
        <v>2067</v>
      </c>
      <c r="X407" s="158">
        <f>10000</f>
        <v>10000</v>
      </c>
      <c r="Y407" s="159" t="s">
        <v>1600</v>
      </c>
      <c r="Z407" s="158">
        <v>151000</v>
      </c>
      <c r="AA407" s="159" t="s">
        <v>113</v>
      </c>
      <c r="AB407" s="158"/>
      <c r="AH407" s="158">
        <f t="shared" si="49"/>
        <v>171000</v>
      </c>
      <c r="AK407" s="189">
        <f t="shared" si="54"/>
        <v>656731.4025</v>
      </c>
      <c r="AL407" s="216" t="s">
        <v>4163</v>
      </c>
      <c r="AM407" s="216"/>
      <c r="AN407" s="239"/>
      <c r="AO407" s="131">
        <f t="shared" si="50"/>
        <v>0</v>
      </c>
      <c r="AP407" s="163">
        <f>0.7%+0.05%+0.12%</f>
        <v>0.0087</v>
      </c>
      <c r="AQ407" s="192">
        <f t="shared" si="51"/>
        <v>300</v>
      </c>
      <c r="AR407" s="192">
        <v>100</v>
      </c>
      <c r="AS407" s="158"/>
      <c r="AT407" s="158"/>
      <c r="AU407" s="158"/>
      <c r="AV407" s="158"/>
      <c r="AW407" s="158">
        <v>200</v>
      </c>
      <c r="AX407" s="158"/>
      <c r="AY407" s="158"/>
      <c r="AZ407" s="158"/>
      <c r="BB407" s="158"/>
      <c r="BQ407" s="131" t="s">
        <v>205</v>
      </c>
    </row>
    <row r="408" s="131" customFormat="1" customHeight="1" spans="1:70">
      <c r="A408" s="175">
        <v>333</v>
      </c>
      <c r="C408" s="131" t="s">
        <v>4164</v>
      </c>
      <c r="D408" s="232" t="s">
        <v>4165</v>
      </c>
      <c r="F408" s="216" t="s">
        <v>4166</v>
      </c>
      <c r="G408" s="214" t="s">
        <v>4167</v>
      </c>
      <c r="H408" s="727" t="s">
        <v>4168</v>
      </c>
      <c r="I408" s="187" t="s">
        <v>4169</v>
      </c>
      <c r="J408" s="188">
        <v>138.52</v>
      </c>
      <c r="K408" s="131">
        <v>138.52</v>
      </c>
      <c r="L408" s="261">
        <v>6026.66</v>
      </c>
      <c r="M408" s="239">
        <f>K408*L408</f>
        <v>834812.9432</v>
      </c>
      <c r="N408" s="236">
        <v>6026.66</v>
      </c>
      <c r="O408" s="188"/>
      <c r="P408" s="215"/>
      <c r="Q408" s="215"/>
      <c r="R408" s="158"/>
      <c r="S408" s="159"/>
      <c r="T408" s="728" t="s">
        <v>1794</v>
      </c>
      <c r="U408" s="213" t="s">
        <v>201</v>
      </c>
      <c r="V408" s="158">
        <v>10000</v>
      </c>
      <c r="W408" s="159" t="s">
        <v>1353</v>
      </c>
      <c r="X408" s="158">
        <v>10000</v>
      </c>
      <c r="Y408" s="159" t="s">
        <v>2123</v>
      </c>
      <c r="Z408" s="158">
        <f>40000+68813</f>
        <v>108813</v>
      </c>
      <c r="AA408" s="159" t="s">
        <v>4164</v>
      </c>
      <c r="AB408" s="158">
        <v>46000</v>
      </c>
      <c r="AC408" s="159" t="s">
        <v>500</v>
      </c>
      <c r="AD408" s="158">
        <v>660000</v>
      </c>
      <c r="AE408" s="159" t="s">
        <v>3355</v>
      </c>
      <c r="AF408" s="143"/>
      <c r="AG408" s="143"/>
      <c r="AH408" s="158">
        <f t="shared" si="49"/>
        <v>834813</v>
      </c>
      <c r="AK408" s="189">
        <f t="shared" si="54"/>
        <v>-0.0568000000203028</v>
      </c>
      <c r="AL408" s="216" t="s">
        <v>4170</v>
      </c>
      <c r="AM408" s="216"/>
      <c r="AN408" s="239"/>
      <c r="AO408" s="131">
        <f t="shared" si="50"/>
        <v>834813</v>
      </c>
      <c r="AP408" s="163">
        <f>0.5%+0.12%</f>
        <v>0.0062</v>
      </c>
      <c r="AQ408" s="192">
        <f t="shared" si="51"/>
        <v>300</v>
      </c>
      <c r="AR408" s="158"/>
      <c r="AS408" s="158">
        <v>100</v>
      </c>
      <c r="AT408" s="158"/>
      <c r="AU408" s="158"/>
      <c r="AV408" s="158"/>
      <c r="AW408" s="158">
        <v>200</v>
      </c>
      <c r="AX408" s="158"/>
      <c r="AY408" s="158"/>
      <c r="AZ408" s="158"/>
      <c r="BB408" s="158">
        <v>174813</v>
      </c>
      <c r="BC408" s="131">
        <v>660000</v>
      </c>
      <c r="BQ408" s="131" t="s">
        <v>205</v>
      </c>
      <c r="BR408" s="131" t="s">
        <v>206</v>
      </c>
    </row>
    <row r="409" s="131" customFormat="1" customHeight="1" spans="1:70">
      <c r="A409" s="175">
        <v>334</v>
      </c>
      <c r="C409" s="131" t="s">
        <v>341</v>
      </c>
      <c r="D409" s="215" t="s">
        <v>4171</v>
      </c>
      <c r="F409" s="216" t="s">
        <v>4172</v>
      </c>
      <c r="G409" s="175" t="s">
        <v>4173</v>
      </c>
      <c r="H409" s="727" t="s">
        <v>4174</v>
      </c>
      <c r="I409" s="191" t="s">
        <v>4175</v>
      </c>
      <c r="J409" s="131">
        <v>138.03</v>
      </c>
      <c r="K409" s="131">
        <v>138.03</v>
      </c>
      <c r="L409" s="131">
        <v>6045.66</v>
      </c>
      <c r="M409" s="239">
        <v>834484</v>
      </c>
      <c r="N409" s="236">
        <v>6045.66</v>
      </c>
      <c r="O409" s="188"/>
      <c r="P409" s="215"/>
      <c r="Q409" s="215"/>
      <c r="R409" s="158"/>
      <c r="S409" s="159"/>
      <c r="T409" s="727" t="s">
        <v>4176</v>
      </c>
      <c r="U409" s="159" t="s">
        <v>411</v>
      </c>
      <c r="V409" s="158">
        <v>10000</v>
      </c>
      <c r="W409" s="159" t="s">
        <v>631</v>
      </c>
      <c r="X409" s="158">
        <v>10000</v>
      </c>
      <c r="Y409" s="159" t="s">
        <v>2123</v>
      </c>
      <c r="Z409" s="158">
        <v>334484</v>
      </c>
      <c r="AA409" s="159" t="s">
        <v>341</v>
      </c>
      <c r="AB409" s="158">
        <v>200000</v>
      </c>
      <c r="AC409" s="159" t="s">
        <v>235</v>
      </c>
      <c r="AD409" s="158">
        <v>280000</v>
      </c>
      <c r="AE409" s="159" t="s">
        <v>447</v>
      </c>
      <c r="AH409" s="158">
        <f t="shared" si="49"/>
        <v>834484</v>
      </c>
      <c r="AK409" s="189">
        <f t="shared" si="54"/>
        <v>0</v>
      </c>
      <c r="AL409" s="216" t="s">
        <v>4177</v>
      </c>
      <c r="AM409" s="216"/>
      <c r="AN409" s="239"/>
      <c r="AO409" s="131">
        <f t="shared" si="50"/>
        <v>834484</v>
      </c>
      <c r="AP409" s="163">
        <f>0.7%+0.12%</f>
        <v>0.0082</v>
      </c>
      <c r="AQ409" s="192">
        <f t="shared" si="51"/>
        <v>400</v>
      </c>
      <c r="AR409" s="158"/>
      <c r="AS409" s="158">
        <v>100</v>
      </c>
      <c r="AT409" s="158"/>
      <c r="AU409" s="158"/>
      <c r="AV409" s="158">
        <v>100</v>
      </c>
      <c r="AW409" s="158">
        <v>200</v>
      </c>
      <c r="AX409" s="158"/>
      <c r="AY409" s="158"/>
      <c r="AZ409" s="158"/>
      <c r="BB409" s="158"/>
      <c r="BC409" s="131">
        <v>554484</v>
      </c>
      <c r="BD409" s="131">
        <v>280000</v>
      </c>
      <c r="BQ409" s="131" t="s">
        <v>205</v>
      </c>
      <c r="BR409" s="131" t="s">
        <v>206</v>
      </c>
    </row>
    <row r="410" s="131" customFormat="1" ht="39" customHeight="1" spans="1:54">
      <c r="A410" s="175">
        <v>335</v>
      </c>
      <c r="C410" s="131" t="s">
        <v>98</v>
      </c>
      <c r="D410" s="215" t="s">
        <v>4178</v>
      </c>
      <c r="F410" s="216" t="s">
        <v>4179</v>
      </c>
      <c r="G410" s="214" t="s">
        <v>4180</v>
      </c>
      <c r="H410" s="727" t="s">
        <v>4181</v>
      </c>
      <c r="I410" s="191" t="s">
        <v>4182</v>
      </c>
      <c r="J410" s="188">
        <v>138.52</v>
      </c>
      <c r="K410" s="131">
        <v>138.52</v>
      </c>
      <c r="L410" s="131">
        <f>M410/K410</f>
        <v>5753.82616228703</v>
      </c>
      <c r="M410" s="236">
        <v>797020</v>
      </c>
      <c r="N410" s="258">
        <v>5753.826</v>
      </c>
      <c r="O410" s="238"/>
      <c r="P410" s="215"/>
      <c r="Q410" s="215"/>
      <c r="R410" s="158">
        <f>29000+111020</f>
        <v>140020</v>
      </c>
      <c r="S410" s="159" t="s">
        <v>98</v>
      </c>
      <c r="T410" s="214"/>
      <c r="U410" s="213" t="s">
        <v>196</v>
      </c>
      <c r="V410" s="158">
        <v>20000</v>
      </c>
      <c r="W410" s="159" t="s">
        <v>4183</v>
      </c>
      <c r="X410" s="158">
        <v>111020</v>
      </c>
      <c r="Y410" s="159" t="s">
        <v>98</v>
      </c>
      <c r="Z410" s="147">
        <v>29000</v>
      </c>
      <c r="AA410" s="131" t="s">
        <v>4184</v>
      </c>
      <c r="AB410" s="158"/>
      <c r="AH410" s="158">
        <f t="shared" si="49"/>
        <v>160020</v>
      </c>
      <c r="AK410" s="189">
        <f t="shared" si="54"/>
        <v>637000</v>
      </c>
      <c r="AL410" s="216" t="s">
        <v>4185</v>
      </c>
      <c r="AM410" s="216" t="s">
        <v>4186</v>
      </c>
      <c r="AN410" s="239"/>
      <c r="AO410" s="131">
        <f t="shared" si="50"/>
        <v>0</v>
      </c>
      <c r="AP410" s="161">
        <f>0.7%+0.04%+0.08%</f>
        <v>0.0082</v>
      </c>
      <c r="AQ410" s="192">
        <f t="shared" si="51"/>
        <v>300</v>
      </c>
      <c r="AR410" s="158"/>
      <c r="AS410" s="158">
        <v>100</v>
      </c>
      <c r="AT410" s="158">
        <v>100</v>
      </c>
      <c r="AU410" s="158"/>
      <c r="AV410" s="158">
        <v>100</v>
      </c>
      <c r="AW410" s="158"/>
      <c r="AX410" s="158"/>
      <c r="AY410" s="158"/>
      <c r="AZ410" s="158"/>
      <c r="BB410" s="158"/>
    </row>
    <row r="411" s="131" customFormat="1" customHeight="1" spans="1:70">
      <c r="A411" s="175">
        <v>336</v>
      </c>
      <c r="C411" s="131" t="s">
        <v>388</v>
      </c>
      <c r="D411" s="215" t="s">
        <v>4187</v>
      </c>
      <c r="F411" s="216" t="s">
        <v>4188</v>
      </c>
      <c r="G411" s="175" t="s">
        <v>4189</v>
      </c>
      <c r="H411" s="727" t="s">
        <v>4190</v>
      </c>
      <c r="I411" s="187" t="s">
        <v>4191</v>
      </c>
      <c r="J411" s="131">
        <v>138.03</v>
      </c>
      <c r="K411" s="131">
        <v>138.03</v>
      </c>
      <c r="L411" s="131">
        <v>6072.83</v>
      </c>
      <c r="M411" s="239">
        <f>K411*L411</f>
        <v>838232.7249</v>
      </c>
      <c r="N411" s="236">
        <v>6072.83</v>
      </c>
      <c r="O411" s="188"/>
      <c r="P411" s="215"/>
      <c r="Q411" s="265"/>
      <c r="R411" s="158"/>
      <c r="S411" s="266"/>
      <c r="T411" s="727" t="s">
        <v>1629</v>
      </c>
      <c r="U411" s="159" t="s">
        <v>226</v>
      </c>
      <c r="V411" s="158">
        <v>10000</v>
      </c>
      <c r="W411" s="213" t="s">
        <v>2370</v>
      </c>
      <c r="X411" s="158">
        <v>10000</v>
      </c>
      <c r="Y411" s="266" t="s">
        <v>2132</v>
      </c>
      <c r="Z411" s="158">
        <v>50000</v>
      </c>
      <c r="AA411" s="266" t="s">
        <v>4192</v>
      </c>
      <c r="AB411" s="158">
        <v>50233</v>
      </c>
      <c r="AC411" s="266" t="s">
        <v>388</v>
      </c>
      <c r="AD411" s="131">
        <v>48000</v>
      </c>
      <c r="AE411" s="131" t="s">
        <v>3527</v>
      </c>
      <c r="AF411" s="158">
        <v>670000</v>
      </c>
      <c r="AG411" s="266" t="s">
        <v>1924</v>
      </c>
      <c r="AH411" s="158">
        <f t="shared" si="49"/>
        <v>838233</v>
      </c>
      <c r="AK411" s="189">
        <f t="shared" si="54"/>
        <v>-0.275099999969825</v>
      </c>
      <c r="AL411" s="216" t="s">
        <v>4193</v>
      </c>
      <c r="AM411" s="216"/>
      <c r="AN411" s="239"/>
      <c r="AO411" s="131">
        <f t="shared" si="50"/>
        <v>838233</v>
      </c>
      <c r="AP411" s="163">
        <f>0.7%+0.05%+0.12%</f>
        <v>0.0087</v>
      </c>
      <c r="AQ411" s="192">
        <f t="shared" si="51"/>
        <v>200</v>
      </c>
      <c r="AR411" s="158"/>
      <c r="AS411" s="158"/>
      <c r="AT411" s="158"/>
      <c r="AU411" s="158"/>
      <c r="AV411" s="158"/>
      <c r="AW411" s="158">
        <v>200</v>
      </c>
      <c r="AX411" s="158"/>
      <c r="AY411" s="158"/>
      <c r="AZ411" s="158"/>
      <c r="BB411" s="158">
        <v>168233</v>
      </c>
      <c r="BC411" s="131">
        <v>670000</v>
      </c>
      <c r="BQ411" s="131" t="s">
        <v>205</v>
      </c>
      <c r="BR411" s="131" t="s">
        <v>206</v>
      </c>
    </row>
    <row r="412" s="131" customFormat="1" ht="46" customHeight="1" spans="1:70">
      <c r="A412" s="175">
        <v>337</v>
      </c>
      <c r="C412" s="131" t="s">
        <v>1919</v>
      </c>
      <c r="D412" s="215" t="s">
        <v>4194</v>
      </c>
      <c r="F412" s="216"/>
      <c r="G412" s="214" t="s">
        <v>4195</v>
      </c>
      <c r="H412" s="727" t="s">
        <v>4196</v>
      </c>
      <c r="I412" s="191" t="s">
        <v>4197</v>
      </c>
      <c r="J412" s="188">
        <v>138.52</v>
      </c>
      <c r="K412" s="131">
        <v>138.52</v>
      </c>
      <c r="L412" s="131">
        <v>6082.75</v>
      </c>
      <c r="M412" s="239">
        <v>842587</v>
      </c>
      <c r="N412" s="236">
        <v>6082.75</v>
      </c>
      <c r="O412" s="188"/>
      <c r="P412" s="215"/>
      <c r="Q412" s="215"/>
      <c r="R412" s="158"/>
      <c r="S412" s="159"/>
      <c r="T412" s="728" t="s">
        <v>4198</v>
      </c>
      <c r="U412" s="213" t="s">
        <v>4199</v>
      </c>
      <c r="V412" s="158">
        <f>10000-10000</f>
        <v>0</v>
      </c>
      <c r="W412" s="159" t="s">
        <v>1345</v>
      </c>
      <c r="X412" s="158">
        <v>10000</v>
      </c>
      <c r="Y412" s="159" t="s">
        <v>1976</v>
      </c>
      <c r="Z412" s="158">
        <v>10000</v>
      </c>
      <c r="AA412" s="159" t="s">
        <v>2123</v>
      </c>
      <c r="AB412" s="158">
        <f>310000+112587+40000</f>
        <v>462587</v>
      </c>
      <c r="AC412" s="131" t="s">
        <v>1919</v>
      </c>
      <c r="AD412" s="158">
        <v>360000</v>
      </c>
      <c r="AE412" s="159" t="s">
        <v>3192</v>
      </c>
      <c r="AH412" s="158">
        <f t="shared" si="49"/>
        <v>842587</v>
      </c>
      <c r="AK412" s="131">
        <f t="shared" si="54"/>
        <v>0</v>
      </c>
      <c r="AL412" s="216" t="s">
        <v>4200</v>
      </c>
      <c r="AM412" s="216"/>
      <c r="AN412" s="239"/>
      <c r="AO412" s="131">
        <f t="shared" si="50"/>
        <v>842587</v>
      </c>
      <c r="AP412" s="163">
        <f>0.4%+0.02%+0.12%</f>
        <v>0.0054</v>
      </c>
      <c r="AQ412" s="192">
        <f t="shared" si="51"/>
        <v>300</v>
      </c>
      <c r="AR412" s="158"/>
      <c r="AS412" s="158">
        <v>100</v>
      </c>
      <c r="AT412" s="158"/>
      <c r="AU412" s="158"/>
      <c r="AV412" s="158"/>
      <c r="AW412" s="158">
        <v>200</v>
      </c>
      <c r="AX412" s="158"/>
      <c r="AY412" s="158"/>
      <c r="AZ412" s="158">
        <v>482587</v>
      </c>
      <c r="BB412" s="158"/>
      <c r="BG412" s="131">
        <v>360000</v>
      </c>
      <c r="BQ412" s="131" t="s">
        <v>205</v>
      </c>
      <c r="BR412" s="131" t="s">
        <v>206</v>
      </c>
    </row>
    <row r="413" s="131" customFormat="1" customHeight="1" spans="1:70">
      <c r="A413" s="175">
        <v>338</v>
      </c>
      <c r="C413" s="131" t="s">
        <v>388</v>
      </c>
      <c r="D413" s="216" t="s">
        <v>4201</v>
      </c>
      <c r="F413" s="216" t="s">
        <v>4202</v>
      </c>
      <c r="G413" s="214" t="s">
        <v>4203</v>
      </c>
      <c r="H413" s="727" t="s">
        <v>4204</v>
      </c>
      <c r="I413" s="187" t="s">
        <v>4205</v>
      </c>
      <c r="J413" s="131">
        <v>138.03</v>
      </c>
      <c r="K413" s="131">
        <v>138.03</v>
      </c>
      <c r="L413" s="131">
        <v>6101.75</v>
      </c>
      <c r="M413" s="239">
        <v>842224</v>
      </c>
      <c r="N413" s="236">
        <v>6101.75</v>
      </c>
      <c r="O413" s="188"/>
      <c r="P413" s="215"/>
      <c r="Q413" s="215"/>
      <c r="R413" s="158"/>
      <c r="S413" s="159"/>
      <c r="T413" s="728" t="s">
        <v>4206</v>
      </c>
      <c r="U413" s="213" t="s">
        <v>226</v>
      </c>
      <c r="V413" s="158">
        <v>10000</v>
      </c>
      <c r="W413" s="213" t="s">
        <v>2370</v>
      </c>
      <c r="X413" s="158">
        <v>10000</v>
      </c>
      <c r="Y413" s="159" t="s">
        <v>2132</v>
      </c>
      <c r="Z413" s="158">
        <v>50000</v>
      </c>
      <c r="AA413" s="159" t="s">
        <v>334</v>
      </c>
      <c r="AB413" s="158">
        <v>50224</v>
      </c>
      <c r="AC413" s="131" t="s">
        <v>388</v>
      </c>
      <c r="AD413" s="158">
        <v>49000</v>
      </c>
      <c r="AE413" s="159" t="s">
        <v>357</v>
      </c>
      <c r="AF413" s="131">
        <v>673000</v>
      </c>
      <c r="AG413" s="131" t="s">
        <v>1924</v>
      </c>
      <c r="AH413" s="158">
        <f t="shared" si="49"/>
        <v>842224</v>
      </c>
      <c r="AK413" s="189">
        <f t="shared" si="54"/>
        <v>0</v>
      </c>
      <c r="AL413" s="216" t="s">
        <v>4207</v>
      </c>
      <c r="AM413" s="216"/>
      <c r="AN413" s="239"/>
      <c r="AO413" s="131">
        <f t="shared" si="50"/>
        <v>842224</v>
      </c>
      <c r="AP413" s="163">
        <f>0.7%+0.05%+0.12%</f>
        <v>0.0087</v>
      </c>
      <c r="AQ413" s="192">
        <f t="shared" si="51"/>
        <v>300</v>
      </c>
      <c r="AR413" s="158"/>
      <c r="AS413" s="158"/>
      <c r="AT413" s="158">
        <v>100</v>
      </c>
      <c r="AU413" s="158"/>
      <c r="AV413" s="158"/>
      <c r="AW413" s="158">
        <v>200</v>
      </c>
      <c r="AX413" s="158"/>
      <c r="AY413" s="158"/>
      <c r="AZ413" s="158"/>
      <c r="BB413" s="158"/>
      <c r="BC413" s="131">
        <v>842224</v>
      </c>
      <c r="BQ413" s="131" t="s">
        <v>205</v>
      </c>
      <c r="BR413" s="131" t="s">
        <v>206</v>
      </c>
    </row>
    <row r="414" s="131" customFormat="1" ht="44" customHeight="1" spans="1:70">
      <c r="A414" s="175">
        <v>339</v>
      </c>
      <c r="C414" s="131" t="s">
        <v>585</v>
      </c>
      <c r="D414" s="131">
        <v>20230009950</v>
      </c>
      <c r="F414" s="216" t="s">
        <v>4208</v>
      </c>
      <c r="G414" s="214" t="s">
        <v>4209</v>
      </c>
      <c r="H414" s="727" t="s">
        <v>4210</v>
      </c>
      <c r="I414" s="191" t="s">
        <v>4211</v>
      </c>
      <c r="J414" s="188">
        <v>138.52</v>
      </c>
      <c r="K414" s="131">
        <v>138.52</v>
      </c>
      <c r="L414" s="131">
        <v>6050</v>
      </c>
      <c r="M414" s="236">
        <f>K414*L414</f>
        <v>838046</v>
      </c>
      <c r="N414" s="158">
        <f>6104.48-54.48</f>
        <v>6050</v>
      </c>
      <c r="O414" s="188"/>
      <c r="R414" s="158"/>
      <c r="S414" s="159"/>
      <c r="T414" s="214" t="s">
        <v>4212</v>
      </c>
      <c r="U414" s="213" t="s">
        <v>4213</v>
      </c>
      <c r="V414" s="158">
        <v>10000</v>
      </c>
      <c r="W414" s="159" t="s">
        <v>2057</v>
      </c>
      <c r="X414" s="158">
        <v>40000</v>
      </c>
      <c r="Y414" s="159" t="s">
        <v>585</v>
      </c>
      <c r="Z414" s="131">
        <v>108046</v>
      </c>
      <c r="AA414" s="143" t="s">
        <v>4214</v>
      </c>
      <c r="AB414" s="158">
        <v>90000</v>
      </c>
      <c r="AC414" s="131" t="s">
        <v>3514</v>
      </c>
      <c r="AD414" s="158">
        <v>600000</v>
      </c>
      <c r="AE414" s="159" t="s">
        <v>3749</v>
      </c>
      <c r="AH414" s="158">
        <f t="shared" si="49"/>
        <v>848046</v>
      </c>
      <c r="AK414" s="189">
        <f t="shared" si="54"/>
        <v>-10000</v>
      </c>
      <c r="AL414" s="216" t="s">
        <v>4215</v>
      </c>
      <c r="AM414" s="216"/>
      <c r="AN414" s="237"/>
      <c r="AO414" s="131">
        <f t="shared" si="50"/>
        <v>838046</v>
      </c>
      <c r="AP414" s="163">
        <f>0.5%+0.02%+0.08%</f>
        <v>0.006</v>
      </c>
      <c r="AQ414" s="192">
        <f t="shared" si="51"/>
        <v>100</v>
      </c>
      <c r="AR414" s="158"/>
      <c r="AS414" s="158"/>
      <c r="AT414" s="158">
        <v>100</v>
      </c>
      <c r="AU414" s="158"/>
      <c r="AV414" s="158"/>
      <c r="AW414" s="158"/>
      <c r="AX414" s="158"/>
      <c r="AY414" s="158"/>
      <c r="AZ414" s="158"/>
      <c r="BB414" s="158"/>
      <c r="BC414" s="131">
        <v>238046</v>
      </c>
      <c r="BD414" s="131">
        <v>600000</v>
      </c>
      <c r="BQ414" s="131" t="s">
        <v>205</v>
      </c>
      <c r="BR414" s="131" t="s">
        <v>206</v>
      </c>
    </row>
    <row r="415" s="131" customFormat="1" customHeight="1" spans="1:70">
      <c r="A415" s="175">
        <v>340</v>
      </c>
      <c r="C415" s="131" t="s">
        <v>1546</v>
      </c>
      <c r="D415" s="131">
        <v>20230007694</v>
      </c>
      <c r="F415" s="216"/>
      <c r="G415" s="214" t="s">
        <v>4216</v>
      </c>
      <c r="H415" s="214"/>
      <c r="I415" s="187" t="s">
        <v>4217</v>
      </c>
      <c r="J415" s="131">
        <v>138.03</v>
      </c>
      <c r="K415" s="131">
        <v>138.03</v>
      </c>
      <c r="L415" s="131">
        <v>6073.48</v>
      </c>
      <c r="M415" s="236">
        <v>838322</v>
      </c>
      <c r="N415" s="158">
        <f>6123.48-50</f>
        <v>6073.48</v>
      </c>
      <c r="O415" s="188"/>
      <c r="P415" s="216"/>
      <c r="Q415" s="216"/>
      <c r="R415" s="158"/>
      <c r="S415" s="159"/>
      <c r="T415" s="175"/>
      <c r="U415" s="159" t="s">
        <v>226</v>
      </c>
      <c r="V415" s="158">
        <f>30000+198322</f>
        <v>228322</v>
      </c>
      <c r="W415" s="159" t="s">
        <v>1546</v>
      </c>
      <c r="X415" s="158">
        <v>110000</v>
      </c>
      <c r="Y415" s="159" t="s">
        <v>4218</v>
      </c>
      <c r="Z415" s="158">
        <v>500000</v>
      </c>
      <c r="AA415" s="159" t="s">
        <v>1924</v>
      </c>
      <c r="AB415" s="158"/>
      <c r="AH415" s="158">
        <f t="shared" si="49"/>
        <v>838322</v>
      </c>
      <c r="AK415" s="189">
        <f t="shared" si="54"/>
        <v>0</v>
      </c>
      <c r="AL415" s="216"/>
      <c r="AM415" s="216"/>
      <c r="AN415" s="237"/>
      <c r="AO415" s="131">
        <f t="shared" si="50"/>
        <v>838322</v>
      </c>
      <c r="AP415" s="163">
        <f>0.6%+0.04%+0.12%</f>
        <v>0.0076</v>
      </c>
      <c r="AQ415" s="192">
        <f t="shared" si="51"/>
        <v>0</v>
      </c>
      <c r="AR415" s="158"/>
      <c r="AS415" s="158"/>
      <c r="AT415" s="158"/>
      <c r="AU415" s="158"/>
      <c r="AV415" s="158"/>
      <c r="AW415" s="158"/>
      <c r="AX415" s="158"/>
      <c r="AY415" s="158"/>
      <c r="AZ415" s="158"/>
      <c r="BB415" s="158">
        <v>338322</v>
      </c>
      <c r="BC415" s="131">
        <v>500000</v>
      </c>
      <c r="BQ415" s="131" t="s">
        <v>205</v>
      </c>
      <c r="BR415" s="131" t="s">
        <v>206</v>
      </c>
    </row>
    <row r="416" s="131" customFormat="1" customHeight="1" spans="1:70">
      <c r="A416" s="175">
        <v>341</v>
      </c>
      <c r="C416" s="143">
        <v>45476</v>
      </c>
      <c r="D416" s="215" t="s">
        <v>4219</v>
      </c>
      <c r="F416" s="216" t="s">
        <v>4220</v>
      </c>
      <c r="G416" s="175" t="s">
        <v>4221</v>
      </c>
      <c r="H416" s="727" t="s">
        <v>4222</v>
      </c>
      <c r="I416" s="191" t="s">
        <v>4223</v>
      </c>
      <c r="J416" s="188">
        <v>138.52</v>
      </c>
      <c r="K416" s="131">
        <v>138.52</v>
      </c>
      <c r="L416" s="131">
        <v>7200</v>
      </c>
      <c r="M416" s="236">
        <v>997344</v>
      </c>
      <c r="N416" s="236">
        <v>7112.59</v>
      </c>
      <c r="O416" s="238"/>
      <c r="P416" s="215"/>
      <c r="Q416" s="215"/>
      <c r="R416" s="158"/>
      <c r="S416" s="159"/>
      <c r="T416" s="175"/>
      <c r="U416" s="159" t="s">
        <v>422</v>
      </c>
      <c r="V416" s="158">
        <v>20000</v>
      </c>
      <c r="W416" s="159" t="s">
        <v>3552</v>
      </c>
      <c r="X416" s="158">
        <v>277344</v>
      </c>
      <c r="Y416" s="159" t="s">
        <v>3820</v>
      </c>
      <c r="Z416" s="158">
        <v>700000</v>
      </c>
      <c r="AA416" s="159" t="s">
        <v>2939</v>
      </c>
      <c r="AB416" s="158"/>
      <c r="AC416" s="143"/>
      <c r="AD416" s="143"/>
      <c r="AE416" s="143"/>
      <c r="AF416" s="143"/>
      <c r="AG416" s="143"/>
      <c r="AH416" s="158">
        <f t="shared" si="49"/>
        <v>997344</v>
      </c>
      <c r="AK416" s="189">
        <f t="shared" si="54"/>
        <v>0</v>
      </c>
      <c r="AL416" s="216" t="s">
        <v>4224</v>
      </c>
      <c r="AM416" s="216"/>
      <c r="AN416" s="239"/>
      <c r="AO416" s="131">
        <f t="shared" si="50"/>
        <v>997344</v>
      </c>
      <c r="AP416" s="161">
        <f>0.7%+0.03%+0.08%</f>
        <v>0.0081</v>
      </c>
      <c r="AQ416" s="192">
        <f t="shared" si="51"/>
        <v>0</v>
      </c>
      <c r="AR416" s="158"/>
      <c r="AS416" s="158"/>
      <c r="AT416" s="158"/>
      <c r="AU416" s="158"/>
      <c r="AV416" s="158"/>
      <c r="AW416" s="158"/>
      <c r="AX416" s="158"/>
      <c r="AY416" s="158"/>
      <c r="AZ416" s="158"/>
      <c r="BB416" s="158"/>
      <c r="BK416" s="131">
        <v>297344</v>
      </c>
      <c r="BL416" s="131">
        <v>700000</v>
      </c>
      <c r="BQ416" s="131" t="s">
        <v>205</v>
      </c>
      <c r="BR416" s="131" t="s">
        <v>206</v>
      </c>
    </row>
    <row r="417" s="89" customFormat="1" customHeight="1" spans="1:54">
      <c r="A417" s="167">
        <v>342</v>
      </c>
      <c r="F417" s="227"/>
      <c r="G417" s="167"/>
      <c r="H417" s="167"/>
      <c r="I417" s="183" t="s">
        <v>4225</v>
      </c>
      <c r="J417" s="89">
        <v>138.03</v>
      </c>
      <c r="M417" s="222">
        <f>K417*L417</f>
        <v>0</v>
      </c>
      <c r="N417" s="168">
        <v>7129.59</v>
      </c>
      <c r="O417" s="170"/>
      <c r="P417" s="227"/>
      <c r="R417" s="168"/>
      <c r="S417" s="171"/>
      <c r="T417" s="167"/>
      <c r="U417" s="171"/>
      <c r="V417" s="168"/>
      <c r="W417" s="225"/>
      <c r="X417" s="168"/>
      <c r="Y417" s="225"/>
      <c r="AA417" s="225"/>
      <c r="AB417" s="168"/>
      <c r="AH417" s="168">
        <f t="shared" si="49"/>
        <v>0</v>
      </c>
      <c r="AL417" s="227"/>
      <c r="AM417" s="227"/>
      <c r="AN417" s="245"/>
      <c r="AO417" s="89">
        <f t="shared" si="50"/>
        <v>0</v>
      </c>
      <c r="AP417" s="106"/>
      <c r="AQ417" s="204">
        <f t="shared" si="51"/>
        <v>0</v>
      </c>
      <c r="AR417" s="168"/>
      <c r="AS417" s="168"/>
      <c r="AT417" s="168"/>
      <c r="AU417" s="168"/>
      <c r="AV417" s="168"/>
      <c r="AW417" s="168"/>
      <c r="AX417" s="168"/>
      <c r="AY417" s="168"/>
      <c r="AZ417" s="168"/>
      <c r="BB417" s="168"/>
    </row>
    <row r="418" s="131" customFormat="1" ht="50" customHeight="1" spans="1:70">
      <c r="A418" s="175">
        <v>343</v>
      </c>
      <c r="C418" s="131" t="s">
        <v>2950</v>
      </c>
      <c r="D418" s="131">
        <v>20240001110</v>
      </c>
      <c r="F418" s="216" t="s">
        <v>4226</v>
      </c>
      <c r="G418" s="144" t="s">
        <v>4227</v>
      </c>
      <c r="H418" s="726" t="s">
        <v>4228</v>
      </c>
      <c r="I418" s="191" t="s">
        <v>4229</v>
      </c>
      <c r="J418" s="131">
        <v>122.85</v>
      </c>
      <c r="K418" s="131">
        <v>122.85</v>
      </c>
      <c r="L418" s="131">
        <v>7374.85</v>
      </c>
      <c r="M418" s="236">
        <v>906000</v>
      </c>
      <c r="N418" s="158">
        <v>7374.59</v>
      </c>
      <c r="O418" s="188"/>
      <c r="P418" s="216"/>
      <c r="R418" s="158"/>
      <c r="S418" s="213"/>
      <c r="T418" s="214"/>
      <c r="U418" s="213" t="s">
        <v>217</v>
      </c>
      <c r="V418" s="158">
        <v>20000</v>
      </c>
      <c r="W418" s="213" t="s">
        <v>286</v>
      </c>
      <c r="X418" s="131">
        <f>206000+50000</f>
        <v>256000</v>
      </c>
      <c r="Y418" s="131" t="s">
        <v>2950</v>
      </c>
      <c r="Z418" s="158">
        <v>630000</v>
      </c>
      <c r="AA418" s="213" t="s">
        <v>4077</v>
      </c>
      <c r="AB418" s="158"/>
      <c r="AH418" s="158">
        <f t="shared" si="49"/>
        <v>906000</v>
      </c>
      <c r="AK418" s="189">
        <f t="shared" ref="AK418:AK423" si="55">M418-AH418</f>
        <v>0</v>
      </c>
      <c r="AL418" s="216" t="s">
        <v>4230</v>
      </c>
      <c r="AM418" s="216"/>
      <c r="AO418" s="131">
        <f t="shared" si="50"/>
        <v>906000</v>
      </c>
      <c r="AP418" s="161">
        <f>0.6%+0.04%+0.14%</f>
        <v>0.0078</v>
      </c>
      <c r="AQ418" s="192">
        <f t="shared" si="51"/>
        <v>200</v>
      </c>
      <c r="AR418" s="158"/>
      <c r="AS418" s="158"/>
      <c r="AT418" s="158">
        <f>100+100</f>
        <v>200</v>
      </c>
      <c r="AU418" s="158"/>
      <c r="AV418" s="158"/>
      <c r="AW418" s="158"/>
      <c r="AX418" s="158"/>
      <c r="AY418" s="158"/>
      <c r="AZ418" s="158"/>
      <c r="BB418" s="158"/>
      <c r="BG418" s="131">
        <v>276000</v>
      </c>
      <c r="BM418" s="131">
        <v>630000</v>
      </c>
      <c r="BO418" s="131">
        <f>AP418*BM418</f>
        <v>4914</v>
      </c>
      <c r="BQ418" s="131" t="s">
        <v>205</v>
      </c>
      <c r="BR418" s="131" t="s">
        <v>206</v>
      </c>
    </row>
    <row r="419" s="131" customFormat="1" ht="47" customHeight="1" spans="1:70">
      <c r="A419" s="175">
        <v>344</v>
      </c>
      <c r="C419" s="131" t="s">
        <v>219</v>
      </c>
      <c r="D419" s="131">
        <v>20240000219</v>
      </c>
      <c r="F419" s="216" t="s">
        <v>4231</v>
      </c>
      <c r="G419" s="144" t="s">
        <v>4232</v>
      </c>
      <c r="H419" s="726" t="s">
        <v>4233</v>
      </c>
      <c r="I419" s="187" t="s">
        <v>4234</v>
      </c>
      <c r="J419" s="131">
        <v>150.17</v>
      </c>
      <c r="K419" s="131">
        <v>150.17</v>
      </c>
      <c r="L419" s="131">
        <v>7384.59</v>
      </c>
      <c r="M419" s="239">
        <f>K419*L419</f>
        <v>1108943.8803</v>
      </c>
      <c r="N419" s="158">
        <v>7384.59</v>
      </c>
      <c r="O419" s="188"/>
      <c r="P419" s="216"/>
      <c r="R419" s="158"/>
      <c r="S419" s="159"/>
      <c r="T419" s="728" t="s">
        <v>4235</v>
      </c>
      <c r="U419" s="213" t="s">
        <v>4236</v>
      </c>
      <c r="V419" s="158">
        <f>10000-10000</f>
        <v>0</v>
      </c>
      <c r="W419" s="159" t="s">
        <v>1135</v>
      </c>
      <c r="X419" s="158">
        <v>10000</v>
      </c>
      <c r="Y419" s="159" t="s">
        <v>805</v>
      </c>
      <c r="Z419" s="158">
        <v>10000</v>
      </c>
      <c r="AA419" s="159" t="s">
        <v>2132</v>
      </c>
      <c r="AB419" s="158">
        <v>80000</v>
      </c>
      <c r="AC419" s="159" t="s">
        <v>2216</v>
      </c>
      <c r="AD419" s="158">
        <v>100944</v>
      </c>
      <c r="AE419" s="159" t="s">
        <v>219</v>
      </c>
      <c r="AF419" s="158">
        <f>18000+90000+800000</f>
        <v>908000</v>
      </c>
      <c r="AG419" s="213" t="s">
        <v>4237</v>
      </c>
      <c r="AH419" s="158">
        <f t="shared" si="49"/>
        <v>1108944</v>
      </c>
      <c r="AK419" s="189">
        <f t="shared" si="55"/>
        <v>-0.119699999922886</v>
      </c>
      <c r="AL419" s="216" t="s">
        <v>4238</v>
      </c>
      <c r="AM419" s="216"/>
      <c r="AO419" s="131">
        <f t="shared" si="50"/>
        <v>1108944</v>
      </c>
      <c r="AP419" s="163">
        <f>0.4%+0.02%+0.12%</f>
        <v>0.0054</v>
      </c>
      <c r="AQ419" s="192">
        <f t="shared" si="51"/>
        <v>300</v>
      </c>
      <c r="AR419" s="158"/>
      <c r="AS419" s="158">
        <v>100</v>
      </c>
      <c r="AT419" s="158"/>
      <c r="AU419" s="158"/>
      <c r="AV419" s="158"/>
      <c r="AW419" s="158">
        <v>200</v>
      </c>
      <c r="AX419" s="158"/>
      <c r="AY419" s="158"/>
      <c r="AZ419" s="158"/>
      <c r="BB419" s="158"/>
      <c r="BG419" s="131">
        <v>308944</v>
      </c>
      <c r="BI419" s="131">
        <v>800000</v>
      </c>
      <c r="BQ419" s="131" t="s">
        <v>205</v>
      </c>
      <c r="BR419" s="131" t="s">
        <v>206</v>
      </c>
    </row>
    <row r="420" s="131" customFormat="1" customHeight="1" spans="1:65">
      <c r="A420" s="175">
        <v>345</v>
      </c>
      <c r="B420" s="131"/>
      <c r="F420" s="216"/>
      <c r="G420" s="131" t="s">
        <v>4239</v>
      </c>
      <c r="I420" s="191" t="s">
        <v>4240</v>
      </c>
      <c r="J420" s="131">
        <v>138.03</v>
      </c>
      <c r="K420" s="131">
        <v>138.03</v>
      </c>
      <c r="L420" s="131">
        <v>5723.39</v>
      </c>
      <c r="M420" s="236">
        <v>790000</v>
      </c>
      <c r="N420" s="158">
        <v>5723.39</v>
      </c>
      <c r="O420" s="238"/>
      <c r="P420" s="216"/>
      <c r="R420" s="158"/>
      <c r="S420" s="159"/>
      <c r="T420" s="175"/>
      <c r="U420" s="159" t="s">
        <v>1075</v>
      </c>
      <c r="V420" s="158">
        <v>20000</v>
      </c>
      <c r="W420" s="159">
        <v>45538</v>
      </c>
      <c r="X420" s="158"/>
      <c r="Y420" s="243"/>
      <c r="AB420" s="158"/>
      <c r="AH420" s="158">
        <f t="shared" si="49"/>
        <v>20000</v>
      </c>
      <c r="AK420" s="189">
        <f t="shared" si="55"/>
        <v>770000</v>
      </c>
      <c r="AL420" s="216"/>
      <c r="AM420" s="216" t="s">
        <v>4133</v>
      </c>
      <c r="AO420" s="131">
        <f t="shared" si="50"/>
        <v>0</v>
      </c>
      <c r="AP420" s="163">
        <f>0.5%+0.05%+0.1%</f>
        <v>0.0065</v>
      </c>
      <c r="AQ420" s="192">
        <f t="shared" si="51"/>
        <v>100</v>
      </c>
      <c r="AR420" s="158"/>
      <c r="AS420" s="158"/>
      <c r="AT420" s="158"/>
      <c r="AU420" s="158"/>
      <c r="AV420" s="158">
        <v>100</v>
      </c>
      <c r="AW420" s="158"/>
      <c r="AX420" s="158"/>
      <c r="AY420" s="158"/>
      <c r="AZ420" s="158"/>
      <c r="BB420" s="158"/>
      <c r="BL420" s="89"/>
      <c r="BM420" s="89"/>
    </row>
    <row r="421" s="131" customFormat="1" customHeight="1" spans="1:54">
      <c r="A421" s="175">
        <v>346</v>
      </c>
      <c r="B421" s="131">
        <v>1</v>
      </c>
      <c r="C421" s="131" t="s">
        <v>297</v>
      </c>
      <c r="D421" s="131">
        <v>20240006325</v>
      </c>
      <c r="F421" s="216" t="s">
        <v>4241</v>
      </c>
      <c r="G421" s="131" t="s">
        <v>4242</v>
      </c>
      <c r="H421" s="726" t="s">
        <v>4243</v>
      </c>
      <c r="I421" s="187" t="s">
        <v>4244</v>
      </c>
      <c r="J421" s="131">
        <v>147.25</v>
      </c>
      <c r="K421" s="131">
        <v>147.25</v>
      </c>
      <c r="L421" s="131">
        <v>5691</v>
      </c>
      <c r="M421" s="236">
        <v>838000</v>
      </c>
      <c r="N421" s="158">
        <v>5757.82</v>
      </c>
      <c r="O421" s="238" t="s">
        <v>195</v>
      </c>
      <c r="P421" s="216"/>
      <c r="R421" s="158">
        <f>388000+20000</f>
        <v>408000</v>
      </c>
      <c r="S421" s="159" t="s">
        <v>441</v>
      </c>
      <c r="T421" s="175"/>
      <c r="U421" s="159" t="s">
        <v>1075</v>
      </c>
      <c r="V421" s="158">
        <v>20000</v>
      </c>
      <c r="W421" s="159" t="s">
        <v>441</v>
      </c>
      <c r="X421" s="158">
        <v>388000</v>
      </c>
      <c r="Y421" s="243" t="s">
        <v>297</v>
      </c>
      <c r="AB421" s="158"/>
      <c r="AH421" s="158">
        <f t="shared" si="49"/>
        <v>408000</v>
      </c>
      <c r="AK421" s="189">
        <f t="shared" si="55"/>
        <v>430000</v>
      </c>
      <c r="AL421" s="216" t="s">
        <v>4245</v>
      </c>
      <c r="AM421" s="216"/>
      <c r="AO421" s="131">
        <f t="shared" si="50"/>
        <v>0</v>
      </c>
      <c r="AP421" s="163"/>
      <c r="AQ421" s="192">
        <f t="shared" si="51"/>
        <v>0</v>
      </c>
      <c r="AR421" s="158"/>
      <c r="AS421" s="158"/>
      <c r="AT421" s="158"/>
      <c r="AU421" s="158"/>
      <c r="AV421" s="158"/>
      <c r="AW421" s="158"/>
      <c r="AX421" s="158"/>
      <c r="AY421" s="158"/>
      <c r="AZ421" s="158"/>
      <c r="BB421" s="158"/>
    </row>
    <row r="422" s="131" customFormat="1" ht="49" customHeight="1" spans="1:70">
      <c r="A422" s="175">
        <v>347</v>
      </c>
      <c r="C422" s="131" t="s">
        <v>1445</v>
      </c>
      <c r="D422" s="131">
        <v>20230007093</v>
      </c>
      <c r="F422" s="216" t="s">
        <v>4246</v>
      </c>
      <c r="G422" s="131" t="s">
        <v>4247</v>
      </c>
      <c r="H422" s="726" t="s">
        <v>4248</v>
      </c>
      <c r="I422" s="191" t="s">
        <v>4249</v>
      </c>
      <c r="J422" s="131">
        <v>138.03</v>
      </c>
      <c r="K422" s="131">
        <v>138.03</v>
      </c>
      <c r="L422" s="131">
        <v>5827.4</v>
      </c>
      <c r="M422" s="239">
        <f>K422*L422</f>
        <v>804356.022</v>
      </c>
      <c r="N422" s="158">
        <v>5827.4</v>
      </c>
      <c r="O422" s="188"/>
      <c r="P422" s="216"/>
      <c r="R422" s="158"/>
      <c r="S422" s="159"/>
      <c r="T422" s="727" t="s">
        <v>2005</v>
      </c>
      <c r="U422" s="159" t="s">
        <v>226</v>
      </c>
      <c r="V422" s="158">
        <v>10000</v>
      </c>
      <c r="W422" s="243" t="s">
        <v>649</v>
      </c>
      <c r="X422" s="158">
        <v>10000</v>
      </c>
      <c r="Y422" s="159" t="s">
        <v>2123</v>
      </c>
      <c r="Z422" s="131">
        <v>224356</v>
      </c>
      <c r="AA422" s="131" t="s">
        <v>1445</v>
      </c>
      <c r="AB422" s="158">
        <v>560000</v>
      </c>
      <c r="AC422" s="159" t="s">
        <v>1162</v>
      </c>
      <c r="AH422" s="158">
        <f t="shared" si="49"/>
        <v>804356</v>
      </c>
      <c r="AK422" s="189">
        <f t="shared" si="55"/>
        <v>0.021999999997206</v>
      </c>
      <c r="AL422" s="216" t="s">
        <v>4250</v>
      </c>
      <c r="AM422" s="216"/>
      <c r="AO422" s="131">
        <f t="shared" si="50"/>
        <v>804356</v>
      </c>
      <c r="AP422" s="163">
        <f>0.7%+0.05%+0.12%</f>
        <v>0.0087</v>
      </c>
      <c r="AQ422" s="192">
        <f t="shared" si="51"/>
        <v>200</v>
      </c>
      <c r="AR422" s="158"/>
      <c r="AS422" s="158"/>
      <c r="AT422" s="158"/>
      <c r="AU422" s="158"/>
      <c r="AV422" s="158"/>
      <c r="AW422" s="158">
        <v>200</v>
      </c>
      <c r="AX422" s="158"/>
      <c r="AY422" s="158"/>
      <c r="AZ422" s="158"/>
      <c r="BB422" s="158"/>
      <c r="BC422" s="131">
        <v>804356</v>
      </c>
      <c r="BQ422" s="131" t="s">
        <v>205</v>
      </c>
      <c r="BR422" s="131" t="s">
        <v>206</v>
      </c>
    </row>
    <row r="423" s="131" customFormat="1" customHeight="1" spans="1:70">
      <c r="A423" s="175">
        <v>348</v>
      </c>
      <c r="C423" s="143">
        <v>45472</v>
      </c>
      <c r="D423" s="131">
        <v>20240003721</v>
      </c>
      <c r="F423" s="216" t="s">
        <v>4251</v>
      </c>
      <c r="G423" s="144" t="s">
        <v>4252</v>
      </c>
      <c r="H423" s="726" t="s">
        <v>4253</v>
      </c>
      <c r="I423" s="191" t="s">
        <v>4254</v>
      </c>
      <c r="J423" s="131">
        <v>147.25</v>
      </c>
      <c r="K423" s="131">
        <v>147.25</v>
      </c>
      <c r="L423" s="131">
        <f>M423/K423</f>
        <v>5512.46859083192</v>
      </c>
      <c r="M423" s="236">
        <v>811711</v>
      </c>
      <c r="N423" s="190">
        <v>5700</v>
      </c>
      <c r="O423" s="131" t="s">
        <v>195</v>
      </c>
      <c r="P423" s="216"/>
      <c r="R423" s="158"/>
      <c r="S423" s="213"/>
      <c r="T423" s="214"/>
      <c r="U423" s="213" t="s">
        <v>196</v>
      </c>
      <c r="V423" s="158">
        <v>20000</v>
      </c>
      <c r="W423" s="213" t="s">
        <v>3069</v>
      </c>
      <c r="X423" s="158">
        <v>151711</v>
      </c>
      <c r="Y423" s="213" t="s">
        <v>281</v>
      </c>
      <c r="Z423" s="131">
        <v>40000</v>
      </c>
      <c r="AA423" s="131" t="s">
        <v>559</v>
      </c>
      <c r="AB423" s="158">
        <v>600000</v>
      </c>
      <c r="AC423" s="213" t="s">
        <v>4255</v>
      </c>
      <c r="AH423" s="158">
        <f t="shared" si="49"/>
        <v>811711</v>
      </c>
      <c r="AK423" s="189">
        <f t="shared" si="55"/>
        <v>0</v>
      </c>
      <c r="AL423" s="216" t="s">
        <v>4256</v>
      </c>
      <c r="AM423" s="216" t="s">
        <v>4257</v>
      </c>
      <c r="AO423" s="131">
        <f t="shared" si="50"/>
        <v>0</v>
      </c>
      <c r="AP423" s="163">
        <f>0.6%+0.04%+0.08%</f>
        <v>0.0072</v>
      </c>
      <c r="AQ423" s="192">
        <f t="shared" si="51"/>
        <v>300</v>
      </c>
      <c r="AR423" s="158"/>
      <c r="AS423" s="158"/>
      <c r="AT423" s="158">
        <v>100</v>
      </c>
      <c r="AU423" s="158"/>
      <c r="AV423" s="158">
        <f>100+100</f>
        <v>200</v>
      </c>
      <c r="AW423" s="158"/>
      <c r="AX423" s="158"/>
      <c r="AY423" s="158"/>
      <c r="AZ423" s="158"/>
      <c r="BB423" s="158"/>
      <c r="BP423" s="131" t="s">
        <v>4258</v>
      </c>
      <c r="BQ423" s="131" t="s">
        <v>205</v>
      </c>
      <c r="BR423" s="131" t="s">
        <v>206</v>
      </c>
    </row>
    <row r="424" s="131" customFormat="1" customHeight="1" spans="1:70">
      <c r="A424" s="175">
        <v>349</v>
      </c>
      <c r="C424" s="131" t="s">
        <v>341</v>
      </c>
      <c r="D424" s="131">
        <v>20230008193</v>
      </c>
      <c r="F424" s="216" t="s">
        <v>4259</v>
      </c>
      <c r="G424" s="131" t="s">
        <v>4260</v>
      </c>
      <c r="H424" s="726" t="s">
        <v>4261</v>
      </c>
      <c r="I424" s="191" t="s">
        <v>4262</v>
      </c>
      <c r="J424" s="131">
        <v>138.03</v>
      </c>
      <c r="K424" s="131">
        <v>138.03</v>
      </c>
      <c r="L424" s="131">
        <v>5860.01</v>
      </c>
      <c r="M424" s="239">
        <f>K424*L424</f>
        <v>808857.1803</v>
      </c>
      <c r="N424" s="158">
        <v>5860.01</v>
      </c>
      <c r="O424" s="188"/>
      <c r="P424" s="216"/>
      <c r="R424" s="158"/>
      <c r="S424" s="159"/>
      <c r="T424" s="175"/>
      <c r="U424" s="159" t="s">
        <v>422</v>
      </c>
      <c r="V424" s="158">
        <v>20000</v>
      </c>
      <c r="W424" s="159" t="s">
        <v>1286</v>
      </c>
      <c r="X424" s="158">
        <v>50000</v>
      </c>
      <c r="Y424" s="159" t="s">
        <v>2132</v>
      </c>
      <c r="Z424" s="158">
        <v>91857</v>
      </c>
      <c r="AA424" s="159" t="s">
        <v>2437</v>
      </c>
      <c r="AB424" s="158">
        <v>647000</v>
      </c>
      <c r="AC424" s="159" t="s">
        <v>3091</v>
      </c>
      <c r="AH424" s="158">
        <f t="shared" si="49"/>
        <v>808857</v>
      </c>
      <c r="AK424" s="189">
        <f t="shared" ref="AK424:AK437" si="56">M424-AH424</f>
        <v>0.180300000007264</v>
      </c>
      <c r="AL424" s="216" t="s">
        <v>4263</v>
      </c>
      <c r="AM424" s="216"/>
      <c r="AO424" s="131">
        <f t="shared" si="50"/>
        <v>808857</v>
      </c>
      <c r="AP424" s="163">
        <f>0.7%+0.05%+0.12%</f>
        <v>0.0087</v>
      </c>
      <c r="AQ424" s="192">
        <f t="shared" si="51"/>
        <v>0</v>
      </c>
      <c r="AR424" s="158"/>
      <c r="AS424" s="158"/>
      <c r="AT424" s="158"/>
      <c r="AU424" s="158"/>
      <c r="AV424" s="158"/>
      <c r="AW424" s="158"/>
      <c r="AX424" s="158"/>
      <c r="AY424" s="158"/>
      <c r="AZ424" s="158"/>
      <c r="BB424" s="158">
        <v>161857</v>
      </c>
      <c r="BD424" s="131">
        <v>647000</v>
      </c>
      <c r="BQ424" s="131" t="s">
        <v>205</v>
      </c>
      <c r="BR424" s="131" t="s">
        <v>206</v>
      </c>
    </row>
    <row r="425" s="131" customFormat="1" customHeight="1" spans="1:65">
      <c r="A425" s="175">
        <v>350</v>
      </c>
      <c r="B425" s="131"/>
      <c r="C425" s="131" t="s">
        <v>4264</v>
      </c>
      <c r="D425" s="131">
        <v>20240006415</v>
      </c>
      <c r="F425" s="216" t="s">
        <v>4265</v>
      </c>
      <c r="G425" s="131" t="s">
        <v>4266</v>
      </c>
      <c r="H425" s="726" t="s">
        <v>4267</v>
      </c>
      <c r="I425" s="191" t="s">
        <v>4268</v>
      </c>
      <c r="J425" s="131">
        <v>147.25</v>
      </c>
      <c r="K425" s="131">
        <v>147.25</v>
      </c>
      <c r="L425" s="131">
        <v>5855.93</v>
      </c>
      <c r="M425" s="236">
        <v>862285</v>
      </c>
      <c r="N425" s="158">
        <v>5848.08</v>
      </c>
      <c r="O425" s="131"/>
      <c r="P425" s="216"/>
      <c r="R425" s="158"/>
      <c r="S425" s="159"/>
      <c r="T425" s="175"/>
      <c r="U425" s="159" t="s">
        <v>226</v>
      </c>
      <c r="V425" s="158">
        <v>20000</v>
      </c>
      <c r="W425" s="159">
        <v>45542</v>
      </c>
      <c r="X425" s="158"/>
      <c r="Y425" s="243"/>
      <c r="AB425" s="158"/>
      <c r="AH425" s="158">
        <f t="shared" si="49"/>
        <v>20000</v>
      </c>
      <c r="AK425" s="189">
        <f t="shared" si="56"/>
        <v>842285</v>
      </c>
      <c r="AL425" s="216" t="s">
        <v>4269</v>
      </c>
      <c r="AM425" s="216"/>
      <c r="AO425" s="131">
        <f t="shared" si="50"/>
        <v>0</v>
      </c>
      <c r="AP425" s="161">
        <f>0.7%+0.1%</f>
        <v>0.008</v>
      </c>
      <c r="AQ425" s="192">
        <f t="shared" si="51"/>
        <v>100</v>
      </c>
      <c r="AR425" s="158"/>
      <c r="AS425" s="158"/>
      <c r="AT425" s="158"/>
      <c r="AU425" s="158">
        <v>100</v>
      </c>
      <c r="AV425" s="158"/>
      <c r="AW425" s="158"/>
      <c r="AX425" s="158"/>
      <c r="AY425" s="158"/>
      <c r="AZ425" s="158"/>
      <c r="BB425" s="158"/>
      <c r="BL425" s="89"/>
      <c r="BM425" s="89"/>
    </row>
    <row r="426" s="131" customFormat="1" ht="47" customHeight="1" spans="1:70">
      <c r="A426" s="175">
        <v>351</v>
      </c>
      <c r="C426" s="131" t="s">
        <v>1919</v>
      </c>
      <c r="D426" s="131">
        <v>20230007324</v>
      </c>
      <c r="F426" s="216" t="s">
        <v>4270</v>
      </c>
      <c r="G426" s="144" t="s">
        <v>4271</v>
      </c>
      <c r="H426" s="726" t="s">
        <v>4272</v>
      </c>
      <c r="I426" s="191" t="s">
        <v>4273</v>
      </c>
      <c r="J426" s="131">
        <v>138.03</v>
      </c>
      <c r="K426" s="131">
        <v>138.03</v>
      </c>
      <c r="L426" s="131">
        <v>5934.35</v>
      </c>
      <c r="M426" s="239">
        <v>819119</v>
      </c>
      <c r="N426" s="158">
        <v>5934.35</v>
      </c>
      <c r="O426" s="188"/>
      <c r="P426" s="216"/>
      <c r="R426" s="158"/>
      <c r="S426" s="159"/>
      <c r="T426" s="728" t="s">
        <v>4274</v>
      </c>
      <c r="U426" s="213" t="s">
        <v>2222</v>
      </c>
      <c r="V426" s="158">
        <f>10000-10000</f>
        <v>0</v>
      </c>
      <c r="W426" s="159" t="s">
        <v>1668</v>
      </c>
      <c r="X426" s="158">
        <v>10000</v>
      </c>
      <c r="Y426" s="243" t="s">
        <v>2123</v>
      </c>
      <c r="Z426" s="131">
        <f>95000+54119</f>
        <v>149119</v>
      </c>
      <c r="AA426" s="131" t="s">
        <v>1919</v>
      </c>
      <c r="AB426" s="158">
        <v>10000</v>
      </c>
      <c r="AC426" s="159" t="s">
        <v>4275</v>
      </c>
      <c r="AD426" s="158">
        <v>3000</v>
      </c>
      <c r="AE426" s="159" t="s">
        <v>2300</v>
      </c>
      <c r="AF426" s="158">
        <v>647000</v>
      </c>
      <c r="AG426" s="159" t="s">
        <v>3930</v>
      </c>
      <c r="AH426" s="158">
        <f t="shared" si="49"/>
        <v>819119</v>
      </c>
      <c r="AK426" s="131">
        <f t="shared" si="56"/>
        <v>0</v>
      </c>
      <c r="AL426" s="216" t="s">
        <v>4276</v>
      </c>
      <c r="AM426" s="216"/>
      <c r="AO426" s="131">
        <f t="shared" si="50"/>
        <v>819119</v>
      </c>
      <c r="AP426" s="163">
        <f>0.7%+0.12%</f>
        <v>0.0082</v>
      </c>
      <c r="AQ426" s="192">
        <f t="shared" si="51"/>
        <v>200</v>
      </c>
      <c r="AR426" s="158"/>
      <c r="AS426" s="158"/>
      <c r="AT426" s="158"/>
      <c r="AU426" s="158"/>
      <c r="AV426" s="158"/>
      <c r="AW426" s="158">
        <v>200</v>
      </c>
      <c r="AX426" s="158"/>
      <c r="AY426" s="158"/>
      <c r="AZ426" s="158">
        <v>169119</v>
      </c>
      <c r="BB426" s="158"/>
      <c r="BF426" s="131">
        <v>650000</v>
      </c>
      <c r="BQ426" s="131" t="s">
        <v>205</v>
      </c>
      <c r="BR426" s="131" t="s">
        <v>206</v>
      </c>
    </row>
    <row r="427" s="131" customFormat="1" ht="49" customHeight="1" spans="1:70">
      <c r="A427" s="175">
        <v>352</v>
      </c>
      <c r="C427" s="131" t="s">
        <v>4277</v>
      </c>
      <c r="D427" s="131">
        <v>20230007103</v>
      </c>
      <c r="F427" s="216" t="s">
        <v>4278</v>
      </c>
      <c r="G427" s="144" t="s">
        <v>4279</v>
      </c>
      <c r="H427" s="726" t="s">
        <v>3033</v>
      </c>
      <c r="I427" s="191" t="s">
        <v>4280</v>
      </c>
      <c r="J427" s="131">
        <v>147.25</v>
      </c>
      <c r="K427" s="131">
        <v>147.25</v>
      </c>
      <c r="L427" s="131">
        <v>5919.44</v>
      </c>
      <c r="M427" s="239">
        <v>871637</v>
      </c>
      <c r="N427" s="158">
        <v>5919.43</v>
      </c>
      <c r="O427" s="188"/>
      <c r="P427" s="216"/>
      <c r="R427" s="158"/>
      <c r="S427" s="159"/>
      <c r="T427" s="728" t="s">
        <v>4281</v>
      </c>
      <c r="U427" s="213" t="s">
        <v>4282</v>
      </c>
      <c r="V427" s="158">
        <f>10000-10000</f>
        <v>0</v>
      </c>
      <c r="W427" s="159" t="s">
        <v>1633</v>
      </c>
      <c r="X427" s="158">
        <v>10000</v>
      </c>
      <c r="Y427" s="159" t="s">
        <v>1590</v>
      </c>
      <c r="Z427" s="158">
        <v>1637</v>
      </c>
      <c r="AA427" s="159" t="s">
        <v>1445</v>
      </c>
      <c r="AB427" s="158">
        <v>210000</v>
      </c>
      <c r="AC427" s="159" t="s">
        <v>3527</v>
      </c>
      <c r="AD427" s="158">
        <v>650000</v>
      </c>
      <c r="AE427" s="159" t="s">
        <v>585</v>
      </c>
      <c r="AH427" s="158">
        <f t="shared" si="49"/>
        <v>871637</v>
      </c>
      <c r="AK427" s="189">
        <f t="shared" si="56"/>
        <v>0</v>
      </c>
      <c r="AL427" s="216" t="s">
        <v>4283</v>
      </c>
      <c r="AM427" s="216"/>
      <c r="AO427" s="131">
        <f t="shared" si="50"/>
        <v>871637</v>
      </c>
      <c r="AP427" s="163">
        <f>0.7%+0.12%</f>
        <v>0.0082</v>
      </c>
      <c r="AQ427" s="192">
        <f t="shared" si="51"/>
        <v>300</v>
      </c>
      <c r="AR427" s="192">
        <v>100</v>
      </c>
      <c r="AS427" s="158"/>
      <c r="AT427" s="158"/>
      <c r="AU427" s="158"/>
      <c r="AV427" s="158"/>
      <c r="AW427" s="158">
        <v>200</v>
      </c>
      <c r="AX427" s="158"/>
      <c r="AY427" s="158"/>
      <c r="AZ427" s="158"/>
      <c r="BB427" s="158">
        <v>221637</v>
      </c>
      <c r="BC427" s="131">
        <v>650000</v>
      </c>
      <c r="BQ427" s="131" t="s">
        <v>205</v>
      </c>
      <c r="BR427" s="131" t="s">
        <v>206</v>
      </c>
    </row>
    <row r="428" s="131" customFormat="1" ht="43" customHeight="1" spans="1:70">
      <c r="A428" s="175">
        <v>353</v>
      </c>
      <c r="C428" s="131" t="s">
        <v>1445</v>
      </c>
      <c r="D428" s="131">
        <v>20230007075</v>
      </c>
      <c r="F428" s="216" t="s">
        <v>4284</v>
      </c>
      <c r="G428" s="131" t="s">
        <v>4285</v>
      </c>
      <c r="H428" s="726" t="s">
        <v>3215</v>
      </c>
      <c r="I428" s="191" t="s">
        <v>4286</v>
      </c>
      <c r="J428" s="131">
        <v>138.03</v>
      </c>
      <c r="K428" s="131">
        <v>138.03</v>
      </c>
      <c r="L428" s="131">
        <v>6003.27</v>
      </c>
      <c r="M428" s="239">
        <v>828632</v>
      </c>
      <c r="N428" s="158">
        <v>6003.27</v>
      </c>
      <c r="O428" s="188"/>
      <c r="P428" s="216"/>
      <c r="R428" s="158"/>
      <c r="S428" s="159"/>
      <c r="T428" s="175"/>
      <c r="U428" s="159" t="s">
        <v>291</v>
      </c>
      <c r="V428" s="158">
        <v>20000</v>
      </c>
      <c r="W428" s="143" t="s">
        <v>970</v>
      </c>
      <c r="X428" s="158">
        <f>128632+100000</f>
        <v>228632</v>
      </c>
      <c r="Y428" s="159" t="s">
        <v>1445</v>
      </c>
      <c r="Z428" s="158">
        <v>580000</v>
      </c>
      <c r="AA428" s="159" t="s">
        <v>1924</v>
      </c>
      <c r="AB428" s="158"/>
      <c r="AH428" s="158">
        <f t="shared" si="49"/>
        <v>828632</v>
      </c>
      <c r="AK428" s="189">
        <f t="shared" si="56"/>
        <v>0</v>
      </c>
      <c r="AL428" s="131">
        <v>18999000856</v>
      </c>
      <c r="AM428" s="216"/>
      <c r="AO428" s="131">
        <f t="shared" si="50"/>
        <v>828632</v>
      </c>
      <c r="AP428" s="163">
        <f>0.6%+0.04%+0.12%</f>
        <v>0.0076</v>
      </c>
      <c r="AQ428" s="192">
        <f t="shared" si="51"/>
        <v>0</v>
      </c>
      <c r="AR428" s="158"/>
      <c r="AS428" s="158"/>
      <c r="AT428" s="158"/>
      <c r="AU428" s="158"/>
      <c r="AV428" s="158"/>
      <c r="AW428" s="158"/>
      <c r="AX428" s="158"/>
      <c r="AY428" s="158"/>
      <c r="AZ428" s="158">
        <v>248632</v>
      </c>
      <c r="BB428" s="158"/>
      <c r="BC428" s="131">
        <v>580000</v>
      </c>
      <c r="BQ428" s="131" t="s">
        <v>205</v>
      </c>
      <c r="BR428" s="131" t="s">
        <v>206</v>
      </c>
    </row>
    <row r="429" s="131" customFormat="1" ht="43" customHeight="1" spans="1:70">
      <c r="A429" s="175">
        <v>354</v>
      </c>
      <c r="C429" s="131" t="s">
        <v>2216</v>
      </c>
      <c r="D429" s="131">
        <v>20230007748</v>
      </c>
      <c r="F429" s="216" t="s">
        <v>4287</v>
      </c>
      <c r="G429" s="131" t="s">
        <v>4288</v>
      </c>
      <c r="H429" s="726" t="s">
        <v>3191</v>
      </c>
      <c r="I429" s="191" t="s">
        <v>4289</v>
      </c>
      <c r="J429" s="131">
        <v>147.25</v>
      </c>
      <c r="K429" s="131">
        <v>147.25</v>
      </c>
      <c r="L429" s="131">
        <v>5988.35</v>
      </c>
      <c r="M429" s="239">
        <f>K429*L429</f>
        <v>881784.5375</v>
      </c>
      <c r="N429" s="158">
        <v>5988.34</v>
      </c>
      <c r="O429" s="188"/>
      <c r="P429" s="216"/>
      <c r="R429" s="158"/>
      <c r="S429" s="159"/>
      <c r="T429" s="727" t="s">
        <v>1902</v>
      </c>
      <c r="U429" s="159" t="s">
        <v>201</v>
      </c>
      <c r="V429" s="158">
        <v>10000</v>
      </c>
      <c r="W429" s="159" t="s">
        <v>923</v>
      </c>
      <c r="X429" s="158">
        <v>1785</v>
      </c>
      <c r="Y429" s="243" t="s">
        <v>2132</v>
      </c>
      <c r="Z429" s="158">
        <v>370000</v>
      </c>
      <c r="AA429" s="159" t="s">
        <v>1651</v>
      </c>
      <c r="AB429" s="158">
        <v>240000</v>
      </c>
      <c r="AC429" s="159" t="s">
        <v>270</v>
      </c>
      <c r="AD429" s="158">
        <v>150000</v>
      </c>
      <c r="AE429" s="159" t="s">
        <v>3475</v>
      </c>
      <c r="AF429" s="131">
        <v>110000</v>
      </c>
      <c r="AG429" s="131" t="s">
        <v>546</v>
      </c>
      <c r="AH429" s="158">
        <f t="shared" si="49"/>
        <v>881785</v>
      </c>
      <c r="AK429" s="189">
        <f t="shared" si="56"/>
        <v>-0.462500000023283</v>
      </c>
      <c r="AL429" s="216" t="s">
        <v>4290</v>
      </c>
      <c r="AM429" s="216"/>
      <c r="AO429" s="131">
        <f t="shared" si="50"/>
        <v>881785</v>
      </c>
      <c r="AP429" s="163">
        <f>0.5%+0.12%</f>
        <v>0.0062</v>
      </c>
      <c r="AQ429" s="192">
        <f t="shared" si="51"/>
        <v>300</v>
      </c>
      <c r="AR429" s="158"/>
      <c r="AS429" s="158"/>
      <c r="AT429" s="158"/>
      <c r="AU429" s="158"/>
      <c r="AV429" s="158"/>
      <c r="AW429" s="158">
        <f>100+200</f>
        <v>300</v>
      </c>
      <c r="AX429" s="158"/>
      <c r="AY429" s="158"/>
      <c r="AZ429" s="158"/>
      <c r="BB429" s="158"/>
      <c r="BD429" s="131">
        <v>621785</v>
      </c>
      <c r="BI429" s="131">
        <v>260000</v>
      </c>
      <c r="BQ429" s="131" t="s">
        <v>205</v>
      </c>
      <c r="BR429" s="131" t="s">
        <v>206</v>
      </c>
    </row>
    <row r="430" s="131" customFormat="1" ht="56" customHeight="1" spans="1:70">
      <c r="A430" s="175">
        <v>355</v>
      </c>
      <c r="C430" s="131" t="s">
        <v>333</v>
      </c>
      <c r="D430" s="131">
        <v>20230007351</v>
      </c>
      <c r="F430" s="216"/>
      <c r="G430" s="144" t="s">
        <v>4291</v>
      </c>
      <c r="I430" s="191" t="s">
        <v>4292</v>
      </c>
      <c r="J430" s="131">
        <v>138.03</v>
      </c>
      <c r="K430" s="131">
        <v>138.03</v>
      </c>
      <c r="L430" s="131">
        <v>5952.18</v>
      </c>
      <c r="M430" s="236">
        <v>821580</v>
      </c>
      <c r="N430" s="158">
        <f>6052.18-100</f>
        <v>5952.18</v>
      </c>
      <c r="O430" s="188"/>
      <c r="P430" s="216"/>
      <c r="R430" s="158"/>
      <c r="S430" s="159"/>
      <c r="T430" s="728" t="s">
        <v>4293</v>
      </c>
      <c r="U430" s="213" t="s">
        <v>4294</v>
      </c>
      <c r="V430" s="158">
        <f>10000-10000</f>
        <v>0</v>
      </c>
      <c r="W430" s="159" t="s">
        <v>1633</v>
      </c>
      <c r="X430" s="158">
        <v>20000</v>
      </c>
      <c r="Y430" s="159" t="s">
        <v>2132</v>
      </c>
      <c r="Z430" s="131">
        <v>271580</v>
      </c>
      <c r="AA430" s="131" t="s">
        <v>333</v>
      </c>
      <c r="AB430" s="158">
        <v>530000</v>
      </c>
      <c r="AC430" s="159" t="s">
        <v>3546</v>
      </c>
      <c r="AH430" s="158">
        <f t="shared" si="49"/>
        <v>821580</v>
      </c>
      <c r="AK430" s="189">
        <f t="shared" si="56"/>
        <v>0</v>
      </c>
      <c r="AL430" s="216"/>
      <c r="AM430" s="216"/>
      <c r="AO430" s="131">
        <f t="shared" si="50"/>
        <v>821580</v>
      </c>
      <c r="AP430" s="163">
        <f>0.4%+0.02%+0.12%</f>
        <v>0.0054</v>
      </c>
      <c r="AQ430" s="192">
        <f t="shared" si="51"/>
        <v>100</v>
      </c>
      <c r="AR430" s="192">
        <v>100</v>
      </c>
      <c r="AS430" s="158"/>
      <c r="AT430" s="158"/>
      <c r="AU430" s="158"/>
      <c r="AV430" s="158"/>
      <c r="AW430" s="158"/>
      <c r="AX430" s="158"/>
      <c r="AY430" s="158"/>
      <c r="AZ430" s="158">
        <v>291580</v>
      </c>
      <c r="BB430" s="158"/>
      <c r="BF430" s="131">
        <v>530000</v>
      </c>
      <c r="BQ430" s="131" t="s">
        <v>205</v>
      </c>
      <c r="BR430" s="131" t="s">
        <v>206</v>
      </c>
    </row>
    <row r="431" s="131" customFormat="1" ht="55" customHeight="1" spans="1:74">
      <c r="A431" s="175">
        <v>356</v>
      </c>
      <c r="C431" s="131" t="s">
        <v>3271</v>
      </c>
      <c r="D431" s="131">
        <v>20240001563</v>
      </c>
      <c r="F431" s="216" t="s">
        <v>4295</v>
      </c>
      <c r="G431" s="144" t="s">
        <v>4296</v>
      </c>
      <c r="H431" s="726" t="s">
        <v>4297</v>
      </c>
      <c r="I431" s="191" t="s">
        <v>4298</v>
      </c>
      <c r="J431" s="131">
        <v>147.25</v>
      </c>
      <c r="K431" s="131">
        <v>147.25</v>
      </c>
      <c r="L431" s="131">
        <f>M431/K431</f>
        <v>6037.35144312394</v>
      </c>
      <c r="M431" s="236">
        <v>889000</v>
      </c>
      <c r="N431" s="158">
        <v>6037.26</v>
      </c>
      <c r="O431" s="188"/>
      <c r="P431" s="216"/>
      <c r="R431" s="158"/>
      <c r="S431" s="159"/>
      <c r="T431" s="214" t="s">
        <v>4299</v>
      </c>
      <c r="U431" s="213" t="s">
        <v>4300</v>
      </c>
      <c r="V431" s="158">
        <f>10000-10000</f>
        <v>0</v>
      </c>
      <c r="W431" s="159" t="s">
        <v>1633</v>
      </c>
      <c r="X431" s="158">
        <f>16000-16000</f>
        <v>0</v>
      </c>
      <c r="Y431" s="159" t="s">
        <v>1445</v>
      </c>
      <c r="Z431" s="158">
        <v>20000</v>
      </c>
      <c r="AA431" s="159" t="s">
        <v>2390</v>
      </c>
      <c r="AB431" s="158">
        <v>179000</v>
      </c>
      <c r="AC431" s="131" t="s">
        <v>3271</v>
      </c>
      <c r="AD431" s="158">
        <v>690000</v>
      </c>
      <c r="AE431" s="159" t="s">
        <v>3133</v>
      </c>
      <c r="AH431" s="158">
        <f t="shared" si="49"/>
        <v>889000</v>
      </c>
      <c r="AK431" s="189">
        <f t="shared" si="56"/>
        <v>0</v>
      </c>
      <c r="AL431" s="216" t="s">
        <v>4301</v>
      </c>
      <c r="AM431" s="216"/>
      <c r="AO431" s="131">
        <f t="shared" si="50"/>
        <v>889000</v>
      </c>
      <c r="AP431" s="161">
        <f>0.7%+0.04%+0.12%</f>
        <v>0.0086</v>
      </c>
      <c r="AQ431" s="192">
        <f t="shared" si="51"/>
        <v>300</v>
      </c>
      <c r="AR431" s="192">
        <v>100</v>
      </c>
      <c r="AS431" s="158"/>
      <c r="AT431" s="158"/>
      <c r="AU431" s="158"/>
      <c r="AV431" s="158"/>
      <c r="AW431" s="158">
        <v>200</v>
      </c>
      <c r="AX431" s="158"/>
      <c r="AY431" s="158"/>
      <c r="AZ431" s="158"/>
      <c r="BB431" s="158"/>
      <c r="BG431" s="131">
        <v>199000</v>
      </c>
      <c r="BJ431" s="131">
        <v>690000</v>
      </c>
      <c r="BQ431" s="131" t="s">
        <v>205</v>
      </c>
      <c r="BR431" s="131" t="s">
        <v>206</v>
      </c>
      <c r="BV431" s="131">
        <f>BT431-BU431</f>
        <v>0</v>
      </c>
    </row>
    <row r="432" s="131" customFormat="1" ht="59" customHeight="1" spans="1:70">
      <c r="A432" s="175">
        <v>357</v>
      </c>
      <c r="C432" s="176" t="s">
        <v>4302</v>
      </c>
      <c r="D432" s="144" t="s">
        <v>4303</v>
      </c>
      <c r="F432" s="216" t="s">
        <v>4304</v>
      </c>
      <c r="G432" s="144" t="s">
        <v>4305</v>
      </c>
      <c r="H432" s="726" t="s">
        <v>4306</v>
      </c>
      <c r="I432" s="191" t="s">
        <v>4307</v>
      </c>
      <c r="J432" s="131">
        <v>138.03</v>
      </c>
      <c r="K432" s="131">
        <v>138.03</v>
      </c>
      <c r="L432" s="131">
        <v>6079.35</v>
      </c>
      <c r="M432" s="239">
        <f>K432*L432</f>
        <v>839132.6805</v>
      </c>
      <c r="N432" s="158">
        <v>6079.35</v>
      </c>
      <c r="O432" s="188"/>
      <c r="P432" s="216"/>
      <c r="R432" s="158"/>
      <c r="S432" s="159"/>
      <c r="T432" s="728" t="s">
        <v>4308</v>
      </c>
      <c r="U432" s="213" t="s">
        <v>4309</v>
      </c>
      <c r="V432" s="158">
        <f>10000-10000</f>
        <v>0</v>
      </c>
      <c r="W432" s="159" t="s">
        <v>2482</v>
      </c>
      <c r="X432" s="158">
        <v>10000</v>
      </c>
      <c r="Y432" s="243" t="s">
        <v>4310</v>
      </c>
      <c r="Z432" s="158">
        <v>33133</v>
      </c>
      <c r="AA432" s="159" t="s">
        <v>2123</v>
      </c>
      <c r="AB432" s="158">
        <v>146000</v>
      </c>
      <c r="AC432" s="159" t="s">
        <v>3414</v>
      </c>
      <c r="AD432" s="158">
        <v>650000</v>
      </c>
      <c r="AE432" s="159" t="s">
        <v>418</v>
      </c>
      <c r="AH432" s="158">
        <f t="shared" si="49"/>
        <v>839133</v>
      </c>
      <c r="AK432" s="189">
        <f t="shared" si="56"/>
        <v>-0.319499999983236</v>
      </c>
      <c r="AL432" s="216" t="s">
        <v>4311</v>
      </c>
      <c r="AM432" s="216"/>
      <c r="AO432" s="131">
        <f t="shared" si="50"/>
        <v>839133</v>
      </c>
      <c r="AP432" s="163">
        <f>0.7%+0.05%+0.12%</f>
        <v>0.0087</v>
      </c>
      <c r="AQ432" s="192">
        <f t="shared" si="51"/>
        <v>300</v>
      </c>
      <c r="AR432" s="192">
        <v>100</v>
      </c>
      <c r="AS432" s="158"/>
      <c r="AT432" s="158"/>
      <c r="AU432" s="158"/>
      <c r="AV432" s="158"/>
      <c r="AW432" s="158">
        <v>200</v>
      </c>
      <c r="AX432" s="158"/>
      <c r="AY432" s="158"/>
      <c r="AZ432" s="158"/>
      <c r="BB432" s="158"/>
      <c r="BH432" s="131">
        <v>189133</v>
      </c>
      <c r="BI432" s="131">
        <v>650000</v>
      </c>
      <c r="BQ432" s="131" t="s">
        <v>205</v>
      </c>
      <c r="BR432" s="131" t="s">
        <v>206</v>
      </c>
    </row>
    <row r="433" s="131" customFormat="1" customHeight="1" spans="1:74">
      <c r="A433" s="175">
        <v>358</v>
      </c>
      <c r="C433" s="131" t="s">
        <v>3271</v>
      </c>
      <c r="D433" s="131">
        <v>20240001566</v>
      </c>
      <c r="F433" s="216" t="s">
        <v>4312</v>
      </c>
      <c r="G433" s="131" t="s">
        <v>4313</v>
      </c>
      <c r="I433" s="191" t="s">
        <v>4314</v>
      </c>
      <c r="J433" s="131">
        <v>147.25</v>
      </c>
      <c r="K433" s="131">
        <v>147.25</v>
      </c>
      <c r="L433" s="131">
        <v>6064.43</v>
      </c>
      <c r="M433" s="236">
        <v>892988</v>
      </c>
      <c r="N433" s="158">
        <v>6064.43</v>
      </c>
      <c r="O433" s="188"/>
      <c r="P433" s="216"/>
      <c r="R433" s="158"/>
      <c r="S433" s="159"/>
      <c r="T433" s="175"/>
      <c r="U433" s="159" t="s">
        <v>217</v>
      </c>
      <c r="V433" s="158">
        <v>194988</v>
      </c>
      <c r="W433" s="159" t="s">
        <v>3271</v>
      </c>
      <c r="X433" s="158">
        <v>698000</v>
      </c>
      <c r="Y433" s="159" t="s">
        <v>514</v>
      </c>
      <c r="AB433" s="158"/>
      <c r="AH433" s="158">
        <f t="shared" si="49"/>
        <v>892988</v>
      </c>
      <c r="AK433" s="189">
        <f t="shared" si="56"/>
        <v>0</v>
      </c>
      <c r="AL433" s="216"/>
      <c r="AM433" s="216"/>
      <c r="AO433" s="131">
        <f t="shared" si="50"/>
        <v>892988</v>
      </c>
      <c r="AP433" s="161">
        <f>0.7%+0.04%+0.12%</f>
        <v>0.0086</v>
      </c>
      <c r="AQ433" s="192">
        <f t="shared" si="51"/>
        <v>300</v>
      </c>
      <c r="AR433" s="192">
        <v>100</v>
      </c>
      <c r="AS433" s="158"/>
      <c r="AT433" s="158"/>
      <c r="AU433" s="158"/>
      <c r="AV433" s="158">
        <v>200</v>
      </c>
      <c r="AW433" s="158"/>
      <c r="AX433" s="158"/>
      <c r="AY433" s="158"/>
      <c r="AZ433" s="158"/>
      <c r="BB433" s="158"/>
      <c r="BG433" s="131">
        <v>194988</v>
      </c>
      <c r="BJ433" s="131">
        <v>698000</v>
      </c>
      <c r="BQ433" s="131" t="s">
        <v>205</v>
      </c>
      <c r="BR433" s="131" t="s">
        <v>206</v>
      </c>
      <c r="BV433" s="131">
        <f>BT433-BU433</f>
        <v>0</v>
      </c>
    </row>
    <row r="434" s="131" customFormat="1" ht="45" customHeight="1" spans="1:70">
      <c r="A434" s="175">
        <v>359</v>
      </c>
      <c r="C434" s="131" t="s">
        <v>4315</v>
      </c>
      <c r="D434" s="131">
        <v>20230007467</v>
      </c>
      <c r="F434" s="216" t="s">
        <v>4316</v>
      </c>
      <c r="G434" s="131" t="s">
        <v>4317</v>
      </c>
      <c r="H434" s="726" t="s">
        <v>4318</v>
      </c>
      <c r="I434" s="191" t="s">
        <v>4319</v>
      </c>
      <c r="J434" s="131">
        <v>138.03</v>
      </c>
      <c r="K434" s="131">
        <v>138.03</v>
      </c>
      <c r="L434" s="131">
        <v>6108.27</v>
      </c>
      <c r="M434" s="239">
        <v>843124</v>
      </c>
      <c r="N434" s="158">
        <v>6108.27</v>
      </c>
      <c r="O434" s="188"/>
      <c r="P434" s="216"/>
      <c r="R434" s="158"/>
      <c r="S434" s="159"/>
      <c r="T434" s="175"/>
      <c r="U434" s="159" t="s">
        <v>291</v>
      </c>
      <c r="V434" s="158">
        <v>10000</v>
      </c>
      <c r="W434" s="159" t="s">
        <v>2123</v>
      </c>
      <c r="X434" s="158">
        <v>10000</v>
      </c>
      <c r="Y434" s="159" t="s">
        <v>2357</v>
      </c>
      <c r="Z434" s="158">
        <v>283124</v>
      </c>
      <c r="AA434" s="159" t="s">
        <v>4192</v>
      </c>
      <c r="AB434" s="158">
        <v>4000</v>
      </c>
      <c r="AC434" s="159" t="s">
        <v>1051</v>
      </c>
      <c r="AD434" s="131">
        <v>236000</v>
      </c>
      <c r="AE434" s="131" t="s">
        <v>1051</v>
      </c>
      <c r="AF434" s="131">
        <v>300000</v>
      </c>
      <c r="AG434" s="131" t="s">
        <v>1162</v>
      </c>
      <c r="AH434" s="158">
        <f t="shared" si="49"/>
        <v>843124</v>
      </c>
      <c r="AK434" s="189">
        <f t="shared" si="56"/>
        <v>0</v>
      </c>
      <c r="AL434" s="216" t="s">
        <v>4320</v>
      </c>
      <c r="AM434" s="216"/>
      <c r="AO434" s="131">
        <f t="shared" si="50"/>
        <v>843124</v>
      </c>
      <c r="AP434" s="163">
        <f>0.6%+0.04%+0.12%</f>
        <v>0.0076</v>
      </c>
      <c r="AQ434" s="192">
        <f t="shared" si="51"/>
        <v>300</v>
      </c>
      <c r="AR434" s="158"/>
      <c r="AS434" s="158"/>
      <c r="AT434" s="158">
        <v>100</v>
      </c>
      <c r="AU434" s="158"/>
      <c r="AV434" s="158"/>
      <c r="AW434" s="158">
        <v>200</v>
      </c>
      <c r="AX434" s="158"/>
      <c r="AY434" s="158"/>
      <c r="AZ434" s="158"/>
      <c r="BB434" s="158"/>
      <c r="BC434" s="131">
        <v>843124</v>
      </c>
      <c r="BQ434" s="131" t="s">
        <v>205</v>
      </c>
      <c r="BR434" s="131" t="s">
        <v>206</v>
      </c>
    </row>
    <row r="435" s="131" customFormat="1" ht="46" customHeight="1" spans="1:74">
      <c r="A435" s="175">
        <v>360</v>
      </c>
      <c r="C435" s="143">
        <v>45383</v>
      </c>
      <c r="D435" s="131">
        <v>20240001789</v>
      </c>
      <c r="F435" s="216" t="s">
        <v>4321</v>
      </c>
      <c r="G435" s="144" t="s">
        <v>4322</v>
      </c>
      <c r="H435" s="726" t="s">
        <v>4323</v>
      </c>
      <c r="I435" s="191" t="s">
        <v>4324</v>
      </c>
      <c r="J435" s="131">
        <v>147.25</v>
      </c>
      <c r="K435" s="131">
        <v>147.25</v>
      </c>
      <c r="L435" s="131">
        <v>6150</v>
      </c>
      <c r="M435" s="239">
        <v>905586</v>
      </c>
      <c r="N435" s="158">
        <v>6093.34</v>
      </c>
      <c r="O435" s="188"/>
      <c r="P435" s="216"/>
      <c r="R435" s="158"/>
      <c r="S435" s="159"/>
      <c r="T435" s="728" t="s">
        <v>4325</v>
      </c>
      <c r="U435" s="213" t="s">
        <v>4326</v>
      </c>
      <c r="V435" s="158">
        <f>10000-10000</f>
        <v>0</v>
      </c>
      <c r="W435" s="143" t="s">
        <v>1633</v>
      </c>
      <c r="X435" s="158">
        <f>10000-10000</f>
        <v>0</v>
      </c>
      <c r="Y435" s="159" t="s">
        <v>259</v>
      </c>
      <c r="Z435" s="158">
        <f>10000-10000</f>
        <v>0</v>
      </c>
      <c r="AA435" s="159" t="s">
        <v>2123</v>
      </c>
      <c r="AB435" s="158">
        <v>10000</v>
      </c>
      <c r="AC435" s="159" t="s">
        <v>3192</v>
      </c>
      <c r="AD435" s="158">
        <f>150000+225+60000</f>
        <v>210225</v>
      </c>
      <c r="AE435" s="159" t="s">
        <v>417</v>
      </c>
      <c r="AF435" s="158">
        <v>678000</v>
      </c>
      <c r="AG435" s="159" t="s">
        <v>2927</v>
      </c>
      <c r="AH435" s="158">
        <f t="shared" si="49"/>
        <v>898225</v>
      </c>
      <c r="AK435" s="189">
        <f t="shared" si="56"/>
        <v>7361</v>
      </c>
      <c r="AL435" s="216" t="s">
        <v>4327</v>
      </c>
      <c r="AM435" s="216"/>
      <c r="AO435" s="131">
        <f t="shared" si="50"/>
        <v>898225</v>
      </c>
      <c r="AP435" s="161">
        <f>0.5%+0.04%+0.12%</f>
        <v>0.0066</v>
      </c>
      <c r="AQ435" s="192">
        <f t="shared" si="51"/>
        <v>300</v>
      </c>
      <c r="AR435" s="192">
        <v>100</v>
      </c>
      <c r="AS435" s="158"/>
      <c r="AT435" s="158"/>
      <c r="AU435" s="158"/>
      <c r="AV435" s="158"/>
      <c r="AW435" s="158">
        <v>200</v>
      </c>
      <c r="AX435" s="158"/>
      <c r="AY435" s="158"/>
      <c r="AZ435" s="158"/>
      <c r="BB435" s="158"/>
      <c r="BH435" s="131">
        <v>220225</v>
      </c>
      <c r="BJ435" s="131">
        <v>678000</v>
      </c>
      <c r="BQ435" s="131" t="s">
        <v>205</v>
      </c>
      <c r="BR435" s="131" t="s">
        <v>206</v>
      </c>
      <c r="BV435" s="131">
        <f>BT435-BU435</f>
        <v>0</v>
      </c>
    </row>
    <row r="436" s="131" customFormat="1" ht="50" customHeight="1" spans="1:70">
      <c r="A436" s="175">
        <v>361</v>
      </c>
      <c r="C436" s="131" t="s">
        <v>2069</v>
      </c>
      <c r="D436" s="131">
        <v>20230007286</v>
      </c>
      <c r="F436" s="216" t="s">
        <v>4328</v>
      </c>
      <c r="G436" s="144" t="s">
        <v>4329</v>
      </c>
      <c r="H436" s="726" t="s">
        <v>3173</v>
      </c>
      <c r="I436" s="191" t="s">
        <v>4330</v>
      </c>
      <c r="J436" s="131">
        <v>138.03</v>
      </c>
      <c r="K436" s="131">
        <v>138.03</v>
      </c>
      <c r="L436" s="131">
        <v>6130.01</v>
      </c>
      <c r="M436" s="239">
        <v>846126</v>
      </c>
      <c r="N436" s="158">
        <v>6130.01</v>
      </c>
      <c r="O436" s="188"/>
      <c r="P436" s="216"/>
      <c r="R436" s="158"/>
      <c r="S436" s="159"/>
      <c r="T436" s="214" t="s">
        <v>4331</v>
      </c>
      <c r="U436" s="213" t="s">
        <v>4332</v>
      </c>
      <c r="V436" s="158">
        <f>10000-10000</f>
        <v>0</v>
      </c>
      <c r="W436" s="159" t="s">
        <v>268</v>
      </c>
      <c r="X436" s="158">
        <v>20000</v>
      </c>
      <c r="Y436" s="159" t="s">
        <v>1445</v>
      </c>
      <c r="Z436" s="131">
        <f>152126+4000</f>
        <v>156126</v>
      </c>
      <c r="AA436" s="131" t="s">
        <v>2069</v>
      </c>
      <c r="AB436" s="158">
        <v>670000</v>
      </c>
      <c r="AC436" s="159" t="s">
        <v>585</v>
      </c>
      <c r="AH436" s="158">
        <f t="shared" si="49"/>
        <v>846126</v>
      </c>
      <c r="AK436" s="189">
        <f t="shared" si="56"/>
        <v>0</v>
      </c>
      <c r="AL436" s="216" t="s">
        <v>4333</v>
      </c>
      <c r="AM436" s="216"/>
      <c r="AO436" s="131">
        <f t="shared" si="50"/>
        <v>846126</v>
      </c>
      <c r="AP436" s="163">
        <f>0.6%+0.04%+0.12%</f>
        <v>0.0076</v>
      </c>
      <c r="AQ436" s="192">
        <f t="shared" si="51"/>
        <v>100</v>
      </c>
      <c r="AR436" s="158"/>
      <c r="AS436" s="158"/>
      <c r="AT436" s="158"/>
      <c r="AU436" s="158">
        <v>100</v>
      </c>
      <c r="AV436" s="158"/>
      <c r="AW436" s="158"/>
      <c r="AX436" s="158"/>
      <c r="AY436" s="158"/>
      <c r="AZ436" s="158">
        <v>176126</v>
      </c>
      <c r="BB436" s="158"/>
      <c r="BC436" s="131">
        <v>670000</v>
      </c>
      <c r="BQ436" s="131" t="s">
        <v>205</v>
      </c>
      <c r="BR436" s="131" t="s">
        <v>206</v>
      </c>
    </row>
    <row r="437" s="131" customFormat="1" ht="43" customHeight="1" spans="1:70">
      <c r="A437" s="175">
        <v>362</v>
      </c>
      <c r="C437" s="143">
        <v>45449</v>
      </c>
      <c r="D437" s="131">
        <v>20240003336</v>
      </c>
      <c r="F437" s="216" t="s">
        <v>4334</v>
      </c>
      <c r="G437" s="144" t="s">
        <v>4335</v>
      </c>
      <c r="H437" s="726" t="s">
        <v>4336</v>
      </c>
      <c r="I437" s="191" t="s">
        <v>4337</v>
      </c>
      <c r="J437" s="131">
        <v>147.25</v>
      </c>
      <c r="K437" s="131">
        <v>147.25</v>
      </c>
      <c r="L437" s="131">
        <f>M437/K437</f>
        <v>6132.42784380306</v>
      </c>
      <c r="M437" s="236">
        <v>903000</v>
      </c>
      <c r="N437" s="158">
        <v>6115.08</v>
      </c>
      <c r="P437" s="216"/>
      <c r="R437" s="158"/>
      <c r="S437" s="159"/>
      <c r="T437" s="214" t="s">
        <v>4338</v>
      </c>
      <c r="U437" s="213" t="s">
        <v>3064</v>
      </c>
      <c r="V437" s="158">
        <f>10000-10000</f>
        <v>0</v>
      </c>
      <c r="W437" s="159" t="s">
        <v>1633</v>
      </c>
      <c r="X437" s="158">
        <v>3000</v>
      </c>
      <c r="Y437" s="159" t="s">
        <v>2959</v>
      </c>
      <c r="Z437" s="158">
        <v>450000</v>
      </c>
      <c r="AA437" s="159" t="s">
        <v>2933</v>
      </c>
      <c r="AB437" s="158">
        <v>450000</v>
      </c>
      <c r="AC437" s="159" t="s">
        <v>2557</v>
      </c>
      <c r="AH437" s="158">
        <f t="shared" si="49"/>
        <v>903000</v>
      </c>
      <c r="AK437" s="189">
        <f t="shared" si="56"/>
        <v>0</v>
      </c>
      <c r="AL437" s="216" t="s">
        <v>4339</v>
      </c>
      <c r="AM437" s="216"/>
      <c r="AO437" s="131">
        <f t="shared" si="50"/>
        <v>903000</v>
      </c>
      <c r="AP437" s="163">
        <f>0.4%+0.02%+0.08%</f>
        <v>0.005</v>
      </c>
      <c r="AQ437" s="192">
        <f t="shared" si="51"/>
        <v>100</v>
      </c>
      <c r="AR437" s="192">
        <v>100</v>
      </c>
      <c r="AS437" s="158"/>
      <c r="AT437" s="158"/>
      <c r="AU437" s="158"/>
      <c r="AV437" s="158"/>
      <c r="AW437" s="158"/>
      <c r="AX437" s="158"/>
      <c r="AY437" s="158"/>
      <c r="AZ437" s="158"/>
      <c r="BB437" s="158"/>
      <c r="BJ437" s="131">
        <v>453000</v>
      </c>
      <c r="BK437" s="131">
        <v>450000</v>
      </c>
      <c r="BQ437" s="131" t="s">
        <v>205</v>
      </c>
      <c r="BR437" s="131" t="s">
        <v>206</v>
      </c>
    </row>
    <row r="438" s="89" customFormat="1" customHeight="1" spans="1:54">
      <c r="A438" s="167">
        <v>363</v>
      </c>
      <c r="F438" s="227"/>
      <c r="I438" s="185" t="s">
        <v>4340</v>
      </c>
      <c r="J438" s="89">
        <v>138.03</v>
      </c>
      <c r="M438" s="222">
        <f>K438*L438</f>
        <v>0</v>
      </c>
      <c r="N438" s="168">
        <v>7139.59</v>
      </c>
      <c r="P438" s="227"/>
      <c r="R438" s="168"/>
      <c r="S438" s="171"/>
      <c r="T438" s="167"/>
      <c r="U438" s="171"/>
      <c r="V438" s="168"/>
      <c r="W438" s="171"/>
      <c r="X438" s="168"/>
      <c r="Y438" s="226"/>
      <c r="AB438" s="168"/>
      <c r="AH438" s="168">
        <f t="shared" si="49"/>
        <v>0</v>
      </c>
      <c r="AL438" s="227"/>
      <c r="AM438" s="227"/>
      <c r="AO438" s="89">
        <f t="shared" si="50"/>
        <v>0</v>
      </c>
      <c r="AP438" s="106"/>
      <c r="AQ438" s="204">
        <f t="shared" si="51"/>
        <v>100</v>
      </c>
      <c r="AR438" s="168"/>
      <c r="AS438" s="168"/>
      <c r="AT438" s="168"/>
      <c r="AU438" s="168">
        <v>100</v>
      </c>
      <c r="AV438" s="168"/>
      <c r="AW438" s="168"/>
      <c r="AX438" s="168"/>
      <c r="AY438" s="168"/>
      <c r="AZ438" s="168"/>
      <c r="BB438" s="168"/>
    </row>
    <row r="439" s="131" customFormat="1" customHeight="1" spans="1:69">
      <c r="A439" s="175">
        <v>364</v>
      </c>
      <c r="C439" s="131" t="s">
        <v>91</v>
      </c>
      <c r="D439" s="131">
        <v>20240005902</v>
      </c>
      <c r="F439" s="216" t="s">
        <v>4341</v>
      </c>
      <c r="G439" s="131" t="s">
        <v>4342</v>
      </c>
      <c r="H439" s="726" t="s">
        <v>4343</v>
      </c>
      <c r="I439" s="191" t="s">
        <v>4344</v>
      </c>
      <c r="J439" s="131">
        <v>147.25</v>
      </c>
      <c r="K439" s="131">
        <v>147.25</v>
      </c>
      <c r="L439" s="131">
        <v>7164</v>
      </c>
      <c r="M439" s="236">
        <f>K439*L439</f>
        <v>1054899</v>
      </c>
      <c r="N439" s="158">
        <v>7155.59</v>
      </c>
      <c r="P439" s="216"/>
      <c r="R439" s="158">
        <v>91899</v>
      </c>
      <c r="S439" s="159" t="s">
        <v>91</v>
      </c>
      <c r="T439" s="175"/>
      <c r="U439" s="159" t="s">
        <v>1811</v>
      </c>
      <c r="V439" s="158">
        <v>20000</v>
      </c>
      <c r="W439" s="159" t="s">
        <v>1545</v>
      </c>
      <c r="X439" s="158">
        <v>100000</v>
      </c>
      <c r="Y439" s="159" t="s">
        <v>228</v>
      </c>
      <c r="Z439" s="158">
        <v>91899</v>
      </c>
      <c r="AA439" s="159" t="s">
        <v>91</v>
      </c>
      <c r="AB439" s="158"/>
      <c r="AH439" s="158">
        <f t="shared" si="49"/>
        <v>211899</v>
      </c>
      <c r="AK439" s="189">
        <f>M439-AH439</f>
        <v>843000</v>
      </c>
      <c r="AL439" s="216" t="s">
        <v>4345</v>
      </c>
      <c r="AM439" s="216"/>
      <c r="AO439" s="131">
        <f t="shared" si="50"/>
        <v>0</v>
      </c>
      <c r="AP439" s="163">
        <f>0.5%+0.03%+0.14%</f>
        <v>0.0067</v>
      </c>
      <c r="AQ439" s="192">
        <f t="shared" si="51"/>
        <v>0</v>
      </c>
      <c r="AR439" s="158"/>
      <c r="AS439" s="158"/>
      <c r="AT439" s="158"/>
      <c r="AU439" s="158"/>
      <c r="AV439" s="158"/>
      <c r="AW439" s="158"/>
      <c r="AX439" s="158"/>
      <c r="AY439" s="158"/>
      <c r="AZ439" s="158"/>
      <c r="BB439" s="158"/>
      <c r="BQ439" s="131" t="s">
        <v>205</v>
      </c>
    </row>
    <row r="440" s="141" customFormat="1" customHeight="1" spans="1:74">
      <c r="A440" s="255" t="s">
        <v>31</v>
      </c>
      <c r="B440" s="141">
        <f>SUM(B4:B439)</f>
        <v>3</v>
      </c>
      <c r="E440" s="141">
        <f>SUM(E258:E439)</f>
        <v>0</v>
      </c>
      <c r="F440" s="141">
        <f>SUM(F258:F439)</f>
        <v>0</v>
      </c>
      <c r="I440" s="262">
        <f>SUM(I258:I439)</f>
        <v>0</v>
      </c>
      <c r="J440" s="263">
        <f>SUM(J4:J439)</f>
        <v>48353.1899999999</v>
      </c>
      <c r="K440" s="263">
        <f>SUM(K4:K439)</f>
        <v>32739.34</v>
      </c>
      <c r="L440" s="263"/>
      <c r="M440" s="263">
        <f>SUM(M4:M439)</f>
        <v>189050667.87095</v>
      </c>
      <c r="N440" s="264"/>
      <c r="O440" s="263"/>
      <c r="P440" s="263"/>
      <c r="Q440" s="263"/>
      <c r="R440" s="267">
        <f>SUM(R4:R439)</f>
        <v>6265316</v>
      </c>
      <c r="S440" s="268"/>
      <c r="T440" s="255"/>
      <c r="U440" s="268"/>
      <c r="V440" s="263">
        <f>SUM(V4:V439)</f>
        <v>6935547</v>
      </c>
      <c r="W440" s="263"/>
      <c r="X440" s="263">
        <f>SUM(X4:X439)</f>
        <v>34930867</v>
      </c>
      <c r="Y440" s="263"/>
      <c r="Z440" s="263">
        <f>SUM(Z4:Z439)</f>
        <v>50600734</v>
      </c>
      <c r="AA440" s="263"/>
      <c r="AB440" s="263">
        <f>SUM(AB4:AB439)</f>
        <v>41188402</v>
      </c>
      <c r="AC440" s="263"/>
      <c r="AD440" s="263">
        <f>SUM(AD4:AD439)</f>
        <v>18411482</v>
      </c>
      <c r="AE440" s="263"/>
      <c r="AF440" s="263">
        <f>SUM(AF4:AF439)</f>
        <v>11483000</v>
      </c>
      <c r="AG440" s="263"/>
      <c r="AH440" s="263">
        <f>SUM(AH4:AH439)</f>
        <v>163550032</v>
      </c>
      <c r="AI440" s="263">
        <f>SUM(AI4:AI439)</f>
        <v>0</v>
      </c>
      <c r="AJ440" s="263">
        <f>SUM(AJ4:AJ439)</f>
        <v>0</v>
      </c>
      <c r="AK440" s="263">
        <f>SUM(AK4:AK439)</f>
        <v>24696970.87095</v>
      </c>
      <c r="AL440" s="263"/>
      <c r="AM440" s="263"/>
      <c r="AN440" s="263">
        <f>SUM(AN188:AN439)</f>
        <v>0</v>
      </c>
      <c r="AO440" s="263">
        <f>SUM(AO4:AO439)</f>
        <v>151386865</v>
      </c>
      <c r="AP440" s="263"/>
      <c r="AQ440" s="263">
        <f t="shared" ref="AP440:BM440" si="57">SUM(AQ4:AQ439)</f>
        <v>18500</v>
      </c>
      <c r="AR440" s="263">
        <f t="shared" si="57"/>
        <v>2100</v>
      </c>
      <c r="AS440" s="263">
        <f t="shared" si="57"/>
        <v>1300</v>
      </c>
      <c r="AT440" s="263">
        <f t="shared" si="57"/>
        <v>2300</v>
      </c>
      <c r="AU440" s="263">
        <f t="shared" si="57"/>
        <v>1000</v>
      </c>
      <c r="AV440" s="263">
        <f t="shared" si="57"/>
        <v>4200</v>
      </c>
      <c r="AW440" s="263">
        <f t="shared" si="57"/>
        <v>5200</v>
      </c>
      <c r="AX440" s="263">
        <f t="shared" si="57"/>
        <v>2200</v>
      </c>
      <c r="AY440" s="263">
        <f t="shared" si="57"/>
        <v>200</v>
      </c>
      <c r="AZ440" s="263">
        <f t="shared" si="57"/>
        <v>3758483</v>
      </c>
      <c r="BA440" s="263">
        <f t="shared" si="57"/>
        <v>773388</v>
      </c>
      <c r="BB440" s="263">
        <f t="shared" si="57"/>
        <v>9516785</v>
      </c>
      <c r="BC440" s="263">
        <f t="shared" si="57"/>
        <v>18339412</v>
      </c>
      <c r="BD440" s="263">
        <f t="shared" si="57"/>
        <v>12008088</v>
      </c>
      <c r="BE440" s="263">
        <f t="shared" si="57"/>
        <v>13246008</v>
      </c>
      <c r="BF440" s="263">
        <f t="shared" si="57"/>
        <v>7592677</v>
      </c>
      <c r="BG440" s="263">
        <f t="shared" si="57"/>
        <v>23180507</v>
      </c>
      <c r="BH440" s="263">
        <f t="shared" si="57"/>
        <v>18611850</v>
      </c>
      <c r="BI440" s="263">
        <f t="shared" si="57"/>
        <v>13112872</v>
      </c>
      <c r="BJ440" s="263">
        <f t="shared" si="57"/>
        <v>10638643</v>
      </c>
      <c r="BK440" s="263">
        <f t="shared" si="57"/>
        <v>6570493</v>
      </c>
      <c r="BL440" s="263">
        <f t="shared" si="57"/>
        <v>7859000</v>
      </c>
      <c r="BM440" s="263">
        <f t="shared" si="57"/>
        <v>6178659</v>
      </c>
      <c r="BN440" s="263"/>
      <c r="BO440" s="264">
        <f>SUM(BO4:BO439)</f>
        <v>47166.0752</v>
      </c>
      <c r="BT440" s="264">
        <f t="shared" ref="BT440:BV440" si="58">SUM(BT4:BT439)</f>
        <v>0</v>
      </c>
      <c r="BU440" s="264">
        <f t="shared" si="58"/>
        <v>0</v>
      </c>
      <c r="BV440" s="264">
        <f t="shared" si="58"/>
        <v>0</v>
      </c>
    </row>
    <row r="441" s="89" customFormat="1" customHeight="1" spans="1:54">
      <c r="A441" s="167"/>
      <c r="M441" s="168"/>
      <c r="N441" s="168"/>
      <c r="Q441" s="89" t="s">
        <v>2719</v>
      </c>
      <c r="R441" s="168">
        <v>5165417</v>
      </c>
      <c r="S441" s="171"/>
      <c r="T441" s="167"/>
      <c r="U441" s="171"/>
      <c r="V441" s="168"/>
      <c r="X441" s="168"/>
      <c r="AB441" s="168"/>
      <c r="AH441" s="168"/>
      <c r="AP441" s="275"/>
      <c r="AQ441" s="168"/>
      <c r="AR441" s="168"/>
      <c r="AS441" s="168"/>
      <c r="AT441" s="168"/>
      <c r="AU441" s="168"/>
      <c r="AV441" s="168"/>
      <c r="AW441" s="168"/>
      <c r="AX441" s="168"/>
      <c r="AY441" s="168"/>
      <c r="AZ441" s="168"/>
      <c r="BB441" s="168"/>
    </row>
    <row r="442" s="89" customFormat="1" customHeight="1" spans="1:54">
      <c r="A442" s="167"/>
      <c r="M442" s="168"/>
      <c r="N442" s="168"/>
      <c r="Q442" s="89" t="s">
        <v>61</v>
      </c>
      <c r="R442" s="168">
        <v>1099899</v>
      </c>
      <c r="S442" s="171"/>
      <c r="T442" s="167"/>
      <c r="U442" s="171"/>
      <c r="V442" s="168"/>
      <c r="X442" s="168"/>
      <c r="AB442" s="168"/>
      <c r="AH442" s="168"/>
      <c r="AP442" s="275"/>
      <c r="AQ442" s="168"/>
      <c r="AR442" s="168"/>
      <c r="AS442" s="168"/>
      <c r="AT442" s="168"/>
      <c r="AU442" s="168"/>
      <c r="AV442" s="168"/>
      <c r="AW442" s="168"/>
      <c r="AX442" s="168"/>
      <c r="AY442" s="168"/>
      <c r="AZ442" s="168"/>
      <c r="BB442" s="168"/>
    </row>
    <row r="443" s="89" customFormat="1" customHeight="1" spans="1:54">
      <c r="A443" s="167"/>
      <c r="D443" s="256" t="s">
        <v>2722</v>
      </c>
      <c r="E443" s="256" t="s">
        <v>2723</v>
      </c>
      <c r="F443" s="256"/>
      <c r="H443" s="256"/>
      <c r="M443" s="168"/>
      <c r="N443" s="168"/>
      <c r="P443" s="19"/>
      <c r="Q443" s="19" t="s">
        <v>34</v>
      </c>
      <c r="R443" s="269">
        <v>10000</v>
      </c>
      <c r="S443" s="270" t="s">
        <v>4346</v>
      </c>
      <c r="T443" s="167"/>
      <c r="U443" s="171"/>
      <c r="V443" s="168"/>
      <c r="X443" s="168"/>
      <c r="AB443" s="168"/>
      <c r="AH443" s="168"/>
      <c r="AP443" s="275"/>
      <c r="AQ443" s="168"/>
      <c r="AR443" s="168"/>
      <c r="AS443" s="168"/>
      <c r="AT443" s="168"/>
      <c r="AU443" s="168"/>
      <c r="AV443" s="168"/>
      <c r="AW443" s="168"/>
      <c r="AX443" s="168"/>
      <c r="AY443" s="168"/>
      <c r="AZ443" s="168"/>
      <c r="BB443" s="168"/>
    </row>
    <row r="444" s="89" customFormat="1" customHeight="1" spans="1:54">
      <c r="A444" s="167"/>
      <c r="C444" s="174"/>
      <c r="D444" s="256"/>
      <c r="E444" s="257" t="s">
        <v>2726</v>
      </c>
      <c r="F444" s="256" t="s">
        <v>2727</v>
      </c>
      <c r="G444" s="89" t="s">
        <v>2728</v>
      </c>
      <c r="H444" s="256" t="s">
        <v>2729</v>
      </c>
      <c r="M444" s="168"/>
      <c r="N444" s="168"/>
      <c r="P444" s="19"/>
      <c r="Q444" s="19" t="s">
        <v>4347</v>
      </c>
      <c r="R444" s="271"/>
      <c r="S444" s="171"/>
      <c r="T444" s="167"/>
      <c r="U444" s="171"/>
      <c r="V444" s="168"/>
      <c r="X444" s="168"/>
      <c r="AB444" s="168"/>
      <c r="AH444" s="168"/>
      <c r="AP444" s="275"/>
      <c r="AQ444" s="168"/>
      <c r="AR444" s="168"/>
      <c r="AS444" s="168"/>
      <c r="AT444" s="168"/>
      <c r="AU444" s="168"/>
      <c r="AV444" s="168"/>
      <c r="AW444" s="168"/>
      <c r="AX444" s="168"/>
      <c r="AY444" s="168"/>
      <c r="AZ444" s="168"/>
      <c r="BB444" s="168"/>
    </row>
    <row r="445" s="89" customFormat="1" customHeight="1" spans="1:54">
      <c r="A445" s="167"/>
      <c r="M445" s="168"/>
      <c r="N445" s="168"/>
      <c r="P445" s="19"/>
      <c r="Q445" s="19" t="s">
        <v>34</v>
      </c>
      <c r="R445" s="271">
        <f>R441+R442+R443</f>
        <v>6275316</v>
      </c>
      <c r="S445" s="272"/>
      <c r="T445" s="273"/>
      <c r="U445" s="274"/>
      <c r="V445" s="168"/>
      <c r="X445" s="168"/>
      <c r="AB445" s="168"/>
      <c r="AH445" s="168"/>
      <c r="AP445" s="275"/>
      <c r="AQ445" s="168"/>
      <c r="AR445" s="168"/>
      <c r="AS445" s="168"/>
      <c r="AT445" s="168"/>
      <c r="AU445" s="168"/>
      <c r="AV445" s="168"/>
      <c r="AW445" s="168"/>
      <c r="AX445" s="168"/>
      <c r="AY445" s="168"/>
      <c r="AZ445" s="168"/>
      <c r="BB445" s="168"/>
    </row>
    <row r="446" s="89" customFormat="1" customHeight="1" spans="1:64">
      <c r="A446" s="167"/>
      <c r="M446" s="168"/>
      <c r="N446" s="169"/>
      <c r="P446" s="19"/>
      <c r="Q446" s="19"/>
      <c r="R446" s="271"/>
      <c r="S446" s="171"/>
      <c r="T446" s="167"/>
      <c r="U446" s="171"/>
      <c r="V446" s="168"/>
      <c r="X446" s="168"/>
      <c r="AB446" s="168"/>
      <c r="AH446" s="168"/>
      <c r="AP446" s="275"/>
      <c r="AQ446" s="168"/>
      <c r="AR446" s="168"/>
      <c r="AS446" s="168"/>
      <c r="AT446" s="168"/>
      <c r="AU446" s="168"/>
      <c r="AV446" s="168"/>
      <c r="AW446" s="168"/>
      <c r="AX446" s="168"/>
      <c r="AY446" s="168"/>
      <c r="AZ446" s="168"/>
      <c r="BB446" s="168"/>
      <c r="BL446" s="89">
        <f>BL440+'[2]8#楼明细表'!AT71</f>
        <v>11646691</v>
      </c>
    </row>
    <row r="447" s="89" customFormat="1" customHeight="1" spans="1:54">
      <c r="A447" s="167"/>
      <c r="M447" s="168"/>
      <c r="N447" s="169"/>
      <c r="P447" s="19"/>
      <c r="R447" s="168"/>
      <c r="S447" s="171"/>
      <c r="T447" s="167"/>
      <c r="U447" s="171"/>
      <c r="V447" s="168"/>
      <c r="X447" s="168"/>
      <c r="AB447" s="168"/>
      <c r="AH447" s="168"/>
      <c r="AP447" s="275"/>
      <c r="AQ447" s="168"/>
      <c r="AR447" s="168"/>
      <c r="AS447" s="168"/>
      <c r="AT447" s="168"/>
      <c r="AU447" s="168"/>
      <c r="AV447" s="168"/>
      <c r="AW447" s="168"/>
      <c r="AX447" s="168"/>
      <c r="AY447" s="168"/>
      <c r="AZ447" s="168"/>
      <c r="BB447" s="168"/>
    </row>
    <row r="448" s="89" customFormat="1" customHeight="1" spans="1:54">
      <c r="A448" s="167"/>
      <c r="M448" s="168"/>
      <c r="N448" s="169"/>
      <c r="S448" s="171"/>
      <c r="T448" s="167"/>
      <c r="U448" s="171"/>
      <c r="V448" s="168"/>
      <c r="X448" s="168"/>
      <c r="AB448" s="168"/>
      <c r="AH448" s="168"/>
      <c r="AP448" s="275"/>
      <c r="AQ448" s="168"/>
      <c r="AR448" s="168"/>
      <c r="AS448" s="168"/>
      <c r="AT448" s="168"/>
      <c r="AU448" s="168"/>
      <c r="AV448" s="168"/>
      <c r="AW448" s="168"/>
      <c r="AX448" s="168"/>
      <c r="AY448" s="168"/>
      <c r="AZ448" s="168"/>
      <c r="BB448" s="168"/>
    </row>
    <row r="449" s="89" customFormat="1" customHeight="1" spans="1:54">
      <c r="A449" s="167"/>
      <c r="M449" s="168"/>
      <c r="N449" s="169"/>
      <c r="S449" s="171"/>
      <c r="T449" s="167"/>
      <c r="U449" s="171"/>
      <c r="V449" s="168"/>
      <c r="X449" s="168"/>
      <c r="AB449" s="168"/>
      <c r="AH449" s="168"/>
      <c r="AP449" s="275"/>
      <c r="AQ449" s="168"/>
      <c r="AR449" s="168"/>
      <c r="AS449" s="168"/>
      <c r="AT449" s="168"/>
      <c r="AU449" s="168"/>
      <c r="AV449" s="168"/>
      <c r="AW449" s="168"/>
      <c r="AX449" s="168"/>
      <c r="AY449" s="168"/>
      <c r="AZ449" s="168"/>
      <c r="BB449" s="168"/>
    </row>
    <row r="450" s="89" customFormat="1" customHeight="1" spans="1:54">
      <c r="A450" s="167"/>
      <c r="M450" s="168"/>
      <c r="N450" s="169"/>
      <c r="S450" s="171"/>
      <c r="T450" s="167"/>
      <c r="U450" s="171"/>
      <c r="V450" s="168"/>
      <c r="X450" s="168"/>
      <c r="AB450" s="168"/>
      <c r="AH450" s="168"/>
      <c r="AP450" s="275"/>
      <c r="AQ450" s="168"/>
      <c r="AR450" s="168"/>
      <c r="AS450" s="168"/>
      <c r="AT450" s="168"/>
      <c r="AU450" s="168"/>
      <c r="AV450" s="168"/>
      <c r="AW450" s="168"/>
      <c r="AX450" s="168"/>
      <c r="AY450" s="168"/>
      <c r="AZ450" s="168"/>
      <c r="BB450" s="168"/>
    </row>
    <row r="451" s="89" customFormat="1" customHeight="1" spans="1:54">
      <c r="A451" s="167"/>
      <c r="M451" s="168"/>
      <c r="N451" s="169"/>
      <c r="R451" s="168"/>
      <c r="S451" s="171"/>
      <c r="T451" s="167"/>
      <c r="U451" s="171"/>
      <c r="V451" s="168"/>
      <c r="X451" s="168"/>
      <c r="AB451" s="168"/>
      <c r="AH451" s="168"/>
      <c r="AP451" s="275"/>
      <c r="AQ451" s="168"/>
      <c r="AR451" s="168"/>
      <c r="AS451" s="168"/>
      <c r="AT451" s="168"/>
      <c r="AU451" s="168"/>
      <c r="AV451" s="168"/>
      <c r="AW451" s="168"/>
      <c r="AX451" s="168"/>
      <c r="AY451" s="168"/>
      <c r="AZ451" s="168"/>
      <c r="BB451" s="168"/>
    </row>
    <row r="452" s="89" customFormat="1" customHeight="1" spans="1:54">
      <c r="A452" s="167"/>
      <c r="M452" s="168"/>
      <c r="N452" s="169"/>
      <c r="R452" s="168"/>
      <c r="S452" s="171"/>
      <c r="T452" s="167"/>
      <c r="U452" s="171"/>
      <c r="V452" s="168"/>
      <c r="X452" s="168"/>
      <c r="AB452" s="168"/>
      <c r="AH452" s="168"/>
      <c r="AP452" s="275"/>
      <c r="AQ452" s="168"/>
      <c r="AR452" s="168"/>
      <c r="AS452" s="168"/>
      <c r="AT452" s="168"/>
      <c r="AU452" s="168"/>
      <c r="AV452" s="168"/>
      <c r="AW452" s="168"/>
      <c r="AX452" s="168"/>
      <c r="AY452" s="168"/>
      <c r="AZ452" s="168"/>
      <c r="BB452" s="168"/>
    </row>
    <row r="453" s="89" customFormat="1" customHeight="1" spans="1:54">
      <c r="A453" s="167"/>
      <c r="M453" s="168"/>
      <c r="N453" s="169"/>
      <c r="R453" s="168"/>
      <c r="S453" s="171"/>
      <c r="T453" s="167"/>
      <c r="U453" s="171"/>
      <c r="V453" s="168"/>
      <c r="X453" s="168"/>
      <c r="AB453" s="168"/>
      <c r="AH453" s="168"/>
      <c r="AP453" s="275"/>
      <c r="AQ453" s="168"/>
      <c r="AR453" s="168"/>
      <c r="AS453" s="168"/>
      <c r="AT453" s="168"/>
      <c r="AU453" s="168"/>
      <c r="AV453" s="168"/>
      <c r="AW453" s="168"/>
      <c r="AX453" s="168"/>
      <c r="AY453" s="168"/>
      <c r="AZ453" s="168"/>
      <c r="BB453" s="168"/>
    </row>
    <row r="454" s="89" customFormat="1" customHeight="1" spans="1:54">
      <c r="A454" s="167"/>
      <c r="M454" s="168"/>
      <c r="N454" s="169"/>
      <c r="R454" s="168"/>
      <c r="S454" s="171"/>
      <c r="T454" s="167"/>
      <c r="U454" s="171"/>
      <c r="V454" s="168"/>
      <c r="X454" s="168"/>
      <c r="AB454" s="168"/>
      <c r="AH454" s="168"/>
      <c r="AP454" s="275"/>
      <c r="AQ454" s="168"/>
      <c r="AR454" s="168"/>
      <c r="AS454" s="168"/>
      <c r="AT454" s="168"/>
      <c r="AU454" s="168"/>
      <c r="AV454" s="168"/>
      <c r="AW454" s="168"/>
      <c r="AX454" s="168"/>
      <c r="AY454" s="168"/>
      <c r="AZ454" s="168"/>
      <c r="BB454" s="168"/>
    </row>
    <row r="455" s="89" customFormat="1" customHeight="1" spans="1:54">
      <c r="A455" s="167"/>
      <c r="M455" s="168"/>
      <c r="N455" s="169"/>
      <c r="R455" s="168"/>
      <c r="S455" s="171"/>
      <c r="T455" s="167"/>
      <c r="U455" s="171"/>
      <c r="V455" s="168"/>
      <c r="X455" s="168"/>
      <c r="AB455" s="168"/>
      <c r="AH455" s="168"/>
      <c r="AP455" s="275"/>
      <c r="AQ455" s="168"/>
      <c r="AR455" s="168"/>
      <c r="AS455" s="168"/>
      <c r="AT455" s="168"/>
      <c r="AU455" s="168"/>
      <c r="AV455" s="168"/>
      <c r="AW455" s="168"/>
      <c r="AX455" s="168"/>
      <c r="AY455" s="168"/>
      <c r="AZ455" s="168"/>
      <c r="BB455" s="168"/>
    </row>
    <row r="456" s="89" customFormat="1" customHeight="1" spans="1:54">
      <c r="A456" s="167"/>
      <c r="M456" s="168"/>
      <c r="N456" s="169"/>
      <c r="R456" s="168"/>
      <c r="S456" s="171"/>
      <c r="T456" s="167"/>
      <c r="U456" s="171"/>
      <c r="V456" s="168"/>
      <c r="X456" s="168"/>
      <c r="AB456" s="168"/>
      <c r="AH456" s="168"/>
      <c r="AP456" s="275"/>
      <c r="AQ456" s="168"/>
      <c r="AR456" s="168"/>
      <c r="AS456" s="168"/>
      <c r="AT456" s="168"/>
      <c r="AU456" s="168"/>
      <c r="AV456" s="168"/>
      <c r="AW456" s="168"/>
      <c r="AX456" s="168"/>
      <c r="AY456" s="168"/>
      <c r="AZ456" s="168"/>
      <c r="BB456" s="168"/>
    </row>
    <row r="457" s="89" customFormat="1" customHeight="1" spans="1:54">
      <c r="A457" s="167"/>
      <c r="M457" s="168"/>
      <c r="N457" s="169"/>
      <c r="R457" s="168"/>
      <c r="S457" s="171"/>
      <c r="T457" s="167"/>
      <c r="U457" s="171"/>
      <c r="V457" s="168"/>
      <c r="X457" s="168"/>
      <c r="AB457" s="168"/>
      <c r="AH457" s="168"/>
      <c r="AP457" s="275"/>
      <c r="AQ457" s="168"/>
      <c r="AR457" s="168"/>
      <c r="AS457" s="168"/>
      <c r="AT457" s="168"/>
      <c r="AU457" s="168"/>
      <c r="AV457" s="168"/>
      <c r="AW457" s="168"/>
      <c r="AX457" s="168"/>
      <c r="AY457" s="168"/>
      <c r="AZ457" s="168"/>
      <c r="BB457" s="168"/>
    </row>
  </sheetData>
  <autoFilter xmlns:etc="http://www.wps.cn/officeDocument/2017/etCustomData" ref="A2:BU446" etc:filterBottomFollowUsedRange="0">
    <extLst/>
  </autoFilter>
  <sortState ref="BQ2">
    <sortCondition ref="BQ2"/>
  </sortState>
  <mergeCells count="59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O2:BO3"/>
    <mergeCell ref="BQ2:BQ3"/>
    <mergeCell ref="BR2:BR3"/>
    <mergeCell ref="BT2:BT3"/>
    <mergeCell ref="BU2:BU3"/>
    <mergeCell ref="BV2:BV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76"/>
  <sheetViews>
    <sheetView workbookViewId="0">
      <pane ySplit="3" topLeftCell="A48" activePane="bottomLeft" state="frozen"/>
      <selection/>
      <selection pane="bottomLeft" activeCell="L50" sqref="L50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7" width="12.125" style="58" customWidth="1"/>
    <col min="18" max="18" width="13.375" style="58" customWidth="1"/>
    <col min="19" max="21" width="12.125" style="58" customWidth="1"/>
    <col min="22" max="34" width="13.125" style="58" customWidth="1"/>
    <col min="35" max="35" width="14.375" style="58" customWidth="1"/>
    <col min="36" max="36" width="17" style="58" customWidth="1"/>
    <col min="37" max="37" width="16.375" style="58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58" customWidth="1"/>
    <col min="43" max="43" width="12.125" style="58" customWidth="1"/>
    <col min="44" max="44" width="15.375" style="58" customWidth="1"/>
    <col min="45" max="47" width="11.375" style="58" customWidth="1"/>
    <col min="48" max="48" width="13" style="58" customWidth="1"/>
    <col min="49" max="49" width="15.875" style="58"/>
    <col min="50" max="16384" width="9" style="58"/>
  </cols>
  <sheetData>
    <row r="1" s="89" customFormat="1" customHeight="1" spans="1:42">
      <c r="A1" s="142" t="s">
        <v>4348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P1" s="106"/>
    </row>
    <row r="2" s="90" customFormat="1" customHeight="1" spans="1:52">
      <c r="A2" s="92" t="s">
        <v>1</v>
      </c>
      <c r="B2" s="90" t="s">
        <v>125</v>
      </c>
      <c r="C2" s="93" t="s">
        <v>126</v>
      </c>
      <c r="D2" s="90" t="s">
        <v>127</v>
      </c>
      <c r="F2" s="90" t="s">
        <v>129</v>
      </c>
      <c r="G2" s="90" t="s">
        <v>130</v>
      </c>
      <c r="H2" s="90" t="s">
        <v>128</v>
      </c>
      <c r="I2" s="90" t="s">
        <v>132</v>
      </c>
      <c r="J2" s="95" t="s">
        <v>843</v>
      </c>
      <c r="K2" s="90" t="s">
        <v>134</v>
      </c>
      <c r="L2" s="90" t="s">
        <v>135</v>
      </c>
      <c r="M2" s="96" t="s">
        <v>136</v>
      </c>
      <c r="N2" s="97" t="s">
        <v>137</v>
      </c>
      <c r="O2" s="98" t="s">
        <v>139</v>
      </c>
      <c r="P2" s="99"/>
      <c r="Q2" s="99"/>
      <c r="R2" s="97" t="s">
        <v>140</v>
      </c>
      <c r="S2" s="101" t="s">
        <v>141</v>
      </c>
      <c r="T2" s="92" t="s">
        <v>142</v>
      </c>
      <c r="U2" s="101" t="s">
        <v>143</v>
      </c>
      <c r="V2" s="96" t="s">
        <v>144</v>
      </c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 t="s">
        <v>145</v>
      </c>
      <c r="AI2" s="93" t="s">
        <v>19</v>
      </c>
      <c r="AJ2" s="90" t="s">
        <v>147</v>
      </c>
      <c r="AK2" s="99" t="s">
        <v>22</v>
      </c>
      <c r="AL2" s="90" t="s">
        <v>148</v>
      </c>
      <c r="AM2" s="90" t="s">
        <v>10</v>
      </c>
      <c r="AN2" s="90" t="s">
        <v>845</v>
      </c>
      <c r="AO2" s="107" t="s">
        <v>158</v>
      </c>
      <c r="AP2" s="108" t="s">
        <v>159</v>
      </c>
      <c r="AQ2" s="160" t="s">
        <v>2753</v>
      </c>
      <c r="AR2" s="160" t="s">
        <v>2754</v>
      </c>
      <c r="AS2" s="160" t="s">
        <v>2755</v>
      </c>
      <c r="AT2" s="160" t="s">
        <v>2756</v>
      </c>
      <c r="AU2" s="160" t="s">
        <v>4349</v>
      </c>
      <c r="AV2" s="110"/>
      <c r="AW2" s="90" t="s">
        <v>175</v>
      </c>
      <c r="AY2" s="90" t="s">
        <v>73</v>
      </c>
      <c r="AZ2" s="90" t="s">
        <v>176</v>
      </c>
    </row>
    <row r="3" s="90" customFormat="1" customHeight="1" spans="1:48">
      <c r="A3" s="92"/>
      <c r="C3" s="93"/>
      <c r="E3" s="90" t="s">
        <v>868</v>
      </c>
      <c r="J3" s="98"/>
      <c r="M3" s="96"/>
      <c r="N3" s="97"/>
      <c r="O3" s="98" t="s">
        <v>178</v>
      </c>
      <c r="P3" s="99" t="s">
        <v>869</v>
      </c>
      <c r="Q3" s="99" t="s">
        <v>870</v>
      </c>
      <c r="R3" s="96"/>
      <c r="S3" s="101"/>
      <c r="T3" s="92"/>
      <c r="U3" s="101"/>
      <c r="V3" s="96" t="s">
        <v>180</v>
      </c>
      <c r="W3" s="90" t="s">
        <v>181</v>
      </c>
      <c r="X3" s="96" t="s">
        <v>182</v>
      </c>
      <c r="Y3" s="105" t="s">
        <v>181</v>
      </c>
      <c r="Z3" s="90" t="s">
        <v>183</v>
      </c>
      <c r="AA3" s="98" t="s">
        <v>181</v>
      </c>
      <c r="AB3" s="96" t="s">
        <v>184</v>
      </c>
      <c r="AC3" s="90" t="s">
        <v>181</v>
      </c>
      <c r="AD3" s="90" t="s">
        <v>185</v>
      </c>
      <c r="AE3" s="90" t="s">
        <v>181</v>
      </c>
      <c r="AF3" s="90" t="s">
        <v>186</v>
      </c>
      <c r="AG3" s="90" t="s">
        <v>181</v>
      </c>
      <c r="AH3" s="96"/>
      <c r="AK3" s="99"/>
      <c r="AO3" s="107"/>
      <c r="AP3" s="108"/>
      <c r="AQ3" s="160"/>
      <c r="AR3" s="160"/>
      <c r="AS3" s="160"/>
      <c r="AT3" s="160"/>
      <c r="AU3" s="160"/>
      <c r="AV3" s="110"/>
    </row>
    <row r="4" s="131" customFormat="1" ht="35" customHeight="1" spans="1:52">
      <c r="A4" s="131">
        <v>1</v>
      </c>
      <c r="C4" s="143">
        <v>45434</v>
      </c>
      <c r="D4" s="131">
        <v>20240003043</v>
      </c>
      <c r="F4" s="729" t="s">
        <v>4350</v>
      </c>
      <c r="G4" s="144" t="s">
        <v>4351</v>
      </c>
      <c r="H4" s="726" t="s">
        <v>4352</v>
      </c>
      <c r="I4" s="145" t="s">
        <v>4353</v>
      </c>
      <c r="J4" s="146">
        <v>150.19</v>
      </c>
      <c r="K4" s="131">
        <v>150.19</v>
      </c>
      <c r="L4" s="131">
        <v>8200</v>
      </c>
      <c r="M4" s="147">
        <f>L4*K4</f>
        <v>1231558</v>
      </c>
      <c r="N4" s="131">
        <v>8200</v>
      </c>
      <c r="U4" s="131" t="s">
        <v>211</v>
      </c>
      <c r="V4" s="131">
        <v>20000</v>
      </c>
      <c r="W4" s="131" t="s">
        <v>546</v>
      </c>
      <c r="X4" s="131">
        <v>351558</v>
      </c>
      <c r="Y4" s="131" t="s">
        <v>327</v>
      </c>
      <c r="Z4" s="131">
        <v>860000</v>
      </c>
      <c r="AA4" s="131" t="s">
        <v>319</v>
      </c>
      <c r="AB4" s="131"/>
      <c r="AC4" s="131"/>
      <c r="AH4" s="131">
        <f>V4+X4+Z4+AB4+AD4+AF4</f>
        <v>1231558</v>
      </c>
      <c r="AK4" s="131">
        <f t="shared" ref="AK4:AK11" si="0">M4-AH4</f>
        <v>0</v>
      </c>
      <c r="AL4" s="131">
        <v>15199933931</v>
      </c>
      <c r="AO4" s="131">
        <f t="shared" ref="AO4:AO13" si="1">SUM(AQ4:AV4)</f>
        <v>1231558</v>
      </c>
      <c r="AP4" s="161">
        <f>0.7%+0.03%+0.08%</f>
        <v>0.0081</v>
      </c>
      <c r="AR4" s="131">
        <v>1231558</v>
      </c>
      <c r="AY4" s="131" t="s">
        <v>205</v>
      </c>
      <c r="AZ4" s="131" t="s">
        <v>206</v>
      </c>
    </row>
    <row r="5" s="131" customFormat="1" customHeight="1" spans="1:51">
      <c r="A5" s="131">
        <v>2</v>
      </c>
      <c r="C5" s="143">
        <v>45516</v>
      </c>
      <c r="D5" s="131">
        <v>20240004628</v>
      </c>
      <c r="F5" s="726" t="s">
        <v>4354</v>
      </c>
      <c r="G5" s="131" t="s">
        <v>4355</v>
      </c>
      <c r="H5" s="726" t="s">
        <v>4356</v>
      </c>
      <c r="I5" s="145" t="s">
        <v>4357</v>
      </c>
      <c r="J5" s="146">
        <v>122.87</v>
      </c>
      <c r="K5" s="131">
        <v>122.87</v>
      </c>
      <c r="L5" s="131">
        <f>M5/K5</f>
        <v>7894.5226662326</v>
      </c>
      <c r="M5" s="131">
        <v>970000</v>
      </c>
      <c r="N5" s="131">
        <v>7894.52</v>
      </c>
      <c r="U5" s="131" t="s">
        <v>422</v>
      </c>
      <c r="V5" s="131">
        <v>20000</v>
      </c>
      <c r="W5" s="131" t="s">
        <v>4358</v>
      </c>
      <c r="X5" s="131">
        <v>250000</v>
      </c>
      <c r="Y5" s="131" t="s">
        <v>3591</v>
      </c>
      <c r="Z5" s="131">
        <v>700000</v>
      </c>
      <c r="AA5" s="131" t="s">
        <v>3373</v>
      </c>
      <c r="AH5" s="131">
        <f t="shared" ref="AH5:AH21" si="2">V5+X5+Z5+AB5+AD5+AF5</f>
        <v>970000</v>
      </c>
      <c r="AK5" s="131">
        <f t="shared" si="0"/>
        <v>0</v>
      </c>
      <c r="AL5" s="131">
        <v>15599750213</v>
      </c>
      <c r="AM5" s="131" t="s">
        <v>4359</v>
      </c>
      <c r="AO5" s="131">
        <f t="shared" si="1"/>
        <v>970000</v>
      </c>
      <c r="AP5" s="162">
        <f>0.5%+0.02%+0.08%</f>
        <v>0.006</v>
      </c>
      <c r="AT5" s="131">
        <v>270000</v>
      </c>
      <c r="AU5" s="131">
        <v>700000</v>
      </c>
      <c r="AW5" s="131">
        <f>AP5*AU5</f>
        <v>4200</v>
      </c>
      <c r="AY5" s="131" t="s">
        <v>205</v>
      </c>
    </row>
    <row r="6" s="89" customFormat="1" customHeight="1" spans="1:41">
      <c r="A6" s="89">
        <v>3</v>
      </c>
      <c r="B6" s="89"/>
      <c r="I6" s="148" t="s">
        <v>4360</v>
      </c>
      <c r="J6" s="149">
        <v>148.64</v>
      </c>
      <c r="K6" s="89"/>
      <c r="L6" s="89"/>
      <c r="M6" s="89"/>
      <c r="N6" s="89">
        <v>5769.83</v>
      </c>
      <c r="AH6" s="89">
        <f t="shared" si="2"/>
        <v>0</v>
      </c>
      <c r="AK6" s="89">
        <f t="shared" si="0"/>
        <v>0</v>
      </c>
      <c r="AO6" s="89">
        <f t="shared" si="1"/>
        <v>0</v>
      </c>
    </row>
    <row r="7" s="58" customFormat="1" customHeight="1" spans="1:41">
      <c r="A7" s="58">
        <v>4</v>
      </c>
      <c r="I7" s="150" t="s">
        <v>4361</v>
      </c>
      <c r="J7" s="151">
        <v>139.33</v>
      </c>
      <c r="N7" s="58">
        <v>5784.75</v>
      </c>
      <c r="AH7" s="58">
        <f t="shared" si="2"/>
        <v>0</v>
      </c>
      <c r="AO7" s="58">
        <f t="shared" si="1"/>
        <v>0</v>
      </c>
    </row>
    <row r="8" s="131" customFormat="1" ht="41" customHeight="1" spans="1:41">
      <c r="A8" s="131">
        <v>5</v>
      </c>
      <c r="C8" s="131" t="s">
        <v>560</v>
      </c>
      <c r="D8" s="131">
        <v>20240006190</v>
      </c>
      <c r="F8" s="726" t="s">
        <v>4362</v>
      </c>
      <c r="G8" s="144" t="s">
        <v>4363</v>
      </c>
      <c r="H8" s="144" t="s">
        <v>4364</v>
      </c>
      <c r="I8" s="152" t="s">
        <v>4365</v>
      </c>
      <c r="J8" s="146">
        <v>148.64</v>
      </c>
      <c r="K8" s="131">
        <v>148.64</v>
      </c>
      <c r="L8" s="131">
        <v>5824.48</v>
      </c>
      <c r="M8" s="131">
        <f>377751+488000</f>
        <v>865751</v>
      </c>
      <c r="N8" s="131">
        <v>5824.48</v>
      </c>
      <c r="R8" s="131">
        <v>377751</v>
      </c>
      <c r="S8" s="143" t="s">
        <v>560</v>
      </c>
      <c r="U8" s="131" t="s">
        <v>291</v>
      </c>
      <c r="V8" s="131">
        <v>2000</v>
      </c>
      <c r="W8" s="143">
        <v>45560</v>
      </c>
      <c r="X8" s="131">
        <v>377751</v>
      </c>
      <c r="Y8" s="143" t="s">
        <v>560</v>
      </c>
      <c r="Z8" s="131">
        <v>488000</v>
      </c>
      <c r="AA8" s="131" t="s">
        <v>560</v>
      </c>
      <c r="AH8" s="131">
        <f t="shared" si="2"/>
        <v>867751</v>
      </c>
      <c r="AK8" s="131">
        <f t="shared" si="0"/>
        <v>-2000</v>
      </c>
      <c r="AL8" s="131">
        <v>16609961005</v>
      </c>
      <c r="AO8" s="131">
        <f t="shared" si="1"/>
        <v>0</v>
      </c>
    </row>
    <row r="9" s="131" customFormat="1" ht="51" customHeight="1" spans="1:46">
      <c r="A9" s="131">
        <v>6</v>
      </c>
      <c r="F9" s="726" t="s">
        <v>4366</v>
      </c>
      <c r="G9" s="144" t="s">
        <v>4367</v>
      </c>
      <c r="H9" s="726" t="s">
        <v>4368</v>
      </c>
      <c r="I9" s="145" t="s">
        <v>4369</v>
      </c>
      <c r="J9" s="146">
        <v>139.33</v>
      </c>
      <c r="K9" s="131">
        <v>139.33</v>
      </c>
      <c r="L9" s="131">
        <v>5839.41</v>
      </c>
      <c r="M9" s="131">
        <v>813605</v>
      </c>
      <c r="N9" s="131">
        <v>5839.41</v>
      </c>
      <c r="T9" s="726" t="s">
        <v>4343</v>
      </c>
      <c r="U9" s="131" t="s">
        <v>217</v>
      </c>
      <c r="V9" s="131"/>
      <c r="W9" s="131"/>
      <c r="X9" s="131">
        <v>20000</v>
      </c>
      <c r="Y9" s="131" t="s">
        <v>3343</v>
      </c>
      <c r="Z9" s="131">
        <v>224605</v>
      </c>
      <c r="AA9" s="131" t="s">
        <v>691</v>
      </c>
      <c r="AB9" s="131">
        <v>569000</v>
      </c>
      <c r="AC9" s="131" t="s">
        <v>429</v>
      </c>
      <c r="AH9" s="131">
        <f t="shared" si="2"/>
        <v>813605</v>
      </c>
      <c r="AK9" s="131">
        <f t="shared" si="0"/>
        <v>0</v>
      </c>
      <c r="AL9" s="131">
        <v>18909968952</v>
      </c>
      <c r="AO9" s="131">
        <f t="shared" si="1"/>
        <v>813605</v>
      </c>
      <c r="AP9" s="163">
        <f>0.7%+0.03%+0.12%</f>
        <v>0.0085</v>
      </c>
      <c r="AT9" s="131">
        <v>813605</v>
      </c>
    </row>
    <row r="10" s="131" customFormat="1" customHeight="1" spans="1:42">
      <c r="A10" s="131">
        <v>7</v>
      </c>
      <c r="B10" s="131"/>
      <c r="C10" s="131" t="s">
        <v>98</v>
      </c>
      <c r="D10" s="131">
        <v>20240005546</v>
      </c>
      <c r="F10" s="726" t="s">
        <v>4370</v>
      </c>
      <c r="G10" s="131" t="s">
        <v>4371</v>
      </c>
      <c r="I10" s="152" t="s">
        <v>4372</v>
      </c>
      <c r="J10" s="146">
        <v>148.64</v>
      </c>
      <c r="K10" s="131">
        <v>148.64</v>
      </c>
      <c r="L10" s="131">
        <v>5657.21</v>
      </c>
      <c r="M10" s="131">
        <v>840888</v>
      </c>
      <c r="N10" s="131">
        <v>5657.21</v>
      </c>
      <c r="O10" s="131"/>
      <c r="R10" s="131">
        <v>190888</v>
      </c>
      <c r="S10" s="143" t="s">
        <v>98</v>
      </c>
      <c r="U10" s="131" t="s">
        <v>291</v>
      </c>
      <c r="V10" s="131">
        <v>20000</v>
      </c>
      <c r="W10" s="143">
        <v>45551</v>
      </c>
      <c r="X10" s="131">
        <v>190888</v>
      </c>
      <c r="Y10" s="143" t="s">
        <v>98</v>
      </c>
      <c r="AH10" s="131">
        <f t="shared" si="2"/>
        <v>210888</v>
      </c>
      <c r="AK10" s="131">
        <f t="shared" si="0"/>
        <v>630000</v>
      </c>
      <c r="AL10" s="131">
        <v>18699610532</v>
      </c>
      <c r="AO10" s="131">
        <f t="shared" si="1"/>
        <v>0</v>
      </c>
      <c r="AP10" s="163">
        <f>0.6%+0.05%+0.1%</f>
        <v>0.0075</v>
      </c>
    </row>
    <row r="11" s="131" customFormat="1" customHeight="1" spans="1:52">
      <c r="A11" s="131">
        <v>8</v>
      </c>
      <c r="C11" s="143">
        <v>45472</v>
      </c>
      <c r="D11" s="131">
        <v>20240003715</v>
      </c>
      <c r="F11" s="726" t="s">
        <v>4373</v>
      </c>
      <c r="G11" s="131" t="s">
        <v>4374</v>
      </c>
      <c r="H11" s="726" t="s">
        <v>4375</v>
      </c>
      <c r="I11" s="145" t="s">
        <v>4376</v>
      </c>
      <c r="J11" s="146">
        <v>139.33</v>
      </c>
      <c r="K11" s="131">
        <v>139.33</v>
      </c>
      <c r="L11" s="131">
        <v>5600</v>
      </c>
      <c r="M11" s="131">
        <v>780248</v>
      </c>
      <c r="N11" s="131">
        <v>5600</v>
      </c>
      <c r="U11" s="131" t="s">
        <v>226</v>
      </c>
      <c r="V11" s="131">
        <v>20000</v>
      </c>
      <c r="W11" s="131" t="s">
        <v>4024</v>
      </c>
      <c r="X11" s="131">
        <v>10000</v>
      </c>
      <c r="Y11" s="131" t="s">
        <v>4001</v>
      </c>
      <c r="Z11" s="131">
        <v>126248</v>
      </c>
      <c r="AA11" s="131" t="s">
        <v>281</v>
      </c>
      <c r="AB11" s="131">
        <v>624000</v>
      </c>
      <c r="AC11" s="131" t="s">
        <v>4377</v>
      </c>
      <c r="AH11" s="131">
        <f t="shared" si="2"/>
        <v>780248</v>
      </c>
      <c r="AK11" s="131">
        <f t="shared" si="0"/>
        <v>0</v>
      </c>
      <c r="AL11" s="131">
        <v>17641032589</v>
      </c>
      <c r="AM11" s="131" t="s">
        <v>3007</v>
      </c>
      <c r="AO11" s="131">
        <f t="shared" si="1"/>
        <v>780248</v>
      </c>
      <c r="AP11" s="161">
        <f>0.7%+0.08%</f>
        <v>0.0078</v>
      </c>
      <c r="AS11" s="131">
        <v>156248</v>
      </c>
      <c r="AT11" s="131">
        <v>624000</v>
      </c>
      <c r="AY11" s="131" t="s">
        <v>205</v>
      </c>
      <c r="AZ11" s="131" t="s">
        <v>206</v>
      </c>
    </row>
    <row r="12" s="131" customFormat="1" customHeight="1" spans="1:51">
      <c r="A12" s="131">
        <v>9</v>
      </c>
      <c r="C12" s="143">
        <v>45416</v>
      </c>
      <c r="D12" s="131">
        <v>20240002559</v>
      </c>
      <c r="F12" s="726" t="s">
        <v>4378</v>
      </c>
      <c r="G12" s="131" t="s">
        <v>4379</v>
      </c>
      <c r="H12" s="726" t="s">
        <v>4380</v>
      </c>
      <c r="I12" s="152" t="s">
        <v>4381</v>
      </c>
      <c r="J12" s="146">
        <v>148.64</v>
      </c>
      <c r="K12" s="131">
        <v>148.64</v>
      </c>
      <c r="L12" s="131">
        <v>5897.806</v>
      </c>
      <c r="M12" s="131">
        <v>876650</v>
      </c>
      <c r="N12" s="131">
        <v>5897.806</v>
      </c>
      <c r="U12" s="131" t="s">
        <v>408</v>
      </c>
      <c r="V12" s="131">
        <v>20000</v>
      </c>
      <c r="W12" s="131" t="s">
        <v>3475</v>
      </c>
      <c r="X12" s="131">
        <v>121650</v>
      </c>
      <c r="Y12" s="131" t="s">
        <v>517</v>
      </c>
      <c r="Z12" s="131">
        <v>145000</v>
      </c>
      <c r="AA12" s="131" t="s">
        <v>221</v>
      </c>
      <c r="AB12" s="131">
        <v>590000</v>
      </c>
      <c r="AC12" s="131" t="s">
        <v>768</v>
      </c>
      <c r="AH12" s="131">
        <f t="shared" si="2"/>
        <v>876650</v>
      </c>
      <c r="AK12" s="131">
        <f t="shared" ref="AK12:AK23" si="3">M12-AH12</f>
        <v>0</v>
      </c>
      <c r="AL12" s="131">
        <v>19199200131</v>
      </c>
      <c r="AO12" s="131">
        <f t="shared" si="1"/>
        <v>876650</v>
      </c>
      <c r="AP12" s="163">
        <f>0.7%+0.02%+0.12%</f>
        <v>0.0084</v>
      </c>
      <c r="AS12" s="131">
        <v>286650</v>
      </c>
      <c r="AT12" s="131">
        <v>590000</v>
      </c>
      <c r="AY12" s="131" t="s">
        <v>205</v>
      </c>
    </row>
    <row r="13" s="131" customFormat="1" customHeight="1" spans="1:52">
      <c r="A13" s="131">
        <v>10</v>
      </c>
      <c r="C13" s="143">
        <v>45472</v>
      </c>
      <c r="D13" s="131">
        <v>20240003716</v>
      </c>
      <c r="F13" s="726" t="s">
        <v>4382</v>
      </c>
      <c r="G13" s="144" t="s">
        <v>4383</v>
      </c>
      <c r="H13" s="726" t="s">
        <v>4384</v>
      </c>
      <c r="I13" s="145" t="s">
        <v>4385</v>
      </c>
      <c r="J13" s="146">
        <v>139.33</v>
      </c>
      <c r="K13" s="131">
        <v>139.33</v>
      </c>
      <c r="L13" s="131">
        <v>5946.36</v>
      </c>
      <c r="M13" s="131">
        <v>828507</v>
      </c>
      <c r="N13" s="131">
        <v>5946.36</v>
      </c>
      <c r="T13" s="144"/>
      <c r="U13" s="144" t="s">
        <v>226</v>
      </c>
      <c r="V13" s="131">
        <v>20000</v>
      </c>
      <c r="W13" s="131" t="s">
        <v>546</v>
      </c>
      <c r="X13" s="131">
        <v>33507</v>
      </c>
      <c r="Y13" s="131" t="s">
        <v>4001</v>
      </c>
      <c r="Z13" s="131">
        <v>70000</v>
      </c>
      <c r="AA13" s="131" t="s">
        <v>281</v>
      </c>
      <c r="AB13" s="131">
        <v>185000</v>
      </c>
      <c r="AC13" s="131" t="s">
        <v>4386</v>
      </c>
      <c r="AD13" s="131">
        <v>520000</v>
      </c>
      <c r="AE13" s="131" t="s">
        <v>4255</v>
      </c>
      <c r="AH13" s="131">
        <f t="shared" si="2"/>
        <v>828507</v>
      </c>
      <c r="AK13" s="131">
        <f t="shared" si="3"/>
        <v>0</v>
      </c>
      <c r="AL13" s="131">
        <v>13999021450</v>
      </c>
      <c r="AO13" s="131">
        <f t="shared" si="1"/>
        <v>828507</v>
      </c>
      <c r="AP13" s="163">
        <f>0.7%+0.08%</f>
        <v>0.0078</v>
      </c>
      <c r="AS13" s="131">
        <v>308507</v>
      </c>
      <c r="AT13" s="131">
        <v>520000</v>
      </c>
      <c r="AY13" s="131" t="s">
        <v>205</v>
      </c>
      <c r="AZ13" s="131" t="s">
        <v>206</v>
      </c>
    </row>
    <row r="14" s="131" customFormat="1" customHeight="1" spans="1:42">
      <c r="A14" s="131">
        <v>11</v>
      </c>
      <c r="F14" s="726" t="s">
        <v>4387</v>
      </c>
      <c r="G14" s="131" t="s">
        <v>4388</v>
      </c>
      <c r="I14" s="152" t="s">
        <v>4389</v>
      </c>
      <c r="J14" s="146">
        <v>148.64</v>
      </c>
      <c r="K14" s="131">
        <v>148.64</v>
      </c>
      <c r="L14" s="131">
        <f>M14/K14</f>
        <v>5965.79655543595</v>
      </c>
      <c r="M14" s="131">
        <v>886756</v>
      </c>
      <c r="N14" s="131">
        <v>5965.795</v>
      </c>
      <c r="U14" s="131" t="s">
        <v>291</v>
      </c>
      <c r="V14" s="131">
        <v>5000</v>
      </c>
      <c r="W14" s="131" t="s">
        <v>366</v>
      </c>
      <c r="X14" s="131">
        <v>15000</v>
      </c>
      <c r="Y14" s="131" t="s">
        <v>890</v>
      </c>
      <c r="AH14" s="131">
        <f t="shared" si="2"/>
        <v>20000</v>
      </c>
      <c r="AK14" s="131">
        <f t="shared" si="3"/>
        <v>866756</v>
      </c>
      <c r="AL14" s="131">
        <v>19990288970</v>
      </c>
      <c r="AM14" s="131" t="s">
        <v>3593</v>
      </c>
      <c r="AO14" s="131">
        <f>SUM(AQ14:AX14)</f>
        <v>0</v>
      </c>
      <c r="AP14" s="162">
        <f>0.7%+0.02%+0.08%</f>
        <v>0.008</v>
      </c>
    </row>
    <row r="15" s="131" customFormat="1" customHeight="1" spans="1:52">
      <c r="A15" s="131">
        <v>12</v>
      </c>
      <c r="C15" s="143">
        <v>45416</v>
      </c>
      <c r="D15" s="131">
        <v>20240002527</v>
      </c>
      <c r="F15" s="726" t="s">
        <v>4390</v>
      </c>
      <c r="G15" s="144" t="s">
        <v>4391</v>
      </c>
      <c r="H15" s="726" t="s">
        <v>4392</v>
      </c>
      <c r="I15" s="145" t="s">
        <v>4393</v>
      </c>
      <c r="J15" s="146">
        <v>139.33</v>
      </c>
      <c r="K15" s="131">
        <v>139.33</v>
      </c>
      <c r="L15" s="131">
        <f>M15/K15</f>
        <v>5978.61192851504</v>
      </c>
      <c r="M15" s="131">
        <v>833000</v>
      </c>
      <c r="N15" s="131">
        <v>5978.61</v>
      </c>
      <c r="T15" s="144"/>
      <c r="U15" s="144" t="s">
        <v>408</v>
      </c>
      <c r="V15" s="131">
        <v>20000</v>
      </c>
      <c r="W15" s="131" t="s">
        <v>498</v>
      </c>
      <c r="X15" s="131">
        <v>233000</v>
      </c>
      <c r="Y15" s="131" t="s">
        <v>517</v>
      </c>
      <c r="Z15" s="131">
        <v>580000</v>
      </c>
      <c r="AA15" s="131" t="s">
        <v>514</v>
      </c>
      <c r="AH15" s="131">
        <f t="shared" si="2"/>
        <v>833000</v>
      </c>
      <c r="AK15" s="131">
        <f t="shared" si="3"/>
        <v>0</v>
      </c>
      <c r="AL15" s="131">
        <v>15299350690</v>
      </c>
      <c r="AO15" s="131">
        <f>SUM(AQ15:AV15)</f>
        <v>833000</v>
      </c>
      <c r="AP15" s="163">
        <f>0.7%+0.02%+0.12%</f>
        <v>0.0084</v>
      </c>
      <c r="AQ15" s="131">
        <v>253000</v>
      </c>
      <c r="AR15" s="131">
        <v>580000</v>
      </c>
      <c r="AY15" s="131" t="s">
        <v>205</v>
      </c>
      <c r="AZ15" s="131" t="s">
        <v>206</v>
      </c>
    </row>
    <row r="16" s="131" customFormat="1" customHeight="1" spans="1:51">
      <c r="A16" s="131">
        <v>13</v>
      </c>
      <c r="C16" s="143">
        <v>45493</v>
      </c>
      <c r="D16" s="131">
        <v>20240004168</v>
      </c>
      <c r="F16" s="726" t="s">
        <v>4394</v>
      </c>
      <c r="G16" s="131" t="s">
        <v>4395</v>
      </c>
      <c r="I16" s="152" t="s">
        <v>4396</v>
      </c>
      <c r="J16" s="146">
        <v>148.64</v>
      </c>
      <c r="K16" s="131">
        <v>148.64</v>
      </c>
      <c r="L16" s="131">
        <f>M16/K16</f>
        <v>5948.08261571582</v>
      </c>
      <c r="M16" s="131">
        <v>884123</v>
      </c>
      <c r="N16" s="131">
        <v>5948.08</v>
      </c>
      <c r="S16" s="143"/>
      <c r="U16" s="131" t="s">
        <v>217</v>
      </c>
      <c r="V16" s="131">
        <v>169123</v>
      </c>
      <c r="W16" s="131" t="s">
        <v>3465</v>
      </c>
      <c r="X16" s="131">
        <v>65000</v>
      </c>
      <c r="Y16" s="131" t="s">
        <v>2791</v>
      </c>
      <c r="Z16" s="131">
        <v>650000</v>
      </c>
      <c r="AA16" s="143">
        <v>45537</v>
      </c>
      <c r="AH16" s="131">
        <f t="shared" si="2"/>
        <v>884123</v>
      </c>
      <c r="AK16" s="131">
        <f t="shared" si="3"/>
        <v>0</v>
      </c>
      <c r="AL16" s="131">
        <v>18742865669</v>
      </c>
      <c r="AM16" s="131" t="s">
        <v>3593</v>
      </c>
      <c r="AO16" s="131">
        <f>SUM(AQ16:AV16)</f>
        <v>884123</v>
      </c>
      <c r="AP16" s="162">
        <f>0.7%+0.03%+0.08%</f>
        <v>0.0081</v>
      </c>
      <c r="AT16" s="131">
        <v>234123</v>
      </c>
      <c r="AU16" s="131">
        <v>650000</v>
      </c>
      <c r="AW16" s="131">
        <f>AP16*AU16</f>
        <v>5265</v>
      </c>
      <c r="AY16" s="131" t="s">
        <v>205</v>
      </c>
    </row>
    <row r="17" s="131" customFormat="1" ht="33" customHeight="1" spans="1:42">
      <c r="A17" s="131">
        <v>14</v>
      </c>
      <c r="C17" s="131" t="s">
        <v>98</v>
      </c>
      <c r="D17" s="131">
        <v>20240005557</v>
      </c>
      <c r="F17" s="726" t="s">
        <v>4397</v>
      </c>
      <c r="G17" s="144" t="s">
        <v>4398</v>
      </c>
      <c r="I17" s="153" t="s">
        <v>4399</v>
      </c>
      <c r="J17" s="146">
        <v>139.33</v>
      </c>
      <c r="K17" s="131">
        <v>139.33</v>
      </c>
      <c r="L17" s="131">
        <v>5892.34</v>
      </c>
      <c r="M17" s="131">
        <v>820980</v>
      </c>
      <c r="N17" s="131">
        <v>6000</v>
      </c>
      <c r="O17" s="131" t="s">
        <v>195</v>
      </c>
      <c r="R17" s="131">
        <f>180000+980</f>
        <v>180980</v>
      </c>
      <c r="S17" s="131" t="s">
        <v>98</v>
      </c>
      <c r="U17" s="144" t="s">
        <v>1811</v>
      </c>
      <c r="V17" s="131">
        <v>20000</v>
      </c>
      <c r="W17" s="131" t="s">
        <v>221</v>
      </c>
      <c r="X17" s="131">
        <f>180000+980</f>
        <v>180980</v>
      </c>
      <c r="Y17" s="131" t="s">
        <v>98</v>
      </c>
      <c r="Z17" s="131"/>
      <c r="AA17" s="131"/>
      <c r="AH17" s="131">
        <f t="shared" si="2"/>
        <v>200980</v>
      </c>
      <c r="AK17" s="131">
        <f t="shared" si="3"/>
        <v>620000</v>
      </c>
      <c r="AL17" s="131">
        <v>15684853588</v>
      </c>
      <c r="AM17" s="131" t="s">
        <v>3593</v>
      </c>
      <c r="AO17" s="131">
        <f>SUM(AQ17:AX17)</f>
        <v>0</v>
      </c>
      <c r="AP17" s="162">
        <f>0.4%+0.03%+0.08%</f>
        <v>0.0051</v>
      </c>
    </row>
    <row r="18" s="131" customFormat="1" customHeight="1" spans="1:42">
      <c r="A18" s="131">
        <v>15</v>
      </c>
      <c r="B18" s="131"/>
      <c r="C18" s="131" t="s">
        <v>1790</v>
      </c>
      <c r="D18" s="131">
        <v>20240005654</v>
      </c>
      <c r="F18" s="726" t="s">
        <v>4400</v>
      </c>
      <c r="G18" s="131" t="s">
        <v>4401</v>
      </c>
      <c r="H18" s="726" t="s">
        <v>4402</v>
      </c>
      <c r="I18" s="145" t="s">
        <v>4403</v>
      </c>
      <c r="J18" s="146">
        <v>148.64</v>
      </c>
      <c r="K18" s="131">
        <v>148.64</v>
      </c>
      <c r="L18" s="131">
        <v>5853.07</v>
      </c>
      <c r="M18" s="131">
        <v>870000</v>
      </c>
      <c r="N18" s="131">
        <v>5853.07</v>
      </c>
      <c r="O18" s="131"/>
      <c r="R18" s="131">
        <v>850000</v>
      </c>
      <c r="S18" s="131" t="s">
        <v>108</v>
      </c>
      <c r="U18" s="131" t="s">
        <v>411</v>
      </c>
      <c r="V18" s="131">
        <v>20000</v>
      </c>
      <c r="W18" s="131" t="s">
        <v>493</v>
      </c>
      <c r="X18" s="131">
        <v>850000</v>
      </c>
      <c r="Y18" s="131" t="s">
        <v>108</v>
      </c>
      <c r="AH18" s="131">
        <f t="shared" si="2"/>
        <v>870000</v>
      </c>
      <c r="AK18" s="131">
        <f t="shared" si="3"/>
        <v>0</v>
      </c>
      <c r="AL18" s="131">
        <v>17337600520</v>
      </c>
      <c r="AO18" s="131">
        <f t="shared" ref="AO18:AO23" si="4">SUM(AQ18:AV18)</f>
        <v>0</v>
      </c>
      <c r="AP18" s="163">
        <f>0.6%+0.1%</f>
        <v>0.007</v>
      </c>
    </row>
    <row r="19" s="131" customFormat="1" customHeight="1" spans="1:51">
      <c r="A19" s="131">
        <v>16</v>
      </c>
      <c r="C19" s="143">
        <v>45493</v>
      </c>
      <c r="D19" s="131">
        <v>20240004164</v>
      </c>
      <c r="F19" s="726" t="s">
        <v>4404</v>
      </c>
      <c r="G19" s="131" t="s">
        <v>4405</v>
      </c>
      <c r="H19" s="726" t="s">
        <v>4406</v>
      </c>
      <c r="I19" s="145" t="s">
        <v>4407</v>
      </c>
      <c r="J19" s="146">
        <v>139.33</v>
      </c>
      <c r="K19" s="131">
        <v>139.33</v>
      </c>
      <c r="L19" s="131">
        <v>6091.36</v>
      </c>
      <c r="M19" s="131">
        <v>848710</v>
      </c>
      <c r="N19" s="131">
        <v>6091.36</v>
      </c>
      <c r="R19" s="131">
        <v>678000</v>
      </c>
      <c r="S19" s="131" t="s">
        <v>290</v>
      </c>
      <c r="T19" s="726" t="s">
        <v>4408</v>
      </c>
      <c r="U19" s="131" t="s">
        <v>1811</v>
      </c>
      <c r="V19" s="131">
        <v>2000</v>
      </c>
      <c r="W19" s="131" t="s">
        <v>2944</v>
      </c>
      <c r="X19" s="131">
        <v>8000</v>
      </c>
      <c r="Y19" s="131" t="s">
        <v>2990</v>
      </c>
      <c r="Z19" s="131">
        <v>96710</v>
      </c>
      <c r="AA19" s="131" t="s">
        <v>3465</v>
      </c>
      <c r="AB19" s="131">
        <v>64000</v>
      </c>
      <c r="AC19" s="131" t="s">
        <v>823</v>
      </c>
      <c r="AD19" s="131">
        <v>678000</v>
      </c>
      <c r="AE19" s="131" t="s">
        <v>290</v>
      </c>
      <c r="AH19" s="131">
        <f t="shared" si="2"/>
        <v>848710</v>
      </c>
      <c r="AK19" s="131">
        <f t="shared" si="3"/>
        <v>0</v>
      </c>
      <c r="AL19" s="131">
        <v>18893377659</v>
      </c>
      <c r="AO19" s="131">
        <f t="shared" si="4"/>
        <v>170710</v>
      </c>
      <c r="AP19" s="163">
        <f>0.5%+0.02%+0.08%</f>
        <v>0.006</v>
      </c>
      <c r="AT19" s="131">
        <v>170710</v>
      </c>
      <c r="AY19" s="131" t="s">
        <v>205</v>
      </c>
    </row>
    <row r="20" s="131" customFormat="1" customHeight="1" spans="1:51">
      <c r="A20" s="131">
        <v>17</v>
      </c>
      <c r="C20" s="143">
        <v>45540</v>
      </c>
      <c r="D20" s="131">
        <v>20240005098</v>
      </c>
      <c r="F20" s="726" t="s">
        <v>4409</v>
      </c>
      <c r="G20" s="131" t="s">
        <v>4410</v>
      </c>
      <c r="H20" s="726" t="s">
        <v>4411</v>
      </c>
      <c r="I20" s="152" t="s">
        <v>4412</v>
      </c>
      <c r="J20" s="146">
        <v>148.64</v>
      </c>
      <c r="K20" s="131">
        <v>148.64</v>
      </c>
      <c r="L20" s="131">
        <f>M20/K20</f>
        <v>5920.34445640474</v>
      </c>
      <c r="M20" s="131">
        <v>880000</v>
      </c>
      <c r="N20" s="131">
        <v>5920.345</v>
      </c>
      <c r="R20" s="131">
        <v>682000</v>
      </c>
      <c r="S20" s="143" t="s">
        <v>290</v>
      </c>
      <c r="U20" s="131" t="s">
        <v>1811</v>
      </c>
      <c r="V20" s="131">
        <v>20000</v>
      </c>
      <c r="W20" s="131" t="s">
        <v>553</v>
      </c>
      <c r="X20" s="131">
        <v>178000</v>
      </c>
      <c r="Y20" s="143">
        <v>45540</v>
      </c>
      <c r="Z20" s="131">
        <v>682000</v>
      </c>
      <c r="AA20" s="143" t="s">
        <v>290</v>
      </c>
      <c r="AH20" s="131">
        <f t="shared" si="2"/>
        <v>880000</v>
      </c>
      <c r="AK20" s="131">
        <f t="shared" si="3"/>
        <v>0</v>
      </c>
      <c r="AL20" s="131">
        <v>13119023002</v>
      </c>
      <c r="AM20" s="131" t="s">
        <v>4413</v>
      </c>
      <c r="AO20" s="131">
        <f t="shared" si="4"/>
        <v>198000</v>
      </c>
      <c r="AP20" s="131">
        <f>0.4%+0.02%+0.08%</f>
        <v>0.005</v>
      </c>
      <c r="AU20" s="131">
        <v>198000</v>
      </c>
      <c r="AW20" s="131">
        <f>AP20*AU20</f>
        <v>990</v>
      </c>
      <c r="AY20" s="131" t="s">
        <v>205</v>
      </c>
    </row>
    <row r="21" s="131" customFormat="1" customHeight="1" spans="1:52">
      <c r="A21" s="131">
        <v>18</v>
      </c>
      <c r="C21" s="143">
        <v>45428</v>
      </c>
      <c r="D21" s="131">
        <v>20240002913</v>
      </c>
      <c r="F21" s="726" t="s">
        <v>4414</v>
      </c>
      <c r="G21" s="131" t="s">
        <v>4415</v>
      </c>
      <c r="H21" s="726" t="s">
        <v>4416</v>
      </c>
      <c r="I21" s="145" t="s">
        <v>4417</v>
      </c>
      <c r="J21" s="146">
        <v>139.33</v>
      </c>
      <c r="K21" s="131">
        <v>139.33</v>
      </c>
      <c r="L21" s="131">
        <v>6120.28</v>
      </c>
      <c r="M21" s="131">
        <v>852739</v>
      </c>
      <c r="N21" s="131">
        <v>6120.28</v>
      </c>
      <c r="S21" s="143"/>
      <c r="T21" s="726" t="s">
        <v>4418</v>
      </c>
      <c r="U21" s="131" t="s">
        <v>217</v>
      </c>
      <c r="V21" s="131">
        <v>2000</v>
      </c>
      <c r="W21" s="131" t="s">
        <v>3282</v>
      </c>
      <c r="X21" s="131">
        <v>18000</v>
      </c>
      <c r="Y21" s="131" t="s">
        <v>3343</v>
      </c>
      <c r="Z21" s="131">
        <f>2739+120000</f>
        <v>122739</v>
      </c>
      <c r="AA21" s="143">
        <v>45428</v>
      </c>
      <c r="AB21" s="131">
        <v>510000</v>
      </c>
      <c r="AC21" s="143" t="s">
        <v>3039</v>
      </c>
      <c r="AD21" s="131">
        <v>200000</v>
      </c>
      <c r="AE21" s="143" t="s">
        <v>559</v>
      </c>
      <c r="AH21" s="131">
        <f t="shared" si="2"/>
        <v>852739</v>
      </c>
      <c r="AK21" s="131">
        <f t="shared" si="3"/>
        <v>0</v>
      </c>
      <c r="AL21" s="131">
        <v>17699690006</v>
      </c>
      <c r="AO21" s="131">
        <f t="shared" si="4"/>
        <v>852739</v>
      </c>
      <c r="AP21" s="163">
        <f>0.7%+0.03%+0.12%</f>
        <v>0.0085</v>
      </c>
      <c r="AR21" s="131">
        <v>652739</v>
      </c>
      <c r="AS21" s="131">
        <v>200000</v>
      </c>
      <c r="AY21" s="131" t="s">
        <v>205</v>
      </c>
      <c r="AZ21" s="131" t="s">
        <v>206</v>
      </c>
    </row>
    <row r="22" s="131" customFormat="1" customHeight="1" spans="1:47">
      <c r="A22" s="131">
        <v>19</v>
      </c>
      <c r="B22" s="131"/>
      <c r="C22" s="131" t="s">
        <v>375</v>
      </c>
      <c r="D22" s="131">
        <v>20240005780</v>
      </c>
      <c r="F22" s="726" t="s">
        <v>4419</v>
      </c>
      <c r="G22" s="131" t="s">
        <v>4420</v>
      </c>
      <c r="H22" s="726" t="s">
        <v>4421</v>
      </c>
      <c r="I22" s="152" t="s">
        <v>4422</v>
      </c>
      <c r="J22" s="146">
        <v>148.64</v>
      </c>
      <c r="K22" s="131">
        <v>148.64</v>
      </c>
      <c r="L22" s="131">
        <v>5747.09</v>
      </c>
      <c r="M22" s="131">
        <v>854247</v>
      </c>
      <c r="N22" s="131">
        <v>6127.09</v>
      </c>
      <c r="O22" s="131" t="s">
        <v>195</v>
      </c>
      <c r="R22" s="131">
        <v>334247</v>
      </c>
      <c r="S22" s="143" t="s">
        <v>375</v>
      </c>
      <c r="U22" s="131" t="s">
        <v>529</v>
      </c>
      <c r="V22" s="131">
        <v>20000</v>
      </c>
      <c r="W22" s="143">
        <v>45543</v>
      </c>
      <c r="X22" s="131">
        <v>334247</v>
      </c>
      <c r="Y22" s="143" t="s">
        <v>375</v>
      </c>
      <c r="AH22" s="131">
        <f t="shared" ref="AH22:AH69" si="5">V22+X22+Z22+AB22+AD22+AF22</f>
        <v>354247</v>
      </c>
      <c r="AK22" s="131">
        <f t="shared" si="3"/>
        <v>500000</v>
      </c>
      <c r="AL22" s="131">
        <v>18999002531</v>
      </c>
      <c r="AM22" s="131" t="s">
        <v>2860</v>
      </c>
      <c r="AO22" s="131">
        <f t="shared" si="4"/>
        <v>0</v>
      </c>
      <c r="AP22" s="163">
        <f>0.5%+0.1%</f>
        <v>0.006</v>
      </c>
      <c r="AT22" s="58"/>
      <c r="AU22" s="58"/>
    </row>
    <row r="23" s="131" customFormat="1" customHeight="1" spans="1:52">
      <c r="A23" s="131">
        <v>20</v>
      </c>
      <c r="C23" s="143">
        <v>45477</v>
      </c>
      <c r="D23" s="131">
        <v>20240003839</v>
      </c>
      <c r="F23" s="726" t="s">
        <v>4423</v>
      </c>
      <c r="G23" s="144" t="s">
        <v>4424</v>
      </c>
      <c r="H23" s="726" t="s">
        <v>4425</v>
      </c>
      <c r="I23" s="145" t="s">
        <v>4426</v>
      </c>
      <c r="J23" s="146">
        <v>139.33</v>
      </c>
      <c r="K23" s="131">
        <v>139.33</v>
      </c>
      <c r="L23" s="131">
        <f>M23/K23</f>
        <v>6142.02253642432</v>
      </c>
      <c r="M23" s="131">
        <v>855768</v>
      </c>
      <c r="N23" s="131">
        <v>6142.02</v>
      </c>
      <c r="T23" s="726" t="s">
        <v>4427</v>
      </c>
      <c r="U23" s="144" t="s">
        <v>411</v>
      </c>
      <c r="V23" s="131"/>
      <c r="W23" s="131"/>
      <c r="X23" s="131">
        <v>20000</v>
      </c>
      <c r="Y23" s="131" t="s">
        <v>498</v>
      </c>
      <c r="Z23" s="131">
        <f>135768+50000</f>
        <v>185768</v>
      </c>
      <c r="AA23" s="131" t="s">
        <v>4386</v>
      </c>
      <c r="AB23" s="131">
        <v>650000</v>
      </c>
      <c r="AC23" s="131" t="s">
        <v>3070</v>
      </c>
      <c r="AH23" s="131">
        <f t="shared" si="5"/>
        <v>855768</v>
      </c>
      <c r="AK23" s="131">
        <f t="shared" si="3"/>
        <v>0</v>
      </c>
      <c r="AL23" s="131">
        <v>18799806032</v>
      </c>
      <c r="AO23" s="131">
        <f t="shared" si="4"/>
        <v>855768</v>
      </c>
      <c r="AP23" s="161">
        <f>0.7%+0.12%</f>
        <v>0.0082</v>
      </c>
      <c r="AS23" s="131">
        <v>855768</v>
      </c>
      <c r="AY23" s="131" t="s">
        <v>205</v>
      </c>
      <c r="AZ23" s="131" t="s">
        <v>206</v>
      </c>
    </row>
    <row r="24" s="58" customFormat="1" customHeight="1" spans="1:41">
      <c r="A24" s="58">
        <v>21</v>
      </c>
      <c r="I24" s="154" t="s">
        <v>4428</v>
      </c>
      <c r="J24" s="151">
        <v>148.64</v>
      </c>
      <c r="N24" s="58">
        <v>7167.6</v>
      </c>
      <c r="AH24" s="58">
        <f t="shared" si="5"/>
        <v>0</v>
      </c>
      <c r="AO24" s="58">
        <f t="shared" ref="AO24:AO35" si="6">SUM(AQ24:AV24)</f>
        <v>0</v>
      </c>
    </row>
    <row r="25" s="58" customFormat="1" customHeight="1" spans="1:41">
      <c r="A25" s="58">
        <v>22</v>
      </c>
      <c r="I25" s="150" t="s">
        <v>4429</v>
      </c>
      <c r="J25" s="151">
        <v>139.33</v>
      </c>
      <c r="N25" s="58">
        <v>7151.6</v>
      </c>
      <c r="AH25" s="58">
        <f t="shared" si="5"/>
        <v>0</v>
      </c>
      <c r="AO25" s="58">
        <f t="shared" si="6"/>
        <v>0</v>
      </c>
    </row>
    <row r="26" s="58" customFormat="1" customHeight="1" spans="1:41">
      <c r="A26" s="58">
        <v>23</v>
      </c>
      <c r="I26" s="154" t="s">
        <v>4430</v>
      </c>
      <c r="J26" s="151">
        <v>101.56</v>
      </c>
      <c r="N26" s="58">
        <v>8254.6</v>
      </c>
      <c r="AH26" s="58">
        <f t="shared" si="5"/>
        <v>0</v>
      </c>
      <c r="AO26" s="58">
        <f t="shared" si="6"/>
        <v>0</v>
      </c>
    </row>
    <row r="27" s="131" customFormat="1" ht="39" customHeight="1" spans="1:42">
      <c r="A27" s="131">
        <v>24</v>
      </c>
      <c r="B27" s="131"/>
      <c r="C27" s="131" t="s">
        <v>4431</v>
      </c>
      <c r="D27" s="131">
        <v>20240006475</v>
      </c>
      <c r="F27" s="144" t="s">
        <v>4432</v>
      </c>
      <c r="G27" s="144" t="s">
        <v>4433</v>
      </c>
      <c r="H27" s="726" t="s">
        <v>4434</v>
      </c>
      <c r="I27" s="145" t="s">
        <v>4435</v>
      </c>
      <c r="J27" s="146">
        <v>119.74</v>
      </c>
      <c r="K27" s="131">
        <v>119.74</v>
      </c>
      <c r="L27" s="131">
        <v>8267.91</v>
      </c>
      <c r="M27" s="131">
        <v>972289</v>
      </c>
      <c r="N27" s="131">
        <v>8235.6</v>
      </c>
      <c r="S27" s="143"/>
      <c r="U27" s="131" t="s">
        <v>408</v>
      </c>
      <c r="V27" s="131">
        <v>20000</v>
      </c>
      <c r="W27" s="143">
        <v>45561</v>
      </c>
      <c r="AH27" s="131">
        <f t="shared" si="5"/>
        <v>20000</v>
      </c>
      <c r="AK27" s="131">
        <f>M27-AH27</f>
        <v>952289</v>
      </c>
      <c r="AL27" s="131">
        <v>13899071228</v>
      </c>
      <c r="AO27" s="131">
        <f t="shared" si="6"/>
        <v>0</v>
      </c>
      <c r="AP27" s="161">
        <f>0.7%+0.05%+0.1%</f>
        <v>0.0085</v>
      </c>
    </row>
    <row r="28" s="58" customFormat="1" customHeight="1" spans="1:41">
      <c r="A28" s="58">
        <v>25</v>
      </c>
      <c r="I28" s="154" t="s">
        <v>4436</v>
      </c>
      <c r="J28" s="151">
        <v>117.84</v>
      </c>
      <c r="N28" s="58">
        <v>5778.23</v>
      </c>
      <c r="AH28" s="58">
        <f t="shared" si="5"/>
        <v>0</v>
      </c>
      <c r="AO28" s="58">
        <f t="shared" si="6"/>
        <v>0</v>
      </c>
    </row>
    <row r="29" s="58" customFormat="1" customHeight="1" spans="1:41">
      <c r="A29" s="58">
        <v>26</v>
      </c>
      <c r="I29" s="150" t="s">
        <v>4437</v>
      </c>
      <c r="J29" s="151">
        <v>117.84</v>
      </c>
      <c r="N29" s="58">
        <v>5759.23</v>
      </c>
      <c r="AH29" s="58">
        <f t="shared" si="5"/>
        <v>0</v>
      </c>
      <c r="AO29" s="58">
        <f t="shared" si="6"/>
        <v>0</v>
      </c>
    </row>
    <row r="30" s="131" customFormat="1" customHeight="1" spans="1:47">
      <c r="A30" s="131">
        <v>27</v>
      </c>
      <c r="B30" s="131"/>
      <c r="F30" s="726" t="s">
        <v>4438</v>
      </c>
      <c r="G30" s="131" t="s">
        <v>4439</v>
      </c>
      <c r="H30" s="726" t="s">
        <v>4440</v>
      </c>
      <c r="I30" s="152" t="s">
        <v>4441</v>
      </c>
      <c r="J30" s="146">
        <v>117.84</v>
      </c>
      <c r="K30" s="131">
        <v>117.84</v>
      </c>
      <c r="L30" s="131">
        <v>5685.68</v>
      </c>
      <c r="M30" s="131">
        <v>670000</v>
      </c>
      <c r="N30" s="131">
        <v>5685.675</v>
      </c>
      <c r="O30" s="131"/>
      <c r="S30" s="143"/>
      <c r="U30" s="131" t="s">
        <v>217</v>
      </c>
      <c r="V30" s="131">
        <v>20000</v>
      </c>
      <c r="W30" s="143">
        <v>45543</v>
      </c>
      <c r="AH30" s="131">
        <f t="shared" si="5"/>
        <v>20000</v>
      </c>
      <c r="AK30" s="131">
        <f t="shared" ref="AK30:AK33" si="7">M30-AH30</f>
        <v>650000</v>
      </c>
      <c r="AL30" s="131">
        <v>15352763799</v>
      </c>
      <c r="AO30" s="131">
        <f t="shared" si="6"/>
        <v>0</v>
      </c>
      <c r="AP30" s="163">
        <f>0.4%+0.02%+0.1%</f>
        <v>0.0052</v>
      </c>
      <c r="AT30" s="58"/>
      <c r="AU30" s="58"/>
    </row>
    <row r="31" s="131" customFormat="1" customHeight="1" spans="1:47">
      <c r="A31" s="131">
        <v>28</v>
      </c>
      <c r="B31" s="131"/>
      <c r="C31" s="131" t="s">
        <v>98</v>
      </c>
      <c r="D31" s="131">
        <v>20240005587</v>
      </c>
      <c r="F31" s="726" t="s">
        <v>4442</v>
      </c>
      <c r="G31" s="131" t="s">
        <v>4443</v>
      </c>
      <c r="I31" s="152" t="s">
        <v>4444</v>
      </c>
      <c r="J31" s="146">
        <v>117.84</v>
      </c>
      <c r="K31" s="131">
        <v>117.84</v>
      </c>
      <c r="L31" s="131">
        <v>5600.81</v>
      </c>
      <c r="M31" s="131">
        <v>660000</v>
      </c>
      <c r="N31" s="131">
        <v>5600.816</v>
      </c>
      <c r="O31" s="131"/>
      <c r="R31" s="131">
        <v>130000</v>
      </c>
      <c r="S31" s="143" t="s">
        <v>98</v>
      </c>
      <c r="U31" s="131" t="s">
        <v>1811</v>
      </c>
      <c r="V31" s="131">
        <v>10000</v>
      </c>
      <c r="W31" s="143">
        <v>45542</v>
      </c>
      <c r="X31" s="131">
        <v>130000</v>
      </c>
      <c r="Y31" s="143" t="s">
        <v>98</v>
      </c>
      <c r="AH31" s="131">
        <f t="shared" si="5"/>
        <v>140000</v>
      </c>
      <c r="AK31" s="131">
        <f t="shared" si="7"/>
        <v>520000</v>
      </c>
      <c r="AL31" s="131">
        <v>18997601601</v>
      </c>
      <c r="AM31" s="131" t="s">
        <v>4445</v>
      </c>
      <c r="AO31" s="131">
        <f t="shared" si="6"/>
        <v>0</v>
      </c>
      <c r="AP31" s="163">
        <f>0.4%+0.02%+0.1%</f>
        <v>0.0052</v>
      </c>
      <c r="AT31" s="58"/>
      <c r="AU31" s="58"/>
    </row>
    <row r="32" s="58" customFormat="1" customHeight="1" spans="1:41">
      <c r="A32" s="58">
        <v>29</v>
      </c>
      <c r="I32" s="154" t="s">
        <v>4446</v>
      </c>
      <c r="J32" s="151">
        <v>117.84</v>
      </c>
      <c r="N32" s="58">
        <v>5865.49</v>
      </c>
      <c r="AH32" s="58">
        <f t="shared" si="5"/>
        <v>0</v>
      </c>
      <c r="AO32" s="58">
        <f t="shared" si="6"/>
        <v>0</v>
      </c>
    </row>
    <row r="33" s="131" customFormat="1" customHeight="1" spans="1:41">
      <c r="A33" s="131">
        <v>30</v>
      </c>
      <c r="B33" s="131">
        <v>1</v>
      </c>
      <c r="G33" s="131" t="s">
        <v>4447</v>
      </c>
      <c r="I33" s="145" t="s">
        <v>4448</v>
      </c>
      <c r="J33" s="146">
        <v>117.84</v>
      </c>
      <c r="K33" s="131">
        <v>117.84</v>
      </c>
      <c r="N33" s="131">
        <v>5846.49</v>
      </c>
      <c r="R33" s="131">
        <v>20000</v>
      </c>
      <c r="S33" s="131" t="s">
        <v>4449</v>
      </c>
      <c r="V33" s="131">
        <v>20000</v>
      </c>
      <c r="W33" s="131" t="s">
        <v>4449</v>
      </c>
      <c r="AH33" s="131">
        <f t="shared" si="5"/>
        <v>20000</v>
      </c>
      <c r="AK33" s="131">
        <f t="shared" si="7"/>
        <v>-20000</v>
      </c>
      <c r="AO33" s="131">
        <f t="shared" si="6"/>
        <v>0</v>
      </c>
    </row>
    <row r="34" s="131" customFormat="1" customHeight="1" spans="1:52">
      <c r="A34" s="131">
        <v>31</v>
      </c>
      <c r="C34" s="143">
        <v>45414</v>
      </c>
      <c r="D34" s="131">
        <v>20240002496</v>
      </c>
      <c r="F34" s="726" t="s">
        <v>4450</v>
      </c>
      <c r="G34" s="131" t="s">
        <v>4451</v>
      </c>
      <c r="H34" s="726" t="s">
        <v>4452</v>
      </c>
      <c r="I34" s="145" t="s">
        <v>4453</v>
      </c>
      <c r="J34" s="146">
        <v>117.84</v>
      </c>
      <c r="K34" s="131">
        <v>117.84</v>
      </c>
      <c r="L34" s="131">
        <v>5939.84</v>
      </c>
      <c r="M34" s="131">
        <v>699951</v>
      </c>
      <c r="N34" s="131">
        <v>5939.84</v>
      </c>
      <c r="U34" s="131" t="s">
        <v>217</v>
      </c>
      <c r="V34" s="158">
        <v>20000</v>
      </c>
      <c r="W34" s="159" t="s">
        <v>3140</v>
      </c>
      <c r="X34" s="131">
        <v>76951</v>
      </c>
      <c r="Y34" s="131" t="s">
        <v>2990</v>
      </c>
      <c r="Z34" s="131">
        <v>53000</v>
      </c>
      <c r="AA34" s="131" t="s">
        <v>524</v>
      </c>
      <c r="AB34" s="131">
        <v>550000</v>
      </c>
      <c r="AC34" s="131" t="s">
        <v>3820</v>
      </c>
      <c r="AH34" s="131">
        <f t="shared" si="5"/>
        <v>699951</v>
      </c>
      <c r="AK34" s="131">
        <f t="shared" ref="AK34:AK43" si="8">M34-AH34</f>
        <v>0</v>
      </c>
      <c r="AL34" s="131">
        <v>15276466926</v>
      </c>
      <c r="AO34" s="131">
        <f t="shared" si="6"/>
        <v>699951</v>
      </c>
      <c r="AP34" s="163">
        <f>0.7%+0.03%+0.12%</f>
        <v>0.0085</v>
      </c>
      <c r="AR34" s="131">
        <v>149951</v>
      </c>
      <c r="AS34" s="131">
        <v>550000</v>
      </c>
      <c r="AY34" s="131" t="s">
        <v>205</v>
      </c>
      <c r="AZ34" s="131" t="s">
        <v>206</v>
      </c>
    </row>
    <row r="35" s="131" customFormat="1" customHeight="1" spans="1:52">
      <c r="A35" s="131">
        <v>32</v>
      </c>
      <c r="C35" s="143">
        <v>45415</v>
      </c>
      <c r="D35" s="131">
        <v>20240002507</v>
      </c>
      <c r="F35" s="726" t="s">
        <v>4454</v>
      </c>
      <c r="G35" s="131" t="s">
        <v>4455</v>
      </c>
      <c r="H35" s="726" t="s">
        <v>4456</v>
      </c>
      <c r="I35" s="152" t="s">
        <v>4457</v>
      </c>
      <c r="J35" s="146">
        <v>117.84</v>
      </c>
      <c r="K35" s="131">
        <v>117.84</v>
      </c>
      <c r="L35" s="131">
        <v>5920.84</v>
      </c>
      <c r="M35" s="131">
        <v>697712</v>
      </c>
      <c r="N35" s="131">
        <v>5920.84</v>
      </c>
      <c r="R35" s="131">
        <v>558000</v>
      </c>
      <c r="S35" s="131" t="s">
        <v>4458</v>
      </c>
      <c r="T35" s="726" t="s">
        <v>3922</v>
      </c>
      <c r="U35" s="131" t="s">
        <v>529</v>
      </c>
      <c r="V35" s="131">
        <v>2000</v>
      </c>
      <c r="W35" s="131" t="s">
        <v>203</v>
      </c>
      <c r="X35" s="131">
        <v>18000</v>
      </c>
      <c r="Y35" s="131" t="s">
        <v>3343</v>
      </c>
      <c r="Z35" s="131">
        <v>119712</v>
      </c>
      <c r="AA35" s="131" t="s">
        <v>691</v>
      </c>
      <c r="AB35" s="131">
        <v>558000</v>
      </c>
      <c r="AC35" s="131" t="s">
        <v>4458</v>
      </c>
      <c r="AH35" s="131">
        <f t="shared" si="5"/>
        <v>697712</v>
      </c>
      <c r="AK35" s="131">
        <f t="shared" si="8"/>
        <v>0</v>
      </c>
      <c r="AL35" s="131">
        <v>18193556127</v>
      </c>
      <c r="AO35" s="131">
        <f t="shared" si="6"/>
        <v>139712</v>
      </c>
      <c r="AP35" s="163">
        <f>0.4%+0.12%</f>
        <v>0.0052</v>
      </c>
      <c r="AQ35" s="131">
        <v>139712</v>
      </c>
      <c r="AY35" s="131" t="s">
        <v>205</v>
      </c>
      <c r="AZ35" s="131" t="s">
        <v>206</v>
      </c>
    </row>
    <row r="36" s="131" customFormat="1" customHeight="1" spans="1:42">
      <c r="A36" s="131">
        <v>33</v>
      </c>
      <c r="G36" s="131" t="s">
        <v>4459</v>
      </c>
      <c r="I36" s="145" t="s">
        <v>4460</v>
      </c>
      <c r="J36" s="146">
        <v>117.84</v>
      </c>
      <c r="K36" s="131">
        <v>117.84</v>
      </c>
      <c r="L36" s="131">
        <f>M36/K36</f>
        <v>5982.6883910387</v>
      </c>
      <c r="M36" s="131">
        <v>705000</v>
      </c>
      <c r="N36" s="131">
        <v>5982.69</v>
      </c>
      <c r="S36" s="143"/>
      <c r="U36" s="131" t="s">
        <v>226</v>
      </c>
      <c r="V36" s="131">
        <v>2000</v>
      </c>
      <c r="W36" s="131" t="s">
        <v>3608</v>
      </c>
      <c r="X36" s="131">
        <v>18000</v>
      </c>
      <c r="Y36" s="131" t="s">
        <v>3343</v>
      </c>
      <c r="Z36" s="131">
        <v>335000</v>
      </c>
      <c r="AA36" s="131" t="s">
        <v>517</v>
      </c>
      <c r="AB36" s="131">
        <v>50000</v>
      </c>
      <c r="AC36" s="131" t="s">
        <v>499</v>
      </c>
      <c r="AD36" s="131">
        <v>50000</v>
      </c>
      <c r="AE36" s="131" t="s">
        <v>4071</v>
      </c>
      <c r="AF36" s="131">
        <v>50000</v>
      </c>
      <c r="AG36" s="143">
        <v>45545</v>
      </c>
      <c r="AH36" s="131">
        <f t="shared" si="5"/>
        <v>505000</v>
      </c>
      <c r="AK36" s="131">
        <f t="shared" si="8"/>
        <v>200000</v>
      </c>
      <c r="AL36" s="131">
        <v>15099978299</v>
      </c>
      <c r="AO36" s="131">
        <f>SUM(AQ36:AX36)</f>
        <v>0</v>
      </c>
      <c r="AP36" s="163">
        <f>0.7%+0.12%</f>
        <v>0.0082</v>
      </c>
    </row>
    <row r="37" s="131" customFormat="1" customHeight="1" spans="1:49">
      <c r="A37" s="131">
        <v>34</v>
      </c>
      <c r="C37" s="143">
        <v>45539</v>
      </c>
      <c r="D37" s="131">
        <v>20240005079</v>
      </c>
      <c r="F37" s="726" t="s">
        <v>4461</v>
      </c>
      <c r="G37" s="131" t="s">
        <v>4462</v>
      </c>
      <c r="H37" s="726" t="s">
        <v>4411</v>
      </c>
      <c r="I37" s="152" t="s">
        <v>4463</v>
      </c>
      <c r="J37" s="155">
        <v>117.84</v>
      </c>
      <c r="K37" s="131">
        <v>117.84</v>
      </c>
      <c r="L37" s="131">
        <f>M37/K37</f>
        <v>5689.75729803123</v>
      </c>
      <c r="M37" s="131">
        <v>670481</v>
      </c>
      <c r="N37" s="131">
        <v>5689.76</v>
      </c>
      <c r="S37" s="143"/>
      <c r="U37" s="131" t="s">
        <v>196</v>
      </c>
      <c r="V37" s="131">
        <v>20000</v>
      </c>
      <c r="W37" s="131" t="s">
        <v>4464</v>
      </c>
      <c r="X37" s="131">
        <v>80000</v>
      </c>
      <c r="Y37" s="131" t="s">
        <v>823</v>
      </c>
      <c r="Z37" s="131">
        <v>40481</v>
      </c>
      <c r="AA37" s="143">
        <v>45539</v>
      </c>
      <c r="AH37" s="131">
        <f t="shared" si="5"/>
        <v>140481</v>
      </c>
      <c r="AK37" s="131">
        <f t="shared" si="8"/>
        <v>530000</v>
      </c>
      <c r="AL37" s="131">
        <v>17393381950</v>
      </c>
      <c r="AM37" s="131" t="s">
        <v>4465</v>
      </c>
      <c r="AO37" s="131">
        <f>SUM(AQ37:AX37)</f>
        <v>141631.936</v>
      </c>
      <c r="AP37" s="164">
        <f>0.7%+0.04%+0.08%</f>
        <v>0.0082</v>
      </c>
      <c r="AU37" s="131">
        <v>140480</v>
      </c>
      <c r="AW37" s="131">
        <f>AP37*AU37</f>
        <v>1151.936</v>
      </c>
    </row>
    <row r="38" s="131" customFormat="1" customHeight="1" spans="1:42">
      <c r="A38" s="131">
        <v>35</v>
      </c>
      <c r="C38" s="131" t="s">
        <v>113</v>
      </c>
      <c r="D38" s="131">
        <v>20240005742</v>
      </c>
      <c r="F38" s="726" t="s">
        <v>4466</v>
      </c>
      <c r="G38" s="131" t="s">
        <v>4467</v>
      </c>
      <c r="I38" s="145" t="s">
        <v>4468</v>
      </c>
      <c r="J38" s="146">
        <v>117.84</v>
      </c>
      <c r="K38" s="131">
        <v>117.84</v>
      </c>
      <c r="L38" s="131">
        <v>5770.54</v>
      </c>
      <c r="M38" s="131">
        <v>680000</v>
      </c>
      <c r="N38" s="131">
        <v>6057.67</v>
      </c>
      <c r="O38" s="131" t="s">
        <v>195</v>
      </c>
      <c r="P38" s="131"/>
      <c r="R38" s="131">
        <v>660000</v>
      </c>
      <c r="S38" s="131" t="s">
        <v>113</v>
      </c>
      <c r="U38" s="131" t="s">
        <v>226</v>
      </c>
      <c r="V38" s="131">
        <v>20000</v>
      </c>
      <c r="W38" s="131" t="s">
        <v>768</v>
      </c>
      <c r="X38" s="131">
        <v>660000</v>
      </c>
      <c r="Y38" s="131" t="s">
        <v>113</v>
      </c>
      <c r="AH38" s="131">
        <f t="shared" si="5"/>
        <v>680000</v>
      </c>
      <c r="AK38" s="131">
        <f t="shared" si="8"/>
        <v>0</v>
      </c>
      <c r="AL38" s="131">
        <v>18999006655</v>
      </c>
      <c r="AO38" s="131">
        <f>SUM(AQ38:AV38)</f>
        <v>0</v>
      </c>
      <c r="AP38" s="162">
        <f>0.7%+0.08%</f>
        <v>0.0078</v>
      </c>
    </row>
    <row r="39" s="131" customFormat="1" customHeight="1" spans="1:42">
      <c r="A39" s="131">
        <v>36</v>
      </c>
      <c r="F39" s="726" t="s">
        <v>4469</v>
      </c>
      <c r="G39" s="131" t="s">
        <v>4470</v>
      </c>
      <c r="H39" s="726" t="s">
        <v>4471</v>
      </c>
      <c r="I39" s="152" t="s">
        <v>4472</v>
      </c>
      <c r="J39" s="146">
        <v>117.84</v>
      </c>
      <c r="K39" s="131">
        <v>117.84</v>
      </c>
      <c r="L39" s="156">
        <f>M39/K39</f>
        <v>5855.39714867617</v>
      </c>
      <c r="M39" s="131">
        <v>690000</v>
      </c>
      <c r="N39" s="131">
        <v>5855.4</v>
      </c>
      <c r="S39" s="143"/>
      <c r="U39" s="131" t="s">
        <v>1811</v>
      </c>
      <c r="V39" s="131">
        <v>24000</v>
      </c>
      <c r="W39" s="131" t="s">
        <v>3141</v>
      </c>
      <c r="X39" s="131">
        <v>36000</v>
      </c>
      <c r="Y39" s="131" t="s">
        <v>4377</v>
      </c>
      <c r="Z39" s="131">
        <v>580000</v>
      </c>
      <c r="AA39" s="143">
        <v>45549</v>
      </c>
      <c r="AH39" s="131">
        <f t="shared" si="5"/>
        <v>640000</v>
      </c>
      <c r="AK39" s="131">
        <f t="shared" si="8"/>
        <v>50000</v>
      </c>
      <c r="AL39" s="131">
        <v>18160282158</v>
      </c>
      <c r="AM39" s="131" t="s">
        <v>4257</v>
      </c>
      <c r="AO39" s="131">
        <f>SUM(AQ39:AX39)</f>
        <v>0</v>
      </c>
      <c r="AP39" s="163">
        <f>0.5%+0.02%+0.08%</f>
        <v>0.006</v>
      </c>
    </row>
    <row r="40" s="131" customFormat="1" customHeight="1" spans="1:51">
      <c r="A40" s="131">
        <v>37</v>
      </c>
      <c r="C40" s="143">
        <v>45511</v>
      </c>
      <c r="D40" s="131">
        <v>20240004552</v>
      </c>
      <c r="F40" s="131" t="s">
        <v>4473</v>
      </c>
      <c r="G40" s="131" t="s">
        <v>4474</v>
      </c>
      <c r="H40" s="726" t="s">
        <v>4475</v>
      </c>
      <c r="I40" s="145" t="s">
        <v>4476</v>
      </c>
      <c r="J40" s="146">
        <v>117.84</v>
      </c>
      <c r="K40" s="131">
        <v>117.84</v>
      </c>
      <c r="L40" s="131">
        <f>M40/K40</f>
        <v>5984.83536999321</v>
      </c>
      <c r="M40" s="131">
        <v>705253</v>
      </c>
      <c r="N40" s="131">
        <v>5984.835</v>
      </c>
      <c r="S40" s="143"/>
      <c r="U40" s="131" t="s">
        <v>291</v>
      </c>
      <c r="V40" s="131">
        <v>20000</v>
      </c>
      <c r="W40" s="131" t="s">
        <v>3466</v>
      </c>
      <c r="X40" s="131">
        <v>285253</v>
      </c>
      <c r="Y40" s="131" t="s">
        <v>4477</v>
      </c>
      <c r="Z40" s="131">
        <v>400000</v>
      </c>
      <c r="AA40" s="143">
        <v>45549</v>
      </c>
      <c r="AH40" s="131">
        <f t="shared" si="5"/>
        <v>705253</v>
      </c>
      <c r="AK40" s="131">
        <f t="shared" si="8"/>
        <v>0</v>
      </c>
      <c r="AL40" s="131">
        <v>17361568014</v>
      </c>
      <c r="AM40" s="131" t="s">
        <v>3593</v>
      </c>
      <c r="AO40" s="131">
        <f>SUM(AQ40:AV40)</f>
        <v>705253</v>
      </c>
      <c r="AP40" s="162">
        <f>0.7%+0.02%+0.08%</f>
        <v>0.008</v>
      </c>
      <c r="AT40" s="131">
        <v>305253</v>
      </c>
      <c r="AU40" s="131">
        <v>400000</v>
      </c>
      <c r="AW40" s="131">
        <f>AP40*AU40</f>
        <v>3200</v>
      </c>
      <c r="AY40" s="131" t="s">
        <v>205</v>
      </c>
    </row>
    <row r="41" s="131" customFormat="1" customHeight="1" spans="1:52">
      <c r="A41" s="131">
        <v>38</v>
      </c>
      <c r="C41" s="143">
        <v>45477</v>
      </c>
      <c r="D41" s="131">
        <v>20240003855</v>
      </c>
      <c r="F41" s="726" t="s">
        <v>4478</v>
      </c>
      <c r="G41" s="131" t="s">
        <v>4479</v>
      </c>
      <c r="H41" s="726" t="s">
        <v>4480</v>
      </c>
      <c r="I41" s="152" t="s">
        <v>4481</v>
      </c>
      <c r="J41" s="146">
        <v>117.84</v>
      </c>
      <c r="K41" s="131">
        <v>117.84</v>
      </c>
      <c r="L41" s="131">
        <v>5900</v>
      </c>
      <c r="M41" s="131">
        <f>L41*K41</f>
        <v>695256</v>
      </c>
      <c r="N41" s="131">
        <v>5900</v>
      </c>
      <c r="U41" s="131" t="s">
        <v>291</v>
      </c>
      <c r="V41" s="131">
        <v>5000</v>
      </c>
      <c r="W41" s="131" t="s">
        <v>2809</v>
      </c>
      <c r="X41" s="131">
        <v>140256</v>
      </c>
      <c r="Y41" s="131" t="s">
        <v>4386</v>
      </c>
      <c r="Z41" s="131">
        <v>550000</v>
      </c>
      <c r="AA41" s="131" t="s">
        <v>3070</v>
      </c>
      <c r="AH41" s="131">
        <f t="shared" si="5"/>
        <v>695256</v>
      </c>
      <c r="AK41" s="131">
        <f t="shared" si="8"/>
        <v>0</v>
      </c>
      <c r="AL41" s="131">
        <v>18709962570</v>
      </c>
      <c r="AM41" s="131" t="s">
        <v>4257</v>
      </c>
      <c r="AO41" s="131">
        <f>SUM(AQ41:AV41)</f>
        <v>695256</v>
      </c>
      <c r="AP41" s="161">
        <f>0.5%+0.02%+0.08%</f>
        <v>0.006</v>
      </c>
      <c r="AS41" s="131">
        <v>695256</v>
      </c>
      <c r="AY41" s="131" t="s">
        <v>205</v>
      </c>
      <c r="AZ41" s="131" t="s">
        <v>206</v>
      </c>
    </row>
    <row r="42" s="131" customFormat="1" customHeight="1" spans="1:47">
      <c r="A42" s="131">
        <v>39</v>
      </c>
      <c r="B42" s="131"/>
      <c r="G42" s="131" t="s">
        <v>4482</v>
      </c>
      <c r="I42" s="145" t="s">
        <v>4483</v>
      </c>
      <c r="J42" s="146">
        <v>117.84</v>
      </c>
      <c r="K42" s="131">
        <v>117.84</v>
      </c>
      <c r="L42" s="131">
        <v>5982.69</v>
      </c>
      <c r="M42" s="131">
        <v>705000</v>
      </c>
      <c r="N42" s="131">
        <v>5982.69</v>
      </c>
      <c r="O42" s="131"/>
      <c r="S42" s="143"/>
      <c r="U42" s="131" t="s">
        <v>211</v>
      </c>
      <c r="V42" s="131">
        <v>150000</v>
      </c>
      <c r="W42" s="143">
        <v>45542</v>
      </c>
      <c r="AH42" s="131">
        <f t="shared" si="5"/>
        <v>150000</v>
      </c>
      <c r="AK42" s="131">
        <f t="shared" si="8"/>
        <v>555000</v>
      </c>
      <c r="AO42" s="131">
        <f t="shared" ref="AO42:AO56" si="9">SUM(AQ42:AV42)</f>
        <v>0</v>
      </c>
      <c r="AP42" s="163">
        <f>0.5%+0.02%+0.1%</f>
        <v>0.0062</v>
      </c>
      <c r="AT42" s="58"/>
      <c r="AU42" s="58"/>
    </row>
    <row r="43" s="131" customFormat="1" customHeight="1" spans="1:47">
      <c r="A43" s="131">
        <v>40</v>
      </c>
      <c r="B43" s="131"/>
      <c r="C43" s="131" t="s">
        <v>98</v>
      </c>
      <c r="D43" s="131">
        <v>20240005482</v>
      </c>
      <c r="F43" s="726" t="s">
        <v>4484</v>
      </c>
      <c r="G43" s="131" t="s">
        <v>4485</v>
      </c>
      <c r="H43" s="726" t="s">
        <v>4486</v>
      </c>
      <c r="I43" s="152" t="s">
        <v>4487</v>
      </c>
      <c r="J43" s="146">
        <v>117.84</v>
      </c>
      <c r="K43" s="131">
        <v>117.84</v>
      </c>
      <c r="L43" s="131">
        <v>5685.67</v>
      </c>
      <c r="M43" s="131">
        <v>670000</v>
      </c>
      <c r="N43" s="131">
        <v>5685.675</v>
      </c>
      <c r="O43" s="131"/>
      <c r="R43" s="131">
        <v>200000</v>
      </c>
      <c r="S43" s="143" t="s">
        <v>303</v>
      </c>
      <c r="U43" s="131" t="s">
        <v>226</v>
      </c>
      <c r="V43" s="131">
        <v>20000</v>
      </c>
      <c r="W43" s="143">
        <v>45543</v>
      </c>
      <c r="X43" s="131">
        <v>450000</v>
      </c>
      <c r="Y43" s="143">
        <v>45552</v>
      </c>
      <c r="Z43" s="131">
        <v>200000</v>
      </c>
      <c r="AA43" s="143" t="s">
        <v>303</v>
      </c>
      <c r="AH43" s="131">
        <f t="shared" si="5"/>
        <v>670000</v>
      </c>
      <c r="AK43" s="131">
        <f t="shared" si="8"/>
        <v>0</v>
      </c>
      <c r="AL43" s="131">
        <v>18299824155</v>
      </c>
      <c r="AO43" s="131">
        <f t="shared" si="9"/>
        <v>0</v>
      </c>
      <c r="AP43" s="161">
        <f>0.7%+0.1%</f>
        <v>0.008</v>
      </c>
      <c r="AT43" s="58"/>
      <c r="AU43" s="58"/>
    </row>
    <row r="44" s="58" customFormat="1" customHeight="1" spans="1:41">
      <c r="A44" s="58">
        <v>41</v>
      </c>
      <c r="I44" s="150" t="s">
        <v>4488</v>
      </c>
      <c r="J44" s="151">
        <v>117.84</v>
      </c>
      <c r="N44" s="58">
        <v>6135.49</v>
      </c>
      <c r="AH44" s="58">
        <f t="shared" si="5"/>
        <v>0</v>
      </c>
      <c r="AO44" s="58">
        <f t="shared" si="9"/>
        <v>0</v>
      </c>
    </row>
    <row r="45" s="58" customFormat="1" customHeight="1" spans="1:41">
      <c r="A45" s="58">
        <v>42</v>
      </c>
      <c r="I45" s="154" t="s">
        <v>4489</v>
      </c>
      <c r="J45" s="151">
        <v>117.84</v>
      </c>
      <c r="N45" s="58">
        <v>6116.49</v>
      </c>
      <c r="AH45" s="58">
        <f t="shared" si="5"/>
        <v>0</v>
      </c>
      <c r="AO45" s="58">
        <f t="shared" si="9"/>
        <v>0</v>
      </c>
    </row>
    <row r="46" s="58" customFormat="1" customHeight="1" spans="1:41">
      <c r="A46" s="58">
        <v>43</v>
      </c>
      <c r="I46" s="157" t="s">
        <v>4490</v>
      </c>
      <c r="J46" s="151">
        <v>117.84</v>
      </c>
      <c r="N46" s="58">
        <v>7141.6</v>
      </c>
      <c r="AH46" s="58">
        <f t="shared" si="5"/>
        <v>0</v>
      </c>
      <c r="AO46" s="58">
        <f t="shared" si="9"/>
        <v>0</v>
      </c>
    </row>
    <row r="47" s="58" customFormat="1" customHeight="1" spans="1:41">
      <c r="A47" s="58">
        <v>44</v>
      </c>
      <c r="I47" s="150" t="s">
        <v>4491</v>
      </c>
      <c r="J47" s="151">
        <v>117.84</v>
      </c>
      <c r="N47" s="58">
        <v>7124.6</v>
      </c>
      <c r="AH47" s="58">
        <f t="shared" si="5"/>
        <v>0</v>
      </c>
      <c r="AO47" s="58">
        <f t="shared" si="9"/>
        <v>0</v>
      </c>
    </row>
    <row r="48" s="58" customFormat="1" customHeight="1" spans="1:41">
      <c r="A48" s="58">
        <v>45</v>
      </c>
      <c r="I48" s="150" t="s">
        <v>4492</v>
      </c>
      <c r="J48" s="151">
        <v>119.74</v>
      </c>
      <c r="N48" s="58">
        <v>8239.6</v>
      </c>
      <c r="AH48" s="58">
        <f t="shared" si="5"/>
        <v>0</v>
      </c>
      <c r="AO48" s="58">
        <f t="shared" si="9"/>
        <v>0</v>
      </c>
    </row>
    <row r="49" s="58" customFormat="1" customHeight="1" spans="1:41">
      <c r="A49" s="58">
        <v>46</v>
      </c>
      <c r="I49" s="154" t="s">
        <v>4493</v>
      </c>
      <c r="J49" s="151">
        <v>101.56</v>
      </c>
      <c r="N49" s="58">
        <v>8220.6</v>
      </c>
      <c r="AH49" s="58">
        <f t="shared" si="5"/>
        <v>0</v>
      </c>
      <c r="AO49" s="58">
        <f t="shared" si="9"/>
        <v>0</v>
      </c>
    </row>
    <row r="50" s="58" customFormat="1" customHeight="1" spans="1:41">
      <c r="A50" s="58">
        <v>47</v>
      </c>
      <c r="I50" s="150" t="s">
        <v>4494</v>
      </c>
      <c r="J50" s="151">
        <v>117.84</v>
      </c>
      <c r="N50" s="58">
        <v>5763.23</v>
      </c>
      <c r="AH50" s="58">
        <f t="shared" si="5"/>
        <v>0</v>
      </c>
      <c r="AO50" s="58">
        <f t="shared" si="9"/>
        <v>0</v>
      </c>
    </row>
    <row r="51" s="58" customFormat="1" customHeight="1" spans="1:41">
      <c r="A51" s="58">
        <v>48</v>
      </c>
      <c r="I51" s="154" t="s">
        <v>4495</v>
      </c>
      <c r="J51" s="151">
        <v>117.84</v>
      </c>
      <c r="N51" s="58">
        <v>5744.23</v>
      </c>
      <c r="AH51" s="58">
        <f t="shared" si="5"/>
        <v>0</v>
      </c>
      <c r="AO51" s="58">
        <f t="shared" si="9"/>
        <v>0</v>
      </c>
    </row>
    <row r="52" s="131" customFormat="1" customHeight="1" spans="1:41">
      <c r="A52" s="131">
        <v>49</v>
      </c>
      <c r="B52" s="131">
        <v>1</v>
      </c>
      <c r="C52" s="131" t="s">
        <v>561</v>
      </c>
      <c r="D52" s="131">
        <v>20240005944</v>
      </c>
      <c r="F52" s="726" t="s">
        <v>4496</v>
      </c>
      <c r="G52" s="131" t="s">
        <v>4497</v>
      </c>
      <c r="H52" s="726" t="s">
        <v>4498</v>
      </c>
      <c r="I52" s="145" t="s">
        <v>4499</v>
      </c>
      <c r="J52" s="146">
        <v>117.84</v>
      </c>
      <c r="K52" s="131">
        <v>117.84</v>
      </c>
      <c r="L52" s="131">
        <v>5500</v>
      </c>
      <c r="M52" s="131">
        <v>648120</v>
      </c>
      <c r="N52" s="131">
        <v>5500</v>
      </c>
      <c r="O52" s="131"/>
      <c r="R52" s="131">
        <f>120120+10000</f>
        <v>130120</v>
      </c>
      <c r="S52" s="131" t="s">
        <v>91</v>
      </c>
      <c r="U52" s="131" t="s">
        <v>408</v>
      </c>
      <c r="V52" s="131">
        <v>10000</v>
      </c>
      <c r="W52" s="131" t="s">
        <v>91</v>
      </c>
      <c r="X52" s="131">
        <v>120120</v>
      </c>
      <c r="Y52" s="131" t="s">
        <v>561</v>
      </c>
      <c r="AH52" s="131">
        <f t="shared" si="5"/>
        <v>130120</v>
      </c>
      <c r="AK52" s="131">
        <f>M52-AH52</f>
        <v>518000</v>
      </c>
      <c r="AL52" s="131">
        <v>13199710158</v>
      </c>
      <c r="AM52" s="131" t="s">
        <v>4500</v>
      </c>
      <c r="AO52" s="131">
        <f t="shared" si="9"/>
        <v>0</v>
      </c>
    </row>
    <row r="53" s="58" customFormat="1" customHeight="1" spans="1:41">
      <c r="A53" s="58">
        <v>50</v>
      </c>
      <c r="I53" s="154" t="s">
        <v>4501</v>
      </c>
      <c r="J53" s="151">
        <v>117.84</v>
      </c>
      <c r="N53" s="58">
        <v>5798.89</v>
      </c>
      <c r="AH53" s="58">
        <f t="shared" si="5"/>
        <v>0</v>
      </c>
      <c r="AO53" s="58">
        <f t="shared" si="9"/>
        <v>0</v>
      </c>
    </row>
    <row r="54" s="58" customFormat="1" customHeight="1" spans="1:41">
      <c r="A54" s="58">
        <v>51</v>
      </c>
      <c r="I54" s="150" t="s">
        <v>4502</v>
      </c>
      <c r="J54" s="151">
        <v>117.84</v>
      </c>
      <c r="N54" s="58">
        <v>5850.49</v>
      </c>
      <c r="AH54" s="58">
        <f t="shared" si="5"/>
        <v>0</v>
      </c>
      <c r="AO54" s="58">
        <f t="shared" si="9"/>
        <v>0</v>
      </c>
    </row>
    <row r="55" s="58" customFormat="1" customHeight="1" spans="1:41">
      <c r="A55" s="58">
        <v>52</v>
      </c>
      <c r="I55" s="154" t="s">
        <v>4503</v>
      </c>
      <c r="J55" s="151">
        <v>117.84</v>
      </c>
      <c r="N55" s="58">
        <v>5831.49</v>
      </c>
      <c r="AH55" s="58">
        <f t="shared" si="5"/>
        <v>0</v>
      </c>
      <c r="AO55" s="58">
        <f t="shared" si="9"/>
        <v>0</v>
      </c>
    </row>
    <row r="56" s="131" customFormat="1" customHeight="1" spans="1:46">
      <c r="A56" s="131">
        <v>53</v>
      </c>
      <c r="C56" s="131" t="s">
        <v>4477</v>
      </c>
      <c r="D56" s="131">
        <v>20240004547</v>
      </c>
      <c r="F56" s="131" t="s">
        <v>4504</v>
      </c>
      <c r="G56" s="131" t="s">
        <v>4505</v>
      </c>
      <c r="H56" s="726" t="s">
        <v>4506</v>
      </c>
      <c r="I56" s="145" t="s">
        <v>4507</v>
      </c>
      <c r="J56" s="146">
        <v>117.84</v>
      </c>
      <c r="K56" s="131">
        <v>117.84</v>
      </c>
      <c r="L56" s="131">
        <f>M56/K56</f>
        <v>5770.53632043449</v>
      </c>
      <c r="M56" s="131">
        <v>680000</v>
      </c>
      <c r="N56" s="131">
        <v>5770.535</v>
      </c>
      <c r="R56" s="131">
        <v>420000</v>
      </c>
      <c r="S56" s="131" t="s">
        <v>290</v>
      </c>
      <c r="U56" s="131" t="s">
        <v>422</v>
      </c>
      <c r="V56" s="131">
        <v>10000</v>
      </c>
      <c r="W56" s="131" t="s">
        <v>3590</v>
      </c>
      <c r="X56" s="131">
        <v>250000</v>
      </c>
      <c r="Y56" s="131" t="s">
        <v>538</v>
      </c>
      <c r="Z56" s="131">
        <v>420000</v>
      </c>
      <c r="AA56" s="131" t="s">
        <v>290</v>
      </c>
      <c r="AH56" s="131">
        <f t="shared" si="5"/>
        <v>680000</v>
      </c>
      <c r="AK56" s="131">
        <f>M56-AH56</f>
        <v>0</v>
      </c>
      <c r="AL56" s="131">
        <v>13199729933</v>
      </c>
      <c r="AM56" s="131" t="s">
        <v>4508</v>
      </c>
      <c r="AO56" s="131">
        <f t="shared" si="9"/>
        <v>260000</v>
      </c>
      <c r="AP56" s="162">
        <f>0.5%+0.02%+0.08%</f>
        <v>0.006</v>
      </c>
      <c r="AT56" s="131">
        <v>260000</v>
      </c>
    </row>
    <row r="57" s="89" customFormat="1" customHeight="1" spans="1:41">
      <c r="A57" s="89">
        <v>54</v>
      </c>
      <c r="B57" s="89"/>
      <c r="I57" s="148" t="s">
        <v>4509</v>
      </c>
      <c r="J57" s="149">
        <v>117.84</v>
      </c>
      <c r="K57" s="89"/>
      <c r="L57" s="89"/>
      <c r="M57" s="89"/>
      <c r="N57" s="89">
        <v>5905.84</v>
      </c>
      <c r="O57" s="89"/>
      <c r="AH57" s="89">
        <f t="shared" si="5"/>
        <v>0</v>
      </c>
      <c r="AK57" s="89">
        <f>M57-AH57</f>
        <v>0</v>
      </c>
      <c r="AO57" s="89">
        <f t="shared" ref="AO57:AO70" si="10">SUM(AQ57:AV57)</f>
        <v>0</v>
      </c>
    </row>
    <row r="58" s="131" customFormat="1" customHeight="1" spans="1:41">
      <c r="A58" s="131">
        <v>55</v>
      </c>
      <c r="B58" s="131">
        <v>1</v>
      </c>
      <c r="F58" s="726" t="s">
        <v>4510</v>
      </c>
      <c r="G58" s="131" t="s">
        <v>4511</v>
      </c>
      <c r="H58" s="726" t="s">
        <v>4512</v>
      </c>
      <c r="I58" s="145" t="s">
        <v>4513</v>
      </c>
      <c r="J58" s="146">
        <v>117.84</v>
      </c>
      <c r="K58" s="131">
        <v>117.84</v>
      </c>
      <c r="L58" s="131">
        <v>5855</v>
      </c>
      <c r="M58" s="131">
        <v>690000</v>
      </c>
      <c r="N58" s="131">
        <v>5993.76</v>
      </c>
      <c r="O58" s="131" t="s">
        <v>195</v>
      </c>
      <c r="R58" s="131">
        <v>20000</v>
      </c>
      <c r="S58" s="131" t="s">
        <v>1790</v>
      </c>
      <c r="U58" s="131" t="s">
        <v>226</v>
      </c>
      <c r="V58" s="131">
        <v>20000</v>
      </c>
      <c r="W58" s="131" t="s">
        <v>1790</v>
      </c>
      <c r="AH58" s="131">
        <f t="shared" si="5"/>
        <v>20000</v>
      </c>
      <c r="AK58" s="131">
        <f>M58-AH58</f>
        <v>670000</v>
      </c>
      <c r="AL58" s="131">
        <v>13667539298</v>
      </c>
      <c r="AO58" s="131">
        <f t="shared" si="10"/>
        <v>0</v>
      </c>
    </row>
    <row r="59" s="131" customFormat="1" customHeight="1" spans="1:42">
      <c r="A59" s="131">
        <v>56</v>
      </c>
      <c r="B59" s="131"/>
      <c r="C59" s="131" t="s">
        <v>375</v>
      </c>
      <c r="D59" s="131">
        <v>20240005722</v>
      </c>
      <c r="F59" s="131" t="s">
        <v>4514</v>
      </c>
      <c r="G59" s="131" t="s">
        <v>4515</v>
      </c>
      <c r="H59" s="726" t="s">
        <v>4516</v>
      </c>
      <c r="I59" s="152" t="s">
        <v>4517</v>
      </c>
      <c r="J59" s="146">
        <v>117.84</v>
      </c>
      <c r="K59" s="131">
        <v>117.84</v>
      </c>
      <c r="L59" s="131">
        <v>5770.54</v>
      </c>
      <c r="M59" s="131">
        <v>680000</v>
      </c>
      <c r="N59" s="131">
        <v>5770.54</v>
      </c>
      <c r="O59" s="131"/>
      <c r="R59" s="131">
        <f>510000+150000</f>
        <v>660000</v>
      </c>
      <c r="S59" s="143" t="s">
        <v>375</v>
      </c>
      <c r="U59" s="131" t="s">
        <v>529</v>
      </c>
      <c r="V59" s="131">
        <v>20000</v>
      </c>
      <c r="W59" s="143">
        <v>45564</v>
      </c>
      <c r="X59" s="131">
        <v>150000</v>
      </c>
      <c r="Y59" s="143" t="s">
        <v>375</v>
      </c>
      <c r="Z59" s="131">
        <v>510000</v>
      </c>
      <c r="AA59" s="131" t="s">
        <v>560</v>
      </c>
      <c r="AH59" s="131">
        <f t="shared" si="5"/>
        <v>680000</v>
      </c>
      <c r="AK59" s="131">
        <f>M59-AH59</f>
        <v>0</v>
      </c>
      <c r="AL59" s="131">
        <v>13565064892</v>
      </c>
      <c r="AO59" s="131">
        <f t="shared" si="10"/>
        <v>0</v>
      </c>
      <c r="AP59" s="163">
        <f>0.5%+0.1%</f>
        <v>0.006</v>
      </c>
    </row>
    <row r="60" s="131" customFormat="1" customHeight="1" spans="1:41">
      <c r="A60" s="131">
        <v>57</v>
      </c>
      <c r="B60" s="131">
        <v>1</v>
      </c>
      <c r="C60" s="131" t="s">
        <v>91</v>
      </c>
      <c r="D60" s="131">
        <v>20240005923</v>
      </c>
      <c r="F60" s="726" t="s">
        <v>4518</v>
      </c>
      <c r="G60" s="131" t="s">
        <v>4519</v>
      </c>
      <c r="I60" s="153" t="s">
        <v>4520</v>
      </c>
      <c r="J60" s="146">
        <v>117.84</v>
      </c>
      <c r="K60" s="131">
        <v>117.84</v>
      </c>
      <c r="L60" s="131">
        <v>6000</v>
      </c>
      <c r="M60" s="131">
        <v>707040</v>
      </c>
      <c r="N60" s="131">
        <v>6000</v>
      </c>
      <c r="O60" s="131"/>
      <c r="R60" s="131">
        <f>320000+87040</f>
        <v>407040</v>
      </c>
      <c r="S60" s="131" t="s">
        <v>91</v>
      </c>
      <c r="V60" s="131">
        <v>87040</v>
      </c>
      <c r="W60" s="131" t="s">
        <v>91</v>
      </c>
      <c r="X60" s="131">
        <v>320000</v>
      </c>
      <c r="Y60" s="131" t="s">
        <v>3261</v>
      </c>
      <c r="AH60" s="131">
        <f t="shared" si="5"/>
        <v>407040</v>
      </c>
      <c r="AK60" s="131">
        <f>M60-AH60</f>
        <v>300000</v>
      </c>
      <c r="AL60" s="131">
        <v>18196293503</v>
      </c>
      <c r="AM60" s="131" t="s">
        <v>3617</v>
      </c>
      <c r="AO60" s="131">
        <f t="shared" si="10"/>
        <v>0</v>
      </c>
    </row>
    <row r="61" s="58" customFormat="1" customHeight="1" spans="1:41">
      <c r="A61" s="58">
        <v>58</v>
      </c>
      <c r="I61" s="150" t="s">
        <v>4521</v>
      </c>
      <c r="J61" s="151">
        <v>117.84</v>
      </c>
      <c r="N61" s="58">
        <v>6023.67</v>
      </c>
      <c r="AH61" s="58">
        <f t="shared" si="5"/>
        <v>0</v>
      </c>
      <c r="AO61" s="58">
        <f t="shared" si="10"/>
        <v>0</v>
      </c>
    </row>
    <row r="62" s="131" customFormat="1" customHeight="1" spans="1:41">
      <c r="A62" s="131">
        <v>59</v>
      </c>
      <c r="B62" s="131">
        <v>1</v>
      </c>
      <c r="C62" s="131" t="s">
        <v>1790</v>
      </c>
      <c r="D62" s="131">
        <v>20240006294</v>
      </c>
      <c r="F62" s="726" t="s">
        <v>4522</v>
      </c>
      <c r="G62" s="131" t="s">
        <v>4523</v>
      </c>
      <c r="I62" s="145" t="s">
        <v>4524</v>
      </c>
      <c r="J62" s="146">
        <v>117.84</v>
      </c>
      <c r="K62" s="131">
        <v>117.84</v>
      </c>
      <c r="L62" s="131">
        <v>5914.8</v>
      </c>
      <c r="M62" s="131">
        <v>697000</v>
      </c>
      <c r="N62" s="131">
        <v>6069.84</v>
      </c>
      <c r="O62" s="131" t="s">
        <v>195</v>
      </c>
      <c r="R62" s="131">
        <f>20000+97000</f>
        <v>117000</v>
      </c>
      <c r="S62" s="143" t="s">
        <v>1790</v>
      </c>
      <c r="V62" s="131">
        <f>20000+97000</f>
        <v>117000</v>
      </c>
      <c r="W62" s="143" t="s">
        <v>1790</v>
      </c>
      <c r="AH62" s="131">
        <f t="shared" si="5"/>
        <v>117000</v>
      </c>
      <c r="AK62" s="131">
        <f>M62-AH62</f>
        <v>580000</v>
      </c>
      <c r="AL62" s="131">
        <v>18699501864</v>
      </c>
      <c r="AO62" s="131">
        <f t="shared" si="10"/>
        <v>0</v>
      </c>
    </row>
    <row r="63" s="58" customFormat="1" customHeight="1" spans="1:41">
      <c r="A63" s="58">
        <v>60</v>
      </c>
      <c r="I63" s="150" t="s">
        <v>4525</v>
      </c>
      <c r="J63" s="151">
        <v>117.84</v>
      </c>
      <c r="N63" s="58">
        <v>6050.84</v>
      </c>
      <c r="AH63" s="58">
        <f t="shared" si="5"/>
        <v>0</v>
      </c>
      <c r="AO63" s="58">
        <f t="shared" si="10"/>
        <v>0</v>
      </c>
    </row>
    <row r="64" s="131" customFormat="1" customHeight="1" spans="1:47">
      <c r="A64" s="131">
        <v>61</v>
      </c>
      <c r="B64" s="131"/>
      <c r="C64" s="131" t="s">
        <v>98</v>
      </c>
      <c r="D64" s="131">
        <v>20240005540</v>
      </c>
      <c r="F64" s="726" t="s">
        <v>4526</v>
      </c>
      <c r="G64" s="131" t="s">
        <v>4527</v>
      </c>
      <c r="I64" s="152" t="s">
        <v>4528</v>
      </c>
      <c r="J64" s="146">
        <v>117.84</v>
      </c>
      <c r="K64" s="131">
        <v>117.84</v>
      </c>
      <c r="L64" s="131">
        <v>5855.4</v>
      </c>
      <c r="M64" s="131">
        <v>690000</v>
      </c>
      <c r="N64" s="131">
        <v>5855.4</v>
      </c>
      <c r="O64" s="131"/>
      <c r="R64" s="131">
        <v>124000</v>
      </c>
      <c r="S64" s="143" t="s">
        <v>98</v>
      </c>
      <c r="U64" s="131" t="s">
        <v>291</v>
      </c>
      <c r="V64" s="131">
        <v>20000</v>
      </c>
      <c r="W64" s="143">
        <v>45551</v>
      </c>
      <c r="X64" s="131">
        <v>124000</v>
      </c>
      <c r="Y64" s="143" t="s">
        <v>98</v>
      </c>
      <c r="AH64" s="131">
        <f t="shared" si="5"/>
        <v>144000</v>
      </c>
      <c r="AK64" s="131">
        <f>M64-AH64</f>
        <v>546000</v>
      </c>
      <c r="AL64" s="131">
        <v>18196233306</v>
      </c>
      <c r="AO64" s="131">
        <f t="shared" si="10"/>
        <v>0</v>
      </c>
      <c r="AP64" s="163">
        <f>0.6%+0.05%+0.1%</f>
        <v>0.0075</v>
      </c>
      <c r="AT64" s="58"/>
      <c r="AU64" s="58"/>
    </row>
    <row r="65" s="131" customFormat="1" customHeight="1" spans="1:41">
      <c r="A65" s="131">
        <v>62</v>
      </c>
      <c r="B65" s="131">
        <v>1</v>
      </c>
      <c r="C65" s="131" t="s">
        <v>98</v>
      </c>
      <c r="D65" s="131">
        <v>20240005552</v>
      </c>
      <c r="F65" s="726" t="s">
        <v>4529</v>
      </c>
      <c r="G65" s="131" t="s">
        <v>4530</v>
      </c>
      <c r="I65" s="145" t="s">
        <v>4531</v>
      </c>
      <c r="J65" s="146">
        <v>117.84</v>
      </c>
      <c r="K65" s="131">
        <v>117.84</v>
      </c>
      <c r="L65" s="131">
        <v>6079.76</v>
      </c>
      <c r="M65" s="131">
        <v>716438</v>
      </c>
      <c r="N65" s="131">
        <v>6079.76</v>
      </c>
      <c r="R65" s="131">
        <f>250000+20000</f>
        <v>270000</v>
      </c>
      <c r="S65" s="131" t="s">
        <v>98</v>
      </c>
      <c r="T65" s="726" t="s">
        <v>237</v>
      </c>
      <c r="U65" s="131" t="s">
        <v>422</v>
      </c>
      <c r="V65" s="131">
        <v>2000</v>
      </c>
      <c r="W65" s="131" t="s">
        <v>2944</v>
      </c>
      <c r="X65" s="131">
        <v>20000</v>
      </c>
      <c r="Y65" s="131" t="s">
        <v>98</v>
      </c>
      <c r="Z65" s="131">
        <v>250000</v>
      </c>
      <c r="AA65" s="131" t="s">
        <v>821</v>
      </c>
      <c r="AH65" s="131">
        <f t="shared" si="5"/>
        <v>272000</v>
      </c>
      <c r="AK65" s="131">
        <f>M65-AH65</f>
        <v>444438</v>
      </c>
      <c r="AL65" s="131">
        <v>19990286738</v>
      </c>
      <c r="AM65" s="131" t="s">
        <v>3617</v>
      </c>
      <c r="AO65" s="131">
        <f t="shared" si="10"/>
        <v>0</v>
      </c>
    </row>
    <row r="66" s="58" customFormat="1" customHeight="1" spans="1:41">
      <c r="A66" s="58">
        <v>63</v>
      </c>
      <c r="I66" s="154" t="s">
        <v>4532</v>
      </c>
      <c r="J66" s="151">
        <v>117.84</v>
      </c>
      <c r="N66" s="58">
        <v>6120.49</v>
      </c>
      <c r="AH66" s="58">
        <f t="shared" si="5"/>
        <v>0</v>
      </c>
      <c r="AO66" s="58">
        <f t="shared" si="10"/>
        <v>0</v>
      </c>
    </row>
    <row r="67" s="58" customFormat="1" customHeight="1" spans="1:41">
      <c r="A67" s="58">
        <v>64</v>
      </c>
      <c r="I67" s="150" t="s">
        <v>4533</v>
      </c>
      <c r="J67" s="151">
        <v>117.84</v>
      </c>
      <c r="N67" s="58">
        <v>6101.49</v>
      </c>
      <c r="AH67" s="58">
        <f t="shared" si="5"/>
        <v>0</v>
      </c>
      <c r="AO67" s="58">
        <f t="shared" si="10"/>
        <v>0</v>
      </c>
    </row>
    <row r="68" s="58" customFormat="1" customHeight="1" spans="1:41">
      <c r="A68" s="58">
        <v>65</v>
      </c>
      <c r="I68" s="154" t="s">
        <v>4534</v>
      </c>
      <c r="J68" s="151">
        <v>117.84</v>
      </c>
      <c r="N68" s="58">
        <v>7126.6</v>
      </c>
      <c r="AH68" s="58">
        <f t="shared" si="5"/>
        <v>0</v>
      </c>
      <c r="AO68" s="58">
        <f t="shared" si="10"/>
        <v>0</v>
      </c>
    </row>
    <row r="69" s="58" customFormat="1" customHeight="1" spans="1:41">
      <c r="A69" s="58">
        <v>66</v>
      </c>
      <c r="I69" s="150" t="s">
        <v>4535</v>
      </c>
      <c r="J69" s="151">
        <v>117.84</v>
      </c>
      <c r="N69" s="58">
        <v>7109.6</v>
      </c>
      <c r="AH69" s="58">
        <f t="shared" si="5"/>
        <v>0</v>
      </c>
      <c r="AO69" s="58">
        <f t="shared" si="10"/>
        <v>0</v>
      </c>
    </row>
    <row r="70" customHeight="1" spans="41:41">
      <c r="AO70" s="58">
        <f t="shared" si="10"/>
        <v>0</v>
      </c>
    </row>
    <row r="71" s="141" customFormat="1" customHeight="1" spans="1:49">
      <c r="A71" s="165" t="s">
        <v>31</v>
      </c>
      <c r="B71" s="165"/>
      <c r="C71" s="165"/>
      <c r="J71" s="141">
        <f t="shared" ref="J71:M71" si="11">SUM(J4:J70)</f>
        <v>8308.96</v>
      </c>
      <c r="K71" s="141">
        <f t="shared" si="11"/>
        <v>5171.2</v>
      </c>
      <c r="M71" s="141">
        <f t="shared" si="11"/>
        <v>30523070</v>
      </c>
      <c r="O71" s="141">
        <f>SUM(O4:O70)</f>
        <v>0</v>
      </c>
      <c r="R71" s="141">
        <f>SUM(R4:R70)</f>
        <v>7010026</v>
      </c>
      <c r="V71" s="141">
        <f t="shared" ref="V71:Z71" si="12">SUM(V4:V70)</f>
        <v>1039163</v>
      </c>
      <c r="X71" s="141">
        <f t="shared" si="12"/>
        <v>6136161</v>
      </c>
      <c r="Z71" s="141">
        <f t="shared" si="12"/>
        <v>8389263</v>
      </c>
      <c r="AB71" s="141">
        <f t="shared" ref="AB71:AF71" si="13">SUM(AB4:AB70)</f>
        <v>4350000</v>
      </c>
      <c r="AD71" s="141">
        <f t="shared" si="13"/>
        <v>1448000</v>
      </c>
      <c r="AF71" s="141">
        <f t="shared" si="13"/>
        <v>50000</v>
      </c>
      <c r="AH71" s="141">
        <f>SUM(AH4:AH70)</f>
        <v>21412587</v>
      </c>
      <c r="AI71" s="141">
        <f>SUM(AI4:AI70)</f>
        <v>0</v>
      </c>
      <c r="AJ71" s="141">
        <f>SUM(AJ4:AJ70)</f>
        <v>0</v>
      </c>
      <c r="AK71" s="141">
        <f>SUM(AK4:AK70)</f>
        <v>9110483</v>
      </c>
      <c r="AO71" s="141">
        <f>SUM(AO4:AO70)</f>
        <v>11936711.936</v>
      </c>
      <c r="AQ71" s="141">
        <f t="shared" ref="AQ71:AW71" si="14">SUM(AQ4:AQ70)</f>
        <v>392712</v>
      </c>
      <c r="AR71" s="141">
        <f t="shared" si="14"/>
        <v>2614248</v>
      </c>
      <c r="AS71" s="141">
        <f t="shared" si="14"/>
        <v>3052429</v>
      </c>
      <c r="AT71" s="141">
        <f t="shared" si="14"/>
        <v>3787691</v>
      </c>
      <c r="AU71" s="141">
        <f t="shared" si="14"/>
        <v>2088480</v>
      </c>
      <c r="AV71" s="141">
        <f t="shared" si="14"/>
        <v>0</v>
      </c>
      <c r="AW71" s="141">
        <f t="shared" si="14"/>
        <v>14806.936</v>
      </c>
    </row>
    <row r="73" customHeight="1" spans="17:17">
      <c r="Q73" s="58" t="s">
        <v>4536</v>
      </c>
    </row>
    <row r="74" customHeight="1" spans="17:18">
      <c r="Q74" s="58" t="s">
        <v>2719</v>
      </c>
      <c r="R74" s="58">
        <v>4575140</v>
      </c>
    </row>
    <row r="75" customHeight="1" spans="17:19">
      <c r="Q75" s="58" t="s">
        <v>61</v>
      </c>
      <c r="R75" s="58">
        <f>2434886+488000</f>
        <v>2922886</v>
      </c>
      <c r="S75" s="58" t="s">
        <v>4364</v>
      </c>
    </row>
    <row r="76" customHeight="1" spans="17:17">
      <c r="Q76" s="58" t="s">
        <v>4537</v>
      </c>
    </row>
  </sheetData>
  <autoFilter xmlns:etc="http://www.wps.cn/officeDocument/2017/etCustomData" ref="A2:AZ71" etc:filterBottomFollowUsedRange="0">
    <extLst/>
  </autoFilter>
  <mergeCells count="34">
    <mergeCell ref="A1:AN1"/>
    <mergeCell ref="O2:Q2"/>
    <mergeCell ref="V2:AG2"/>
    <mergeCell ref="A71:C71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</mergeCells>
  <conditionalFormatting sqref="J17">
    <cfRule type="expression" dxfId="1" priority="1" stopIfTrue="1">
      <formula>$F17&lt;&gt;0</formula>
    </cfRule>
    <cfRule type="expression" dxfId="1" priority="2" stopIfTrue="1">
      <formula>$F17&lt;&gt;0</formula>
    </cfRule>
  </conditionalFormatting>
  <conditionalFormatting sqref="J36">
    <cfRule type="expression" dxfId="1" priority="44" stopIfTrue="1">
      <formula>$F36&lt;&gt;0</formula>
    </cfRule>
  </conditionalFormatting>
  <conditionalFormatting sqref="J51">
    <cfRule type="expression" dxfId="1" priority="39" stopIfTrue="1">
      <formula>$F51&lt;&gt;0</formula>
    </cfRule>
  </conditionalFormatting>
  <conditionalFormatting sqref="J60">
    <cfRule type="expression" dxfId="1" priority="11" stopIfTrue="1">
      <formula>$F60&lt;&gt;0</formula>
    </cfRule>
  </conditionalFormatting>
  <conditionalFormatting sqref="J61">
    <cfRule type="expression" dxfId="1" priority="9" stopIfTrue="1">
      <formula>$F61&lt;&gt;0</formula>
    </cfRule>
  </conditionalFormatting>
  <conditionalFormatting sqref="J63">
    <cfRule type="expression" dxfId="1" priority="7" stopIfTrue="1">
      <formula>$F63&lt;&gt;0</formula>
    </cfRule>
  </conditionalFormatting>
  <conditionalFormatting sqref="J65">
    <cfRule type="expression" dxfId="1" priority="5" stopIfTrue="1">
      <formula>$F65&lt;&gt;0</formula>
    </cfRule>
    <cfRule type="expression" dxfId="1" priority="6" stopIfTrue="1">
      <formula>$F65&lt;&gt;0</formula>
    </cfRule>
  </conditionalFormatting>
  <conditionalFormatting sqref="J68">
    <cfRule type="expression" dxfId="1" priority="36" stopIfTrue="1">
      <formula>$F68&lt;&gt;0</formula>
    </cfRule>
  </conditionalFormatting>
  <conditionalFormatting sqref="J69">
    <cfRule type="expression" dxfId="1" priority="35" stopIfTrue="1">
      <formula>$F69&lt;&gt;0</formula>
    </cfRule>
  </conditionalFormatting>
  <conditionalFormatting sqref="J10:J11">
    <cfRule type="expression" dxfId="1" priority="33" stopIfTrue="1">
      <formula>$F10&lt;&gt;0</formula>
    </cfRule>
    <cfRule type="expression" dxfId="1" priority="34" stopIfTrue="1">
      <formula>$F10&lt;&gt;0</formula>
    </cfRule>
  </conditionalFormatting>
  <conditionalFormatting sqref="J12:J13">
    <cfRule type="expression" dxfId="1" priority="31" stopIfTrue="1">
      <formula>$F12&lt;&gt;0</formula>
    </cfRule>
    <cfRule type="expression" dxfId="1" priority="32" stopIfTrue="1">
      <formula>$F12&lt;&gt;0</formula>
    </cfRule>
  </conditionalFormatting>
  <conditionalFormatting sqref="J14:J15">
    <cfRule type="expression" dxfId="1" priority="29" stopIfTrue="1">
      <formula>$F14&lt;&gt;0</formula>
    </cfRule>
    <cfRule type="expression" dxfId="1" priority="30" stopIfTrue="1">
      <formula>$F14&lt;&gt;0</formula>
    </cfRule>
  </conditionalFormatting>
  <conditionalFormatting sqref="J18:J19">
    <cfRule type="expression" dxfId="1" priority="27" stopIfTrue="1">
      <formula>$F18&lt;&gt;0</formula>
    </cfRule>
    <cfRule type="expression" dxfId="1" priority="28" stopIfTrue="1">
      <formula>$F18&lt;&gt;0</formula>
    </cfRule>
  </conditionalFormatting>
  <conditionalFormatting sqref="J26:J27">
    <cfRule type="expression" dxfId="1" priority="25" stopIfTrue="1">
      <formula>$F26&lt;&gt;0</formula>
    </cfRule>
    <cfRule type="expression" dxfId="1" priority="26" stopIfTrue="1">
      <formula>$F26&lt;&gt;0</formula>
    </cfRule>
  </conditionalFormatting>
  <conditionalFormatting sqref="J28:J29">
    <cfRule type="expression" dxfId="1" priority="23" stopIfTrue="1">
      <formula>$F28&lt;&gt;0</formula>
    </cfRule>
    <cfRule type="expression" dxfId="1" priority="24" stopIfTrue="1">
      <formula>$F28&lt;&gt;0</formula>
    </cfRule>
  </conditionalFormatting>
  <conditionalFormatting sqref="J32:J33">
    <cfRule type="expression" dxfId="1" priority="21" stopIfTrue="1">
      <formula>$F32&lt;&gt;0</formula>
    </cfRule>
    <cfRule type="expression" dxfId="1" priority="22" stopIfTrue="1">
      <formula>$F32&lt;&gt;0</formula>
    </cfRule>
  </conditionalFormatting>
  <conditionalFormatting sqref="J34:J35">
    <cfRule type="expression" dxfId="1" priority="19" stopIfTrue="1">
      <formula>$F34&lt;&gt;0</formula>
    </cfRule>
    <cfRule type="expression" dxfId="1" priority="20" stopIfTrue="1">
      <formula>$F34&lt;&gt;0</formula>
    </cfRule>
  </conditionalFormatting>
  <conditionalFormatting sqref="J37:J39">
    <cfRule type="expression" dxfId="1" priority="42" stopIfTrue="1">
      <formula>$F37&lt;&gt;0</formula>
    </cfRule>
    <cfRule type="expression" dxfId="1" priority="43" stopIfTrue="1">
      <formula>$F37&lt;&gt;0</formula>
    </cfRule>
  </conditionalFormatting>
  <conditionalFormatting sqref="J40:J42">
    <cfRule type="expression" dxfId="1" priority="40" stopIfTrue="1">
      <formula>$F40&lt;&gt;0</formula>
    </cfRule>
    <cfRule type="expression" dxfId="1" priority="41" stopIfTrue="1">
      <formula>$F40&lt;&gt;0</formula>
    </cfRule>
  </conditionalFormatting>
  <conditionalFormatting sqref="J43:J44">
    <cfRule type="expression" dxfId="1" priority="17" stopIfTrue="1">
      <formula>$F43&lt;&gt;0</formula>
    </cfRule>
    <cfRule type="expression" dxfId="1" priority="18" stopIfTrue="1">
      <formula>$F43&lt;&gt;0</formula>
    </cfRule>
  </conditionalFormatting>
  <conditionalFormatting sqref="J47:J48">
    <cfRule type="expression" dxfId="1" priority="15" stopIfTrue="1">
      <formula>$F47&lt;&gt;0</formula>
    </cfRule>
    <cfRule type="expression" dxfId="1" priority="16" stopIfTrue="1">
      <formula>$F47&lt;&gt;0</formula>
    </cfRule>
  </conditionalFormatting>
  <conditionalFormatting sqref="J49:J50">
    <cfRule type="expression" dxfId="1" priority="13" stopIfTrue="1">
      <formula>$F49&lt;&gt;0</formula>
    </cfRule>
    <cfRule type="expression" dxfId="1" priority="14" stopIfTrue="1">
      <formula>$F49&lt;&gt;0</formula>
    </cfRule>
  </conditionalFormatting>
  <conditionalFormatting sqref="J53:J54">
    <cfRule type="expression" dxfId="1" priority="38" stopIfTrue="1">
      <formula>$F53&lt;&gt;0</formula>
    </cfRule>
  </conditionalFormatting>
  <conditionalFormatting sqref="J56:J57">
    <cfRule type="expression" dxfId="1" priority="37" stopIfTrue="1">
      <formula>$F56&lt;&gt;0</formula>
    </cfRule>
  </conditionalFormatting>
  <conditionalFormatting sqref="J58:J59">
    <cfRule type="expression" dxfId="1" priority="12" stopIfTrue="1">
      <formula>$F58&lt;&gt;0</formula>
    </cfRule>
  </conditionalFormatting>
  <conditionalFormatting sqref="J61:J62">
    <cfRule type="expression" dxfId="1" priority="10" stopIfTrue="1">
      <formula>$F61&lt;&gt;0</formula>
    </cfRule>
  </conditionalFormatting>
  <conditionalFormatting sqref="J63:J65">
    <cfRule type="expression" dxfId="1" priority="8" stopIfTrue="1">
      <formula>$F63&lt;&gt;0</formula>
    </cfRule>
  </conditionalFormatting>
  <conditionalFormatting sqref="J66:J67">
    <cfRule type="expression" dxfId="1" priority="3" stopIfTrue="1">
      <formula>$F66&lt;&gt;0</formula>
    </cfRule>
    <cfRule type="expression" dxfId="1" priority="4" stopIfTrue="1">
      <formula>$F66&lt;&gt;0</formula>
    </cfRule>
  </conditionalFormatting>
  <conditionalFormatting sqref="J51:J58 J4:J9 J20:J25">
    <cfRule type="expression" dxfId="1" priority="49" stopIfTrue="1">
      <formula>$F4&lt;&gt;0</formula>
    </cfRule>
  </conditionalFormatting>
  <conditionalFormatting sqref="J4:J9 J20:J25">
    <cfRule type="expression" dxfId="1" priority="48" stopIfTrue="1">
      <formula>$F4&lt;&gt;0</formula>
    </cfRule>
  </conditionalFormatting>
  <conditionalFormatting sqref="J16:J17 J45:J46 J30:J31">
    <cfRule type="expression" dxfId="1" priority="46" stopIfTrue="1">
      <formula>$F16&lt;&gt;0</formula>
    </cfRule>
    <cfRule type="expression" dxfId="1" priority="47" stopIfTrue="1">
      <formula>$F16&lt;&gt;0</formula>
    </cfRule>
  </conditionalFormatting>
  <conditionalFormatting sqref="J36 J58:J60">
    <cfRule type="expression" dxfId="1" priority="45" stopIfTrue="1">
      <formula>$F36&lt;&gt;0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72"/>
  <sheetViews>
    <sheetView topLeftCell="Z1" workbookViewId="0">
      <pane ySplit="3" topLeftCell="A141" activePane="bottomLeft" state="frozen"/>
      <selection/>
      <selection pane="bottomLeft" activeCell="AI159" sqref="AI159"/>
    </sheetView>
  </sheetViews>
  <sheetFormatPr defaultColWidth="9" defaultRowHeight="26" customHeight="1"/>
  <cols>
    <col min="1" max="1" width="5.125" style="115" customWidth="1"/>
    <col min="2" max="2" width="5.5" style="115" customWidth="1"/>
    <col min="3" max="3" width="10.125" style="115" customWidth="1"/>
    <col min="4" max="4" width="14" style="115" customWidth="1"/>
    <col min="5" max="5" width="9" style="115"/>
    <col min="6" max="6" width="20.25" style="115" customWidth="1"/>
    <col min="7" max="7" width="10.75" style="115" customWidth="1"/>
    <col min="8" max="8" width="12.625" style="115" customWidth="1"/>
    <col min="9" max="9" width="9" style="115"/>
    <col min="10" max="10" width="10.375" style="115"/>
    <col min="11" max="11" width="9" style="115"/>
    <col min="12" max="13" width="12.625" style="115"/>
    <col min="14" max="14" width="9" style="115"/>
    <col min="15" max="15" width="11.375" style="115" customWidth="1"/>
    <col min="16" max="18" width="9" style="115"/>
    <col min="19" max="19" width="10.375" style="115"/>
    <col min="20" max="21" width="9" style="115"/>
    <col min="22" max="22" width="10.875" style="115" customWidth="1"/>
    <col min="23" max="23" width="11.375" style="115" customWidth="1"/>
    <col min="24" max="24" width="12.25" style="115" customWidth="1"/>
    <col min="25" max="25" width="10.75" style="115" customWidth="1"/>
    <col min="26" max="26" width="11.125" style="115" customWidth="1"/>
    <col min="27" max="27" width="13.875" style="115" customWidth="1"/>
    <col min="28" max="28" width="9" style="115"/>
    <col min="29" max="29" width="11.25" style="115" customWidth="1"/>
    <col min="30" max="36" width="9" style="115"/>
    <col min="37" max="37" width="10.75" style="115" customWidth="1"/>
    <col min="38" max="38" width="16.5" style="115" customWidth="1"/>
    <col min="39" max="39" width="24.75" style="115" customWidth="1"/>
    <col min="40" max="16384" width="9" style="115"/>
  </cols>
  <sheetData>
    <row r="1" s="83" customFormat="1" customHeight="1" spans="1:42">
      <c r="A1" s="116" t="s">
        <v>4348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P1" s="134"/>
    </row>
    <row r="2" s="111" customFormat="1" customHeight="1" spans="1:50">
      <c r="A2" s="116" t="s">
        <v>1</v>
      </c>
      <c r="B2" s="111" t="s">
        <v>125</v>
      </c>
      <c r="C2" s="117" t="s">
        <v>126</v>
      </c>
      <c r="D2" s="111" t="s">
        <v>127</v>
      </c>
      <c r="F2" s="111" t="s">
        <v>129</v>
      </c>
      <c r="G2" s="111" t="s">
        <v>130</v>
      </c>
      <c r="H2" s="111" t="s">
        <v>128</v>
      </c>
      <c r="I2" s="111" t="s">
        <v>132</v>
      </c>
      <c r="J2" s="118" t="s">
        <v>843</v>
      </c>
      <c r="K2" s="111" t="s">
        <v>134</v>
      </c>
      <c r="L2" s="111" t="s">
        <v>135</v>
      </c>
      <c r="M2" s="119" t="s">
        <v>136</v>
      </c>
      <c r="N2" s="120" t="s">
        <v>137</v>
      </c>
      <c r="O2" s="121" t="s">
        <v>139</v>
      </c>
      <c r="P2" s="122"/>
      <c r="Q2" s="122"/>
      <c r="R2" s="120" t="s">
        <v>140</v>
      </c>
      <c r="S2" s="130" t="s">
        <v>141</v>
      </c>
      <c r="T2" s="116" t="s">
        <v>142</v>
      </c>
      <c r="U2" s="130" t="s">
        <v>143</v>
      </c>
      <c r="V2" s="119" t="s">
        <v>144</v>
      </c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 t="s">
        <v>145</v>
      </c>
      <c r="AI2" s="117" t="s">
        <v>19</v>
      </c>
      <c r="AJ2" s="111" t="s">
        <v>147</v>
      </c>
      <c r="AK2" s="122" t="s">
        <v>22</v>
      </c>
      <c r="AL2" s="111" t="s">
        <v>148</v>
      </c>
      <c r="AM2" s="111" t="s">
        <v>10</v>
      </c>
      <c r="AN2" s="111" t="s">
        <v>845</v>
      </c>
      <c r="AO2" s="135" t="s">
        <v>158</v>
      </c>
      <c r="AP2" s="136" t="s">
        <v>159</v>
      </c>
      <c r="AQ2" s="137" t="s">
        <v>2753</v>
      </c>
      <c r="AR2" s="137" t="s">
        <v>2754</v>
      </c>
      <c r="AS2" s="137" t="s">
        <v>2755</v>
      </c>
      <c r="AT2" s="138"/>
      <c r="AU2" s="111" t="s">
        <v>175</v>
      </c>
      <c r="AW2" s="111" t="s">
        <v>73</v>
      </c>
      <c r="AX2" s="111" t="s">
        <v>176</v>
      </c>
    </row>
    <row r="3" s="111" customFormat="1" customHeight="1" spans="1:46">
      <c r="A3" s="116"/>
      <c r="C3" s="117"/>
      <c r="E3" s="111" t="s">
        <v>868</v>
      </c>
      <c r="J3" s="121"/>
      <c r="M3" s="119"/>
      <c r="N3" s="120"/>
      <c r="O3" s="121" t="s">
        <v>178</v>
      </c>
      <c r="P3" s="122" t="s">
        <v>869</v>
      </c>
      <c r="Q3" s="122" t="s">
        <v>870</v>
      </c>
      <c r="R3" s="119"/>
      <c r="S3" s="130"/>
      <c r="T3" s="116"/>
      <c r="U3" s="130"/>
      <c r="V3" s="119" t="s">
        <v>180</v>
      </c>
      <c r="W3" s="111" t="s">
        <v>181</v>
      </c>
      <c r="X3" s="119" t="s">
        <v>182</v>
      </c>
      <c r="Y3" s="133" t="s">
        <v>181</v>
      </c>
      <c r="Z3" s="111" t="s">
        <v>183</v>
      </c>
      <c r="AA3" s="121" t="s">
        <v>181</v>
      </c>
      <c r="AB3" s="119" t="s">
        <v>184</v>
      </c>
      <c r="AC3" s="111" t="s">
        <v>181</v>
      </c>
      <c r="AD3" s="111" t="s">
        <v>185</v>
      </c>
      <c r="AE3" s="111" t="s">
        <v>181</v>
      </c>
      <c r="AF3" s="111" t="s">
        <v>186</v>
      </c>
      <c r="AG3" s="111" t="s">
        <v>181</v>
      </c>
      <c r="AH3" s="119"/>
      <c r="AK3" s="122"/>
      <c r="AO3" s="135"/>
      <c r="AP3" s="136"/>
      <c r="AQ3" s="137"/>
      <c r="AR3" s="137"/>
      <c r="AS3" s="137"/>
      <c r="AT3" s="138"/>
    </row>
    <row r="4" s="112" customFormat="1" customHeight="1" spans="9:34">
      <c r="I4" s="123" t="s">
        <v>4538</v>
      </c>
      <c r="J4" s="124">
        <v>72.03</v>
      </c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AH4" s="112">
        <f>V4+X4+Z4+AB4+AD4+AF4</f>
        <v>0</v>
      </c>
    </row>
    <row r="5" s="112" customFormat="1" customHeight="1" spans="1:34">
      <c r="A5" s="112">
        <v>1</v>
      </c>
      <c r="B5" s="112"/>
      <c r="C5" s="112"/>
      <c r="D5" s="112"/>
      <c r="E5" s="112"/>
      <c r="F5" s="112"/>
      <c r="G5" s="112"/>
      <c r="H5" s="112"/>
      <c r="I5" s="123" t="s">
        <v>4539</v>
      </c>
      <c r="J5" s="124">
        <v>71.26</v>
      </c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AH5" s="112">
        <f t="shared" ref="AH5:AH36" si="0">V5+X5+Z5+AB5+AD5+AF5</f>
        <v>0</v>
      </c>
    </row>
    <row r="6" s="112" customFormat="1" customHeight="1" spans="9:34">
      <c r="I6" s="123" t="s">
        <v>4540</v>
      </c>
      <c r="J6" s="124">
        <v>50.87</v>
      </c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AH6" s="112">
        <f t="shared" si="0"/>
        <v>0</v>
      </c>
    </row>
    <row r="7" s="112" customFormat="1" customHeight="1" spans="9:34">
      <c r="I7" s="123" t="s">
        <v>4541</v>
      </c>
      <c r="J7" s="124">
        <v>71.71</v>
      </c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AH7" s="112">
        <f t="shared" si="0"/>
        <v>0</v>
      </c>
    </row>
    <row r="8" s="112" customFormat="1" customHeight="1" spans="9:34">
      <c r="I8" s="123" t="s">
        <v>4542</v>
      </c>
      <c r="J8" s="124">
        <v>71.71</v>
      </c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AH8" s="112">
        <f t="shared" si="0"/>
        <v>0</v>
      </c>
    </row>
    <row r="9" s="112" customFormat="1" customHeight="1" spans="9:34">
      <c r="I9" s="123" t="s">
        <v>4543</v>
      </c>
      <c r="J9" s="124">
        <v>72.01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AH9" s="112">
        <f t="shared" si="0"/>
        <v>0</v>
      </c>
    </row>
    <row r="10" s="112" customFormat="1" customHeight="1" spans="9:34">
      <c r="I10" s="123" t="s">
        <v>4544</v>
      </c>
      <c r="J10" s="124">
        <v>48.19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AH10" s="112">
        <f t="shared" si="0"/>
        <v>0</v>
      </c>
    </row>
    <row r="11" s="112" customFormat="1" customHeight="1" spans="9:34">
      <c r="I11" s="123" t="s">
        <v>4545</v>
      </c>
      <c r="J11" s="124">
        <v>32.2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AH11" s="112">
        <f t="shared" si="0"/>
        <v>0</v>
      </c>
    </row>
    <row r="12" s="112" customFormat="1" customHeight="1" spans="9:34">
      <c r="I12" s="123" t="s">
        <v>4546</v>
      </c>
      <c r="J12" s="124">
        <v>47.09</v>
      </c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AH12" s="112">
        <f t="shared" si="0"/>
        <v>0</v>
      </c>
    </row>
    <row r="13" s="112" customFormat="1" customHeight="1" spans="9:34">
      <c r="I13" s="123" t="s">
        <v>4547</v>
      </c>
      <c r="J13" s="124">
        <v>47.09</v>
      </c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AH13" s="112">
        <f t="shared" si="0"/>
        <v>0</v>
      </c>
    </row>
    <row r="14" s="112" customFormat="1" customHeight="1" spans="9:34">
      <c r="I14" s="123" t="s">
        <v>4548</v>
      </c>
      <c r="J14" s="124">
        <v>48.17</v>
      </c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AH14" s="112">
        <f t="shared" si="0"/>
        <v>0</v>
      </c>
    </row>
    <row r="15" s="112" customFormat="1" customHeight="1" spans="9:34">
      <c r="I15" s="123" t="s">
        <v>4549</v>
      </c>
      <c r="J15" s="124">
        <v>32.22</v>
      </c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AH15" s="112">
        <f t="shared" si="0"/>
        <v>0</v>
      </c>
    </row>
    <row r="16" s="112" customFormat="1" customHeight="1" spans="9:34">
      <c r="I16" s="123" t="s">
        <v>4550</v>
      </c>
      <c r="J16" s="124">
        <v>32.2</v>
      </c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AH16" s="112">
        <f t="shared" si="0"/>
        <v>0</v>
      </c>
    </row>
    <row r="17" s="112" customFormat="1" customHeight="1" spans="9:34">
      <c r="I17" s="123" t="s">
        <v>4551</v>
      </c>
      <c r="J17" s="124">
        <v>48.19</v>
      </c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AH17" s="112">
        <f t="shared" si="0"/>
        <v>0</v>
      </c>
    </row>
    <row r="18" s="113" customFormat="1" customHeight="1" spans="1:39">
      <c r="A18" s="113">
        <v>1</v>
      </c>
      <c r="F18" s="113" t="s">
        <v>4552</v>
      </c>
      <c r="G18" s="113" t="s">
        <v>4553</v>
      </c>
      <c r="I18" s="125" t="s">
        <v>4554</v>
      </c>
      <c r="J18" s="126">
        <v>129.06</v>
      </c>
      <c r="K18" s="113">
        <v>129.06</v>
      </c>
      <c r="L18" s="113">
        <v>8601</v>
      </c>
      <c r="M18" s="113">
        <v>1110045</v>
      </c>
      <c r="N18" s="113">
        <v>8300.31</v>
      </c>
      <c r="U18" s="131" t="s">
        <v>211</v>
      </c>
      <c r="V18" s="131">
        <v>2000</v>
      </c>
      <c r="W18" s="131" t="s">
        <v>417</v>
      </c>
      <c r="X18" s="113"/>
      <c r="Y18" s="113"/>
      <c r="AH18" s="113">
        <f t="shared" si="0"/>
        <v>2000</v>
      </c>
      <c r="AK18" s="113">
        <f>M18-AH18</f>
        <v>1108045</v>
      </c>
      <c r="AM18" s="113" t="s">
        <v>3617</v>
      </c>
    </row>
    <row r="19" s="112" customFormat="1" customHeight="1" spans="1:34">
      <c r="A19" s="112">
        <v>2</v>
      </c>
      <c r="B19" s="112"/>
      <c r="C19" s="112"/>
      <c r="D19" s="112"/>
      <c r="E19" s="112"/>
      <c r="F19" s="112"/>
      <c r="G19" s="112"/>
      <c r="H19" s="112"/>
      <c r="I19" s="127" t="s">
        <v>4555</v>
      </c>
      <c r="J19" s="124">
        <v>109.7</v>
      </c>
      <c r="K19" s="112"/>
      <c r="L19" s="112"/>
      <c r="M19" s="112"/>
      <c r="N19" s="112">
        <v>8525.31</v>
      </c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AH19" s="112">
        <f t="shared" si="0"/>
        <v>0</v>
      </c>
    </row>
    <row r="20" s="112" customFormat="1" customHeight="1" spans="1:34">
      <c r="A20" s="112">
        <v>3</v>
      </c>
      <c r="B20" s="112"/>
      <c r="C20" s="112"/>
      <c r="D20" s="112"/>
      <c r="E20" s="112"/>
      <c r="F20" s="112"/>
      <c r="G20" s="112"/>
      <c r="H20" s="112"/>
      <c r="I20" s="123" t="s">
        <v>4556</v>
      </c>
      <c r="J20" s="124">
        <v>126.91</v>
      </c>
      <c r="K20" s="112"/>
      <c r="L20" s="112"/>
      <c r="M20" s="112"/>
      <c r="N20" s="112">
        <v>5783.41</v>
      </c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AH20" s="112">
        <f t="shared" si="0"/>
        <v>0</v>
      </c>
    </row>
    <row r="21" s="112" customFormat="1" customHeight="1" spans="1:34">
      <c r="A21" s="112">
        <v>4</v>
      </c>
      <c r="B21" s="112"/>
      <c r="C21" s="112"/>
      <c r="D21" s="112"/>
      <c r="E21" s="112"/>
      <c r="F21" s="112"/>
      <c r="G21" s="112"/>
      <c r="H21" s="112"/>
      <c r="I21" s="127" t="s">
        <v>4557</v>
      </c>
      <c r="J21" s="124">
        <v>126.5</v>
      </c>
      <c r="K21" s="112"/>
      <c r="L21" s="112"/>
      <c r="M21" s="112"/>
      <c r="N21" s="112">
        <v>5774.41</v>
      </c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AH21" s="112">
        <f t="shared" si="0"/>
        <v>0</v>
      </c>
    </row>
    <row r="22" s="112" customFormat="1" customHeight="1" spans="1:34">
      <c r="A22" s="112">
        <v>5</v>
      </c>
      <c r="B22" s="112"/>
      <c r="C22" s="112"/>
      <c r="D22" s="112"/>
      <c r="E22" s="112"/>
      <c r="F22" s="112"/>
      <c r="G22" s="112"/>
      <c r="H22" s="112"/>
      <c r="I22" s="123" t="s">
        <v>4558</v>
      </c>
      <c r="J22" s="124">
        <v>126.91</v>
      </c>
      <c r="K22" s="112"/>
      <c r="L22" s="112"/>
      <c r="M22" s="112"/>
      <c r="N22" s="112">
        <v>5833.69</v>
      </c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AH22" s="112">
        <f t="shared" si="0"/>
        <v>0</v>
      </c>
    </row>
    <row r="23" s="112" customFormat="1" customHeight="1" spans="1:34">
      <c r="A23" s="112">
        <v>6</v>
      </c>
      <c r="B23" s="112"/>
      <c r="C23" s="112"/>
      <c r="D23" s="112"/>
      <c r="E23" s="112"/>
      <c r="F23" s="112"/>
      <c r="G23" s="112"/>
      <c r="H23" s="112"/>
      <c r="I23" s="127" t="s">
        <v>4559</v>
      </c>
      <c r="J23" s="124">
        <v>126.5</v>
      </c>
      <c r="K23" s="112"/>
      <c r="L23" s="112"/>
      <c r="M23" s="112"/>
      <c r="N23" s="112">
        <v>5824.69</v>
      </c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AH23" s="112">
        <f t="shared" si="0"/>
        <v>0</v>
      </c>
    </row>
    <row r="24" s="112" customFormat="1" customHeight="1" spans="1:34">
      <c r="A24" s="112">
        <v>7</v>
      </c>
      <c r="B24" s="112"/>
      <c r="C24" s="112"/>
      <c r="D24" s="112"/>
      <c r="E24" s="112"/>
      <c r="F24" s="112"/>
      <c r="G24" s="112"/>
      <c r="H24" s="112"/>
      <c r="I24" s="123" t="s">
        <v>4560</v>
      </c>
      <c r="J24" s="124">
        <v>126.91</v>
      </c>
      <c r="K24" s="112"/>
      <c r="L24" s="112"/>
      <c r="M24" s="112"/>
      <c r="N24" s="112">
        <v>5863.69</v>
      </c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AH24" s="112">
        <f t="shared" si="0"/>
        <v>0</v>
      </c>
    </row>
    <row r="25" s="112" customFormat="1" customHeight="1" spans="1:34">
      <c r="A25" s="112">
        <v>8</v>
      </c>
      <c r="B25" s="112"/>
      <c r="C25" s="112"/>
      <c r="D25" s="112"/>
      <c r="E25" s="112"/>
      <c r="F25" s="112"/>
      <c r="G25" s="112"/>
      <c r="H25" s="112"/>
      <c r="I25" s="127" t="s">
        <v>4561</v>
      </c>
      <c r="J25" s="124">
        <v>126.5</v>
      </c>
      <c r="K25" s="112"/>
      <c r="L25" s="112"/>
      <c r="M25" s="112"/>
      <c r="N25" s="112">
        <v>5854.69</v>
      </c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AH25" s="112">
        <f t="shared" si="0"/>
        <v>0</v>
      </c>
    </row>
    <row r="26" s="112" customFormat="1" customHeight="1" spans="1:34">
      <c r="A26" s="112">
        <v>9</v>
      </c>
      <c r="B26" s="112"/>
      <c r="C26" s="112"/>
      <c r="D26" s="112"/>
      <c r="E26" s="112"/>
      <c r="F26" s="112"/>
      <c r="G26" s="112"/>
      <c r="H26" s="112"/>
      <c r="I26" s="123" t="s">
        <v>4562</v>
      </c>
      <c r="J26" s="124">
        <v>126.91</v>
      </c>
      <c r="K26" s="112"/>
      <c r="L26" s="112"/>
      <c r="M26" s="112"/>
      <c r="N26" s="112">
        <v>5933.69</v>
      </c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AH26" s="112">
        <f t="shared" si="0"/>
        <v>0</v>
      </c>
    </row>
    <row r="27" s="112" customFormat="1" customHeight="1" spans="1:34">
      <c r="A27" s="112">
        <v>10</v>
      </c>
      <c r="B27" s="112"/>
      <c r="C27" s="112"/>
      <c r="D27" s="112"/>
      <c r="E27" s="112"/>
      <c r="F27" s="112"/>
      <c r="G27" s="112"/>
      <c r="H27" s="112"/>
      <c r="I27" s="127" t="s">
        <v>4563</v>
      </c>
      <c r="J27" s="124">
        <v>126.5</v>
      </c>
      <c r="K27" s="112"/>
      <c r="L27" s="112"/>
      <c r="M27" s="112"/>
      <c r="N27" s="112">
        <v>5924.69</v>
      </c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AH27" s="112">
        <f t="shared" si="0"/>
        <v>0</v>
      </c>
    </row>
    <row r="28" s="113" customFormat="1" customHeight="1" spans="1:42">
      <c r="A28" s="113">
        <v>11</v>
      </c>
      <c r="B28" s="113"/>
      <c r="C28" s="113" t="s">
        <v>108</v>
      </c>
      <c r="D28" s="113">
        <v>20240005637</v>
      </c>
      <c r="F28" s="730" t="s">
        <v>4564</v>
      </c>
      <c r="G28" s="113" t="s">
        <v>4565</v>
      </c>
      <c r="H28" s="730" t="s">
        <v>4566</v>
      </c>
      <c r="I28" s="125" t="s">
        <v>4567</v>
      </c>
      <c r="J28" s="126">
        <v>126.91</v>
      </c>
      <c r="K28" s="113">
        <v>126.91</v>
      </c>
      <c r="L28" s="128">
        <v>5862.3</v>
      </c>
      <c r="M28" s="113">
        <v>743985</v>
      </c>
      <c r="N28" s="113">
        <v>5998.69</v>
      </c>
      <c r="O28" s="113" t="s">
        <v>195</v>
      </c>
      <c r="R28" s="113">
        <v>119985</v>
      </c>
      <c r="S28" s="132" t="s">
        <v>108</v>
      </c>
      <c r="U28" s="113" t="s">
        <v>1811</v>
      </c>
      <c r="V28" s="113">
        <v>10000</v>
      </c>
      <c r="W28" s="132">
        <v>45560</v>
      </c>
      <c r="X28" s="113">
        <v>119985</v>
      </c>
      <c r="Y28" s="132" t="s">
        <v>108</v>
      </c>
      <c r="AH28" s="113">
        <f t="shared" si="0"/>
        <v>129985</v>
      </c>
      <c r="AK28" s="113">
        <f>M28-AH28</f>
        <v>614000</v>
      </c>
      <c r="AL28" s="113">
        <v>15899017992</v>
      </c>
      <c r="AP28" s="139">
        <f>0.4%+0.02%+0.1%</f>
        <v>0.0052</v>
      </c>
    </row>
    <row r="29" s="112" customFormat="1" customHeight="1" spans="1:34">
      <c r="A29" s="112">
        <v>12</v>
      </c>
      <c r="B29" s="112"/>
      <c r="C29" s="112"/>
      <c r="D29" s="112"/>
      <c r="E29" s="112"/>
      <c r="F29" s="112"/>
      <c r="G29" s="112"/>
      <c r="H29" s="112"/>
      <c r="I29" s="123" t="s">
        <v>4568</v>
      </c>
      <c r="J29" s="124">
        <v>126.5</v>
      </c>
      <c r="K29" s="112"/>
      <c r="L29" s="112"/>
      <c r="M29" s="112"/>
      <c r="N29" s="112">
        <v>5989.69</v>
      </c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AH29" s="112">
        <f t="shared" si="0"/>
        <v>0</v>
      </c>
    </row>
    <row r="30" s="113" customFormat="1" customHeight="1" spans="1:38">
      <c r="A30" s="113">
        <v>13</v>
      </c>
      <c r="B30" s="113">
        <v>1</v>
      </c>
      <c r="C30" s="113"/>
      <c r="D30" s="113"/>
      <c r="E30" s="113"/>
      <c r="F30" s="730" t="s">
        <v>4569</v>
      </c>
      <c r="G30" s="113" t="s">
        <v>4570</v>
      </c>
      <c r="I30" s="129" t="s">
        <v>4571</v>
      </c>
      <c r="J30" s="126">
        <v>126.91</v>
      </c>
      <c r="K30" s="113">
        <v>126.91</v>
      </c>
      <c r="N30" s="113">
        <v>6043.69</v>
      </c>
      <c r="R30" s="113">
        <f>88769+10000+20000</f>
        <v>118769</v>
      </c>
      <c r="S30" s="113">
        <v>202410.6</v>
      </c>
      <c r="T30" s="113"/>
      <c r="U30" s="113" t="s">
        <v>298</v>
      </c>
      <c r="V30" s="113">
        <v>20000</v>
      </c>
      <c r="W30" s="113" t="s">
        <v>4572</v>
      </c>
      <c r="X30" s="113">
        <f>88769+10000</f>
        <v>98769</v>
      </c>
      <c r="Y30" s="113" t="s">
        <v>1790</v>
      </c>
      <c r="AH30" s="113">
        <f t="shared" si="0"/>
        <v>118769</v>
      </c>
      <c r="AK30" s="113">
        <f>M30-AH30</f>
        <v>-118769</v>
      </c>
      <c r="AL30" s="113">
        <v>15299355759</v>
      </c>
    </row>
    <row r="31" s="112" customFormat="1" customHeight="1" spans="1:34">
      <c r="A31" s="112">
        <v>14</v>
      </c>
      <c r="B31" s="112"/>
      <c r="C31" s="112"/>
      <c r="D31" s="112"/>
      <c r="E31" s="112"/>
      <c r="F31" s="112"/>
      <c r="G31" s="112"/>
      <c r="H31" s="112"/>
      <c r="I31" s="127" t="s">
        <v>4573</v>
      </c>
      <c r="J31" s="124">
        <v>126.5</v>
      </c>
      <c r="K31" s="112"/>
      <c r="L31" s="112"/>
      <c r="M31" s="112"/>
      <c r="N31" s="112">
        <v>6034.69</v>
      </c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AH31" s="112">
        <f t="shared" si="0"/>
        <v>0</v>
      </c>
    </row>
    <row r="32" s="112" customFormat="1" customHeight="1" spans="1:34">
      <c r="A32" s="112">
        <v>15</v>
      </c>
      <c r="B32" s="112"/>
      <c r="C32" s="112"/>
      <c r="D32" s="112"/>
      <c r="E32" s="112"/>
      <c r="F32" s="112"/>
      <c r="G32" s="112"/>
      <c r="H32" s="112"/>
      <c r="I32" s="127" t="s">
        <v>4574</v>
      </c>
      <c r="J32" s="124">
        <v>126.91</v>
      </c>
      <c r="K32" s="112"/>
      <c r="L32" s="112"/>
      <c r="M32" s="112"/>
      <c r="N32" s="112">
        <v>6068.69</v>
      </c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AH32" s="112">
        <f t="shared" si="0"/>
        <v>0</v>
      </c>
    </row>
    <row r="33" s="112" customFormat="1" customHeight="1" spans="1:34">
      <c r="A33" s="112">
        <v>16</v>
      </c>
      <c r="B33" s="112"/>
      <c r="C33" s="112"/>
      <c r="D33" s="112"/>
      <c r="E33" s="112"/>
      <c r="F33" s="112"/>
      <c r="G33" s="112"/>
      <c r="H33" s="112"/>
      <c r="I33" s="127" t="s">
        <v>4575</v>
      </c>
      <c r="J33" s="124">
        <v>126.5</v>
      </c>
      <c r="K33" s="112"/>
      <c r="L33" s="112"/>
      <c r="M33" s="112"/>
      <c r="N33" s="112">
        <v>6059.69</v>
      </c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AH33" s="112">
        <f t="shared" si="0"/>
        <v>0</v>
      </c>
    </row>
    <row r="34" s="112" customFormat="1" customHeight="1" spans="1:34">
      <c r="A34" s="112">
        <v>17</v>
      </c>
      <c r="B34" s="112"/>
      <c r="C34" s="112"/>
      <c r="D34" s="112"/>
      <c r="E34" s="112"/>
      <c r="F34" s="112"/>
      <c r="G34" s="112"/>
      <c r="H34" s="112"/>
      <c r="I34" s="123" t="s">
        <v>4576</v>
      </c>
      <c r="J34" s="124">
        <v>126.91</v>
      </c>
      <c r="K34" s="112"/>
      <c r="L34" s="112"/>
      <c r="M34" s="112"/>
      <c r="N34" s="112">
        <v>6093.69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AH34" s="112">
        <f t="shared" si="0"/>
        <v>0</v>
      </c>
    </row>
    <row r="35" s="112" customFormat="1" customHeight="1" spans="1:34">
      <c r="A35" s="112">
        <v>18</v>
      </c>
      <c r="B35" s="112"/>
      <c r="C35" s="112"/>
      <c r="D35" s="112"/>
      <c r="E35" s="112"/>
      <c r="F35" s="112"/>
      <c r="G35" s="112"/>
      <c r="H35" s="112"/>
      <c r="I35" s="127" t="s">
        <v>4577</v>
      </c>
      <c r="J35" s="124">
        <v>126.5</v>
      </c>
      <c r="K35" s="112"/>
      <c r="L35" s="112"/>
      <c r="M35" s="112"/>
      <c r="N35" s="112">
        <v>6084.69</v>
      </c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AH35" s="112">
        <f t="shared" si="0"/>
        <v>0</v>
      </c>
    </row>
    <row r="36" s="112" customFormat="1" customHeight="1" spans="1:34">
      <c r="A36" s="112">
        <v>19</v>
      </c>
      <c r="B36" s="112"/>
      <c r="C36" s="112"/>
      <c r="D36" s="112"/>
      <c r="E36" s="112"/>
      <c r="F36" s="112"/>
      <c r="G36" s="112"/>
      <c r="H36" s="112"/>
      <c r="I36" s="123" t="s">
        <v>4578</v>
      </c>
      <c r="J36" s="124">
        <v>126.91</v>
      </c>
      <c r="K36" s="112"/>
      <c r="L36" s="112"/>
      <c r="M36" s="112"/>
      <c r="N36" s="112">
        <v>6113.69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AH36" s="112">
        <f t="shared" si="0"/>
        <v>0</v>
      </c>
    </row>
    <row r="37" s="112" customFormat="1" customHeight="1" spans="1:34">
      <c r="A37" s="112">
        <v>20</v>
      </c>
      <c r="B37" s="112"/>
      <c r="C37" s="112"/>
      <c r="D37" s="112"/>
      <c r="E37" s="112"/>
      <c r="F37" s="112"/>
      <c r="G37" s="112"/>
      <c r="H37" s="112"/>
      <c r="I37" s="127" t="s">
        <v>4579</v>
      </c>
      <c r="J37" s="124">
        <v>126.5</v>
      </c>
      <c r="K37" s="112"/>
      <c r="L37" s="112"/>
      <c r="M37" s="112"/>
      <c r="N37" s="112">
        <v>6104.69</v>
      </c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AH37" s="112">
        <f t="shared" ref="AH37:AH68" si="1">V37+X37+Z37+AB37+AD37+AF37</f>
        <v>0</v>
      </c>
    </row>
    <row r="38" s="112" customFormat="1" customHeight="1" spans="1:34">
      <c r="A38" s="112">
        <v>21</v>
      </c>
      <c r="B38" s="112"/>
      <c r="C38" s="112"/>
      <c r="D38" s="112"/>
      <c r="E38" s="112"/>
      <c r="F38" s="112"/>
      <c r="G38" s="112"/>
      <c r="H38" s="112"/>
      <c r="I38" s="123" t="s">
        <v>4580</v>
      </c>
      <c r="J38" s="124">
        <v>126.91</v>
      </c>
      <c r="K38" s="112"/>
      <c r="L38" s="112"/>
      <c r="M38" s="112"/>
      <c r="N38" s="112">
        <v>7139.31</v>
      </c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AH38" s="112">
        <f t="shared" si="1"/>
        <v>0</v>
      </c>
    </row>
    <row r="39" s="112" customFormat="1" customHeight="1" spans="1:34">
      <c r="A39" s="112">
        <v>22</v>
      </c>
      <c r="B39" s="112"/>
      <c r="C39" s="112"/>
      <c r="D39" s="112"/>
      <c r="E39" s="112"/>
      <c r="F39" s="112"/>
      <c r="G39" s="112"/>
      <c r="H39" s="112"/>
      <c r="I39" s="127" t="s">
        <v>4581</v>
      </c>
      <c r="J39" s="124">
        <v>126.5</v>
      </c>
      <c r="K39" s="112"/>
      <c r="L39" s="112"/>
      <c r="M39" s="112"/>
      <c r="N39" s="112">
        <v>7129.31</v>
      </c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AH39" s="112">
        <f t="shared" si="1"/>
        <v>0</v>
      </c>
    </row>
    <row r="40" s="112" customFormat="1" customHeight="1" spans="1:34">
      <c r="A40" s="112">
        <v>23</v>
      </c>
      <c r="B40" s="112"/>
      <c r="C40" s="112"/>
      <c r="D40" s="112"/>
      <c r="E40" s="112"/>
      <c r="F40" s="112"/>
      <c r="G40" s="112"/>
      <c r="H40" s="112"/>
      <c r="I40" s="123" t="s">
        <v>4582</v>
      </c>
      <c r="J40" s="124">
        <v>128.65</v>
      </c>
      <c r="K40" s="112"/>
      <c r="L40" s="112"/>
      <c r="M40" s="112"/>
      <c r="N40" s="112">
        <v>7705.31</v>
      </c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AH40" s="112">
        <f t="shared" si="1"/>
        <v>0</v>
      </c>
    </row>
    <row r="41" s="112" customFormat="1" customHeight="1" spans="1:34">
      <c r="A41" s="112">
        <v>24</v>
      </c>
      <c r="B41" s="112"/>
      <c r="C41" s="112"/>
      <c r="D41" s="112"/>
      <c r="E41" s="112"/>
      <c r="F41" s="112"/>
      <c r="G41" s="112"/>
      <c r="H41" s="112"/>
      <c r="I41" s="127" t="s">
        <v>4583</v>
      </c>
      <c r="J41" s="124">
        <v>109.7</v>
      </c>
      <c r="K41" s="112"/>
      <c r="L41" s="112"/>
      <c r="M41" s="112"/>
      <c r="N41" s="112">
        <v>8525.31</v>
      </c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AH41" s="112">
        <f t="shared" si="1"/>
        <v>0</v>
      </c>
    </row>
    <row r="42" s="112" customFormat="1" customHeight="1" spans="1:34">
      <c r="A42" s="112">
        <v>25</v>
      </c>
      <c r="B42" s="112"/>
      <c r="C42" s="112"/>
      <c r="D42" s="112"/>
      <c r="E42" s="112"/>
      <c r="F42" s="112"/>
      <c r="G42" s="112"/>
      <c r="H42" s="112"/>
      <c r="I42" s="123" t="s">
        <v>4584</v>
      </c>
      <c r="J42" s="124">
        <v>126.5</v>
      </c>
      <c r="K42" s="112"/>
      <c r="L42" s="112"/>
      <c r="M42" s="112"/>
      <c r="N42" s="112">
        <v>5765.41</v>
      </c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AH42" s="112">
        <f t="shared" si="1"/>
        <v>0</v>
      </c>
    </row>
    <row r="43" s="112" customFormat="1" customHeight="1" spans="1:34">
      <c r="A43" s="112">
        <v>26</v>
      </c>
      <c r="B43" s="112"/>
      <c r="C43" s="112"/>
      <c r="D43" s="112"/>
      <c r="E43" s="112"/>
      <c r="F43" s="112"/>
      <c r="G43" s="112"/>
      <c r="H43" s="112"/>
      <c r="I43" s="127" t="s">
        <v>4585</v>
      </c>
      <c r="J43" s="124">
        <v>126.5</v>
      </c>
      <c r="K43" s="112"/>
      <c r="L43" s="112"/>
      <c r="M43" s="112"/>
      <c r="N43" s="112">
        <v>5757.41</v>
      </c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AH43" s="112">
        <f t="shared" si="1"/>
        <v>0</v>
      </c>
    </row>
    <row r="44" s="112" customFormat="1" customHeight="1" spans="1:34">
      <c r="A44" s="112">
        <v>27</v>
      </c>
      <c r="B44" s="112"/>
      <c r="C44" s="112"/>
      <c r="D44" s="112"/>
      <c r="E44" s="112"/>
      <c r="F44" s="112"/>
      <c r="G44" s="112"/>
      <c r="H44" s="112"/>
      <c r="I44" s="123" t="s">
        <v>4586</v>
      </c>
      <c r="J44" s="124">
        <v>126.5</v>
      </c>
      <c r="K44" s="112"/>
      <c r="L44" s="112"/>
      <c r="M44" s="112"/>
      <c r="N44" s="112">
        <v>5815.69</v>
      </c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AH44" s="112">
        <f t="shared" si="1"/>
        <v>0</v>
      </c>
    </row>
    <row r="45" s="112" customFormat="1" customHeight="1" spans="1:34">
      <c r="A45" s="112">
        <v>28</v>
      </c>
      <c r="B45" s="112"/>
      <c r="C45" s="112"/>
      <c r="D45" s="112"/>
      <c r="E45" s="112"/>
      <c r="F45" s="112"/>
      <c r="G45" s="112"/>
      <c r="H45" s="112"/>
      <c r="I45" s="123" t="s">
        <v>4587</v>
      </c>
      <c r="J45" s="124">
        <v>126.5</v>
      </c>
      <c r="K45" s="112"/>
      <c r="L45" s="112"/>
      <c r="M45" s="112"/>
      <c r="N45" s="112">
        <v>5807.69</v>
      </c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AH45" s="112">
        <f t="shared" si="1"/>
        <v>0</v>
      </c>
    </row>
    <row r="46" s="112" customFormat="1" customHeight="1" spans="1:34">
      <c r="A46" s="112">
        <v>29</v>
      </c>
      <c r="B46" s="112"/>
      <c r="C46" s="112"/>
      <c r="D46" s="112"/>
      <c r="E46" s="112"/>
      <c r="F46" s="112"/>
      <c r="G46" s="112"/>
      <c r="H46" s="112"/>
      <c r="I46" s="127" t="s">
        <v>4588</v>
      </c>
      <c r="J46" s="124">
        <v>126.5</v>
      </c>
      <c r="K46" s="112"/>
      <c r="L46" s="112"/>
      <c r="M46" s="112"/>
      <c r="N46" s="112">
        <v>5845.69</v>
      </c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AH46" s="112">
        <f t="shared" si="1"/>
        <v>0</v>
      </c>
    </row>
    <row r="47" s="112" customFormat="1" customHeight="1" spans="1:34">
      <c r="A47" s="112">
        <v>30</v>
      </c>
      <c r="B47" s="112"/>
      <c r="C47" s="112"/>
      <c r="D47" s="112"/>
      <c r="E47" s="112"/>
      <c r="F47" s="112"/>
      <c r="G47" s="112"/>
      <c r="H47" s="112"/>
      <c r="I47" s="127" t="s">
        <v>4589</v>
      </c>
      <c r="J47" s="124">
        <v>126.5</v>
      </c>
      <c r="K47" s="112"/>
      <c r="L47" s="112"/>
      <c r="M47" s="112"/>
      <c r="N47" s="112">
        <v>5837.69</v>
      </c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AH47" s="112">
        <f t="shared" si="1"/>
        <v>0</v>
      </c>
    </row>
    <row r="48" s="112" customFormat="1" customHeight="1" spans="1:34">
      <c r="A48" s="112">
        <v>31</v>
      </c>
      <c r="B48" s="112"/>
      <c r="C48" s="112"/>
      <c r="D48" s="112"/>
      <c r="E48" s="112"/>
      <c r="F48" s="112"/>
      <c r="G48" s="112"/>
      <c r="H48" s="112"/>
      <c r="I48" s="127" t="s">
        <v>4590</v>
      </c>
      <c r="J48" s="124">
        <v>126.5</v>
      </c>
      <c r="K48" s="112"/>
      <c r="L48" s="112"/>
      <c r="M48" s="112"/>
      <c r="N48" s="112">
        <v>5915.69</v>
      </c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AH48" s="112">
        <f t="shared" si="1"/>
        <v>0</v>
      </c>
    </row>
    <row r="49" s="112" customFormat="1" customHeight="1" spans="1:34">
      <c r="A49" s="112">
        <v>32</v>
      </c>
      <c r="B49" s="112"/>
      <c r="C49" s="112"/>
      <c r="D49" s="112"/>
      <c r="E49" s="112"/>
      <c r="F49" s="112"/>
      <c r="G49" s="112"/>
      <c r="H49" s="112"/>
      <c r="I49" s="127" t="s">
        <v>4591</v>
      </c>
      <c r="J49" s="124">
        <v>126.5</v>
      </c>
      <c r="K49" s="112"/>
      <c r="L49" s="112"/>
      <c r="M49" s="112"/>
      <c r="N49" s="112">
        <v>5907.69</v>
      </c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AH49" s="112">
        <f t="shared" si="1"/>
        <v>0</v>
      </c>
    </row>
    <row r="50" s="112" customFormat="1" customHeight="1" spans="1:34">
      <c r="A50" s="112">
        <v>33</v>
      </c>
      <c r="B50" s="112"/>
      <c r="C50" s="112"/>
      <c r="D50" s="112"/>
      <c r="E50" s="112"/>
      <c r="F50" s="112"/>
      <c r="G50" s="112"/>
      <c r="H50" s="112"/>
      <c r="I50" s="127" t="s">
        <v>4592</v>
      </c>
      <c r="J50" s="124">
        <v>126.5</v>
      </c>
      <c r="K50" s="112"/>
      <c r="L50" s="112"/>
      <c r="M50" s="112"/>
      <c r="N50" s="112">
        <v>5980.69</v>
      </c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AH50" s="112">
        <f t="shared" si="1"/>
        <v>0</v>
      </c>
    </row>
    <row r="51" s="112" customFormat="1" customHeight="1" spans="1:34">
      <c r="A51" s="112">
        <v>34</v>
      </c>
      <c r="B51" s="112"/>
      <c r="C51" s="112"/>
      <c r="D51" s="112"/>
      <c r="E51" s="112"/>
      <c r="F51" s="112"/>
      <c r="G51" s="112"/>
      <c r="H51" s="112"/>
      <c r="I51" s="127" t="s">
        <v>4593</v>
      </c>
      <c r="J51" s="124">
        <v>126.5</v>
      </c>
      <c r="K51" s="112"/>
      <c r="L51" s="112"/>
      <c r="M51" s="112"/>
      <c r="N51" s="112">
        <v>5972.69</v>
      </c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AH51" s="112">
        <f t="shared" si="1"/>
        <v>0</v>
      </c>
    </row>
    <row r="52" s="112" customFormat="1" customHeight="1" spans="1:34">
      <c r="A52" s="112">
        <v>35</v>
      </c>
      <c r="B52" s="112"/>
      <c r="C52" s="112"/>
      <c r="D52" s="112"/>
      <c r="E52" s="112"/>
      <c r="F52" s="112"/>
      <c r="G52" s="112"/>
      <c r="H52" s="112"/>
      <c r="I52" s="127" t="s">
        <v>4594</v>
      </c>
      <c r="J52" s="124">
        <v>126.5</v>
      </c>
      <c r="K52" s="112"/>
      <c r="L52" s="112"/>
      <c r="M52" s="112"/>
      <c r="N52" s="112">
        <v>6025.69</v>
      </c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AH52" s="112">
        <f t="shared" si="1"/>
        <v>0</v>
      </c>
    </row>
    <row r="53" s="112" customFormat="1" customHeight="1" spans="1:34">
      <c r="A53" s="112">
        <v>36</v>
      </c>
      <c r="B53" s="112"/>
      <c r="C53" s="112"/>
      <c r="D53" s="112"/>
      <c r="E53" s="112"/>
      <c r="F53" s="112"/>
      <c r="G53" s="112"/>
      <c r="H53" s="112"/>
      <c r="I53" s="127" t="s">
        <v>4595</v>
      </c>
      <c r="J53" s="124">
        <v>126.5</v>
      </c>
      <c r="K53" s="112"/>
      <c r="L53" s="112"/>
      <c r="M53" s="112"/>
      <c r="N53" s="112">
        <v>6017.69</v>
      </c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AH53" s="112">
        <f t="shared" si="1"/>
        <v>0</v>
      </c>
    </row>
    <row r="54" s="112" customFormat="1" customHeight="1" spans="1:34">
      <c r="A54" s="112">
        <v>37</v>
      </c>
      <c r="B54" s="112"/>
      <c r="C54" s="112"/>
      <c r="D54" s="112"/>
      <c r="E54" s="112"/>
      <c r="F54" s="112"/>
      <c r="G54" s="112"/>
      <c r="H54" s="112"/>
      <c r="I54" s="127" t="s">
        <v>4596</v>
      </c>
      <c r="J54" s="124">
        <v>126.5</v>
      </c>
      <c r="K54" s="112"/>
      <c r="L54" s="112"/>
      <c r="M54" s="112"/>
      <c r="N54" s="112">
        <v>6050.69</v>
      </c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AH54" s="112">
        <f t="shared" si="1"/>
        <v>0</v>
      </c>
    </row>
    <row r="55" s="112" customFormat="1" customHeight="1" spans="1:34">
      <c r="A55" s="112">
        <v>38</v>
      </c>
      <c r="B55" s="112"/>
      <c r="C55" s="112"/>
      <c r="D55" s="112"/>
      <c r="E55" s="112"/>
      <c r="F55" s="112"/>
      <c r="G55" s="112"/>
      <c r="H55" s="112"/>
      <c r="I55" s="127" t="s">
        <v>4597</v>
      </c>
      <c r="J55" s="124">
        <v>126.5</v>
      </c>
      <c r="K55" s="112"/>
      <c r="L55" s="112"/>
      <c r="M55" s="112"/>
      <c r="N55" s="112">
        <v>6042.69</v>
      </c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AH55" s="112">
        <f t="shared" si="1"/>
        <v>0</v>
      </c>
    </row>
    <row r="56" s="112" customFormat="1" customHeight="1" spans="1:34">
      <c r="A56" s="112">
        <v>39</v>
      </c>
      <c r="B56" s="112"/>
      <c r="C56" s="112"/>
      <c r="D56" s="112"/>
      <c r="E56" s="112"/>
      <c r="F56" s="112"/>
      <c r="G56" s="112"/>
      <c r="H56" s="112"/>
      <c r="I56" s="127" t="s">
        <v>4598</v>
      </c>
      <c r="J56" s="124">
        <v>126.5</v>
      </c>
      <c r="K56" s="112"/>
      <c r="L56" s="112"/>
      <c r="M56" s="112"/>
      <c r="N56" s="112">
        <v>6075.69</v>
      </c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AH56" s="112">
        <f t="shared" si="1"/>
        <v>0</v>
      </c>
    </row>
    <row r="57" s="112" customFormat="1" customHeight="1" spans="1:34">
      <c r="A57" s="112">
        <v>40</v>
      </c>
      <c r="B57" s="112"/>
      <c r="C57" s="112"/>
      <c r="D57" s="112"/>
      <c r="E57" s="112"/>
      <c r="F57" s="112"/>
      <c r="G57" s="112"/>
      <c r="H57" s="112"/>
      <c r="I57" s="127" t="s">
        <v>4599</v>
      </c>
      <c r="J57" s="124">
        <v>126.5</v>
      </c>
      <c r="K57" s="112"/>
      <c r="L57" s="112"/>
      <c r="M57" s="112"/>
      <c r="N57" s="112">
        <v>6067.69</v>
      </c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AH57" s="112">
        <f t="shared" si="1"/>
        <v>0</v>
      </c>
    </row>
    <row r="58" s="112" customFormat="1" customHeight="1" spans="1:34">
      <c r="A58" s="112">
        <v>41</v>
      </c>
      <c r="B58" s="112"/>
      <c r="C58" s="112"/>
      <c r="D58" s="112"/>
      <c r="E58" s="112"/>
      <c r="F58" s="112"/>
      <c r="G58" s="112"/>
      <c r="H58" s="112"/>
      <c r="I58" s="127" t="s">
        <v>4600</v>
      </c>
      <c r="J58" s="124">
        <v>126.5</v>
      </c>
      <c r="K58" s="112"/>
      <c r="L58" s="112"/>
      <c r="M58" s="112"/>
      <c r="N58" s="112">
        <v>6095.69</v>
      </c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AH58" s="112">
        <f t="shared" si="1"/>
        <v>0</v>
      </c>
    </row>
    <row r="59" s="112" customFormat="1" customHeight="1" spans="1:34">
      <c r="A59" s="112">
        <v>42</v>
      </c>
      <c r="B59" s="112"/>
      <c r="C59" s="112"/>
      <c r="D59" s="112"/>
      <c r="E59" s="112"/>
      <c r="F59" s="112"/>
      <c r="G59" s="112"/>
      <c r="H59" s="112"/>
      <c r="I59" s="127" t="s">
        <v>4601</v>
      </c>
      <c r="J59" s="124">
        <v>126.5</v>
      </c>
      <c r="K59" s="112"/>
      <c r="L59" s="112"/>
      <c r="M59" s="112"/>
      <c r="N59" s="112">
        <v>6087.69</v>
      </c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AH59" s="112">
        <f t="shared" si="1"/>
        <v>0</v>
      </c>
    </row>
    <row r="60" s="112" customFormat="1" customHeight="1" spans="1:34">
      <c r="A60" s="112">
        <v>43</v>
      </c>
      <c r="B60" s="112"/>
      <c r="C60" s="112"/>
      <c r="D60" s="112"/>
      <c r="E60" s="112"/>
      <c r="F60" s="112"/>
      <c r="G60" s="112"/>
      <c r="H60" s="112"/>
      <c r="I60" s="127" t="s">
        <v>4602</v>
      </c>
      <c r="J60" s="124">
        <v>126.5</v>
      </c>
      <c r="K60" s="112"/>
      <c r="L60" s="112"/>
      <c r="M60" s="112"/>
      <c r="N60" s="112">
        <v>7119.31</v>
      </c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AH60" s="112">
        <f t="shared" si="1"/>
        <v>0</v>
      </c>
    </row>
    <row r="61" s="112" customFormat="1" customHeight="1" spans="1:34">
      <c r="A61" s="112">
        <v>44</v>
      </c>
      <c r="B61" s="112"/>
      <c r="C61" s="112"/>
      <c r="D61" s="112"/>
      <c r="E61" s="112"/>
      <c r="F61" s="112"/>
      <c r="G61" s="112"/>
      <c r="H61" s="112"/>
      <c r="I61" s="127" t="s">
        <v>4603</v>
      </c>
      <c r="J61" s="124">
        <v>126.5</v>
      </c>
      <c r="K61" s="112"/>
      <c r="L61" s="112"/>
      <c r="M61" s="112"/>
      <c r="N61" s="112">
        <v>7109.31</v>
      </c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AH61" s="112">
        <f t="shared" si="1"/>
        <v>0</v>
      </c>
    </row>
    <row r="62" s="112" customFormat="1" customHeight="1" spans="1:34">
      <c r="A62" s="112">
        <v>45</v>
      </c>
      <c r="B62" s="112"/>
      <c r="C62" s="112"/>
      <c r="D62" s="112"/>
      <c r="E62" s="112"/>
      <c r="F62" s="112"/>
      <c r="G62" s="112"/>
      <c r="H62" s="112"/>
      <c r="I62" s="127" t="s">
        <v>4604</v>
      </c>
      <c r="J62" s="124">
        <v>109.7</v>
      </c>
      <c r="K62" s="112"/>
      <c r="L62" s="112"/>
      <c r="M62" s="112"/>
      <c r="N62" s="112">
        <v>8275.31</v>
      </c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AH62" s="112">
        <f t="shared" si="1"/>
        <v>0</v>
      </c>
    </row>
    <row r="63" s="112" customFormat="1" customHeight="1" spans="1:34">
      <c r="A63" s="112">
        <v>46</v>
      </c>
      <c r="B63" s="112"/>
      <c r="C63" s="112"/>
      <c r="D63" s="112"/>
      <c r="E63" s="112"/>
      <c r="F63" s="112"/>
      <c r="G63" s="112"/>
      <c r="H63" s="112"/>
      <c r="I63" s="127" t="s">
        <v>4605</v>
      </c>
      <c r="J63" s="124">
        <v>129.06</v>
      </c>
      <c r="K63" s="112"/>
      <c r="L63" s="112"/>
      <c r="M63" s="112"/>
      <c r="N63" s="112">
        <v>8245.31</v>
      </c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AH63" s="112">
        <f t="shared" si="1"/>
        <v>0</v>
      </c>
    </row>
    <row r="64" s="112" customFormat="1" customHeight="1" spans="1:34">
      <c r="A64" s="112">
        <v>47</v>
      </c>
      <c r="B64" s="112"/>
      <c r="C64" s="112"/>
      <c r="D64" s="112"/>
      <c r="E64" s="112"/>
      <c r="F64" s="112"/>
      <c r="G64" s="112"/>
      <c r="H64" s="112"/>
      <c r="I64" s="127" t="s">
        <v>4606</v>
      </c>
      <c r="J64" s="124">
        <v>126.5</v>
      </c>
      <c r="K64" s="112"/>
      <c r="L64" s="112"/>
      <c r="M64" s="112"/>
      <c r="N64" s="112">
        <v>5749.41</v>
      </c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AH64" s="112">
        <f t="shared" si="1"/>
        <v>0</v>
      </c>
    </row>
    <row r="65" s="112" customFormat="1" customHeight="1" spans="1:34">
      <c r="A65" s="112">
        <v>48</v>
      </c>
      <c r="B65" s="112"/>
      <c r="C65" s="112"/>
      <c r="D65" s="112"/>
      <c r="E65" s="112"/>
      <c r="F65" s="112"/>
      <c r="G65" s="112"/>
      <c r="H65" s="112"/>
      <c r="I65" s="127" t="s">
        <v>4607</v>
      </c>
      <c r="J65" s="124">
        <v>126.91</v>
      </c>
      <c r="K65" s="112"/>
      <c r="L65" s="112"/>
      <c r="M65" s="112"/>
      <c r="N65" s="112">
        <v>5730.41</v>
      </c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AH65" s="112">
        <f t="shared" si="1"/>
        <v>0</v>
      </c>
    </row>
    <row r="66" s="112" customFormat="1" customHeight="1" spans="1:34">
      <c r="A66" s="112">
        <v>49</v>
      </c>
      <c r="B66" s="112"/>
      <c r="C66" s="112"/>
      <c r="D66" s="112"/>
      <c r="E66" s="112"/>
      <c r="F66" s="112"/>
      <c r="G66" s="112"/>
      <c r="H66" s="112"/>
      <c r="I66" s="127" t="s">
        <v>4608</v>
      </c>
      <c r="J66" s="124">
        <v>126.5</v>
      </c>
      <c r="K66" s="112"/>
      <c r="L66" s="112"/>
      <c r="M66" s="112"/>
      <c r="N66" s="112">
        <v>5799.69</v>
      </c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AH66" s="112">
        <f t="shared" si="1"/>
        <v>0</v>
      </c>
    </row>
    <row r="67" s="112" customFormat="1" customHeight="1" spans="1:34">
      <c r="A67" s="112">
        <v>50</v>
      </c>
      <c r="B67" s="112"/>
      <c r="C67" s="112"/>
      <c r="D67" s="112"/>
      <c r="E67" s="112"/>
      <c r="F67" s="112"/>
      <c r="G67" s="112"/>
      <c r="H67" s="112"/>
      <c r="I67" s="127" t="s">
        <v>4609</v>
      </c>
      <c r="J67" s="124">
        <v>126.91</v>
      </c>
      <c r="K67" s="112"/>
      <c r="L67" s="112"/>
      <c r="M67" s="112"/>
      <c r="N67" s="112">
        <v>5780.69</v>
      </c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AH67" s="112">
        <f t="shared" si="1"/>
        <v>0</v>
      </c>
    </row>
    <row r="68" s="112" customFormat="1" customHeight="1" spans="1:34">
      <c r="A68" s="112">
        <v>51</v>
      </c>
      <c r="B68" s="112"/>
      <c r="C68" s="112"/>
      <c r="D68" s="112"/>
      <c r="E68" s="112"/>
      <c r="F68" s="112"/>
      <c r="G68" s="112"/>
      <c r="H68" s="112"/>
      <c r="I68" s="127" t="s">
        <v>4610</v>
      </c>
      <c r="J68" s="124">
        <v>126.5</v>
      </c>
      <c r="K68" s="112"/>
      <c r="L68" s="112"/>
      <c r="M68" s="112"/>
      <c r="N68" s="112">
        <v>5829.69</v>
      </c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AH68" s="112">
        <f t="shared" si="1"/>
        <v>0</v>
      </c>
    </row>
    <row r="69" s="112" customFormat="1" customHeight="1" spans="1:34">
      <c r="A69" s="112">
        <v>52</v>
      </c>
      <c r="B69" s="112"/>
      <c r="C69" s="112"/>
      <c r="D69" s="112"/>
      <c r="E69" s="112"/>
      <c r="F69" s="112"/>
      <c r="G69" s="112"/>
      <c r="H69" s="112"/>
      <c r="I69" s="127" t="s">
        <v>4611</v>
      </c>
      <c r="J69" s="124">
        <v>126.91</v>
      </c>
      <c r="K69" s="112"/>
      <c r="L69" s="112"/>
      <c r="M69" s="112"/>
      <c r="N69" s="112">
        <v>5810.69</v>
      </c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AH69" s="112">
        <f t="shared" ref="AH69:AH100" si="2">V69+X69+Z69+AB69+AD69+AF69</f>
        <v>0</v>
      </c>
    </row>
    <row r="70" s="112" customFormat="1" customHeight="1" spans="1:34">
      <c r="A70" s="112">
        <v>53</v>
      </c>
      <c r="B70" s="112"/>
      <c r="C70" s="112"/>
      <c r="D70" s="112"/>
      <c r="E70" s="112"/>
      <c r="F70" s="112"/>
      <c r="G70" s="112"/>
      <c r="H70" s="112"/>
      <c r="I70" s="127" t="s">
        <v>4612</v>
      </c>
      <c r="J70" s="124">
        <v>126.5</v>
      </c>
      <c r="K70" s="112"/>
      <c r="L70" s="112"/>
      <c r="M70" s="112"/>
      <c r="N70" s="112">
        <v>5899.69</v>
      </c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AH70" s="112">
        <f t="shared" si="2"/>
        <v>0</v>
      </c>
    </row>
    <row r="71" s="112" customFormat="1" customHeight="1" spans="1:34">
      <c r="A71" s="112">
        <v>54</v>
      </c>
      <c r="B71" s="112"/>
      <c r="C71" s="112"/>
      <c r="D71" s="112"/>
      <c r="E71" s="112"/>
      <c r="F71" s="112"/>
      <c r="G71" s="112"/>
      <c r="H71" s="112"/>
      <c r="I71" s="123" t="s">
        <v>4613</v>
      </c>
      <c r="J71" s="124">
        <v>126.91</v>
      </c>
      <c r="K71" s="112"/>
      <c r="L71" s="112"/>
      <c r="M71" s="112"/>
      <c r="N71" s="112">
        <v>5880.69</v>
      </c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AH71" s="112">
        <f t="shared" si="2"/>
        <v>0</v>
      </c>
    </row>
    <row r="72" s="112" customFormat="1" customHeight="1" spans="1:34">
      <c r="A72" s="112">
        <v>55</v>
      </c>
      <c r="B72" s="112"/>
      <c r="C72" s="112"/>
      <c r="D72" s="112"/>
      <c r="E72" s="112"/>
      <c r="F72" s="112"/>
      <c r="G72" s="112"/>
      <c r="H72" s="112"/>
      <c r="I72" s="127" t="s">
        <v>4614</v>
      </c>
      <c r="J72" s="124">
        <v>126.5</v>
      </c>
      <c r="K72" s="112"/>
      <c r="L72" s="112"/>
      <c r="M72" s="112"/>
      <c r="N72" s="112">
        <v>5964.69</v>
      </c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AH72" s="112">
        <f t="shared" si="2"/>
        <v>0</v>
      </c>
    </row>
    <row r="73" s="112" customFormat="1" customHeight="1" spans="1:34">
      <c r="A73" s="112">
        <v>56</v>
      </c>
      <c r="B73" s="112"/>
      <c r="C73" s="112"/>
      <c r="D73" s="112"/>
      <c r="E73" s="112"/>
      <c r="F73" s="112"/>
      <c r="G73" s="112"/>
      <c r="H73" s="112"/>
      <c r="I73" s="123" t="s">
        <v>4615</v>
      </c>
      <c r="J73" s="124">
        <v>126.91</v>
      </c>
      <c r="K73" s="112"/>
      <c r="L73" s="112"/>
      <c r="M73" s="112"/>
      <c r="N73" s="112">
        <v>5945.69</v>
      </c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AH73" s="112">
        <f t="shared" si="2"/>
        <v>0</v>
      </c>
    </row>
    <row r="74" s="112" customFormat="1" customHeight="1" spans="1:34">
      <c r="A74" s="112">
        <v>57</v>
      </c>
      <c r="B74" s="112"/>
      <c r="C74" s="112"/>
      <c r="D74" s="112"/>
      <c r="E74" s="112"/>
      <c r="F74" s="112"/>
      <c r="G74" s="112"/>
      <c r="H74" s="112"/>
      <c r="I74" s="127" t="s">
        <v>4616</v>
      </c>
      <c r="J74" s="124">
        <v>126.5</v>
      </c>
      <c r="K74" s="112"/>
      <c r="L74" s="112"/>
      <c r="M74" s="112"/>
      <c r="N74" s="112">
        <v>6009.69</v>
      </c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AH74" s="112">
        <f t="shared" si="2"/>
        <v>0</v>
      </c>
    </row>
    <row r="75" s="112" customFormat="1" customHeight="1" spans="1:34">
      <c r="A75" s="112">
        <v>58</v>
      </c>
      <c r="B75" s="112"/>
      <c r="C75" s="112"/>
      <c r="D75" s="112"/>
      <c r="E75" s="112"/>
      <c r="F75" s="112"/>
      <c r="G75" s="112"/>
      <c r="H75" s="112"/>
      <c r="I75" s="123" t="s">
        <v>4617</v>
      </c>
      <c r="J75" s="124">
        <v>126.91</v>
      </c>
      <c r="K75" s="112"/>
      <c r="L75" s="112"/>
      <c r="M75" s="112"/>
      <c r="N75" s="112">
        <v>5990.69</v>
      </c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AH75" s="112">
        <f t="shared" si="2"/>
        <v>0</v>
      </c>
    </row>
    <row r="76" s="112" customFormat="1" customHeight="1" spans="1:34">
      <c r="A76" s="112">
        <v>59</v>
      </c>
      <c r="B76" s="112"/>
      <c r="C76" s="112"/>
      <c r="D76" s="112"/>
      <c r="E76" s="112"/>
      <c r="F76" s="112"/>
      <c r="G76" s="112"/>
      <c r="H76" s="112"/>
      <c r="I76" s="127" t="s">
        <v>4618</v>
      </c>
      <c r="J76" s="124">
        <v>126.5</v>
      </c>
      <c r="K76" s="112"/>
      <c r="L76" s="112"/>
      <c r="M76" s="112"/>
      <c r="N76" s="112">
        <v>6034.69</v>
      </c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AH76" s="112">
        <f t="shared" si="2"/>
        <v>0</v>
      </c>
    </row>
    <row r="77" s="112" customFormat="1" customHeight="1" spans="1:34">
      <c r="A77" s="112">
        <v>60</v>
      </c>
      <c r="B77" s="112"/>
      <c r="C77" s="112"/>
      <c r="D77" s="112"/>
      <c r="E77" s="112"/>
      <c r="F77" s="112"/>
      <c r="G77" s="112"/>
      <c r="H77" s="112"/>
      <c r="I77" s="123" t="s">
        <v>4619</v>
      </c>
      <c r="J77" s="124">
        <v>126.91</v>
      </c>
      <c r="K77" s="112"/>
      <c r="L77" s="112"/>
      <c r="M77" s="112"/>
      <c r="N77" s="112">
        <v>6015.69</v>
      </c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AH77" s="112">
        <f t="shared" si="2"/>
        <v>0</v>
      </c>
    </row>
    <row r="78" s="112" customFormat="1" customHeight="1" spans="1:34">
      <c r="A78" s="112">
        <v>61</v>
      </c>
      <c r="B78" s="112"/>
      <c r="C78" s="112"/>
      <c r="D78" s="112"/>
      <c r="E78" s="112"/>
      <c r="F78" s="112"/>
      <c r="G78" s="112"/>
      <c r="H78" s="112"/>
      <c r="I78" s="127" t="s">
        <v>4620</v>
      </c>
      <c r="J78" s="124">
        <v>126.5</v>
      </c>
      <c r="K78" s="112"/>
      <c r="L78" s="112"/>
      <c r="M78" s="112"/>
      <c r="N78" s="112">
        <v>6059.69</v>
      </c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AH78" s="112">
        <f t="shared" si="2"/>
        <v>0</v>
      </c>
    </row>
    <row r="79" s="112" customFormat="1" customHeight="1" spans="1:34">
      <c r="A79" s="112">
        <v>62</v>
      </c>
      <c r="B79" s="112"/>
      <c r="C79" s="112"/>
      <c r="D79" s="112"/>
      <c r="E79" s="112"/>
      <c r="F79" s="112"/>
      <c r="G79" s="112"/>
      <c r="H79" s="112"/>
      <c r="I79" s="123" t="s">
        <v>4621</v>
      </c>
      <c r="J79" s="124">
        <v>126.91</v>
      </c>
      <c r="K79" s="112"/>
      <c r="L79" s="112"/>
      <c r="M79" s="112"/>
      <c r="N79" s="112">
        <v>6040.69</v>
      </c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AH79" s="112">
        <f t="shared" si="2"/>
        <v>0</v>
      </c>
    </row>
    <row r="80" s="112" customFormat="1" customHeight="1" spans="1:34">
      <c r="A80" s="112">
        <v>63</v>
      </c>
      <c r="B80" s="112"/>
      <c r="C80" s="112"/>
      <c r="D80" s="112"/>
      <c r="E80" s="112"/>
      <c r="F80" s="112"/>
      <c r="G80" s="112"/>
      <c r="H80" s="112"/>
      <c r="I80" s="127" t="s">
        <v>4622</v>
      </c>
      <c r="J80" s="124">
        <v>126.5</v>
      </c>
      <c r="K80" s="112"/>
      <c r="L80" s="112"/>
      <c r="M80" s="112"/>
      <c r="N80" s="112">
        <v>6079.69</v>
      </c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AH80" s="112">
        <f t="shared" si="2"/>
        <v>0</v>
      </c>
    </row>
    <row r="81" s="112" customFormat="1" customHeight="1" spans="1:34">
      <c r="A81" s="112">
        <v>64</v>
      </c>
      <c r="B81" s="112"/>
      <c r="C81" s="112"/>
      <c r="D81" s="112"/>
      <c r="E81" s="112"/>
      <c r="F81" s="112"/>
      <c r="G81" s="112"/>
      <c r="H81" s="112"/>
      <c r="I81" s="123" t="s">
        <v>4623</v>
      </c>
      <c r="J81" s="124">
        <v>126.91</v>
      </c>
      <c r="K81" s="112"/>
      <c r="L81" s="112"/>
      <c r="M81" s="112"/>
      <c r="N81" s="112">
        <v>6060.69</v>
      </c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AH81" s="112">
        <f t="shared" si="2"/>
        <v>0</v>
      </c>
    </row>
    <row r="82" s="112" customFormat="1" customHeight="1" spans="1:34">
      <c r="A82" s="112">
        <v>65</v>
      </c>
      <c r="B82" s="112"/>
      <c r="C82" s="112"/>
      <c r="D82" s="112"/>
      <c r="E82" s="112"/>
      <c r="F82" s="112"/>
      <c r="G82" s="112"/>
      <c r="H82" s="112"/>
      <c r="I82" s="127" t="s">
        <v>4624</v>
      </c>
      <c r="J82" s="124">
        <v>126.5</v>
      </c>
      <c r="K82" s="112"/>
      <c r="L82" s="112"/>
      <c r="M82" s="112"/>
      <c r="N82" s="112">
        <v>7089.31</v>
      </c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AH82" s="112">
        <f t="shared" si="2"/>
        <v>0</v>
      </c>
    </row>
    <row r="83" s="112" customFormat="1" customHeight="1" spans="1:34">
      <c r="A83" s="112">
        <v>66</v>
      </c>
      <c r="B83" s="112"/>
      <c r="C83" s="112"/>
      <c r="D83" s="112"/>
      <c r="E83" s="112"/>
      <c r="F83" s="112"/>
      <c r="G83" s="112"/>
      <c r="H83" s="112"/>
      <c r="I83" s="123" t="s">
        <v>4625</v>
      </c>
      <c r="J83" s="124">
        <v>126.91</v>
      </c>
      <c r="K83" s="112"/>
      <c r="L83" s="112"/>
      <c r="M83" s="112"/>
      <c r="N83" s="112">
        <v>7069.31</v>
      </c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AH83" s="112">
        <f t="shared" si="2"/>
        <v>0</v>
      </c>
    </row>
    <row r="84" s="112" customFormat="1" customHeight="1" spans="9:34">
      <c r="I84" s="123" t="s">
        <v>4626</v>
      </c>
      <c r="J84" s="124">
        <v>78.68</v>
      </c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AH84" s="112">
        <f t="shared" si="2"/>
        <v>0</v>
      </c>
    </row>
    <row r="85" s="112" customFormat="1" customHeight="1" spans="9:34">
      <c r="I85" s="123" t="s">
        <v>4627</v>
      </c>
      <c r="J85" s="124">
        <v>78.15</v>
      </c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AH85" s="112">
        <f t="shared" si="2"/>
        <v>0</v>
      </c>
    </row>
    <row r="86" s="112" customFormat="1" customHeight="1" spans="9:34">
      <c r="I86" s="123" t="s">
        <v>4628</v>
      </c>
      <c r="J86" s="124">
        <v>78.15</v>
      </c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AH86" s="112">
        <f t="shared" si="2"/>
        <v>0</v>
      </c>
    </row>
    <row r="87" s="112" customFormat="1" customHeight="1" spans="9:34">
      <c r="I87" s="123" t="s">
        <v>4629</v>
      </c>
      <c r="J87" s="124">
        <v>78.52</v>
      </c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AH87" s="112">
        <f t="shared" si="2"/>
        <v>0</v>
      </c>
    </row>
    <row r="88" s="112" customFormat="1" customHeight="1" spans="9:34">
      <c r="I88" s="123" t="s">
        <v>4630</v>
      </c>
      <c r="J88" s="124">
        <v>104.31</v>
      </c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AH88" s="112">
        <f t="shared" si="2"/>
        <v>0</v>
      </c>
    </row>
    <row r="89" s="112" customFormat="1" customHeight="1" spans="9:34">
      <c r="I89" s="123" t="s">
        <v>4631</v>
      </c>
      <c r="J89" s="124">
        <v>85.91</v>
      </c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AH89" s="112">
        <f t="shared" si="2"/>
        <v>0</v>
      </c>
    </row>
    <row r="90" s="112" customFormat="1" customHeight="1" spans="9:34">
      <c r="I90" s="123" t="s">
        <v>4632</v>
      </c>
      <c r="J90" s="124">
        <v>21.19</v>
      </c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AH90" s="112">
        <f t="shared" si="2"/>
        <v>0</v>
      </c>
    </row>
    <row r="91" s="112" customFormat="1" customHeight="1" spans="9:34">
      <c r="I91" s="123" t="s">
        <v>4633</v>
      </c>
      <c r="J91" s="124">
        <v>15.97</v>
      </c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AH91" s="112">
        <f t="shared" si="2"/>
        <v>0</v>
      </c>
    </row>
    <row r="92" s="112" customFormat="1" customHeight="1" spans="9:34">
      <c r="I92" s="123" t="s">
        <v>4634</v>
      </c>
      <c r="J92" s="124">
        <v>29.72</v>
      </c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AH92" s="112">
        <f t="shared" si="2"/>
        <v>0</v>
      </c>
    </row>
    <row r="93" s="112" customFormat="1" customHeight="1" spans="9:34">
      <c r="I93" s="123" t="s">
        <v>4635</v>
      </c>
      <c r="J93" s="124">
        <v>29.65</v>
      </c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AH93" s="112">
        <f t="shared" si="2"/>
        <v>0</v>
      </c>
    </row>
    <row r="94" s="112" customFormat="1" customHeight="1" spans="9:34">
      <c r="I94" s="123" t="s">
        <v>4636</v>
      </c>
      <c r="J94" s="124">
        <v>15.52</v>
      </c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AH94" s="112">
        <f t="shared" si="2"/>
        <v>0</v>
      </c>
    </row>
    <row r="95" s="112" customFormat="1" customHeight="1" spans="9:34">
      <c r="I95" s="123" t="s">
        <v>4637</v>
      </c>
      <c r="J95" s="124">
        <v>19.57</v>
      </c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AH95" s="112">
        <f t="shared" si="2"/>
        <v>0</v>
      </c>
    </row>
    <row r="96" s="112" customFormat="1" customHeight="1" spans="9:34">
      <c r="I96" s="123" t="s">
        <v>4638</v>
      </c>
      <c r="J96" s="124">
        <v>38.77</v>
      </c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AH96" s="112">
        <f t="shared" si="2"/>
        <v>0</v>
      </c>
    </row>
    <row r="97" s="112" customFormat="1" customHeight="1" spans="9:34">
      <c r="I97" s="123" t="s">
        <v>4639</v>
      </c>
      <c r="J97" s="124">
        <v>37.95</v>
      </c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AH97" s="112">
        <f t="shared" si="2"/>
        <v>0</v>
      </c>
    </row>
    <row r="98" s="112" customFormat="1" customHeight="1" spans="9:34">
      <c r="I98" s="123" t="s">
        <v>4640</v>
      </c>
      <c r="J98" s="124">
        <v>37.95</v>
      </c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AH98" s="112">
        <f t="shared" si="2"/>
        <v>0</v>
      </c>
    </row>
    <row r="99" s="112" customFormat="1" customHeight="1" spans="9:34">
      <c r="I99" s="123" t="s">
        <v>4641</v>
      </c>
      <c r="J99" s="124">
        <v>38.77</v>
      </c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AH99" s="112">
        <f t="shared" si="2"/>
        <v>0</v>
      </c>
    </row>
    <row r="100" s="112" customFormat="1" customHeight="1" spans="9:34">
      <c r="I100" s="123" t="s">
        <v>4642</v>
      </c>
      <c r="J100" s="124">
        <v>22.49</v>
      </c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AH100" s="112">
        <f t="shared" si="2"/>
        <v>0</v>
      </c>
    </row>
    <row r="101" s="112" customFormat="1" customHeight="1" spans="9:34">
      <c r="I101" s="123" t="s">
        <v>4643</v>
      </c>
      <c r="J101" s="124">
        <v>19.2</v>
      </c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AH101" s="112">
        <f t="shared" ref="AH101:AH132" si="3">V101+X101+Z101+AB101+AD101+AF101</f>
        <v>0</v>
      </c>
    </row>
    <row r="102" s="112" customFormat="1" customHeight="1" spans="1:34">
      <c r="A102" s="112">
        <v>1</v>
      </c>
      <c r="B102" s="112"/>
      <c r="C102" s="112"/>
      <c r="D102" s="112"/>
      <c r="E102" s="112"/>
      <c r="F102" s="112"/>
      <c r="G102" s="112"/>
      <c r="H102" s="112"/>
      <c r="I102" s="123" t="s">
        <v>4644</v>
      </c>
      <c r="J102" s="124">
        <v>123.68</v>
      </c>
      <c r="K102" s="112"/>
      <c r="L102" s="112"/>
      <c r="M102" s="112"/>
      <c r="N102" s="112">
        <v>8231.43</v>
      </c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AH102" s="112">
        <f t="shared" si="3"/>
        <v>0</v>
      </c>
    </row>
    <row r="103" s="112" customFormat="1" customHeight="1" spans="1:34">
      <c r="A103" s="112">
        <v>2</v>
      </c>
      <c r="B103" s="112"/>
      <c r="C103" s="112"/>
      <c r="D103" s="112"/>
      <c r="E103" s="112"/>
      <c r="F103" s="112"/>
      <c r="G103" s="112"/>
      <c r="H103" s="112"/>
      <c r="I103" s="127" t="s">
        <v>4645</v>
      </c>
      <c r="J103" s="124">
        <v>123.1</v>
      </c>
      <c r="K103" s="112"/>
      <c r="L103" s="112"/>
      <c r="M103" s="112"/>
      <c r="N103" s="112">
        <v>8250.43</v>
      </c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AH103" s="112">
        <f t="shared" si="3"/>
        <v>0</v>
      </c>
    </row>
    <row r="104" s="112" customFormat="1" customHeight="1" spans="1:34">
      <c r="A104" s="112">
        <v>3</v>
      </c>
      <c r="B104" s="112"/>
      <c r="C104" s="112"/>
      <c r="D104" s="112"/>
      <c r="E104" s="112"/>
      <c r="F104" s="112"/>
      <c r="G104" s="112"/>
      <c r="H104" s="112"/>
      <c r="I104" s="123" t="s">
        <v>4646</v>
      </c>
      <c r="J104" s="124">
        <v>134.8</v>
      </c>
      <c r="K104" s="112"/>
      <c r="L104" s="112"/>
      <c r="M104" s="112"/>
      <c r="N104" s="112">
        <v>5755.06</v>
      </c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AH104" s="112">
        <f t="shared" si="3"/>
        <v>0</v>
      </c>
    </row>
    <row r="105" s="112" customFormat="1" customHeight="1" spans="1:34">
      <c r="A105" s="112">
        <v>4</v>
      </c>
      <c r="B105" s="112"/>
      <c r="C105" s="112"/>
      <c r="D105" s="112"/>
      <c r="E105" s="112"/>
      <c r="F105" s="112"/>
      <c r="G105" s="112"/>
      <c r="H105" s="112"/>
      <c r="I105" s="127" t="s">
        <v>4647</v>
      </c>
      <c r="J105" s="124">
        <v>133.94</v>
      </c>
      <c r="K105" s="112"/>
      <c r="L105" s="112"/>
      <c r="M105" s="112"/>
      <c r="N105" s="112">
        <v>5774.06</v>
      </c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AH105" s="112">
        <f t="shared" si="3"/>
        <v>0</v>
      </c>
    </row>
    <row r="106" s="112" customFormat="1" customHeight="1" spans="1:34">
      <c r="A106" s="112">
        <v>5</v>
      </c>
      <c r="B106" s="112"/>
      <c r="C106" s="112"/>
      <c r="D106" s="112"/>
      <c r="E106" s="112"/>
      <c r="F106" s="112"/>
      <c r="G106" s="112"/>
      <c r="H106" s="112"/>
      <c r="I106" s="123" t="s">
        <v>4648</v>
      </c>
      <c r="J106" s="124">
        <v>134.8</v>
      </c>
      <c r="K106" s="112"/>
      <c r="L106" s="112"/>
      <c r="M106" s="112"/>
      <c r="N106" s="112">
        <v>5809.72</v>
      </c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AH106" s="112">
        <f t="shared" si="3"/>
        <v>0</v>
      </c>
    </row>
    <row r="107" s="112" customFormat="1" customHeight="1" spans="1:34">
      <c r="A107" s="112">
        <v>6</v>
      </c>
      <c r="B107" s="112"/>
      <c r="C107" s="112"/>
      <c r="D107" s="112"/>
      <c r="E107" s="112"/>
      <c r="F107" s="112"/>
      <c r="G107" s="112"/>
      <c r="H107" s="112"/>
      <c r="I107" s="127" t="s">
        <v>4649</v>
      </c>
      <c r="J107" s="124">
        <v>133.94</v>
      </c>
      <c r="K107" s="112"/>
      <c r="L107" s="112"/>
      <c r="M107" s="112"/>
      <c r="N107" s="112">
        <v>5828.72</v>
      </c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AH107" s="112">
        <f t="shared" si="3"/>
        <v>0</v>
      </c>
    </row>
    <row r="108" s="112" customFormat="1" customHeight="1" spans="1:34">
      <c r="A108" s="112">
        <v>7</v>
      </c>
      <c r="B108" s="112"/>
      <c r="C108" s="112"/>
      <c r="D108" s="112"/>
      <c r="E108" s="112"/>
      <c r="F108" s="112"/>
      <c r="G108" s="112"/>
      <c r="H108" s="112"/>
      <c r="I108" s="123" t="s">
        <v>4650</v>
      </c>
      <c r="J108" s="124">
        <v>134.8</v>
      </c>
      <c r="K108" s="112"/>
      <c r="L108" s="112"/>
      <c r="M108" s="112"/>
      <c r="N108" s="112">
        <v>5842.32</v>
      </c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AH108" s="112">
        <f t="shared" si="3"/>
        <v>0</v>
      </c>
    </row>
    <row r="109" s="112" customFormat="1" customHeight="1" spans="1:34">
      <c r="A109" s="112">
        <v>8</v>
      </c>
      <c r="B109" s="112"/>
      <c r="C109" s="112"/>
      <c r="D109" s="112"/>
      <c r="E109" s="112"/>
      <c r="F109" s="112"/>
      <c r="G109" s="112"/>
      <c r="H109" s="112"/>
      <c r="I109" s="127" t="s">
        <v>4651</v>
      </c>
      <c r="J109" s="124">
        <v>133.94</v>
      </c>
      <c r="K109" s="112"/>
      <c r="L109" s="112"/>
      <c r="M109" s="112"/>
      <c r="N109" s="112">
        <v>5861.32</v>
      </c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AH109" s="112">
        <f t="shared" si="3"/>
        <v>0</v>
      </c>
    </row>
    <row r="110" s="112" customFormat="1" customHeight="1" spans="1:34">
      <c r="A110" s="112">
        <v>9</v>
      </c>
      <c r="B110" s="112"/>
      <c r="C110" s="112"/>
      <c r="D110" s="112"/>
      <c r="E110" s="112"/>
      <c r="F110" s="112"/>
      <c r="G110" s="112"/>
      <c r="H110" s="112"/>
      <c r="I110" s="123" t="s">
        <v>4652</v>
      </c>
      <c r="J110" s="124">
        <v>134.8</v>
      </c>
      <c r="K110" s="112"/>
      <c r="L110" s="112"/>
      <c r="M110" s="112"/>
      <c r="N110" s="112">
        <v>5916.67</v>
      </c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AH110" s="112">
        <f t="shared" si="3"/>
        <v>0</v>
      </c>
    </row>
    <row r="111" s="112" customFormat="1" customHeight="1" spans="1:34">
      <c r="A111" s="112">
        <v>10</v>
      </c>
      <c r="B111" s="112"/>
      <c r="C111" s="112"/>
      <c r="D111" s="112"/>
      <c r="E111" s="112"/>
      <c r="F111" s="112"/>
      <c r="G111" s="112"/>
      <c r="H111" s="112"/>
      <c r="I111" s="127" t="s">
        <v>4653</v>
      </c>
      <c r="J111" s="124">
        <v>133.94</v>
      </c>
      <c r="K111" s="112"/>
      <c r="L111" s="112"/>
      <c r="M111" s="112"/>
      <c r="N111" s="112">
        <v>5935.67</v>
      </c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AH111" s="112">
        <f t="shared" si="3"/>
        <v>0</v>
      </c>
    </row>
    <row r="112" s="112" customFormat="1" customHeight="1" spans="1:34">
      <c r="A112" s="112">
        <v>11</v>
      </c>
      <c r="B112" s="112"/>
      <c r="C112" s="112"/>
      <c r="D112" s="112"/>
      <c r="E112" s="112"/>
      <c r="F112" s="112"/>
      <c r="G112" s="112"/>
      <c r="H112" s="112"/>
      <c r="I112" s="123" t="s">
        <v>4654</v>
      </c>
      <c r="J112" s="124">
        <v>134.8</v>
      </c>
      <c r="K112" s="112"/>
      <c r="L112" s="112"/>
      <c r="M112" s="112"/>
      <c r="N112" s="112">
        <v>5985.59</v>
      </c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AH112" s="112">
        <f t="shared" si="3"/>
        <v>0</v>
      </c>
    </row>
    <row r="113" s="112" customFormat="1" customHeight="1" spans="1:34">
      <c r="A113" s="112">
        <v>12</v>
      </c>
      <c r="B113" s="112"/>
      <c r="C113" s="112"/>
      <c r="D113" s="112"/>
      <c r="E113" s="112"/>
      <c r="F113" s="112"/>
      <c r="G113" s="112"/>
      <c r="H113" s="112"/>
      <c r="I113" s="123" t="s">
        <v>4655</v>
      </c>
      <c r="J113" s="124">
        <v>133.94</v>
      </c>
      <c r="K113" s="112"/>
      <c r="L113" s="112"/>
      <c r="M113" s="112"/>
      <c r="N113" s="112">
        <v>6004.59</v>
      </c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AH113" s="112">
        <f t="shared" si="3"/>
        <v>0</v>
      </c>
    </row>
    <row r="114" s="112" customFormat="1" customHeight="1" spans="1:34">
      <c r="A114" s="112">
        <v>13</v>
      </c>
      <c r="B114" s="112"/>
      <c r="C114" s="112"/>
      <c r="D114" s="112"/>
      <c r="E114" s="112"/>
      <c r="F114" s="112"/>
      <c r="G114" s="112"/>
      <c r="H114" s="112"/>
      <c r="I114" s="127" t="s">
        <v>4656</v>
      </c>
      <c r="J114" s="124">
        <v>134.8</v>
      </c>
      <c r="K114" s="112"/>
      <c r="L114" s="112"/>
      <c r="M114" s="112"/>
      <c r="N114" s="112">
        <v>6034.5</v>
      </c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AH114" s="112">
        <f t="shared" si="3"/>
        <v>0</v>
      </c>
    </row>
    <row r="115" s="112" customFormat="1" customHeight="1" spans="1:34">
      <c r="A115" s="112">
        <v>14</v>
      </c>
      <c r="B115" s="112"/>
      <c r="C115" s="112"/>
      <c r="D115" s="112"/>
      <c r="E115" s="112"/>
      <c r="F115" s="112"/>
      <c r="G115" s="112"/>
      <c r="H115" s="112"/>
      <c r="I115" s="127" t="s">
        <v>4657</v>
      </c>
      <c r="J115" s="124">
        <v>133.94</v>
      </c>
      <c r="K115" s="112"/>
      <c r="L115" s="112"/>
      <c r="M115" s="112"/>
      <c r="N115" s="112">
        <v>6053.5</v>
      </c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AH115" s="112">
        <f t="shared" si="3"/>
        <v>0</v>
      </c>
    </row>
    <row r="116" s="112" customFormat="1" customHeight="1" spans="1:34">
      <c r="A116" s="112">
        <v>15</v>
      </c>
      <c r="B116" s="112"/>
      <c r="C116" s="112"/>
      <c r="D116" s="112"/>
      <c r="E116" s="112"/>
      <c r="F116" s="112"/>
      <c r="G116" s="112"/>
      <c r="H116" s="112"/>
      <c r="I116" s="127" t="s">
        <v>4658</v>
      </c>
      <c r="J116" s="124">
        <v>134.8</v>
      </c>
      <c r="K116" s="112"/>
      <c r="L116" s="112"/>
      <c r="M116" s="112"/>
      <c r="N116" s="112">
        <v>6061.67</v>
      </c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AH116" s="112">
        <f t="shared" si="3"/>
        <v>0</v>
      </c>
    </row>
    <row r="117" s="112" customFormat="1" customHeight="1" spans="1:34">
      <c r="A117" s="112">
        <v>16</v>
      </c>
      <c r="B117" s="112"/>
      <c r="C117" s="112"/>
      <c r="D117" s="112"/>
      <c r="E117" s="112"/>
      <c r="F117" s="112"/>
      <c r="G117" s="112"/>
      <c r="H117" s="112"/>
      <c r="I117" s="127" t="s">
        <v>4659</v>
      </c>
      <c r="J117" s="124">
        <v>133.94</v>
      </c>
      <c r="K117" s="112"/>
      <c r="L117" s="112"/>
      <c r="M117" s="112"/>
      <c r="N117" s="112">
        <v>6080.67</v>
      </c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AH117" s="112">
        <f t="shared" si="3"/>
        <v>0</v>
      </c>
    </row>
    <row r="118" s="112" customFormat="1" customHeight="1" spans="1:34">
      <c r="A118" s="112">
        <v>17</v>
      </c>
      <c r="B118" s="112"/>
      <c r="C118" s="112"/>
      <c r="D118" s="112"/>
      <c r="E118" s="112"/>
      <c r="F118" s="112"/>
      <c r="G118" s="112"/>
      <c r="H118" s="112"/>
      <c r="I118" s="123" t="s">
        <v>4660</v>
      </c>
      <c r="J118" s="124">
        <v>134.8</v>
      </c>
      <c r="K118" s="112"/>
      <c r="L118" s="112"/>
      <c r="M118" s="112"/>
      <c r="N118" s="112">
        <v>6090.59</v>
      </c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AH118" s="112">
        <f t="shared" si="3"/>
        <v>0</v>
      </c>
    </row>
    <row r="119" s="112" customFormat="1" customHeight="1" spans="1:34">
      <c r="A119" s="112">
        <v>18</v>
      </c>
      <c r="B119" s="112"/>
      <c r="C119" s="112"/>
      <c r="D119" s="112"/>
      <c r="E119" s="112"/>
      <c r="F119" s="112"/>
      <c r="G119" s="112"/>
      <c r="H119" s="112"/>
      <c r="I119" s="127" t="s">
        <v>4661</v>
      </c>
      <c r="J119" s="124">
        <v>133.94</v>
      </c>
      <c r="K119" s="112"/>
      <c r="L119" s="112"/>
      <c r="M119" s="112"/>
      <c r="N119" s="112">
        <v>6109.59</v>
      </c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AH119" s="112">
        <f t="shared" si="3"/>
        <v>0</v>
      </c>
    </row>
    <row r="120" s="112" customFormat="1" customHeight="1" spans="1:34">
      <c r="A120" s="112">
        <v>19</v>
      </c>
      <c r="B120" s="112"/>
      <c r="C120" s="112"/>
      <c r="D120" s="112"/>
      <c r="E120" s="112"/>
      <c r="F120" s="112"/>
      <c r="G120" s="112"/>
      <c r="H120" s="112"/>
      <c r="I120" s="123" t="s">
        <v>4662</v>
      </c>
      <c r="J120" s="124">
        <v>134.8</v>
      </c>
      <c r="K120" s="112"/>
      <c r="L120" s="112"/>
      <c r="M120" s="112"/>
      <c r="N120" s="112">
        <v>6112.32</v>
      </c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AH120" s="112">
        <f t="shared" si="3"/>
        <v>0</v>
      </c>
    </row>
    <row r="121" s="112" customFormat="1" customHeight="1" spans="1:34">
      <c r="A121" s="112">
        <v>20</v>
      </c>
      <c r="B121" s="112"/>
      <c r="C121" s="112"/>
      <c r="D121" s="112"/>
      <c r="E121" s="112"/>
      <c r="F121" s="112"/>
      <c r="G121" s="112"/>
      <c r="H121" s="112"/>
      <c r="I121" s="127" t="s">
        <v>4663</v>
      </c>
      <c r="J121" s="124">
        <v>133.94</v>
      </c>
      <c r="K121" s="112"/>
      <c r="L121" s="112"/>
      <c r="M121" s="112"/>
      <c r="N121" s="112">
        <v>6131.32</v>
      </c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AH121" s="112">
        <f t="shared" si="3"/>
        <v>0</v>
      </c>
    </row>
    <row r="122" s="112" customFormat="1" customHeight="1" spans="1:34">
      <c r="A122" s="112">
        <v>21</v>
      </c>
      <c r="B122" s="112"/>
      <c r="C122" s="112"/>
      <c r="D122" s="112"/>
      <c r="E122" s="112"/>
      <c r="F122" s="112"/>
      <c r="G122" s="112"/>
      <c r="H122" s="112"/>
      <c r="I122" s="123" t="s">
        <v>4664</v>
      </c>
      <c r="J122" s="124">
        <v>134.8</v>
      </c>
      <c r="K122" s="112"/>
      <c r="L122" s="112"/>
      <c r="M122" s="112"/>
      <c r="N122" s="112">
        <v>7120.43</v>
      </c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AH122" s="112">
        <f t="shared" si="3"/>
        <v>0</v>
      </c>
    </row>
    <row r="123" s="112" customFormat="1" customHeight="1" spans="1:34">
      <c r="A123" s="112">
        <v>22</v>
      </c>
      <c r="B123" s="112"/>
      <c r="C123" s="112"/>
      <c r="D123" s="112"/>
      <c r="E123" s="112"/>
      <c r="F123" s="112"/>
      <c r="G123" s="112"/>
      <c r="H123" s="112"/>
      <c r="I123" s="127" t="s">
        <v>4665</v>
      </c>
      <c r="J123" s="124">
        <v>133.94</v>
      </c>
      <c r="K123" s="112"/>
      <c r="L123" s="112"/>
      <c r="M123" s="112"/>
      <c r="N123" s="112">
        <v>7137.43</v>
      </c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AH123" s="112">
        <f t="shared" si="3"/>
        <v>0</v>
      </c>
    </row>
    <row r="124" s="112" customFormat="1" customHeight="1" spans="1:34">
      <c r="A124" s="112">
        <v>23</v>
      </c>
      <c r="B124" s="112"/>
      <c r="C124" s="112"/>
      <c r="D124" s="112"/>
      <c r="E124" s="112"/>
      <c r="F124" s="112"/>
      <c r="G124" s="112"/>
      <c r="H124" s="112"/>
      <c r="I124" s="123" t="s">
        <v>4666</v>
      </c>
      <c r="J124" s="124">
        <v>122.81</v>
      </c>
      <c r="K124" s="112"/>
      <c r="L124" s="112"/>
      <c r="M124" s="112"/>
      <c r="N124" s="112">
        <v>8260.43</v>
      </c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AH124" s="112">
        <f t="shared" si="3"/>
        <v>0</v>
      </c>
    </row>
    <row r="125" s="112" customFormat="1" customHeight="1" spans="1:34">
      <c r="A125" s="112">
        <v>24</v>
      </c>
      <c r="B125" s="112"/>
      <c r="C125" s="112"/>
      <c r="D125" s="112"/>
      <c r="E125" s="112"/>
      <c r="F125" s="112"/>
      <c r="G125" s="112"/>
      <c r="H125" s="112"/>
      <c r="I125" s="127" t="s">
        <v>4667</v>
      </c>
      <c r="J125" s="124">
        <v>123.98</v>
      </c>
      <c r="K125" s="112"/>
      <c r="L125" s="112"/>
      <c r="M125" s="112"/>
      <c r="N125" s="112">
        <v>8265.43</v>
      </c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AH125" s="112">
        <f t="shared" si="3"/>
        <v>0</v>
      </c>
    </row>
    <row r="126" s="112" customFormat="1" customHeight="1" spans="1:34">
      <c r="A126" s="112">
        <v>25</v>
      </c>
      <c r="B126" s="112"/>
      <c r="C126" s="112"/>
      <c r="D126" s="112"/>
      <c r="E126" s="112"/>
      <c r="F126" s="112"/>
      <c r="G126" s="112"/>
      <c r="H126" s="112"/>
      <c r="I126" s="123" t="s">
        <v>4668</v>
      </c>
      <c r="J126" s="124">
        <v>133.94</v>
      </c>
      <c r="K126" s="112"/>
      <c r="L126" s="112"/>
      <c r="M126" s="112"/>
      <c r="N126" s="112">
        <v>5784.06</v>
      </c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AH126" s="112">
        <f t="shared" si="3"/>
        <v>0</v>
      </c>
    </row>
    <row r="127" s="112" customFormat="1" customHeight="1" spans="1:34">
      <c r="A127" s="112">
        <v>26</v>
      </c>
      <c r="B127" s="112"/>
      <c r="C127" s="112"/>
      <c r="D127" s="112"/>
      <c r="E127" s="112"/>
      <c r="F127" s="112"/>
      <c r="G127" s="112"/>
      <c r="H127" s="112"/>
      <c r="I127" s="127" t="s">
        <v>4669</v>
      </c>
      <c r="J127" s="124">
        <v>134.8</v>
      </c>
      <c r="K127" s="112"/>
      <c r="L127" s="112"/>
      <c r="M127" s="112"/>
      <c r="N127" s="112">
        <v>5789.06</v>
      </c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AH127" s="112">
        <f t="shared" si="3"/>
        <v>0</v>
      </c>
    </row>
    <row r="128" s="112" customFormat="1" customHeight="1" spans="1:34">
      <c r="A128" s="112">
        <v>27</v>
      </c>
      <c r="B128" s="112"/>
      <c r="C128" s="112"/>
      <c r="D128" s="112"/>
      <c r="E128" s="112"/>
      <c r="F128" s="112"/>
      <c r="G128" s="112"/>
      <c r="H128" s="112"/>
      <c r="I128" s="123" t="s">
        <v>4670</v>
      </c>
      <c r="J128" s="124">
        <v>133.94</v>
      </c>
      <c r="K128" s="112"/>
      <c r="L128" s="112"/>
      <c r="M128" s="112"/>
      <c r="N128" s="112">
        <v>5838.72</v>
      </c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AH128" s="112">
        <f t="shared" si="3"/>
        <v>0</v>
      </c>
    </row>
    <row r="129" s="112" customFormat="1" customHeight="1" spans="1:34">
      <c r="A129" s="112">
        <v>28</v>
      </c>
      <c r="B129" s="112"/>
      <c r="C129" s="112"/>
      <c r="D129" s="112"/>
      <c r="E129" s="112"/>
      <c r="F129" s="112"/>
      <c r="G129" s="112"/>
      <c r="H129" s="112"/>
      <c r="I129" s="123" t="s">
        <v>4671</v>
      </c>
      <c r="J129" s="124">
        <v>134.8</v>
      </c>
      <c r="K129" s="112"/>
      <c r="L129" s="112"/>
      <c r="M129" s="112"/>
      <c r="N129" s="112">
        <v>5843.72</v>
      </c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AH129" s="112">
        <f t="shared" si="3"/>
        <v>0</v>
      </c>
    </row>
    <row r="130" s="112" customFormat="1" customHeight="1" spans="1:34">
      <c r="A130" s="112">
        <v>29</v>
      </c>
      <c r="B130" s="112"/>
      <c r="C130" s="112"/>
      <c r="D130" s="112"/>
      <c r="E130" s="112"/>
      <c r="F130" s="112"/>
      <c r="G130" s="112"/>
      <c r="H130" s="112"/>
      <c r="I130" s="127" t="s">
        <v>4672</v>
      </c>
      <c r="J130" s="124">
        <v>133.94</v>
      </c>
      <c r="K130" s="112"/>
      <c r="L130" s="112"/>
      <c r="M130" s="112"/>
      <c r="N130" s="112">
        <v>5871.32</v>
      </c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AH130" s="112">
        <f t="shared" si="3"/>
        <v>0</v>
      </c>
    </row>
    <row r="131" s="112" customFormat="1" customHeight="1" spans="1:34">
      <c r="A131" s="112">
        <v>30</v>
      </c>
      <c r="B131" s="112"/>
      <c r="C131" s="112"/>
      <c r="D131" s="112"/>
      <c r="E131" s="112"/>
      <c r="F131" s="112"/>
      <c r="G131" s="112"/>
      <c r="H131" s="112"/>
      <c r="I131" s="127" t="s">
        <v>4673</v>
      </c>
      <c r="J131" s="124">
        <v>134.8</v>
      </c>
      <c r="K131" s="112"/>
      <c r="L131" s="112"/>
      <c r="M131" s="112"/>
      <c r="N131" s="112">
        <v>5876.32</v>
      </c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AH131" s="112">
        <f t="shared" si="3"/>
        <v>0</v>
      </c>
    </row>
    <row r="132" s="112" customFormat="1" customHeight="1" spans="1:34">
      <c r="A132" s="112">
        <v>31</v>
      </c>
      <c r="B132" s="112"/>
      <c r="C132" s="112"/>
      <c r="D132" s="112"/>
      <c r="E132" s="112"/>
      <c r="F132" s="112"/>
      <c r="G132" s="112"/>
      <c r="H132" s="112"/>
      <c r="I132" s="127" t="s">
        <v>4674</v>
      </c>
      <c r="J132" s="124">
        <v>133.94</v>
      </c>
      <c r="K132" s="112"/>
      <c r="L132" s="112"/>
      <c r="M132" s="112"/>
      <c r="N132" s="112">
        <v>5945.67</v>
      </c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AH132" s="112">
        <f t="shared" si="3"/>
        <v>0</v>
      </c>
    </row>
    <row r="133" s="112" customFormat="1" customHeight="1" spans="1:34">
      <c r="A133" s="112">
        <v>32</v>
      </c>
      <c r="B133" s="112"/>
      <c r="C133" s="112"/>
      <c r="D133" s="112"/>
      <c r="E133" s="112"/>
      <c r="F133" s="112"/>
      <c r="G133" s="112"/>
      <c r="H133" s="112"/>
      <c r="I133" s="127" t="s">
        <v>4675</v>
      </c>
      <c r="J133" s="124">
        <v>134.8</v>
      </c>
      <c r="K133" s="112"/>
      <c r="L133" s="112"/>
      <c r="M133" s="112"/>
      <c r="N133" s="112">
        <v>5950.67</v>
      </c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AH133" s="112">
        <f t="shared" ref="AH133:AH167" si="4">V133+X133+Z133+AB133+AD133+AF133</f>
        <v>0</v>
      </c>
    </row>
    <row r="134" s="112" customFormat="1" customHeight="1" spans="1:34">
      <c r="A134" s="112">
        <v>33</v>
      </c>
      <c r="B134" s="112"/>
      <c r="C134" s="112"/>
      <c r="D134" s="112"/>
      <c r="E134" s="112"/>
      <c r="F134" s="112"/>
      <c r="G134" s="112"/>
      <c r="H134" s="112"/>
      <c r="I134" s="127" t="s">
        <v>4676</v>
      </c>
      <c r="J134" s="124">
        <v>133.94</v>
      </c>
      <c r="K134" s="112"/>
      <c r="L134" s="112"/>
      <c r="M134" s="112"/>
      <c r="N134" s="112">
        <v>6014.59</v>
      </c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AH134" s="112">
        <f t="shared" si="4"/>
        <v>0</v>
      </c>
    </row>
    <row r="135" s="112" customFormat="1" customHeight="1" spans="1:34">
      <c r="A135" s="112">
        <v>34</v>
      </c>
      <c r="B135" s="112"/>
      <c r="C135" s="112"/>
      <c r="D135" s="112"/>
      <c r="E135" s="112"/>
      <c r="F135" s="112"/>
      <c r="G135" s="112"/>
      <c r="H135" s="112"/>
      <c r="I135" s="127" t="s">
        <v>4677</v>
      </c>
      <c r="J135" s="124">
        <v>134.8</v>
      </c>
      <c r="K135" s="112"/>
      <c r="L135" s="112"/>
      <c r="M135" s="112"/>
      <c r="N135" s="112">
        <v>6019.59</v>
      </c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AH135" s="112">
        <f t="shared" si="4"/>
        <v>0</v>
      </c>
    </row>
    <row r="136" s="112" customFormat="1" customHeight="1" spans="1:34">
      <c r="A136" s="112">
        <v>35</v>
      </c>
      <c r="B136" s="112"/>
      <c r="C136" s="112"/>
      <c r="D136" s="112"/>
      <c r="E136" s="112"/>
      <c r="F136" s="112"/>
      <c r="G136" s="112"/>
      <c r="H136" s="112"/>
      <c r="I136" s="127" t="s">
        <v>4678</v>
      </c>
      <c r="J136" s="124">
        <v>133.94</v>
      </c>
      <c r="K136" s="112"/>
      <c r="L136" s="112"/>
      <c r="M136" s="112"/>
      <c r="N136" s="112">
        <v>6063.5</v>
      </c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AH136" s="112">
        <f t="shared" si="4"/>
        <v>0</v>
      </c>
    </row>
    <row r="137" s="112" customFormat="1" customHeight="1" spans="1:34">
      <c r="A137" s="112">
        <v>36</v>
      </c>
      <c r="B137" s="112"/>
      <c r="C137" s="112"/>
      <c r="D137" s="112"/>
      <c r="E137" s="112"/>
      <c r="F137" s="112"/>
      <c r="G137" s="112"/>
      <c r="H137" s="112"/>
      <c r="I137" s="127" t="s">
        <v>4679</v>
      </c>
      <c r="J137" s="124">
        <v>134.8</v>
      </c>
      <c r="K137" s="112"/>
      <c r="L137" s="112"/>
      <c r="M137" s="112"/>
      <c r="N137" s="112">
        <v>6068.5</v>
      </c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AH137" s="112">
        <f t="shared" si="4"/>
        <v>0</v>
      </c>
    </row>
    <row r="138" s="112" customFormat="1" customHeight="1" spans="1:34">
      <c r="A138" s="112">
        <v>37</v>
      </c>
      <c r="B138" s="112"/>
      <c r="C138" s="112"/>
      <c r="D138" s="112"/>
      <c r="E138" s="112"/>
      <c r="F138" s="112"/>
      <c r="G138" s="112"/>
      <c r="H138" s="112"/>
      <c r="I138" s="127" t="s">
        <v>4680</v>
      </c>
      <c r="J138" s="124">
        <v>133.94</v>
      </c>
      <c r="K138" s="112"/>
      <c r="L138" s="112"/>
      <c r="M138" s="112"/>
      <c r="N138" s="112">
        <v>6090.67</v>
      </c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AH138" s="112">
        <f t="shared" si="4"/>
        <v>0</v>
      </c>
    </row>
    <row r="139" s="112" customFormat="1" customHeight="1" spans="1:34">
      <c r="A139" s="112">
        <v>38</v>
      </c>
      <c r="B139" s="112"/>
      <c r="C139" s="112"/>
      <c r="D139" s="112"/>
      <c r="E139" s="112"/>
      <c r="F139" s="112"/>
      <c r="G139" s="112"/>
      <c r="H139" s="112"/>
      <c r="I139" s="127" t="s">
        <v>4681</v>
      </c>
      <c r="J139" s="124">
        <v>134.8</v>
      </c>
      <c r="K139" s="112"/>
      <c r="L139" s="112"/>
      <c r="M139" s="112"/>
      <c r="N139" s="112">
        <v>6095.67</v>
      </c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AH139" s="112">
        <f t="shared" si="4"/>
        <v>0</v>
      </c>
    </row>
    <row r="140" s="112" customFormat="1" customHeight="1" spans="1:34">
      <c r="A140" s="112">
        <v>39</v>
      </c>
      <c r="B140" s="112"/>
      <c r="C140" s="112"/>
      <c r="D140" s="112"/>
      <c r="E140" s="112"/>
      <c r="F140" s="112"/>
      <c r="G140" s="112"/>
      <c r="H140" s="112"/>
      <c r="I140" s="127" t="s">
        <v>4682</v>
      </c>
      <c r="J140" s="124">
        <v>133.94</v>
      </c>
      <c r="K140" s="112"/>
      <c r="L140" s="112"/>
      <c r="M140" s="112"/>
      <c r="N140" s="112">
        <v>6119.59</v>
      </c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AH140" s="112">
        <f t="shared" si="4"/>
        <v>0</v>
      </c>
    </row>
    <row r="141" s="112" customFormat="1" customHeight="1" spans="1:34">
      <c r="A141" s="112">
        <v>40</v>
      </c>
      <c r="B141" s="112"/>
      <c r="C141" s="112"/>
      <c r="D141" s="112"/>
      <c r="E141" s="112"/>
      <c r="F141" s="112"/>
      <c r="G141" s="112"/>
      <c r="H141" s="112"/>
      <c r="I141" s="127" t="s">
        <v>4683</v>
      </c>
      <c r="J141" s="124">
        <v>134.8</v>
      </c>
      <c r="K141" s="112"/>
      <c r="L141" s="112"/>
      <c r="M141" s="112"/>
      <c r="N141" s="112">
        <v>6124.59</v>
      </c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AH141" s="112">
        <f t="shared" si="4"/>
        <v>0</v>
      </c>
    </row>
    <row r="142" s="113" customFormat="1" customHeight="1" spans="1:39">
      <c r="A142" s="113">
        <v>41</v>
      </c>
      <c r="B142" s="113">
        <v>1</v>
      </c>
      <c r="C142" s="113" t="s">
        <v>113</v>
      </c>
      <c r="D142" s="113">
        <v>20240005755</v>
      </c>
      <c r="F142" s="730" t="s">
        <v>4684</v>
      </c>
      <c r="G142" s="113" t="s">
        <v>4685</v>
      </c>
      <c r="I142" s="129" t="s">
        <v>4686</v>
      </c>
      <c r="J142" s="126">
        <v>133.94</v>
      </c>
      <c r="K142" s="113">
        <v>133.94</v>
      </c>
      <c r="L142" s="113">
        <v>6141.32</v>
      </c>
      <c r="M142" s="113">
        <v>822569</v>
      </c>
      <c r="N142" s="113">
        <v>6141.32</v>
      </c>
      <c r="R142" s="113">
        <f>114569+20000</f>
        <v>134569</v>
      </c>
      <c r="S142" s="113" t="s">
        <v>98</v>
      </c>
      <c r="T142" s="113"/>
      <c r="U142" s="113" t="s">
        <v>422</v>
      </c>
      <c r="V142" s="113">
        <v>20000</v>
      </c>
      <c r="W142" s="113" t="s">
        <v>98</v>
      </c>
      <c r="X142" s="113">
        <v>114569</v>
      </c>
      <c r="Y142" s="113" t="s">
        <v>113</v>
      </c>
      <c r="AH142" s="113">
        <f t="shared" si="4"/>
        <v>134569</v>
      </c>
      <c r="AK142" s="113">
        <f>M142-AH142</f>
        <v>688000</v>
      </c>
      <c r="AL142" s="113">
        <v>13171242535</v>
      </c>
      <c r="AM142" s="113" t="s">
        <v>3617</v>
      </c>
    </row>
    <row r="143" s="112" customFormat="1" customHeight="1" spans="1:34">
      <c r="A143" s="112">
        <v>42</v>
      </c>
      <c r="B143" s="112"/>
      <c r="C143" s="112"/>
      <c r="D143" s="112"/>
      <c r="E143" s="112"/>
      <c r="F143" s="112"/>
      <c r="G143" s="112"/>
      <c r="H143" s="112"/>
      <c r="I143" s="127" t="s">
        <v>4687</v>
      </c>
      <c r="J143" s="124">
        <v>134.8</v>
      </c>
      <c r="K143" s="112"/>
      <c r="L143" s="112"/>
      <c r="M143" s="112"/>
      <c r="N143" s="112">
        <v>6146.32</v>
      </c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AH143" s="112">
        <f t="shared" si="4"/>
        <v>0</v>
      </c>
    </row>
    <row r="144" s="112" customFormat="1" customHeight="1" spans="1:34">
      <c r="A144" s="112">
        <v>43</v>
      </c>
      <c r="B144" s="112"/>
      <c r="C144" s="112"/>
      <c r="D144" s="112"/>
      <c r="E144" s="112"/>
      <c r="F144" s="112"/>
      <c r="G144" s="112"/>
      <c r="H144" s="112"/>
      <c r="I144" s="127" t="s">
        <v>4688</v>
      </c>
      <c r="J144" s="124">
        <v>133.94</v>
      </c>
      <c r="K144" s="112"/>
      <c r="L144" s="112"/>
      <c r="M144" s="112"/>
      <c r="N144" s="112">
        <v>7147.43</v>
      </c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AH144" s="112">
        <f t="shared" si="4"/>
        <v>0</v>
      </c>
    </row>
    <row r="145" s="112" customFormat="1" customHeight="1" spans="1:34">
      <c r="A145" s="112">
        <v>44</v>
      </c>
      <c r="B145" s="112"/>
      <c r="C145" s="112"/>
      <c r="D145" s="112"/>
      <c r="E145" s="112"/>
      <c r="F145" s="112"/>
      <c r="G145" s="112"/>
      <c r="H145" s="112"/>
      <c r="I145" s="127" t="s">
        <v>4689</v>
      </c>
      <c r="J145" s="124">
        <v>134.8</v>
      </c>
      <c r="K145" s="112"/>
      <c r="L145" s="112"/>
      <c r="M145" s="112"/>
      <c r="N145" s="112">
        <v>7152.43</v>
      </c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AH145" s="112">
        <f t="shared" si="4"/>
        <v>0</v>
      </c>
    </row>
    <row r="146" s="113" customFormat="1" ht="49" customHeight="1" spans="1:39">
      <c r="A146" s="113">
        <v>45</v>
      </c>
      <c r="B146" s="113">
        <v>1</v>
      </c>
      <c r="C146" s="113" t="s">
        <v>91</v>
      </c>
      <c r="D146" s="113">
        <v>20240005848</v>
      </c>
      <c r="F146" s="730" t="s">
        <v>4690</v>
      </c>
      <c r="G146" s="140" t="s">
        <v>4691</v>
      </c>
      <c r="I146" s="129" t="s">
        <v>4692</v>
      </c>
      <c r="J146" s="126">
        <v>145.95</v>
      </c>
      <c r="K146" s="113">
        <v>145.95</v>
      </c>
      <c r="L146" s="113">
        <v>8300</v>
      </c>
      <c r="M146" s="113">
        <v>1211385</v>
      </c>
      <c r="N146" s="113">
        <v>8300</v>
      </c>
      <c r="O146" s="113"/>
      <c r="R146" s="113">
        <f>210000+21385</f>
        <v>231385</v>
      </c>
      <c r="S146" s="132" t="s">
        <v>91</v>
      </c>
      <c r="V146" s="113">
        <v>2000</v>
      </c>
      <c r="W146" s="132" t="s">
        <v>4693</v>
      </c>
      <c r="X146" s="113">
        <v>21385</v>
      </c>
      <c r="Y146" s="132" t="s">
        <v>91</v>
      </c>
      <c r="Z146" s="113">
        <v>210000</v>
      </c>
      <c r="AA146" s="113" t="s">
        <v>290</v>
      </c>
      <c r="AB146" s="113"/>
      <c r="AH146" s="113">
        <f t="shared" si="4"/>
        <v>233385</v>
      </c>
      <c r="AK146" s="113">
        <f>M146-AH146</f>
        <v>978000</v>
      </c>
      <c r="AL146" s="113">
        <v>13579039210</v>
      </c>
      <c r="AM146" s="113" t="s">
        <v>3617</v>
      </c>
    </row>
    <row r="147" s="112" customFormat="1" customHeight="1" spans="1:34">
      <c r="A147" s="112">
        <v>46</v>
      </c>
      <c r="B147" s="112"/>
      <c r="C147" s="112"/>
      <c r="D147" s="112"/>
      <c r="E147" s="112"/>
      <c r="F147" s="112"/>
      <c r="G147" s="112"/>
      <c r="H147" s="112"/>
      <c r="I147" s="127" t="s">
        <v>4694</v>
      </c>
      <c r="J147" s="124">
        <v>157.36</v>
      </c>
      <c r="K147" s="112"/>
      <c r="L147" s="112"/>
      <c r="M147" s="112"/>
      <c r="N147" s="112">
        <v>8283.43</v>
      </c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AH147" s="112">
        <f t="shared" si="4"/>
        <v>0</v>
      </c>
    </row>
    <row r="148" s="112" customFormat="1" customHeight="1" spans="1:34">
      <c r="A148" s="112">
        <v>47</v>
      </c>
      <c r="B148" s="112"/>
      <c r="C148" s="112"/>
      <c r="D148" s="112"/>
      <c r="E148" s="112"/>
      <c r="F148" s="112"/>
      <c r="G148" s="112"/>
      <c r="H148" s="112"/>
      <c r="I148" s="127" t="s">
        <v>4695</v>
      </c>
      <c r="J148" s="124">
        <v>162.14</v>
      </c>
      <c r="K148" s="112"/>
      <c r="L148" s="112"/>
      <c r="M148" s="112"/>
      <c r="N148" s="112">
        <v>5795.58</v>
      </c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AH148" s="112">
        <f t="shared" si="4"/>
        <v>0</v>
      </c>
    </row>
    <row r="149" s="112" customFormat="1" customHeight="1" spans="1:34">
      <c r="A149" s="112">
        <v>48</v>
      </c>
      <c r="B149" s="112"/>
      <c r="C149" s="112"/>
      <c r="D149" s="112"/>
      <c r="E149" s="112"/>
      <c r="F149" s="112"/>
      <c r="G149" s="112"/>
      <c r="H149" s="112"/>
      <c r="I149" s="127" t="s">
        <v>4696</v>
      </c>
      <c r="J149" s="124">
        <v>174.32</v>
      </c>
      <c r="K149" s="112"/>
      <c r="L149" s="112"/>
      <c r="M149" s="112"/>
      <c r="N149" s="112">
        <v>5780.66</v>
      </c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AH149" s="112">
        <f t="shared" si="4"/>
        <v>0</v>
      </c>
    </row>
    <row r="150" s="112" customFormat="1" customHeight="1" spans="1:34">
      <c r="A150" s="112">
        <v>49</v>
      </c>
      <c r="B150" s="112"/>
      <c r="C150" s="112"/>
      <c r="D150" s="112"/>
      <c r="E150" s="112"/>
      <c r="F150" s="112"/>
      <c r="G150" s="112"/>
      <c r="H150" s="112"/>
      <c r="I150" s="127" t="s">
        <v>4697</v>
      </c>
      <c r="J150" s="124">
        <v>162.14</v>
      </c>
      <c r="K150" s="112"/>
      <c r="L150" s="112"/>
      <c r="M150" s="112"/>
      <c r="N150" s="112">
        <v>5850.24</v>
      </c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AH150" s="112">
        <f t="shared" si="4"/>
        <v>0</v>
      </c>
    </row>
    <row r="151" s="112" customFormat="1" customHeight="1" spans="1:34">
      <c r="A151" s="112">
        <v>50</v>
      </c>
      <c r="B151" s="112"/>
      <c r="C151" s="112"/>
      <c r="D151" s="112"/>
      <c r="E151" s="112"/>
      <c r="F151" s="112"/>
      <c r="G151" s="112"/>
      <c r="H151" s="112"/>
      <c r="I151" s="127" t="s">
        <v>4698</v>
      </c>
      <c r="J151" s="124">
        <v>174.32</v>
      </c>
      <c r="K151" s="112"/>
      <c r="L151" s="112"/>
      <c r="M151" s="112"/>
      <c r="N151" s="112">
        <v>5835.31</v>
      </c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AH151" s="112">
        <f t="shared" si="4"/>
        <v>0</v>
      </c>
    </row>
    <row r="152" s="112" customFormat="1" customHeight="1" spans="1:34">
      <c r="A152" s="112">
        <v>51</v>
      </c>
      <c r="B152" s="112"/>
      <c r="C152" s="112"/>
      <c r="D152" s="112"/>
      <c r="E152" s="112"/>
      <c r="F152" s="112"/>
      <c r="G152" s="112"/>
      <c r="H152" s="112"/>
      <c r="I152" s="127" t="s">
        <v>4699</v>
      </c>
      <c r="J152" s="124">
        <v>162.14</v>
      </c>
      <c r="K152" s="112"/>
      <c r="L152" s="112"/>
      <c r="M152" s="112"/>
      <c r="N152" s="112">
        <v>5882.85</v>
      </c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AH152" s="112">
        <f t="shared" si="4"/>
        <v>0</v>
      </c>
    </row>
    <row r="153" s="112" customFormat="1" customHeight="1" spans="1:34">
      <c r="A153" s="112">
        <v>52</v>
      </c>
      <c r="B153" s="112"/>
      <c r="C153" s="112"/>
      <c r="D153" s="112"/>
      <c r="E153" s="112"/>
      <c r="F153" s="112"/>
      <c r="G153" s="112"/>
      <c r="H153" s="112"/>
      <c r="I153" s="127" t="s">
        <v>4700</v>
      </c>
      <c r="J153" s="124">
        <v>174.32</v>
      </c>
      <c r="K153" s="112"/>
      <c r="L153" s="112"/>
      <c r="M153" s="112"/>
      <c r="N153" s="112">
        <v>5867.92</v>
      </c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AH153" s="112">
        <f t="shared" si="4"/>
        <v>0</v>
      </c>
    </row>
    <row r="154" s="112" customFormat="1" customHeight="1" spans="1:34">
      <c r="A154" s="112">
        <v>53</v>
      </c>
      <c r="B154" s="112"/>
      <c r="C154" s="112"/>
      <c r="D154" s="112"/>
      <c r="E154" s="112"/>
      <c r="F154" s="112"/>
      <c r="G154" s="112"/>
      <c r="H154" s="112"/>
      <c r="I154" s="127" t="s">
        <v>4701</v>
      </c>
      <c r="J154" s="124">
        <v>162.14</v>
      </c>
      <c r="K154" s="112"/>
      <c r="L154" s="112"/>
      <c r="M154" s="112"/>
      <c r="N154" s="112">
        <v>5957.19</v>
      </c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AH154" s="112">
        <f t="shared" si="4"/>
        <v>0</v>
      </c>
    </row>
    <row r="155" s="112" customFormat="1" customHeight="1" spans="1:34">
      <c r="A155" s="112">
        <v>54</v>
      </c>
      <c r="B155" s="112"/>
      <c r="C155" s="112"/>
      <c r="D155" s="112"/>
      <c r="E155" s="112"/>
      <c r="F155" s="112"/>
      <c r="G155" s="112"/>
      <c r="H155" s="112"/>
      <c r="I155" s="123" t="s">
        <v>4702</v>
      </c>
      <c r="J155" s="124">
        <v>174.32</v>
      </c>
      <c r="K155" s="112"/>
      <c r="L155" s="112"/>
      <c r="M155" s="112"/>
      <c r="N155" s="112">
        <v>5942.27</v>
      </c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AH155" s="112">
        <f t="shared" si="4"/>
        <v>0</v>
      </c>
    </row>
    <row r="156" s="112" customFormat="1" customHeight="1" spans="1:34">
      <c r="A156" s="112">
        <v>55</v>
      </c>
      <c r="B156" s="112"/>
      <c r="C156" s="112"/>
      <c r="D156" s="112"/>
      <c r="E156" s="112"/>
      <c r="F156" s="112"/>
      <c r="G156" s="112"/>
      <c r="H156" s="112"/>
      <c r="I156" s="127" t="s">
        <v>4703</v>
      </c>
      <c r="J156" s="124">
        <v>162.14</v>
      </c>
      <c r="K156" s="112"/>
      <c r="L156" s="112"/>
      <c r="M156" s="112"/>
      <c r="N156" s="112">
        <v>6026.11</v>
      </c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AH156" s="112">
        <f t="shared" si="4"/>
        <v>0</v>
      </c>
    </row>
    <row r="157" s="112" customFormat="1" customHeight="1" spans="1:34">
      <c r="A157" s="112">
        <v>56</v>
      </c>
      <c r="B157" s="112"/>
      <c r="C157" s="112"/>
      <c r="D157" s="112"/>
      <c r="E157" s="112"/>
      <c r="F157" s="112"/>
      <c r="G157" s="112"/>
      <c r="H157" s="112"/>
      <c r="I157" s="123" t="s">
        <v>4704</v>
      </c>
      <c r="J157" s="124">
        <v>174.32</v>
      </c>
      <c r="K157" s="112"/>
      <c r="L157" s="112"/>
      <c r="M157" s="112"/>
      <c r="N157" s="112">
        <v>6011.18</v>
      </c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AH157" s="112">
        <f t="shared" si="4"/>
        <v>0</v>
      </c>
    </row>
    <row r="158" s="112" customFormat="1" customHeight="1" spans="1:34">
      <c r="A158" s="112">
        <v>57</v>
      </c>
      <c r="B158" s="112"/>
      <c r="C158" s="112"/>
      <c r="D158" s="112"/>
      <c r="E158" s="112"/>
      <c r="F158" s="112"/>
      <c r="G158" s="112"/>
      <c r="H158" s="112"/>
      <c r="I158" s="127" t="s">
        <v>4705</v>
      </c>
      <c r="J158" s="124">
        <v>162.14</v>
      </c>
      <c r="K158" s="112"/>
      <c r="L158" s="112"/>
      <c r="M158" s="112"/>
      <c r="N158" s="112">
        <v>6075.02</v>
      </c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AH158" s="112">
        <f t="shared" si="4"/>
        <v>0</v>
      </c>
    </row>
    <row r="159" s="112" customFormat="1" customHeight="1" spans="1:34">
      <c r="A159" s="112">
        <v>58</v>
      </c>
      <c r="B159" s="112"/>
      <c r="C159" s="112"/>
      <c r="D159" s="112"/>
      <c r="E159" s="112"/>
      <c r="F159" s="112"/>
      <c r="G159" s="112"/>
      <c r="H159" s="112"/>
      <c r="I159" s="123" t="s">
        <v>4706</v>
      </c>
      <c r="J159" s="124">
        <v>174.32</v>
      </c>
      <c r="K159" s="112"/>
      <c r="L159" s="112"/>
      <c r="M159" s="112"/>
      <c r="N159" s="112">
        <v>6060.1</v>
      </c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AH159" s="112">
        <f t="shared" si="4"/>
        <v>0</v>
      </c>
    </row>
    <row r="160" s="112" customFormat="1" customHeight="1" spans="1:34">
      <c r="A160" s="112">
        <v>59</v>
      </c>
      <c r="B160" s="112"/>
      <c r="C160" s="112"/>
      <c r="D160" s="112"/>
      <c r="E160" s="112"/>
      <c r="F160" s="112"/>
      <c r="G160" s="112"/>
      <c r="H160" s="112"/>
      <c r="I160" s="127" t="s">
        <v>4707</v>
      </c>
      <c r="J160" s="124">
        <v>162.14</v>
      </c>
      <c r="K160" s="112"/>
      <c r="L160" s="112"/>
      <c r="M160" s="112"/>
      <c r="N160" s="112">
        <v>6102.19</v>
      </c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AH160" s="112">
        <f t="shared" si="4"/>
        <v>0</v>
      </c>
    </row>
    <row r="161" s="112" customFormat="1" customHeight="1" spans="1:34">
      <c r="A161" s="112">
        <v>60</v>
      </c>
      <c r="B161" s="112"/>
      <c r="C161" s="112"/>
      <c r="D161" s="112"/>
      <c r="E161" s="112"/>
      <c r="F161" s="112"/>
      <c r="G161" s="112"/>
      <c r="H161" s="112"/>
      <c r="I161" s="123" t="s">
        <v>4708</v>
      </c>
      <c r="J161" s="124">
        <v>174.32</v>
      </c>
      <c r="K161" s="112"/>
      <c r="L161" s="112"/>
      <c r="M161" s="112"/>
      <c r="N161" s="112">
        <v>6087.27</v>
      </c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AH161" s="112">
        <f t="shared" si="4"/>
        <v>0</v>
      </c>
    </row>
    <row r="162" s="112" customFormat="1" customHeight="1" spans="1:34">
      <c r="A162" s="112">
        <v>61</v>
      </c>
      <c r="B162" s="112"/>
      <c r="C162" s="112"/>
      <c r="D162" s="112"/>
      <c r="E162" s="112"/>
      <c r="F162" s="112"/>
      <c r="G162" s="112"/>
      <c r="H162" s="112"/>
      <c r="I162" s="127" t="s">
        <v>4709</v>
      </c>
      <c r="J162" s="124">
        <v>162.14</v>
      </c>
      <c r="K162" s="112"/>
      <c r="L162" s="112"/>
      <c r="M162" s="112"/>
      <c r="N162" s="112">
        <v>6131.11</v>
      </c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AH162" s="112">
        <f t="shared" si="4"/>
        <v>0</v>
      </c>
    </row>
    <row r="163" s="112" customFormat="1" customHeight="1" spans="1:34">
      <c r="A163" s="112">
        <v>62</v>
      </c>
      <c r="B163" s="112"/>
      <c r="C163" s="112"/>
      <c r="D163" s="112"/>
      <c r="E163" s="112"/>
      <c r="F163" s="112"/>
      <c r="G163" s="112"/>
      <c r="H163" s="112"/>
      <c r="I163" s="123" t="s">
        <v>4710</v>
      </c>
      <c r="J163" s="124">
        <v>174.32</v>
      </c>
      <c r="K163" s="112"/>
      <c r="L163" s="112"/>
      <c r="M163" s="112"/>
      <c r="N163" s="112">
        <v>6116.18</v>
      </c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AH163" s="112">
        <f t="shared" si="4"/>
        <v>0</v>
      </c>
    </row>
    <row r="164" s="112" customFormat="1" customHeight="1" spans="1:34">
      <c r="A164" s="112">
        <v>63</v>
      </c>
      <c r="B164" s="112"/>
      <c r="C164" s="112"/>
      <c r="D164" s="112"/>
      <c r="E164" s="112"/>
      <c r="F164" s="112"/>
      <c r="G164" s="112"/>
      <c r="H164" s="112"/>
      <c r="I164" s="127" t="s">
        <v>4711</v>
      </c>
      <c r="J164" s="124">
        <v>162.14</v>
      </c>
      <c r="K164" s="112"/>
      <c r="L164" s="112"/>
      <c r="M164" s="112"/>
      <c r="N164" s="112">
        <v>6152.85</v>
      </c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AH164" s="112">
        <f t="shared" si="4"/>
        <v>0</v>
      </c>
    </row>
    <row r="165" s="112" customFormat="1" customHeight="1" spans="1:34">
      <c r="A165" s="112">
        <v>64</v>
      </c>
      <c r="B165" s="112"/>
      <c r="C165" s="112"/>
      <c r="D165" s="112"/>
      <c r="E165" s="112"/>
      <c r="F165" s="112"/>
      <c r="G165" s="112"/>
      <c r="H165" s="112"/>
      <c r="I165" s="123" t="s">
        <v>4712</v>
      </c>
      <c r="J165" s="124">
        <v>174.32</v>
      </c>
      <c r="K165" s="112"/>
      <c r="L165" s="112"/>
      <c r="M165" s="112"/>
      <c r="N165" s="112">
        <v>6137.92</v>
      </c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AH165" s="112">
        <f t="shared" si="4"/>
        <v>0</v>
      </c>
    </row>
    <row r="166" s="112" customFormat="1" customHeight="1" spans="1:34">
      <c r="A166" s="112">
        <v>65</v>
      </c>
      <c r="B166" s="112"/>
      <c r="C166" s="112"/>
      <c r="D166" s="112"/>
      <c r="E166" s="112"/>
      <c r="F166" s="112"/>
      <c r="G166" s="112"/>
      <c r="H166" s="112"/>
      <c r="I166" s="127" t="s">
        <v>4713</v>
      </c>
      <c r="J166" s="124">
        <v>162.14</v>
      </c>
      <c r="K166" s="112"/>
      <c r="L166" s="112"/>
      <c r="M166" s="112"/>
      <c r="N166" s="112">
        <v>7122.43</v>
      </c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AH166" s="112">
        <f t="shared" si="4"/>
        <v>0</v>
      </c>
    </row>
    <row r="167" s="112" customFormat="1" customHeight="1" spans="1:34">
      <c r="A167" s="112">
        <v>66</v>
      </c>
      <c r="B167" s="112"/>
      <c r="C167" s="112"/>
      <c r="D167" s="112"/>
      <c r="E167" s="112"/>
      <c r="F167" s="112"/>
      <c r="G167" s="112"/>
      <c r="H167" s="112"/>
      <c r="I167" s="123" t="s">
        <v>4714</v>
      </c>
      <c r="J167" s="124">
        <v>174.32</v>
      </c>
      <c r="K167" s="112"/>
      <c r="L167" s="112"/>
      <c r="M167" s="112"/>
      <c r="N167" s="112">
        <v>7118.43</v>
      </c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AH167" s="112">
        <f t="shared" si="4"/>
        <v>0</v>
      </c>
    </row>
    <row r="168" s="114" customFormat="1" customHeight="1" spans="1:37">
      <c r="A168" s="114">
        <f>66+66</f>
        <v>132</v>
      </c>
      <c r="J168" s="114">
        <f>SUM(J4:J167)</f>
        <v>19425.76</v>
      </c>
      <c r="K168" s="114">
        <f>SUM(K4:K167)</f>
        <v>662.77</v>
      </c>
      <c r="M168" s="114">
        <f>SUM(M4:M167)</f>
        <v>3887984</v>
      </c>
      <c r="R168" s="114">
        <f>SUM(R4:R167)</f>
        <v>604708</v>
      </c>
      <c r="V168" s="114">
        <f t="shared" ref="V168:Z168" si="5">SUM(V4:V167)</f>
        <v>54000</v>
      </c>
      <c r="X168" s="114">
        <f>SUM(X4:X167)</f>
        <v>354708</v>
      </c>
      <c r="Z168" s="114">
        <f t="shared" si="5"/>
        <v>210000</v>
      </c>
      <c r="AB168" s="114">
        <f t="shared" ref="AB168:AF168" si="6">SUM(AB4:AB167)</f>
        <v>0</v>
      </c>
      <c r="AD168" s="114">
        <f t="shared" si="6"/>
        <v>0</v>
      </c>
      <c r="AF168" s="114">
        <f t="shared" si="6"/>
        <v>0</v>
      </c>
      <c r="AH168" s="114">
        <f t="shared" ref="AH168:AK168" si="7">SUM(AH4:AH167)</f>
        <v>618708</v>
      </c>
      <c r="AI168" s="114">
        <f t="shared" si="7"/>
        <v>0</v>
      </c>
      <c r="AJ168" s="114">
        <f t="shared" si="7"/>
        <v>0</v>
      </c>
      <c r="AK168" s="114">
        <f t="shared" si="7"/>
        <v>3269276</v>
      </c>
    </row>
    <row r="169" s="112" customFormat="1" customHeight="1" spans="17:19">
      <c r="Q169" s="112" t="s">
        <v>34</v>
      </c>
      <c r="R169" s="112">
        <v>2000</v>
      </c>
      <c r="S169" s="112" t="s">
        <v>4715</v>
      </c>
    </row>
    <row r="170" s="112" customFormat="1" customHeight="1" spans="17:18">
      <c r="Q170" s="112" t="s">
        <v>4716</v>
      </c>
      <c r="R170" s="112">
        <f>R169+373323</f>
        <v>375323</v>
      </c>
    </row>
    <row r="171" s="112" customFormat="1" customHeight="1" spans="17:18">
      <c r="Q171" s="112" t="s">
        <v>4717</v>
      </c>
      <c r="R171" s="112">
        <v>231385</v>
      </c>
    </row>
    <row r="172" s="112" customFormat="1" customHeight="1"/>
  </sheetData>
  <autoFilter xmlns:etc="http://www.wps.cn/officeDocument/2017/etCustomData" ref="A3:AX172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65"/>
  <sheetViews>
    <sheetView workbookViewId="0">
      <pane ySplit="3" topLeftCell="A4" activePane="bottomLeft" state="frozen"/>
      <selection/>
      <selection pane="bottomLeft" activeCell="AK21" sqref="AK21"/>
    </sheetView>
  </sheetViews>
  <sheetFormatPr defaultColWidth="9" defaultRowHeight="23" customHeight="1"/>
  <cols>
    <col min="1" max="1" width="3.75" style="18" customWidth="1"/>
    <col min="2" max="6" width="9" style="18"/>
    <col min="7" max="7" width="21.5" style="18" customWidth="1"/>
    <col min="8" max="8" width="13.375" style="18" customWidth="1"/>
    <col min="9" max="9" width="9" style="18"/>
    <col min="10" max="10" width="9.25" style="18"/>
    <col min="11" max="17" width="9" style="18"/>
    <col min="18" max="18" width="13.75" style="18" customWidth="1"/>
    <col min="19" max="19" width="12.375" style="18" customWidth="1"/>
    <col min="20" max="20" width="15" style="18" customWidth="1"/>
    <col min="21" max="21" width="14.625" style="18" customWidth="1"/>
    <col min="22" max="22" width="13.5" style="18" customWidth="1"/>
    <col min="23" max="23" width="15.125" style="18" customWidth="1"/>
    <col min="24" max="24" width="14.875" style="18"/>
    <col min="25" max="25" width="16.75" style="18" customWidth="1"/>
    <col min="26" max="26" width="12.625" style="18"/>
    <col min="27" max="34" width="9" style="18"/>
    <col min="35" max="35" width="13.625" style="18" customWidth="1"/>
    <col min="36" max="16384" width="9" style="18"/>
  </cols>
  <sheetData>
    <row r="1" s="89" customFormat="1" customHeight="1" spans="1:42">
      <c r="A1" s="92" t="s">
        <v>4348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P1" s="106"/>
    </row>
    <row r="2" s="90" customFormat="1" customHeight="1" spans="1:50">
      <c r="A2" s="92" t="s">
        <v>1</v>
      </c>
      <c r="B2" s="90" t="s">
        <v>125</v>
      </c>
      <c r="C2" s="93" t="s">
        <v>126</v>
      </c>
      <c r="D2" s="90" t="s">
        <v>127</v>
      </c>
      <c r="F2" s="90" t="s">
        <v>129</v>
      </c>
      <c r="G2" s="90" t="s">
        <v>130</v>
      </c>
      <c r="H2" s="90" t="s">
        <v>128</v>
      </c>
      <c r="I2" s="90" t="s">
        <v>132</v>
      </c>
      <c r="J2" s="95" t="s">
        <v>843</v>
      </c>
      <c r="K2" s="90" t="s">
        <v>134</v>
      </c>
      <c r="L2" s="90" t="s">
        <v>135</v>
      </c>
      <c r="M2" s="96" t="s">
        <v>136</v>
      </c>
      <c r="N2" s="97" t="s">
        <v>137</v>
      </c>
      <c r="O2" s="98" t="s">
        <v>139</v>
      </c>
      <c r="P2" s="99"/>
      <c r="Q2" s="99"/>
      <c r="R2" s="97" t="s">
        <v>140</v>
      </c>
      <c r="S2" s="101" t="s">
        <v>141</v>
      </c>
      <c r="T2" s="92" t="s">
        <v>142</v>
      </c>
      <c r="U2" s="101" t="s">
        <v>143</v>
      </c>
      <c r="V2" s="96" t="s">
        <v>144</v>
      </c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 t="s">
        <v>145</v>
      </c>
      <c r="AI2" s="93" t="s">
        <v>19</v>
      </c>
      <c r="AJ2" s="90" t="s">
        <v>147</v>
      </c>
      <c r="AK2" s="99" t="s">
        <v>22</v>
      </c>
      <c r="AL2" s="90" t="s">
        <v>148</v>
      </c>
      <c r="AM2" s="90" t="s">
        <v>10</v>
      </c>
      <c r="AN2" s="90" t="s">
        <v>845</v>
      </c>
      <c r="AO2" s="107" t="s">
        <v>158</v>
      </c>
      <c r="AP2" s="108" t="s">
        <v>159</v>
      </c>
      <c r="AQ2" s="109" t="s">
        <v>2753</v>
      </c>
      <c r="AR2" s="109" t="s">
        <v>2754</v>
      </c>
      <c r="AS2" s="109" t="s">
        <v>2755</v>
      </c>
      <c r="AT2" s="110"/>
      <c r="AU2" s="90" t="s">
        <v>175</v>
      </c>
      <c r="AW2" s="90" t="s">
        <v>73</v>
      </c>
      <c r="AX2" s="90" t="s">
        <v>176</v>
      </c>
    </row>
    <row r="3" s="90" customFormat="1" customHeight="1" spans="1:46">
      <c r="A3" s="92"/>
      <c r="C3" s="93"/>
      <c r="E3" s="90" t="s">
        <v>868</v>
      </c>
      <c r="J3" s="98"/>
      <c r="M3" s="96"/>
      <c r="N3" s="97"/>
      <c r="O3" s="98" t="s">
        <v>178</v>
      </c>
      <c r="P3" s="99" t="s">
        <v>869</v>
      </c>
      <c r="Q3" s="99" t="s">
        <v>870</v>
      </c>
      <c r="R3" s="96"/>
      <c r="S3" s="101"/>
      <c r="T3" s="92"/>
      <c r="U3" s="101"/>
      <c r="V3" s="96" t="s">
        <v>180</v>
      </c>
      <c r="W3" s="90" t="s">
        <v>181</v>
      </c>
      <c r="X3" s="96" t="s">
        <v>182</v>
      </c>
      <c r="Y3" s="105" t="s">
        <v>181</v>
      </c>
      <c r="Z3" s="90" t="s">
        <v>183</v>
      </c>
      <c r="AA3" s="98" t="s">
        <v>181</v>
      </c>
      <c r="AB3" s="96" t="s">
        <v>184</v>
      </c>
      <c r="AC3" s="90" t="s">
        <v>181</v>
      </c>
      <c r="AD3" s="90" t="s">
        <v>185</v>
      </c>
      <c r="AE3" s="90" t="s">
        <v>181</v>
      </c>
      <c r="AF3" s="90" t="s">
        <v>186</v>
      </c>
      <c r="AG3" s="90" t="s">
        <v>181</v>
      </c>
      <c r="AH3" s="96"/>
      <c r="AK3" s="99"/>
      <c r="AO3" s="107"/>
      <c r="AP3" s="108"/>
      <c r="AQ3" s="109"/>
      <c r="AR3" s="109"/>
      <c r="AS3" s="109"/>
      <c r="AT3" s="110"/>
    </row>
    <row r="4" customHeight="1" spans="1:35">
      <c r="A4" s="18">
        <v>1</v>
      </c>
      <c r="G4" s="18" t="s">
        <v>111</v>
      </c>
      <c r="I4" s="16" t="s">
        <v>4718</v>
      </c>
      <c r="J4" s="100">
        <v>84</v>
      </c>
      <c r="R4" s="102">
        <v>2000</v>
      </c>
      <c r="S4" s="18" t="s">
        <v>98</v>
      </c>
      <c r="T4" s="731" t="s">
        <v>4719</v>
      </c>
      <c r="U4" s="18" t="s">
        <v>226</v>
      </c>
      <c r="V4" s="18">
        <v>2000</v>
      </c>
      <c r="W4" s="18" t="s">
        <v>98</v>
      </c>
      <c r="AH4" s="18">
        <f>V4+X4+Z4+AB4+AD4+AF4</f>
        <v>2000</v>
      </c>
      <c r="AI4" s="18">
        <f>V4+X4+Z4+AB4+AD4+AF4</f>
        <v>2000</v>
      </c>
    </row>
    <row r="5" customHeight="1" spans="1:35">
      <c r="A5" s="18">
        <v>2</v>
      </c>
      <c r="G5" s="18" t="s">
        <v>4720</v>
      </c>
      <c r="I5" s="16" t="s">
        <v>4721</v>
      </c>
      <c r="J5" s="100">
        <v>51.88</v>
      </c>
      <c r="R5" s="102">
        <v>5000</v>
      </c>
      <c r="S5" s="18" t="s">
        <v>439</v>
      </c>
      <c r="T5" s="731" t="s">
        <v>1479</v>
      </c>
      <c r="U5" s="18" t="s">
        <v>217</v>
      </c>
      <c r="V5" s="18">
        <v>5000</v>
      </c>
      <c r="W5" s="18" t="s">
        <v>439</v>
      </c>
      <c r="AH5" s="18">
        <f t="shared" ref="AH5:AH36" si="0">V5+X5+Z5+AB5+AD5+AF5</f>
        <v>5000</v>
      </c>
      <c r="AI5" s="18">
        <f t="shared" ref="AI5:AI36" si="1">V5+X5+Z5+AB5+AD5+AF5</f>
        <v>5000</v>
      </c>
    </row>
    <row r="6" customHeight="1" spans="1:35">
      <c r="A6" s="18">
        <v>3</v>
      </c>
      <c r="I6" s="16" t="s">
        <v>4722</v>
      </c>
      <c r="J6" s="100">
        <v>104.47</v>
      </c>
      <c r="AH6" s="18">
        <f t="shared" si="0"/>
        <v>0</v>
      </c>
      <c r="AI6" s="18">
        <f t="shared" si="1"/>
        <v>0</v>
      </c>
    </row>
    <row r="7" customHeight="1" spans="1:35">
      <c r="A7" s="18">
        <v>4</v>
      </c>
      <c r="I7" s="16" t="s">
        <v>4723</v>
      </c>
      <c r="J7" s="100">
        <v>51.88</v>
      </c>
      <c r="AH7" s="18">
        <f t="shared" si="0"/>
        <v>0</v>
      </c>
      <c r="AI7" s="18">
        <f t="shared" si="1"/>
        <v>0</v>
      </c>
    </row>
    <row r="8" customHeight="1" spans="1:35">
      <c r="A8" s="18">
        <v>5</v>
      </c>
      <c r="I8" s="16" t="s">
        <v>4724</v>
      </c>
      <c r="J8" s="100">
        <v>51.88</v>
      </c>
      <c r="AH8" s="18">
        <f t="shared" si="0"/>
        <v>0</v>
      </c>
      <c r="AI8" s="18">
        <f t="shared" si="1"/>
        <v>0</v>
      </c>
    </row>
    <row r="9" customHeight="1" spans="1:35">
      <c r="A9" s="18">
        <v>6</v>
      </c>
      <c r="G9" s="18" t="s">
        <v>4725</v>
      </c>
      <c r="I9" s="16" t="s">
        <v>4726</v>
      </c>
      <c r="J9" s="100">
        <v>50.63</v>
      </c>
      <c r="R9" s="102">
        <v>2000</v>
      </c>
      <c r="S9" s="18" t="s">
        <v>4727</v>
      </c>
      <c r="T9" s="731" t="s">
        <v>4728</v>
      </c>
      <c r="V9" s="18">
        <v>2000</v>
      </c>
      <c r="W9" s="18" t="s">
        <v>4727</v>
      </c>
      <c r="AH9" s="18">
        <f t="shared" si="0"/>
        <v>2000</v>
      </c>
      <c r="AI9" s="18">
        <f t="shared" si="1"/>
        <v>2000</v>
      </c>
    </row>
    <row r="10" customHeight="1" spans="1:35">
      <c r="A10" s="18">
        <v>7</v>
      </c>
      <c r="I10" s="16" t="s">
        <v>4729</v>
      </c>
      <c r="J10" s="100">
        <v>60.51</v>
      </c>
      <c r="AH10" s="18">
        <f t="shared" si="0"/>
        <v>0</v>
      </c>
      <c r="AI10" s="18">
        <f t="shared" si="1"/>
        <v>0</v>
      </c>
    </row>
    <row r="11" customHeight="1" spans="1:35">
      <c r="A11" s="18">
        <v>8</v>
      </c>
      <c r="I11" s="16" t="s">
        <v>4730</v>
      </c>
      <c r="J11" s="100">
        <v>51.88</v>
      </c>
      <c r="AH11" s="18">
        <f t="shared" si="0"/>
        <v>0</v>
      </c>
      <c r="AI11" s="18">
        <f t="shared" si="1"/>
        <v>0</v>
      </c>
    </row>
    <row r="12" customHeight="1" spans="1:35">
      <c r="A12" s="18">
        <v>9</v>
      </c>
      <c r="I12" s="16" t="s">
        <v>4731</v>
      </c>
      <c r="J12" s="100">
        <v>51.88</v>
      </c>
      <c r="AH12" s="18">
        <f t="shared" si="0"/>
        <v>0</v>
      </c>
      <c r="AI12" s="18">
        <f t="shared" si="1"/>
        <v>0</v>
      </c>
    </row>
    <row r="13" customHeight="1" spans="1:35">
      <c r="A13" s="18">
        <v>10</v>
      </c>
      <c r="I13" s="16" t="s">
        <v>4732</v>
      </c>
      <c r="J13" s="100">
        <v>64.43</v>
      </c>
      <c r="AH13" s="18">
        <f t="shared" si="0"/>
        <v>0</v>
      </c>
      <c r="AI13" s="18">
        <f t="shared" si="1"/>
        <v>0</v>
      </c>
    </row>
    <row r="14" customHeight="1" spans="1:35">
      <c r="A14" s="18">
        <v>11</v>
      </c>
      <c r="I14" s="16" t="s">
        <v>4733</v>
      </c>
      <c r="J14" s="100">
        <v>91.75</v>
      </c>
      <c r="AH14" s="18">
        <f t="shared" si="0"/>
        <v>0</v>
      </c>
      <c r="AI14" s="18">
        <f t="shared" si="1"/>
        <v>0</v>
      </c>
    </row>
    <row r="15" customHeight="1" spans="1:35">
      <c r="A15" s="18">
        <v>12</v>
      </c>
      <c r="I15" s="16" t="s">
        <v>4734</v>
      </c>
      <c r="J15" s="100">
        <v>65.19</v>
      </c>
      <c r="AH15" s="18">
        <f t="shared" si="0"/>
        <v>0</v>
      </c>
      <c r="AI15" s="18">
        <f t="shared" si="1"/>
        <v>0</v>
      </c>
    </row>
    <row r="16" customHeight="1" spans="1:35">
      <c r="A16" s="18">
        <v>13</v>
      </c>
      <c r="I16" s="16" t="s">
        <v>4735</v>
      </c>
      <c r="J16" s="100">
        <v>65.19</v>
      </c>
      <c r="AH16" s="18">
        <f t="shared" si="0"/>
        <v>0</v>
      </c>
      <c r="AI16" s="18">
        <f t="shared" si="1"/>
        <v>0</v>
      </c>
    </row>
    <row r="17" customHeight="1" spans="1:35">
      <c r="A17" s="18">
        <v>14</v>
      </c>
      <c r="I17" s="16" t="s">
        <v>4736</v>
      </c>
      <c r="J17" s="100">
        <v>65.19</v>
      </c>
      <c r="AH17" s="18">
        <f t="shared" si="0"/>
        <v>0</v>
      </c>
      <c r="AI17" s="18">
        <f t="shared" si="1"/>
        <v>0</v>
      </c>
    </row>
    <row r="18" customHeight="1" spans="1:35">
      <c r="A18" s="18">
        <v>15</v>
      </c>
      <c r="I18" s="16" t="s">
        <v>4737</v>
      </c>
      <c r="J18" s="100">
        <v>65.19</v>
      </c>
      <c r="AH18" s="18">
        <f t="shared" si="0"/>
        <v>0</v>
      </c>
      <c r="AI18" s="18">
        <f t="shared" si="1"/>
        <v>0</v>
      </c>
    </row>
    <row r="19" customHeight="1" spans="1:35">
      <c r="A19" s="18">
        <v>16</v>
      </c>
      <c r="I19" s="16" t="s">
        <v>4738</v>
      </c>
      <c r="J19" s="100">
        <v>90.63</v>
      </c>
      <c r="AH19" s="18">
        <f t="shared" si="0"/>
        <v>0</v>
      </c>
      <c r="AI19" s="18">
        <f t="shared" si="1"/>
        <v>0</v>
      </c>
    </row>
    <row r="20" customHeight="1" spans="1:35">
      <c r="A20" s="18">
        <v>17</v>
      </c>
      <c r="I20" s="16" t="s">
        <v>4739</v>
      </c>
      <c r="J20" s="100">
        <v>92.25</v>
      </c>
      <c r="AH20" s="18">
        <f t="shared" si="0"/>
        <v>0</v>
      </c>
      <c r="AI20" s="18">
        <f t="shared" si="1"/>
        <v>0</v>
      </c>
    </row>
    <row r="21" customHeight="1" spans="1:35">
      <c r="A21" s="18">
        <v>18</v>
      </c>
      <c r="G21" s="18" t="s">
        <v>4740</v>
      </c>
      <c r="I21" s="16" t="s">
        <v>4741</v>
      </c>
      <c r="J21" s="100">
        <v>65.96</v>
      </c>
      <c r="R21" s="102">
        <v>5000</v>
      </c>
      <c r="S21" s="18" t="s">
        <v>98</v>
      </c>
      <c r="T21" s="731" t="s">
        <v>3674</v>
      </c>
      <c r="U21" s="18" t="s">
        <v>1811</v>
      </c>
      <c r="V21" s="18">
        <v>5000</v>
      </c>
      <c r="W21" s="18" t="s">
        <v>98</v>
      </c>
      <c r="AH21" s="18">
        <f t="shared" si="0"/>
        <v>5000</v>
      </c>
      <c r="AI21" s="18">
        <f t="shared" si="1"/>
        <v>5000</v>
      </c>
    </row>
    <row r="22" customHeight="1" spans="1:35">
      <c r="A22" s="18">
        <v>19</v>
      </c>
      <c r="I22" s="16" t="s">
        <v>4742</v>
      </c>
      <c r="J22" s="100">
        <v>103.39</v>
      </c>
      <c r="AH22" s="18">
        <f t="shared" si="0"/>
        <v>0</v>
      </c>
      <c r="AI22" s="18">
        <f t="shared" si="1"/>
        <v>0</v>
      </c>
    </row>
    <row r="23" customHeight="1" spans="1:35">
      <c r="A23" s="18">
        <v>20</v>
      </c>
      <c r="I23" s="16" t="s">
        <v>4743</v>
      </c>
      <c r="J23" s="100">
        <v>63.86</v>
      </c>
      <c r="AH23" s="18">
        <f t="shared" si="0"/>
        <v>0</v>
      </c>
      <c r="AI23" s="18">
        <f t="shared" si="1"/>
        <v>0</v>
      </c>
    </row>
    <row r="24" customHeight="1" spans="1:35">
      <c r="A24" s="18">
        <v>21</v>
      </c>
      <c r="I24" s="16" t="s">
        <v>4744</v>
      </c>
      <c r="J24" s="100">
        <v>128.59</v>
      </c>
      <c r="AH24" s="18">
        <f t="shared" si="0"/>
        <v>0</v>
      </c>
      <c r="AI24" s="18">
        <f t="shared" si="1"/>
        <v>0</v>
      </c>
    </row>
    <row r="25" customHeight="1" spans="1:35">
      <c r="A25" s="18">
        <v>22</v>
      </c>
      <c r="I25" s="16" t="s">
        <v>4745</v>
      </c>
      <c r="J25" s="100">
        <v>63.86</v>
      </c>
      <c r="AH25" s="18">
        <f t="shared" si="0"/>
        <v>0</v>
      </c>
      <c r="AI25" s="18">
        <f t="shared" si="1"/>
        <v>0</v>
      </c>
    </row>
    <row r="26" customHeight="1" spans="1:35">
      <c r="A26" s="18">
        <v>23</v>
      </c>
      <c r="I26" s="16" t="s">
        <v>4746</v>
      </c>
      <c r="J26" s="100">
        <v>63.86</v>
      </c>
      <c r="AH26" s="18">
        <f t="shared" si="0"/>
        <v>0</v>
      </c>
      <c r="AI26" s="18">
        <f t="shared" si="1"/>
        <v>0</v>
      </c>
    </row>
    <row r="27" customHeight="1" spans="1:35">
      <c r="A27" s="18">
        <v>24</v>
      </c>
      <c r="I27" s="16" t="s">
        <v>4747</v>
      </c>
      <c r="J27" s="100">
        <v>63.86</v>
      </c>
      <c r="AH27" s="18">
        <f t="shared" si="0"/>
        <v>0</v>
      </c>
      <c r="AI27" s="18">
        <f t="shared" si="1"/>
        <v>0</v>
      </c>
    </row>
    <row r="28" customHeight="1" spans="1:35">
      <c r="A28" s="18">
        <v>25</v>
      </c>
      <c r="I28" s="16" t="s">
        <v>4748</v>
      </c>
      <c r="J28" s="100">
        <v>74.5</v>
      </c>
      <c r="AH28" s="18">
        <f t="shared" si="0"/>
        <v>0</v>
      </c>
      <c r="AI28" s="18">
        <f t="shared" si="1"/>
        <v>0</v>
      </c>
    </row>
    <row r="29" customHeight="1" spans="1:35">
      <c r="A29" s="18">
        <v>26</v>
      </c>
      <c r="I29" s="16" t="s">
        <v>4749</v>
      </c>
      <c r="J29" s="100">
        <v>76.02</v>
      </c>
      <c r="AH29" s="18">
        <f t="shared" si="0"/>
        <v>0</v>
      </c>
      <c r="AI29" s="18">
        <f t="shared" si="1"/>
        <v>0</v>
      </c>
    </row>
    <row r="30" customHeight="1" spans="1:35">
      <c r="A30" s="18">
        <v>27</v>
      </c>
      <c r="I30" s="16" t="s">
        <v>4750</v>
      </c>
      <c r="J30" s="100">
        <v>63.86</v>
      </c>
      <c r="AH30" s="18">
        <f t="shared" si="0"/>
        <v>0</v>
      </c>
      <c r="AI30" s="18">
        <f t="shared" si="1"/>
        <v>0</v>
      </c>
    </row>
    <row r="31" customHeight="1" spans="1:35">
      <c r="A31" s="18">
        <v>28</v>
      </c>
      <c r="I31" s="16" t="s">
        <v>4751</v>
      </c>
      <c r="J31" s="100">
        <v>63.86</v>
      </c>
      <c r="AH31" s="18">
        <f t="shared" si="0"/>
        <v>0</v>
      </c>
      <c r="AI31" s="18">
        <f t="shared" si="1"/>
        <v>0</v>
      </c>
    </row>
    <row r="32" customHeight="1" spans="1:35">
      <c r="A32" s="18">
        <v>29</v>
      </c>
      <c r="I32" s="16" t="s">
        <v>4752</v>
      </c>
      <c r="J32" s="100">
        <v>79.3</v>
      </c>
      <c r="AH32" s="18">
        <f t="shared" si="0"/>
        <v>0</v>
      </c>
      <c r="AI32" s="18">
        <f t="shared" si="1"/>
        <v>0</v>
      </c>
    </row>
    <row r="33" customHeight="1" spans="1:35">
      <c r="A33" s="18">
        <v>30</v>
      </c>
      <c r="I33" s="16" t="s">
        <v>4753</v>
      </c>
      <c r="J33" s="100">
        <v>207.02</v>
      </c>
      <c r="AH33" s="18">
        <f t="shared" si="0"/>
        <v>0</v>
      </c>
      <c r="AI33" s="18">
        <f t="shared" si="1"/>
        <v>0</v>
      </c>
    </row>
    <row r="34" customHeight="1" spans="1:35">
      <c r="A34" s="18">
        <v>31</v>
      </c>
      <c r="I34" s="16" t="s">
        <v>4754</v>
      </c>
      <c r="J34" s="100">
        <v>80.23</v>
      </c>
      <c r="AH34" s="18">
        <f t="shared" si="0"/>
        <v>0</v>
      </c>
      <c r="AI34" s="18">
        <f t="shared" si="1"/>
        <v>0</v>
      </c>
    </row>
    <row r="35" customHeight="1" spans="1:35">
      <c r="A35" s="18">
        <v>32</v>
      </c>
      <c r="I35" s="16" t="s">
        <v>4755</v>
      </c>
      <c r="J35" s="100">
        <v>80.23</v>
      </c>
      <c r="AH35" s="18">
        <f t="shared" si="0"/>
        <v>0</v>
      </c>
      <c r="AI35" s="18">
        <f t="shared" si="1"/>
        <v>0</v>
      </c>
    </row>
    <row r="36" customHeight="1" spans="1:35">
      <c r="A36" s="18">
        <v>33</v>
      </c>
      <c r="I36" s="16" t="s">
        <v>4756</v>
      </c>
      <c r="J36" s="100">
        <v>80.23</v>
      </c>
      <c r="AH36" s="18">
        <f t="shared" si="0"/>
        <v>0</v>
      </c>
      <c r="AI36" s="18">
        <f t="shared" si="1"/>
        <v>0</v>
      </c>
    </row>
    <row r="37" customHeight="1" spans="1:35">
      <c r="A37" s="18">
        <v>34</v>
      </c>
      <c r="I37" s="16" t="s">
        <v>4757</v>
      </c>
      <c r="J37" s="100">
        <v>111.55</v>
      </c>
      <c r="AH37" s="18">
        <f t="shared" ref="AH37:AH64" si="2">V37+X37+Z37+AB37+AD37+AF37</f>
        <v>0</v>
      </c>
      <c r="AI37" s="18">
        <f t="shared" ref="AI37:AI64" si="3">V37+X37+Z37+AB37+AD37+AF37</f>
        <v>0</v>
      </c>
    </row>
    <row r="38" customHeight="1" spans="1:35">
      <c r="A38" s="18">
        <v>35</v>
      </c>
      <c r="I38" s="16" t="s">
        <v>4758</v>
      </c>
      <c r="J38" s="100">
        <v>113.54</v>
      </c>
      <c r="AH38" s="18">
        <f t="shared" si="2"/>
        <v>0</v>
      </c>
      <c r="AI38" s="18">
        <f t="shared" si="3"/>
        <v>0</v>
      </c>
    </row>
    <row r="39" customHeight="1" spans="1:35">
      <c r="A39" s="18">
        <v>36</v>
      </c>
      <c r="I39" s="16" t="s">
        <v>4759</v>
      </c>
      <c r="J39" s="100">
        <v>81.18</v>
      </c>
      <c r="AH39" s="18">
        <f t="shared" si="2"/>
        <v>0</v>
      </c>
      <c r="AI39" s="18">
        <f t="shared" si="3"/>
        <v>0</v>
      </c>
    </row>
    <row r="40" customHeight="1" spans="1:35">
      <c r="A40" s="18">
        <v>37</v>
      </c>
      <c r="I40" s="16" t="s">
        <v>4760</v>
      </c>
      <c r="J40" s="100">
        <v>1015.88</v>
      </c>
      <c r="AH40" s="18">
        <f t="shared" si="2"/>
        <v>0</v>
      </c>
      <c r="AI40" s="18">
        <f t="shared" si="3"/>
        <v>0</v>
      </c>
    </row>
    <row r="41" customHeight="1" spans="1:35">
      <c r="A41" s="18">
        <v>38</v>
      </c>
      <c r="G41" s="94" t="s">
        <v>4761</v>
      </c>
      <c r="I41" s="16" t="s">
        <v>4762</v>
      </c>
      <c r="J41" s="100">
        <v>43.28</v>
      </c>
      <c r="V41" s="103">
        <v>100000</v>
      </c>
      <c r="W41" s="104" t="s">
        <v>4763</v>
      </c>
      <c r="X41" s="103">
        <f>100000+100000+200000+2450000+200000+400000</f>
        <v>3450000</v>
      </c>
      <c r="Y41" s="104" t="s">
        <v>559</v>
      </c>
      <c r="Z41" s="103">
        <v>550000</v>
      </c>
      <c r="AA41" s="104" t="s">
        <v>3565</v>
      </c>
      <c r="AH41" s="18">
        <f t="shared" si="2"/>
        <v>4100000</v>
      </c>
      <c r="AI41" s="18">
        <f t="shared" si="3"/>
        <v>4100000</v>
      </c>
    </row>
    <row r="42" customHeight="1" spans="1:35">
      <c r="A42" s="18">
        <v>39</v>
      </c>
      <c r="I42" s="16" t="s">
        <v>4764</v>
      </c>
      <c r="J42" s="100">
        <v>44.3</v>
      </c>
      <c r="AH42" s="18">
        <f t="shared" si="2"/>
        <v>0</v>
      </c>
      <c r="AI42" s="18">
        <f t="shared" si="3"/>
        <v>0</v>
      </c>
    </row>
    <row r="43" customHeight="1" spans="1:35">
      <c r="A43" s="18">
        <v>40</v>
      </c>
      <c r="I43" s="16" t="s">
        <v>4765</v>
      </c>
      <c r="J43" s="100">
        <v>42.77</v>
      </c>
      <c r="AH43" s="18">
        <f t="shared" si="2"/>
        <v>0</v>
      </c>
      <c r="AI43" s="18">
        <f t="shared" si="3"/>
        <v>0</v>
      </c>
    </row>
    <row r="44" customHeight="1" spans="1:35">
      <c r="A44" s="18">
        <v>41</v>
      </c>
      <c r="I44" s="16" t="s">
        <v>4766</v>
      </c>
      <c r="J44" s="100">
        <v>42.77</v>
      </c>
      <c r="AH44" s="18">
        <f t="shared" si="2"/>
        <v>0</v>
      </c>
      <c r="AI44" s="18">
        <f t="shared" si="3"/>
        <v>0</v>
      </c>
    </row>
    <row r="45" customHeight="1" spans="1:35">
      <c r="A45" s="18">
        <v>42</v>
      </c>
      <c r="I45" s="16" t="s">
        <v>4767</v>
      </c>
      <c r="J45" s="100">
        <v>42.77</v>
      </c>
      <c r="AH45" s="18">
        <f t="shared" si="2"/>
        <v>0</v>
      </c>
      <c r="AI45" s="18">
        <f t="shared" si="3"/>
        <v>0</v>
      </c>
    </row>
    <row r="46" customHeight="1" spans="1:35">
      <c r="A46" s="18">
        <v>43</v>
      </c>
      <c r="I46" s="16" t="s">
        <v>4768</v>
      </c>
      <c r="J46" s="100">
        <v>48.88</v>
      </c>
      <c r="AH46" s="18">
        <f t="shared" si="2"/>
        <v>0</v>
      </c>
      <c r="AI46" s="18">
        <f t="shared" si="3"/>
        <v>0</v>
      </c>
    </row>
    <row r="47" customHeight="1" spans="1:35">
      <c r="A47" s="18">
        <v>44</v>
      </c>
      <c r="I47" s="16" t="s">
        <v>4769</v>
      </c>
      <c r="J47" s="100">
        <v>42.77</v>
      </c>
      <c r="AH47" s="18">
        <f t="shared" si="2"/>
        <v>0</v>
      </c>
      <c r="AI47" s="18">
        <f t="shared" si="3"/>
        <v>0</v>
      </c>
    </row>
    <row r="48" customHeight="1" spans="1:35">
      <c r="A48" s="18">
        <v>45</v>
      </c>
      <c r="I48" s="16" t="s">
        <v>4770</v>
      </c>
      <c r="J48" s="100">
        <v>42.77</v>
      </c>
      <c r="AH48" s="18">
        <f t="shared" si="2"/>
        <v>0</v>
      </c>
      <c r="AI48" s="18">
        <f t="shared" si="3"/>
        <v>0</v>
      </c>
    </row>
    <row r="49" customHeight="1" spans="1:35">
      <c r="A49" s="18">
        <v>46</v>
      </c>
      <c r="I49" s="16" t="s">
        <v>4771</v>
      </c>
      <c r="J49" s="100">
        <v>42.77</v>
      </c>
      <c r="AH49" s="18">
        <f t="shared" si="2"/>
        <v>0</v>
      </c>
      <c r="AI49" s="18">
        <f t="shared" si="3"/>
        <v>0</v>
      </c>
    </row>
    <row r="50" customHeight="1" spans="1:35">
      <c r="A50" s="18">
        <v>47</v>
      </c>
      <c r="I50" s="16" t="s">
        <v>4772</v>
      </c>
      <c r="J50" s="100">
        <v>43.28</v>
      </c>
      <c r="AH50" s="18">
        <f t="shared" si="2"/>
        <v>0</v>
      </c>
      <c r="AI50" s="18">
        <f t="shared" si="3"/>
        <v>0</v>
      </c>
    </row>
    <row r="51" customHeight="1" spans="1:35">
      <c r="A51" s="18">
        <v>48</v>
      </c>
      <c r="I51" s="16" t="s">
        <v>4773</v>
      </c>
      <c r="J51" s="100">
        <v>43.28</v>
      </c>
      <c r="AH51" s="18">
        <f t="shared" si="2"/>
        <v>0</v>
      </c>
      <c r="AI51" s="18">
        <f t="shared" si="3"/>
        <v>0</v>
      </c>
    </row>
    <row r="52" customHeight="1" spans="1:35">
      <c r="A52" s="18">
        <v>49</v>
      </c>
      <c r="I52" s="16" t="s">
        <v>4774</v>
      </c>
      <c r="J52" s="100">
        <v>42.77</v>
      </c>
      <c r="AH52" s="18">
        <f t="shared" si="2"/>
        <v>0</v>
      </c>
      <c r="AI52" s="18">
        <f t="shared" si="3"/>
        <v>0</v>
      </c>
    </row>
    <row r="53" customHeight="1" spans="1:35">
      <c r="A53" s="18">
        <v>50</v>
      </c>
      <c r="I53" s="16" t="s">
        <v>4775</v>
      </c>
      <c r="J53" s="100">
        <v>42.77</v>
      </c>
      <c r="AH53" s="18">
        <f t="shared" si="2"/>
        <v>0</v>
      </c>
      <c r="AI53" s="18">
        <f t="shared" si="3"/>
        <v>0</v>
      </c>
    </row>
    <row r="54" customHeight="1" spans="1:35">
      <c r="A54" s="18">
        <v>51</v>
      </c>
      <c r="I54" s="16" t="s">
        <v>4776</v>
      </c>
      <c r="J54" s="100">
        <v>42.77</v>
      </c>
      <c r="AH54" s="18">
        <f t="shared" si="2"/>
        <v>0</v>
      </c>
      <c r="AI54" s="18">
        <f t="shared" si="3"/>
        <v>0</v>
      </c>
    </row>
    <row r="55" customHeight="1" spans="1:35">
      <c r="A55" s="18">
        <v>52</v>
      </c>
      <c r="I55" s="16" t="s">
        <v>4777</v>
      </c>
      <c r="J55" s="100">
        <v>48.88</v>
      </c>
      <c r="AH55" s="18">
        <f t="shared" si="2"/>
        <v>0</v>
      </c>
      <c r="AI55" s="18">
        <f t="shared" si="3"/>
        <v>0</v>
      </c>
    </row>
    <row r="56" customHeight="1" spans="1:35">
      <c r="A56" s="18">
        <v>53</v>
      </c>
      <c r="I56" s="16" t="s">
        <v>4778</v>
      </c>
      <c r="J56" s="100">
        <v>42.77</v>
      </c>
      <c r="AH56" s="18">
        <f t="shared" si="2"/>
        <v>0</v>
      </c>
      <c r="AI56" s="18">
        <f t="shared" si="3"/>
        <v>0</v>
      </c>
    </row>
    <row r="57" customHeight="1" spans="1:35">
      <c r="A57" s="18">
        <v>54</v>
      </c>
      <c r="I57" s="16" t="s">
        <v>4779</v>
      </c>
      <c r="J57" s="100">
        <v>42.77</v>
      </c>
      <c r="AH57" s="18">
        <f t="shared" si="2"/>
        <v>0</v>
      </c>
      <c r="AI57" s="18">
        <f t="shared" si="3"/>
        <v>0</v>
      </c>
    </row>
    <row r="58" customHeight="1" spans="1:35">
      <c r="A58" s="18">
        <v>55</v>
      </c>
      <c r="I58" s="16" t="s">
        <v>4780</v>
      </c>
      <c r="J58" s="100">
        <v>42.77</v>
      </c>
      <c r="AH58" s="18">
        <f t="shared" si="2"/>
        <v>0</v>
      </c>
      <c r="AI58" s="18">
        <f t="shared" si="3"/>
        <v>0</v>
      </c>
    </row>
    <row r="59" customHeight="1" spans="1:35">
      <c r="A59" s="18">
        <v>56</v>
      </c>
      <c r="I59" s="16" t="s">
        <v>4781</v>
      </c>
      <c r="J59" s="100">
        <v>44.3</v>
      </c>
      <c r="AH59" s="18">
        <f t="shared" si="2"/>
        <v>0</v>
      </c>
      <c r="AI59" s="18">
        <f t="shared" si="3"/>
        <v>0</v>
      </c>
    </row>
    <row r="60" customHeight="1" spans="1:35">
      <c r="A60" s="18">
        <v>57</v>
      </c>
      <c r="I60" s="16" t="s">
        <v>4782</v>
      </c>
      <c r="J60" s="100">
        <v>43.28</v>
      </c>
      <c r="AH60" s="18">
        <f t="shared" si="2"/>
        <v>0</v>
      </c>
      <c r="AI60" s="18">
        <f t="shared" si="3"/>
        <v>0</v>
      </c>
    </row>
    <row r="61" customHeight="1" spans="1:35">
      <c r="A61" s="18">
        <v>58</v>
      </c>
      <c r="I61" s="16" t="s">
        <v>4783</v>
      </c>
      <c r="J61" s="100">
        <v>328.47</v>
      </c>
      <c r="AH61" s="18">
        <f t="shared" si="2"/>
        <v>0</v>
      </c>
      <c r="AI61" s="18">
        <f t="shared" si="3"/>
        <v>0</v>
      </c>
    </row>
    <row r="62" customHeight="1" spans="1:35">
      <c r="A62" s="18">
        <v>59</v>
      </c>
      <c r="I62" s="16" t="s">
        <v>4784</v>
      </c>
      <c r="J62" s="100">
        <v>332.41</v>
      </c>
      <c r="AH62" s="18">
        <f t="shared" si="2"/>
        <v>0</v>
      </c>
      <c r="AI62" s="18">
        <f t="shared" si="3"/>
        <v>0</v>
      </c>
    </row>
    <row r="63" customHeight="1" spans="1:35">
      <c r="A63" s="18">
        <v>60</v>
      </c>
      <c r="I63" s="16" t="s">
        <v>4785</v>
      </c>
      <c r="J63" s="100">
        <v>215.56</v>
      </c>
      <c r="AH63" s="18">
        <f t="shared" si="2"/>
        <v>0</v>
      </c>
      <c r="AI63" s="18">
        <f t="shared" si="3"/>
        <v>0</v>
      </c>
    </row>
    <row r="64" customHeight="1" spans="1:35">
      <c r="A64" s="18">
        <v>61</v>
      </c>
      <c r="I64" s="16" t="s">
        <v>4786</v>
      </c>
      <c r="J64" s="100">
        <v>216.85</v>
      </c>
      <c r="AH64" s="18">
        <f t="shared" si="2"/>
        <v>0</v>
      </c>
      <c r="AI64" s="18">
        <f t="shared" si="3"/>
        <v>0</v>
      </c>
    </row>
    <row r="65" s="91" customFormat="1" customHeight="1" spans="1:37">
      <c r="A65" s="91" t="s">
        <v>31</v>
      </c>
      <c r="J65" s="91">
        <f>SUM(J4:J64)</f>
        <v>5805.62</v>
      </c>
      <c r="M65" s="91">
        <f>SUM(M4:M64)</f>
        <v>0</v>
      </c>
      <c r="R65" s="91">
        <f>SUM(R4:R64)</f>
        <v>14000</v>
      </c>
      <c r="V65" s="91">
        <f>SUM(V4:V64)</f>
        <v>114000</v>
      </c>
      <c r="X65" s="91">
        <f>SUM(X4:X64)</f>
        <v>3450000</v>
      </c>
      <c r="Z65" s="91">
        <f>SUM(Z4:Z64)</f>
        <v>550000</v>
      </c>
      <c r="AB65" s="91">
        <f t="shared" ref="AB65:AF65" si="4">SUM(AB4:AB64)</f>
        <v>0</v>
      </c>
      <c r="AD65" s="91">
        <f t="shared" si="4"/>
        <v>0</v>
      </c>
      <c r="AF65" s="91">
        <f t="shared" si="4"/>
        <v>0</v>
      </c>
      <c r="AH65" s="91">
        <f t="shared" ref="AH65:AK65" si="5">SUM(AH4:AH64)</f>
        <v>4114000</v>
      </c>
      <c r="AI65" s="91">
        <f t="shared" si="5"/>
        <v>4114000</v>
      </c>
      <c r="AJ65" s="91">
        <f t="shared" si="5"/>
        <v>0</v>
      </c>
      <c r="AK65" s="91">
        <f t="shared" si="5"/>
        <v>0</v>
      </c>
    </row>
  </sheetData>
  <autoFilter xmlns:etc="http://www.wps.cn/officeDocument/2017/etCustomData" ref="A3:AX65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23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4787</v>
      </c>
      <c r="C1" s="62"/>
      <c r="D1" s="62"/>
      <c r="E1" s="62"/>
      <c r="F1" s="63" t="s">
        <v>4788</v>
      </c>
      <c r="G1" s="64"/>
      <c r="H1" s="64"/>
      <c r="I1" s="61"/>
      <c r="J1" s="86"/>
      <c r="L1" s="61"/>
      <c r="M1" s="62" t="s">
        <v>4787</v>
      </c>
      <c r="N1" s="62"/>
      <c r="O1" s="62"/>
      <c r="P1" s="62"/>
      <c r="Q1" s="63" t="s">
        <v>4788</v>
      </c>
      <c r="R1" s="64"/>
      <c r="S1" s="64"/>
      <c r="T1" s="61"/>
      <c r="U1" s="86"/>
    </row>
    <row r="2" customHeight="1" spans="1:21">
      <c r="A2" s="61" t="s">
        <v>1</v>
      </c>
      <c r="B2" s="65" t="s">
        <v>132</v>
      </c>
      <c r="C2" s="66" t="s">
        <v>4789</v>
      </c>
      <c r="D2" s="66" t="s">
        <v>4790</v>
      </c>
      <c r="E2" s="66" t="s">
        <v>4791</v>
      </c>
      <c r="F2" s="67" t="s">
        <v>130</v>
      </c>
      <c r="G2" s="68" t="s">
        <v>4792</v>
      </c>
      <c r="H2" s="68"/>
      <c r="I2" s="61"/>
      <c r="J2" s="86"/>
      <c r="L2" s="61" t="s">
        <v>1</v>
      </c>
      <c r="M2" s="65" t="s">
        <v>132</v>
      </c>
      <c r="N2" s="66" t="s">
        <v>4789</v>
      </c>
      <c r="O2" s="66" t="s">
        <v>4790</v>
      </c>
      <c r="P2" s="66" t="s">
        <v>4791</v>
      </c>
      <c r="Q2" s="67" t="s">
        <v>130</v>
      </c>
      <c r="R2" s="68" t="s">
        <v>4792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135</v>
      </c>
      <c r="H3" s="69" t="s">
        <v>4793</v>
      </c>
      <c r="I3" s="61"/>
      <c r="J3" s="86" t="s">
        <v>4794</v>
      </c>
      <c r="L3" s="61"/>
      <c r="M3" s="65"/>
      <c r="N3" s="66"/>
      <c r="O3" s="66"/>
      <c r="P3" s="66"/>
      <c r="Q3" s="67"/>
      <c r="R3" s="69" t="s">
        <v>135</v>
      </c>
      <c r="S3" s="69" t="s">
        <v>4793</v>
      </c>
      <c r="T3" s="61"/>
      <c r="U3" s="86" t="s">
        <v>4794</v>
      </c>
    </row>
    <row r="4" customHeight="1" spans="1:21">
      <c r="A4" s="61">
        <v>1</v>
      </c>
      <c r="B4" s="70" t="s">
        <v>1256</v>
      </c>
      <c r="C4" s="62">
        <v>117.51</v>
      </c>
      <c r="D4" s="62">
        <v>117.5</v>
      </c>
      <c r="E4" s="71">
        <v>-0.0100000000000051</v>
      </c>
      <c r="F4" s="72" t="s">
        <v>1254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4795</v>
      </c>
      <c r="N4" s="77">
        <v>572.65</v>
      </c>
      <c r="O4" s="77">
        <v>569.14</v>
      </c>
      <c r="P4" s="77">
        <v>-3.50999999999999</v>
      </c>
      <c r="Q4" s="72" t="s">
        <v>4796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1271</v>
      </c>
      <c r="C5" s="62">
        <v>115.95</v>
      </c>
      <c r="D5" s="62">
        <v>115.94</v>
      </c>
      <c r="E5" s="71">
        <v>-0.0100000000000051</v>
      </c>
      <c r="F5" s="72" t="s">
        <v>1270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1276</v>
      </c>
      <c r="C6" s="62">
        <v>115.59</v>
      </c>
      <c r="D6" s="62">
        <v>115.58</v>
      </c>
      <c r="E6" s="71">
        <v>-0.0100000000000051</v>
      </c>
      <c r="F6" s="72" t="s">
        <v>1275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1283</v>
      </c>
      <c r="C7" s="62">
        <v>115.95</v>
      </c>
      <c r="D7" s="62">
        <v>115.94</v>
      </c>
      <c r="E7" s="71">
        <v>-0.0100000000000051</v>
      </c>
      <c r="F7" s="72" t="s">
        <v>1281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1294</v>
      </c>
      <c r="C8" s="62">
        <v>115.59</v>
      </c>
      <c r="D8" s="62">
        <v>115.58</v>
      </c>
      <c r="E8" s="71">
        <v>-0.0100000000000051</v>
      </c>
      <c r="F8" s="72" t="s">
        <v>1292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1302</v>
      </c>
      <c r="C9" s="62">
        <v>115.95</v>
      </c>
      <c r="D9" s="62">
        <v>115.94</v>
      </c>
      <c r="E9" s="71">
        <v>-0.0100000000000051</v>
      </c>
      <c r="F9" s="72" t="s">
        <v>1300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1312</v>
      </c>
      <c r="C10" s="62">
        <v>115.59</v>
      </c>
      <c r="D10" s="62">
        <v>115.58</v>
      </c>
      <c r="E10" s="71">
        <v>-0.0100000000000051</v>
      </c>
      <c r="F10" s="72" t="s">
        <v>4797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1320</v>
      </c>
      <c r="C11" s="62">
        <v>115.95</v>
      </c>
      <c r="D11" s="62">
        <v>115.94</v>
      </c>
      <c r="E11" s="71">
        <v>-0.0100000000000051</v>
      </c>
      <c r="F11" s="72" t="s">
        <v>1319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1325</v>
      </c>
      <c r="C12" s="62">
        <v>115.59</v>
      </c>
      <c r="D12" s="62">
        <v>115.58</v>
      </c>
      <c r="E12" s="71">
        <v>-0.0100000000000051</v>
      </c>
      <c r="F12" s="72" t="s">
        <v>1324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1334</v>
      </c>
      <c r="C13" s="62">
        <v>115.95</v>
      </c>
      <c r="D13" s="62">
        <v>115.94</v>
      </c>
      <c r="E13" s="71">
        <v>-0.0100000000000051</v>
      </c>
      <c r="F13" s="72" t="s">
        <v>1333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1341</v>
      </c>
      <c r="C14" s="62">
        <v>115.59</v>
      </c>
      <c r="D14" s="62">
        <v>115.58</v>
      </c>
      <c r="E14" s="71">
        <v>-0.0100000000000051</v>
      </c>
      <c r="F14" s="72" t="s">
        <v>1339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1350</v>
      </c>
      <c r="C15" s="62">
        <v>115.95</v>
      </c>
      <c r="D15" s="62">
        <v>115.94</v>
      </c>
      <c r="E15" s="71">
        <v>-0.0100000000000051</v>
      </c>
      <c r="F15" s="72" t="s">
        <v>1348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1359</v>
      </c>
      <c r="C16" s="62">
        <v>115.59</v>
      </c>
      <c r="D16" s="62">
        <v>115.58</v>
      </c>
      <c r="E16" s="71">
        <v>-0.0100000000000051</v>
      </c>
      <c r="F16" s="72" t="s">
        <v>1357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1366</v>
      </c>
      <c r="C17" s="62">
        <v>115.95</v>
      </c>
      <c r="D17" s="62">
        <v>115.94</v>
      </c>
      <c r="E17" s="71">
        <v>-0.0100000000000051</v>
      </c>
      <c r="F17" s="72" t="s">
        <v>1365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1372</v>
      </c>
      <c r="C18" s="62">
        <v>115.59</v>
      </c>
      <c r="D18" s="62">
        <v>115.58</v>
      </c>
      <c r="E18" s="71">
        <v>-0.0100000000000051</v>
      </c>
      <c r="F18" s="72" t="s">
        <v>1370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1380</v>
      </c>
      <c r="C19" s="62">
        <v>115.95</v>
      </c>
      <c r="D19" s="62">
        <v>115.94</v>
      </c>
      <c r="E19" s="71">
        <v>-0.0100000000000051</v>
      </c>
      <c r="F19" s="72" t="s">
        <v>4798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1387</v>
      </c>
      <c r="C20" s="62">
        <v>115.59</v>
      </c>
      <c r="D20" s="62">
        <v>115.58</v>
      </c>
      <c r="E20" s="71">
        <v>-0.0100000000000051</v>
      </c>
      <c r="F20" s="72" t="s">
        <v>1228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1392</v>
      </c>
      <c r="C21" s="62">
        <v>115.95</v>
      </c>
      <c r="D21" s="62">
        <v>115.94</v>
      </c>
      <c r="E21" s="71">
        <v>-0.0100000000000051</v>
      </c>
      <c r="F21" s="72" t="s">
        <v>1391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1397</v>
      </c>
      <c r="C22" s="62">
        <v>115.59</v>
      </c>
      <c r="D22" s="62">
        <v>115.58</v>
      </c>
      <c r="E22" s="71">
        <v>-0.0100000000000051</v>
      </c>
      <c r="F22" s="76" t="s">
        <v>4799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1406</v>
      </c>
      <c r="C23" s="62">
        <v>115.95</v>
      </c>
      <c r="D23" s="62">
        <v>115.94</v>
      </c>
      <c r="E23" s="71">
        <v>-0.0100000000000051</v>
      </c>
      <c r="F23" s="72" t="s">
        <v>1226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1414</v>
      </c>
      <c r="C24" s="62">
        <v>115.59</v>
      </c>
      <c r="D24" s="62">
        <v>115.58</v>
      </c>
      <c r="E24" s="71">
        <v>-0.0100000000000051</v>
      </c>
      <c r="F24" s="72" t="s">
        <v>1412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1429</v>
      </c>
      <c r="C25" s="62">
        <v>116.68</v>
      </c>
      <c r="D25" s="62">
        <v>116.67</v>
      </c>
      <c r="E25" s="71">
        <v>-0.0100000000000051</v>
      </c>
      <c r="F25" s="72" t="s">
        <v>4800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1437</v>
      </c>
      <c r="C26" s="62">
        <v>115.59</v>
      </c>
      <c r="D26" s="62">
        <v>115.58</v>
      </c>
      <c r="E26" s="71">
        <v>-0.0100000000000051</v>
      </c>
      <c r="F26" s="72" t="s">
        <v>1436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1444</v>
      </c>
      <c r="C27" s="62">
        <v>115.59</v>
      </c>
      <c r="D27" s="62">
        <v>115.58</v>
      </c>
      <c r="E27" s="71">
        <v>-0.0100000000000051</v>
      </c>
      <c r="F27" s="72" t="s">
        <v>1442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1450</v>
      </c>
      <c r="C28" s="62">
        <v>115.59</v>
      </c>
      <c r="D28" s="62">
        <v>115.58</v>
      </c>
      <c r="E28" s="71">
        <v>-0.0100000000000051</v>
      </c>
      <c r="F28" s="72" t="s">
        <v>1234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1456</v>
      </c>
      <c r="C29" s="62">
        <v>115.59</v>
      </c>
      <c r="D29" s="62">
        <v>115.58</v>
      </c>
      <c r="E29" s="71">
        <v>-0.0100000000000051</v>
      </c>
      <c r="F29" s="72" t="s">
        <v>4801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1463</v>
      </c>
      <c r="C30" s="62">
        <v>115.59</v>
      </c>
      <c r="D30" s="62">
        <v>115.58</v>
      </c>
      <c r="E30" s="71">
        <v>-0.0100000000000051</v>
      </c>
      <c r="F30" s="72" t="s">
        <v>1461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1472</v>
      </c>
      <c r="C31" s="62">
        <v>115.59</v>
      </c>
      <c r="D31" s="62">
        <v>115.58</v>
      </c>
      <c r="E31" s="71">
        <v>-0.0100000000000051</v>
      </c>
      <c r="F31" s="72" t="s">
        <v>1238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1480</v>
      </c>
      <c r="C32" s="62">
        <v>115.59</v>
      </c>
      <c r="D32" s="62">
        <v>115.58</v>
      </c>
      <c r="E32" s="71">
        <v>-0.0100000000000051</v>
      </c>
      <c r="F32" s="72" t="s">
        <v>1241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1487</v>
      </c>
      <c r="C33" s="62">
        <v>115.59</v>
      </c>
      <c r="D33" s="62">
        <v>115.58</v>
      </c>
      <c r="E33" s="71">
        <v>-0.0100000000000051</v>
      </c>
      <c r="F33" s="72" t="s">
        <v>4802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1495</v>
      </c>
      <c r="C34" s="62">
        <v>115.59</v>
      </c>
      <c r="D34" s="62">
        <v>115.58</v>
      </c>
      <c r="E34" s="71">
        <v>-0.0100000000000051</v>
      </c>
      <c r="F34" s="72" t="s">
        <v>1246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1502</v>
      </c>
      <c r="C35" s="62">
        <v>115.59</v>
      </c>
      <c r="D35" s="62">
        <v>115.58</v>
      </c>
      <c r="E35" s="71">
        <v>-0.0100000000000051</v>
      </c>
      <c r="F35" s="72" t="s">
        <v>1248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1510</v>
      </c>
      <c r="C36" s="62">
        <v>115.59</v>
      </c>
      <c r="D36" s="62">
        <v>115.58</v>
      </c>
      <c r="E36" s="71">
        <v>-0.0100000000000051</v>
      </c>
      <c r="F36" s="72" t="s">
        <v>1508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1517</v>
      </c>
      <c r="C37" s="62">
        <v>115.59</v>
      </c>
      <c r="D37" s="62">
        <v>115.58</v>
      </c>
      <c r="E37" s="71">
        <v>-0.0100000000000051</v>
      </c>
      <c r="F37" s="72" t="s">
        <v>1515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1525</v>
      </c>
      <c r="C38" s="62">
        <v>115.59</v>
      </c>
      <c r="D38" s="62">
        <v>115.58</v>
      </c>
      <c r="E38" s="71">
        <v>-0.0100000000000051</v>
      </c>
      <c r="F38" s="72" t="s">
        <v>1523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1534</v>
      </c>
      <c r="C39" s="62">
        <v>115.59</v>
      </c>
      <c r="D39" s="62">
        <v>115.58</v>
      </c>
      <c r="E39" s="71">
        <v>-0.0100000000000051</v>
      </c>
      <c r="F39" s="72" t="s">
        <v>1532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1542</v>
      </c>
      <c r="C40" s="62">
        <v>115.59</v>
      </c>
      <c r="D40" s="62">
        <v>115.58</v>
      </c>
      <c r="E40" s="71">
        <v>-0.0100000000000051</v>
      </c>
      <c r="F40" s="72" t="s">
        <v>4803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1552</v>
      </c>
      <c r="C41" s="62">
        <v>115.59</v>
      </c>
      <c r="D41" s="62">
        <v>115.58</v>
      </c>
      <c r="E41" s="71">
        <v>-0.0100000000000051</v>
      </c>
      <c r="F41" s="72" t="s">
        <v>1550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1561</v>
      </c>
      <c r="C42" s="62">
        <v>115.59</v>
      </c>
      <c r="D42" s="62">
        <v>115.58</v>
      </c>
      <c r="E42" s="71">
        <v>-0.0100000000000051</v>
      </c>
      <c r="F42" s="72" t="s">
        <v>1559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1569</v>
      </c>
      <c r="C43" s="62">
        <v>115.59</v>
      </c>
      <c r="D43" s="62">
        <v>115.58</v>
      </c>
      <c r="E43" s="71">
        <v>-0.0100000000000051</v>
      </c>
      <c r="F43" s="72" t="s">
        <v>1243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1578</v>
      </c>
      <c r="C44" s="62">
        <v>115.59</v>
      </c>
      <c r="D44" s="62">
        <v>115.58</v>
      </c>
      <c r="E44" s="71">
        <v>-0.0100000000000051</v>
      </c>
      <c r="F44" s="72" t="s">
        <v>4804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1586</v>
      </c>
      <c r="C45" s="62">
        <v>115.59</v>
      </c>
      <c r="D45" s="62">
        <v>115.58</v>
      </c>
      <c r="E45" s="71">
        <v>-0.0100000000000051</v>
      </c>
      <c r="F45" s="72" t="s">
        <v>4805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1616</v>
      </c>
      <c r="C46" s="71">
        <v>151.49</v>
      </c>
      <c r="D46" s="71">
        <v>151.48</v>
      </c>
      <c r="E46" s="71">
        <v>-0.0100000000000193</v>
      </c>
      <c r="F46" s="72" t="s">
        <v>1614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1630</v>
      </c>
      <c r="C47" s="71">
        <v>151.49</v>
      </c>
      <c r="D47" s="71">
        <v>151.48</v>
      </c>
      <c r="E47" s="71">
        <v>-0.0100000000000193</v>
      </c>
      <c r="F47" s="72" t="s">
        <v>1631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1648</v>
      </c>
      <c r="C48" s="71">
        <v>151.49</v>
      </c>
      <c r="D48" s="71">
        <v>151.48</v>
      </c>
      <c r="E48" s="71">
        <v>-0.0100000000000193</v>
      </c>
      <c r="F48" s="72" t="s">
        <v>1647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1665</v>
      </c>
      <c r="C49" s="71">
        <v>151.49</v>
      </c>
      <c r="D49" s="71">
        <v>151.48</v>
      </c>
      <c r="E49" s="71">
        <v>-0.0100000000000193</v>
      </c>
      <c r="F49" s="72" t="s">
        <v>1663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1681</v>
      </c>
      <c r="C50" s="62">
        <v>151.49</v>
      </c>
      <c r="D50" s="71">
        <v>151.48</v>
      </c>
      <c r="E50" s="71">
        <v>-0.0100000000000193</v>
      </c>
      <c r="F50" s="72" t="s">
        <v>1680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1696</v>
      </c>
      <c r="C51" s="62">
        <v>151.49</v>
      </c>
      <c r="D51" s="71">
        <v>151.48</v>
      </c>
      <c r="E51" s="71">
        <v>-0.0100000000000193</v>
      </c>
      <c r="F51" s="72" t="s">
        <v>4806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1709</v>
      </c>
      <c r="C52" s="62">
        <v>151.49</v>
      </c>
      <c r="D52" s="71">
        <v>151.48</v>
      </c>
      <c r="E52" s="71">
        <v>-0.0100000000000193</v>
      </c>
      <c r="F52" s="72" t="s">
        <v>1707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1723</v>
      </c>
      <c r="C53" s="62">
        <v>151.49</v>
      </c>
      <c r="D53" s="71">
        <v>151.48</v>
      </c>
      <c r="E53" s="71">
        <v>-0.0100000000000193</v>
      </c>
      <c r="F53" s="72" t="s">
        <v>1722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1736</v>
      </c>
      <c r="C54" s="62">
        <v>151.49</v>
      </c>
      <c r="D54" s="71">
        <v>151.48</v>
      </c>
      <c r="E54" s="71">
        <v>-0.0100000000000193</v>
      </c>
      <c r="F54" s="72" t="s">
        <v>1734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1752</v>
      </c>
      <c r="C55" s="62">
        <v>151.49</v>
      </c>
      <c r="D55" s="71">
        <v>151.48</v>
      </c>
      <c r="E55" s="71">
        <v>-0.0100000000000193</v>
      </c>
      <c r="F55" s="72" t="s">
        <v>1236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31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126</v>
      </c>
      <c r="C1" s="24" t="s">
        <v>127</v>
      </c>
      <c r="D1" s="24" t="s">
        <v>129</v>
      </c>
      <c r="E1" s="24" t="s">
        <v>130</v>
      </c>
      <c r="F1" s="24"/>
      <c r="G1" s="24"/>
      <c r="H1" s="24" t="s">
        <v>132</v>
      </c>
      <c r="I1" s="37" t="s">
        <v>843</v>
      </c>
      <c r="J1" s="24" t="s">
        <v>134</v>
      </c>
      <c r="K1" s="24" t="s">
        <v>135</v>
      </c>
      <c r="L1" s="38" t="s">
        <v>136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4807</v>
      </c>
      <c r="O2" s="21" t="s">
        <v>4808</v>
      </c>
    </row>
    <row r="3" customHeight="1" spans="2:15">
      <c r="B3" s="25"/>
      <c r="C3" s="26" t="s">
        <v>4809</v>
      </c>
      <c r="D3" s="26"/>
      <c r="E3" s="25" t="s">
        <v>906</v>
      </c>
      <c r="F3" s="25"/>
      <c r="G3" s="25"/>
      <c r="H3" s="27" t="s">
        <v>907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909</v>
      </c>
      <c r="C4" s="26">
        <v>20230001464</v>
      </c>
      <c r="D4" s="732" t="s">
        <v>910</v>
      </c>
      <c r="E4" s="25" t="s">
        <v>911</v>
      </c>
      <c r="F4" s="25"/>
      <c r="G4" s="25"/>
      <c r="H4" s="27" t="s">
        <v>913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919</v>
      </c>
      <c r="C5" s="26">
        <v>20230004789</v>
      </c>
      <c r="D5" s="732" t="s">
        <v>920</v>
      </c>
      <c r="E5" s="26" t="s">
        <v>884</v>
      </c>
      <c r="F5" s="26"/>
      <c r="G5" s="26"/>
      <c r="H5" s="28" t="s">
        <v>922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923</v>
      </c>
      <c r="C6" s="26">
        <v>20230006624</v>
      </c>
      <c r="D6" s="732" t="s">
        <v>924</v>
      </c>
      <c r="E6" s="26" t="s">
        <v>925</v>
      </c>
      <c r="F6" s="26"/>
      <c r="G6" s="26"/>
      <c r="H6" s="27" t="s">
        <v>927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929</v>
      </c>
      <c r="C7" s="26">
        <v>20230001743</v>
      </c>
      <c r="D7" s="26" t="s">
        <v>930</v>
      </c>
      <c r="E7" s="26" t="s">
        <v>931</v>
      </c>
      <c r="F7" s="26"/>
      <c r="G7" s="26"/>
      <c r="H7" s="28" t="s">
        <v>932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916</v>
      </c>
      <c r="C8" s="26">
        <v>20230001404</v>
      </c>
      <c r="D8" s="732" t="s">
        <v>933</v>
      </c>
      <c r="E8" s="25" t="s">
        <v>934</v>
      </c>
      <c r="F8" s="25"/>
      <c r="G8" s="25"/>
      <c r="H8" s="27" t="s">
        <v>936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909</v>
      </c>
      <c r="C9" s="26">
        <v>20230001431</v>
      </c>
      <c r="D9" s="732" t="s">
        <v>939</v>
      </c>
      <c r="E9" s="26" t="s">
        <v>893</v>
      </c>
      <c r="F9" s="26"/>
      <c r="G9" s="26"/>
      <c r="H9" s="28" t="s">
        <v>941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943</v>
      </c>
      <c r="C10" s="26">
        <v>20230000706</v>
      </c>
      <c r="D10" s="732" t="s">
        <v>944</v>
      </c>
      <c r="E10" s="25" t="s">
        <v>945</v>
      </c>
      <c r="F10" s="25"/>
      <c r="G10" s="25"/>
      <c r="H10" s="27" t="s">
        <v>946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916</v>
      </c>
      <c r="C11" s="26">
        <v>20230001400</v>
      </c>
      <c r="D11" s="26" t="s">
        <v>949</v>
      </c>
      <c r="E11" s="25" t="s">
        <v>950</v>
      </c>
      <c r="F11" s="25"/>
      <c r="G11" s="25"/>
      <c r="H11" s="28" t="s">
        <v>952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476</v>
      </c>
      <c r="C12" s="26">
        <v>20230003790</v>
      </c>
      <c r="D12" s="732" t="s">
        <v>955</v>
      </c>
      <c r="E12" s="25" t="s">
        <v>956</v>
      </c>
      <c r="F12" s="25"/>
      <c r="G12" s="25"/>
      <c r="H12" s="27" t="s">
        <v>958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963</v>
      </c>
      <c r="E13" s="26" t="s">
        <v>964</v>
      </c>
      <c r="F13" s="26"/>
      <c r="G13" s="26"/>
      <c r="H13" s="28" t="s">
        <v>966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970</v>
      </c>
      <c r="C14" s="26">
        <v>20230000730</v>
      </c>
      <c r="D14" s="732" t="s">
        <v>971</v>
      </c>
      <c r="E14" s="25" t="s">
        <v>972</v>
      </c>
      <c r="F14" s="25"/>
      <c r="G14" s="25"/>
      <c r="H14" s="27" t="s">
        <v>974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943</v>
      </c>
      <c r="C15" s="26">
        <v>20230000725</v>
      </c>
      <c r="D15" s="732" t="s">
        <v>978</v>
      </c>
      <c r="E15" s="25" t="s">
        <v>979</v>
      </c>
      <c r="F15" s="25"/>
      <c r="G15" s="25"/>
      <c r="H15" s="28" t="s">
        <v>981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985</v>
      </c>
      <c r="C16" s="26">
        <v>20230000142</v>
      </c>
      <c r="D16" s="732" t="s">
        <v>986</v>
      </c>
      <c r="E16" s="25" t="s">
        <v>987</v>
      </c>
      <c r="F16" s="25"/>
      <c r="G16" s="25"/>
      <c r="H16" s="27" t="s">
        <v>989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995</v>
      </c>
      <c r="C17" s="26">
        <v>20230000953</v>
      </c>
      <c r="D17" s="732" t="s">
        <v>996</v>
      </c>
      <c r="E17" s="26" t="s">
        <v>997</v>
      </c>
      <c r="F17" s="26"/>
      <c r="G17" s="26"/>
      <c r="H17" s="27" t="s">
        <v>999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916</v>
      </c>
      <c r="C18" s="26">
        <v>20230001308</v>
      </c>
      <c r="D18" s="26" t="s">
        <v>1004</v>
      </c>
      <c r="E18" s="25" t="s">
        <v>1005</v>
      </c>
      <c r="F18" s="25"/>
      <c r="G18" s="25"/>
      <c r="H18" s="27" t="s">
        <v>1007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1010</v>
      </c>
      <c r="C19" s="26">
        <v>20230003229</v>
      </c>
      <c r="D19" s="732" t="s">
        <v>1011</v>
      </c>
      <c r="E19" s="26" t="s">
        <v>1012</v>
      </c>
      <c r="F19" s="26"/>
      <c r="G19" s="26"/>
      <c r="H19" s="28" t="s">
        <v>1014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942</v>
      </c>
      <c r="C20" s="26">
        <v>20230001243</v>
      </c>
      <c r="D20" s="732" t="s">
        <v>1017</v>
      </c>
      <c r="E20" s="30" t="s">
        <v>1018</v>
      </c>
      <c r="F20" s="30"/>
      <c r="G20" s="30"/>
      <c r="H20" s="27" t="s">
        <v>1020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942</v>
      </c>
      <c r="C21" s="26">
        <v>20230001161</v>
      </c>
      <c r="D21" s="732" t="s">
        <v>1024</v>
      </c>
      <c r="E21" s="25" t="s">
        <v>1025</v>
      </c>
      <c r="F21" s="25"/>
      <c r="G21" s="25"/>
      <c r="H21" s="28" t="s">
        <v>1027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1030</v>
      </c>
      <c r="C22" s="26">
        <v>20230000170</v>
      </c>
      <c r="D22" s="732" t="s">
        <v>1031</v>
      </c>
      <c r="E22" s="25" t="s">
        <v>872</v>
      </c>
      <c r="F22" s="25"/>
      <c r="G22" s="25"/>
      <c r="H22" s="27" t="s">
        <v>1032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394</v>
      </c>
      <c r="C23" s="26">
        <v>20230005171</v>
      </c>
      <c r="D23" s="732" t="s">
        <v>1038</v>
      </c>
      <c r="E23" s="25" t="s">
        <v>1039</v>
      </c>
      <c r="F23" s="25"/>
      <c r="G23" s="25"/>
      <c r="H23" s="28" t="s">
        <v>1041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916</v>
      </c>
      <c r="C24" s="26">
        <v>20230001343</v>
      </c>
      <c r="D24" s="732" t="s">
        <v>1046</v>
      </c>
      <c r="E24" s="25" t="s">
        <v>875</v>
      </c>
      <c r="F24" s="25"/>
      <c r="G24" s="25"/>
      <c r="H24" s="27" t="s">
        <v>1048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351</v>
      </c>
      <c r="C25" s="26">
        <v>20230008632</v>
      </c>
      <c r="D25" s="732" t="s">
        <v>1053</v>
      </c>
      <c r="E25" s="25" t="s">
        <v>1054</v>
      </c>
      <c r="F25" s="25"/>
      <c r="G25" s="25"/>
      <c r="H25" s="28" t="s">
        <v>1056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1002</v>
      </c>
      <c r="C26" s="26">
        <v>20230000901</v>
      </c>
      <c r="D26" s="732" t="s">
        <v>1060</v>
      </c>
      <c r="E26" s="26" t="s">
        <v>1061</v>
      </c>
      <c r="F26" s="26"/>
      <c r="G26" s="26"/>
      <c r="H26" s="27" t="s">
        <v>1063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578</v>
      </c>
      <c r="C27" s="26">
        <v>20230006450</v>
      </c>
      <c r="D27" s="732" t="s">
        <v>1067</v>
      </c>
      <c r="E27" s="26" t="s">
        <v>1068</v>
      </c>
      <c r="F27" s="26"/>
      <c r="G27" s="26"/>
      <c r="H27" s="28" t="s">
        <v>1070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737</v>
      </c>
      <c r="C28" s="26">
        <v>20230005822</v>
      </c>
      <c r="D28" s="732" t="s">
        <v>1072</v>
      </c>
      <c r="E28" s="26" t="s">
        <v>1073</v>
      </c>
      <c r="F28" s="26"/>
      <c r="G28" s="26"/>
      <c r="H28" s="27" t="s">
        <v>1074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1035</v>
      </c>
      <c r="C29" s="26">
        <v>20230001075</v>
      </c>
      <c r="D29" s="732" t="s">
        <v>1080</v>
      </c>
      <c r="E29" s="26" t="s">
        <v>1081</v>
      </c>
      <c r="F29" s="26"/>
      <c r="G29" s="26"/>
      <c r="H29" s="28" t="s">
        <v>1083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485</v>
      </c>
      <c r="C30" s="26">
        <v>20230001692</v>
      </c>
      <c r="D30" s="26" t="s">
        <v>1088</v>
      </c>
      <c r="E30" s="25" t="s">
        <v>1089</v>
      </c>
      <c r="F30" s="25"/>
      <c r="G30" s="25"/>
      <c r="H30" s="28" t="s">
        <v>1091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909</v>
      </c>
      <c r="C31" s="26">
        <v>20230001440</v>
      </c>
      <c r="D31" s="29" t="s">
        <v>1095</v>
      </c>
      <c r="E31" s="31" t="s">
        <v>896</v>
      </c>
      <c r="F31" s="31"/>
      <c r="G31" s="31"/>
      <c r="H31" s="28" t="s">
        <v>1096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909</v>
      </c>
      <c r="C32" s="32" t="s">
        <v>1098</v>
      </c>
      <c r="D32" s="29" t="s">
        <v>1099</v>
      </c>
      <c r="E32" s="31" t="s">
        <v>1100</v>
      </c>
      <c r="F32" s="31"/>
      <c r="G32" s="31"/>
      <c r="H32" s="27" t="s">
        <v>1101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942</v>
      </c>
      <c r="C33" s="32" t="s">
        <v>1106</v>
      </c>
      <c r="D33" s="732" t="s">
        <v>1107</v>
      </c>
      <c r="E33" s="25" t="s">
        <v>1108</v>
      </c>
      <c r="F33" s="25"/>
      <c r="G33" s="25"/>
      <c r="H33" s="27" t="s">
        <v>1109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1002</v>
      </c>
      <c r="C34" s="32" t="s">
        <v>1113</v>
      </c>
      <c r="D34" s="29" t="s">
        <v>1114</v>
      </c>
      <c r="E34" s="25" t="s">
        <v>1115</v>
      </c>
      <c r="F34" s="25"/>
      <c r="G34" s="25"/>
      <c r="H34" s="28" t="s">
        <v>1117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259</v>
      </c>
      <c r="C35" s="32" t="s">
        <v>1122</v>
      </c>
      <c r="D35" s="732" t="s">
        <v>1123</v>
      </c>
      <c r="E35" s="31" t="s">
        <v>1124</v>
      </c>
      <c r="F35" s="31"/>
      <c r="G35" s="31"/>
      <c r="H35" s="27" t="s">
        <v>1126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1119</v>
      </c>
      <c r="C36" s="26">
        <v>20230002636</v>
      </c>
      <c r="D36" s="29" t="s">
        <v>1129</v>
      </c>
      <c r="E36" s="31" t="s">
        <v>882</v>
      </c>
      <c r="F36" s="31"/>
      <c r="G36" s="31"/>
      <c r="H36" s="28" t="s">
        <v>1131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909</v>
      </c>
      <c r="C37" s="26">
        <v>20230001427</v>
      </c>
      <c r="D37" s="29" t="s">
        <v>1138</v>
      </c>
      <c r="E37" s="31" t="s">
        <v>1139</v>
      </c>
      <c r="F37" s="31"/>
      <c r="G37" s="31"/>
      <c r="H37" s="27" t="s">
        <v>1141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1035</v>
      </c>
      <c r="C38" s="33" t="s">
        <v>1145</v>
      </c>
      <c r="D38" s="29" t="s">
        <v>1146</v>
      </c>
      <c r="E38" s="31" t="s">
        <v>1147</v>
      </c>
      <c r="F38" s="31"/>
      <c r="G38" s="31"/>
      <c r="H38" s="28" t="s">
        <v>1149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916</v>
      </c>
      <c r="C39" s="33" t="s">
        <v>1155</v>
      </c>
      <c r="D39" s="29" t="s">
        <v>1156</v>
      </c>
      <c r="E39" s="31" t="s">
        <v>1157</v>
      </c>
      <c r="F39" s="31"/>
      <c r="G39" s="31"/>
      <c r="H39" s="27" t="s">
        <v>1159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1164</v>
      </c>
      <c r="C40" s="33" t="s">
        <v>1165</v>
      </c>
      <c r="D40" s="29" t="s">
        <v>1166</v>
      </c>
      <c r="E40" s="31" t="s">
        <v>1167</v>
      </c>
      <c r="F40" s="31"/>
      <c r="G40" s="31"/>
      <c r="H40" s="28" t="s">
        <v>1169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943</v>
      </c>
      <c r="C41" s="26">
        <v>20230000663</v>
      </c>
      <c r="D41" s="29" t="s">
        <v>1174</v>
      </c>
      <c r="E41" s="31" t="s">
        <v>1175</v>
      </c>
      <c r="F41" s="31"/>
      <c r="G41" s="31"/>
      <c r="H41" s="27" t="s">
        <v>1177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1035</v>
      </c>
      <c r="C42" s="33" t="s">
        <v>1181</v>
      </c>
      <c r="D42" s="29" t="s">
        <v>1182</v>
      </c>
      <c r="E42" s="31" t="s">
        <v>1183</v>
      </c>
      <c r="F42" s="31"/>
      <c r="G42" s="31"/>
      <c r="H42" s="28" t="s">
        <v>1185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1035</v>
      </c>
      <c r="C43" s="33" t="s">
        <v>1190</v>
      </c>
      <c r="D43" s="29" t="s">
        <v>1191</v>
      </c>
      <c r="E43" s="34" t="s">
        <v>1192</v>
      </c>
      <c r="F43" s="34"/>
      <c r="G43" s="34"/>
      <c r="H43" s="27" t="s">
        <v>1193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909</v>
      </c>
      <c r="C44" s="33" t="s">
        <v>1195</v>
      </c>
      <c r="D44" s="35" t="s">
        <v>1196</v>
      </c>
      <c r="E44" s="34" t="s">
        <v>1197</v>
      </c>
      <c r="F44" s="34"/>
      <c r="G44" s="34"/>
      <c r="H44" s="28" t="s">
        <v>1198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1202</v>
      </c>
      <c r="C45" s="33" t="s">
        <v>1203</v>
      </c>
      <c r="D45" s="29" t="s">
        <v>1204</v>
      </c>
      <c r="E45" s="34" t="s">
        <v>1205</v>
      </c>
      <c r="F45" s="34"/>
      <c r="G45" s="34"/>
      <c r="H45" s="27" t="s">
        <v>1207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726</v>
      </c>
      <c r="C46" s="33" t="s">
        <v>1215</v>
      </c>
      <c r="D46" s="29" t="s">
        <v>1216</v>
      </c>
      <c r="E46" s="34" t="s">
        <v>1217</v>
      </c>
      <c r="F46" s="34"/>
      <c r="G46" s="34"/>
      <c r="H46" s="27" t="s">
        <v>1219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1251</v>
      </c>
      <c r="C47" s="33" t="s">
        <v>1252</v>
      </c>
      <c r="D47" s="29" t="s">
        <v>1253</v>
      </c>
      <c r="E47" s="29" t="s">
        <v>1254</v>
      </c>
      <c r="F47" s="29"/>
      <c r="G47" s="29"/>
      <c r="H47" s="27" t="s">
        <v>1256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1267</v>
      </c>
      <c r="D48" s="29" t="s">
        <v>1269</v>
      </c>
      <c r="E48" s="34" t="s">
        <v>1270</v>
      </c>
      <c r="F48" s="34"/>
      <c r="G48" s="34"/>
      <c r="H48" s="27" t="s">
        <v>1271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1272</v>
      </c>
      <c r="C49" s="33" t="s">
        <v>1273</v>
      </c>
      <c r="D49" s="29" t="s">
        <v>1274</v>
      </c>
      <c r="E49" s="34" t="s">
        <v>1275</v>
      </c>
      <c r="F49" s="34"/>
      <c r="G49" s="34"/>
      <c r="H49" s="28" t="s">
        <v>1276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1279</v>
      </c>
      <c r="D50" s="29" t="s">
        <v>1280</v>
      </c>
      <c r="E50" s="31" t="s">
        <v>1281</v>
      </c>
      <c r="F50" s="31"/>
      <c r="G50" s="31"/>
      <c r="H50" s="27" t="s">
        <v>1283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1289</v>
      </c>
      <c r="C51" s="33" t="s">
        <v>1290</v>
      </c>
      <c r="D51" s="732" t="s">
        <v>1291</v>
      </c>
      <c r="E51" s="31" t="s">
        <v>1292</v>
      </c>
      <c r="F51" s="31"/>
      <c r="G51" s="31"/>
      <c r="H51" s="28" t="s">
        <v>1294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916</v>
      </c>
      <c r="C52" s="33" t="s">
        <v>1298</v>
      </c>
      <c r="D52" s="29" t="s">
        <v>1299</v>
      </c>
      <c r="E52" s="34" t="s">
        <v>1300</v>
      </c>
      <c r="F52" s="34"/>
      <c r="G52" s="34"/>
      <c r="H52" s="27" t="s">
        <v>1302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942</v>
      </c>
      <c r="C53" s="32" t="s">
        <v>1308</v>
      </c>
      <c r="D53" s="29" t="s">
        <v>1309</v>
      </c>
      <c r="E53" s="34" t="s">
        <v>1310</v>
      </c>
      <c r="F53" s="34"/>
      <c r="G53" s="34"/>
      <c r="H53" s="28" t="s">
        <v>1312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1002</v>
      </c>
      <c r="C54" s="33" t="s">
        <v>1317</v>
      </c>
      <c r="D54" s="29" t="s">
        <v>1318</v>
      </c>
      <c r="E54" s="31" t="s">
        <v>1319</v>
      </c>
      <c r="F54" s="31"/>
      <c r="G54" s="31"/>
      <c r="H54" s="27" t="s">
        <v>1320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1035</v>
      </c>
      <c r="C55" s="33" t="s">
        <v>1322</v>
      </c>
      <c r="D55" s="29" t="s">
        <v>1323</v>
      </c>
      <c r="E55" s="31" t="s">
        <v>1324</v>
      </c>
      <c r="F55" s="31"/>
      <c r="G55" s="31"/>
      <c r="H55" s="28" t="s">
        <v>1325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1330</v>
      </c>
      <c r="C56" s="33" t="s">
        <v>1331</v>
      </c>
      <c r="D56" s="29" t="s">
        <v>1332</v>
      </c>
      <c r="E56" s="31" t="s">
        <v>1333</v>
      </c>
      <c r="F56" s="31"/>
      <c r="G56" s="31"/>
      <c r="H56" s="27" t="s">
        <v>1334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1035</v>
      </c>
      <c r="C57" s="33" t="s">
        <v>1337</v>
      </c>
      <c r="D57" s="29" t="s">
        <v>1338</v>
      </c>
      <c r="E57" s="31" t="s">
        <v>1339</v>
      </c>
      <c r="F57" s="31"/>
      <c r="G57" s="31"/>
      <c r="H57" s="28" t="s">
        <v>1341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1345</v>
      </c>
      <c r="C58" s="33" t="s">
        <v>1346</v>
      </c>
      <c r="D58" s="29" t="s">
        <v>1347</v>
      </c>
      <c r="E58" s="25" t="s">
        <v>1348</v>
      </c>
      <c r="F58" s="25"/>
      <c r="G58" s="25"/>
      <c r="H58" s="27" t="s">
        <v>1350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1330</v>
      </c>
      <c r="C59" s="33" t="s">
        <v>1355</v>
      </c>
      <c r="D59" s="29" t="s">
        <v>1356</v>
      </c>
      <c r="E59" s="25" t="s">
        <v>1357</v>
      </c>
      <c r="F59" s="25"/>
      <c r="G59" s="25"/>
      <c r="H59" s="27" t="s">
        <v>1359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916</v>
      </c>
      <c r="C60" s="33" t="s">
        <v>1363</v>
      </c>
      <c r="D60" s="29" t="s">
        <v>1364</v>
      </c>
      <c r="E60" s="25" t="s">
        <v>1365</v>
      </c>
      <c r="F60" s="25"/>
      <c r="G60" s="25"/>
      <c r="H60" s="27" t="s">
        <v>1366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977</v>
      </c>
      <c r="C61" s="33" t="s">
        <v>1368</v>
      </c>
      <c r="D61" s="29" t="s">
        <v>1369</v>
      </c>
      <c r="E61" s="25" t="s">
        <v>1370</v>
      </c>
      <c r="F61" s="25"/>
      <c r="G61" s="25"/>
      <c r="H61" s="27" t="s">
        <v>1372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942</v>
      </c>
      <c r="C62" s="33" t="s">
        <v>1376</v>
      </c>
      <c r="D62" s="29" t="s">
        <v>1377</v>
      </c>
      <c r="E62" s="26" t="s">
        <v>1378</v>
      </c>
      <c r="F62" s="26"/>
      <c r="G62" s="26"/>
      <c r="H62" s="28" t="s">
        <v>1380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942</v>
      </c>
      <c r="C63" s="33" t="s">
        <v>1385</v>
      </c>
      <c r="D63" s="29" t="s">
        <v>1386</v>
      </c>
      <c r="E63" s="25" t="s">
        <v>1228</v>
      </c>
      <c r="F63" s="25"/>
      <c r="G63" s="25"/>
      <c r="H63" s="27" t="s">
        <v>1387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909</v>
      </c>
      <c r="C64" s="33" t="s">
        <v>1389</v>
      </c>
      <c r="D64" s="29" t="s">
        <v>1390</v>
      </c>
      <c r="E64" s="26" t="s">
        <v>1391</v>
      </c>
      <c r="F64" s="26"/>
      <c r="G64" s="26"/>
      <c r="H64" s="28" t="s">
        <v>1392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977</v>
      </c>
      <c r="C65" s="33" t="s">
        <v>1393</v>
      </c>
      <c r="D65" s="29" t="s">
        <v>1394</v>
      </c>
      <c r="E65" s="26" t="s">
        <v>1395</v>
      </c>
      <c r="F65" s="26"/>
      <c r="G65" s="26"/>
      <c r="H65" s="27" t="s">
        <v>1397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1002</v>
      </c>
      <c r="C66" s="33" t="s">
        <v>1402</v>
      </c>
      <c r="D66" s="29" t="s">
        <v>1403</v>
      </c>
      <c r="E66" s="31" t="s">
        <v>1404</v>
      </c>
      <c r="F66" s="31"/>
      <c r="G66" s="31"/>
      <c r="H66" s="28" t="s">
        <v>1406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351</v>
      </c>
      <c r="C67" s="33" t="s">
        <v>1410</v>
      </c>
      <c r="D67" s="29" t="s">
        <v>1411</v>
      </c>
      <c r="E67" s="25" t="s">
        <v>1412</v>
      </c>
      <c r="F67" s="25"/>
      <c r="G67" s="25"/>
      <c r="H67" s="27" t="s">
        <v>1414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1417</v>
      </c>
      <c r="C68" s="33" t="s">
        <v>1418</v>
      </c>
      <c r="D68" s="29" t="s">
        <v>1419</v>
      </c>
      <c r="E68" s="25" t="s">
        <v>1420</v>
      </c>
      <c r="F68" s="25"/>
      <c r="G68" s="25"/>
      <c r="H68" s="28" t="s">
        <v>1422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909</v>
      </c>
      <c r="C69" s="33" t="s">
        <v>1425</v>
      </c>
      <c r="D69" s="29" t="s">
        <v>1426</v>
      </c>
      <c r="E69" s="26" t="s">
        <v>1427</v>
      </c>
      <c r="F69" s="26"/>
      <c r="G69" s="26"/>
      <c r="H69" s="27" t="s">
        <v>1429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1433</v>
      </c>
      <c r="C70" s="33" t="s">
        <v>1434</v>
      </c>
      <c r="D70" s="29" t="s">
        <v>1435</v>
      </c>
      <c r="E70" s="26" t="s">
        <v>1436</v>
      </c>
      <c r="F70" s="26"/>
      <c r="G70" s="26"/>
      <c r="H70" s="28" t="s">
        <v>1437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1440</v>
      </c>
      <c r="D71" s="29" t="s">
        <v>1441</v>
      </c>
      <c r="E71" s="26" t="s">
        <v>1442</v>
      </c>
      <c r="F71" s="26"/>
      <c r="G71" s="26"/>
      <c r="H71" s="27" t="s">
        <v>1444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1447</v>
      </c>
      <c r="C72" s="33" t="s">
        <v>1448</v>
      </c>
      <c r="D72" s="29" t="s">
        <v>1449</v>
      </c>
      <c r="E72" s="25" t="s">
        <v>1234</v>
      </c>
      <c r="F72" s="25"/>
      <c r="G72" s="25"/>
      <c r="H72" s="28" t="s">
        <v>1450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977</v>
      </c>
      <c r="C73" s="33" t="s">
        <v>1453</v>
      </c>
      <c r="D73" s="29" t="s">
        <v>1454</v>
      </c>
      <c r="E73" s="25" t="s">
        <v>1455</v>
      </c>
      <c r="F73" s="25"/>
      <c r="G73" s="25"/>
      <c r="H73" s="27" t="s">
        <v>1456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943</v>
      </c>
      <c r="C74" s="33" t="s">
        <v>1459</v>
      </c>
      <c r="D74" s="29" t="s">
        <v>1460</v>
      </c>
      <c r="E74" s="25" t="s">
        <v>1461</v>
      </c>
      <c r="F74" s="25"/>
      <c r="G74" s="25"/>
      <c r="H74" s="27" t="s">
        <v>1463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1468</v>
      </c>
      <c r="C75" s="33" t="s">
        <v>1469</v>
      </c>
      <c r="D75" s="29" t="s">
        <v>1470</v>
      </c>
      <c r="E75" s="25" t="s">
        <v>1238</v>
      </c>
      <c r="F75" s="25"/>
      <c r="G75" s="25"/>
      <c r="H75" s="27" t="s">
        <v>1472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942</v>
      </c>
      <c r="C76" s="33" t="s">
        <v>1476</v>
      </c>
      <c r="D76" s="29" t="s">
        <v>1477</v>
      </c>
      <c r="E76" s="25" t="s">
        <v>1478</v>
      </c>
      <c r="F76" s="25"/>
      <c r="G76" s="25"/>
      <c r="H76" s="28" t="s">
        <v>1480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1057</v>
      </c>
      <c r="C77" s="33" t="s">
        <v>1484</v>
      </c>
      <c r="D77" s="43" t="s">
        <v>1485</v>
      </c>
      <c r="E77" s="25" t="s">
        <v>1486</v>
      </c>
      <c r="F77" s="25"/>
      <c r="G77" s="25"/>
      <c r="H77" s="27" t="s">
        <v>1487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1002</v>
      </c>
      <c r="C78" s="33" t="s">
        <v>1492</v>
      </c>
      <c r="D78" s="29" t="s">
        <v>1493</v>
      </c>
      <c r="E78" s="25" t="s">
        <v>1246</v>
      </c>
      <c r="F78" s="25"/>
      <c r="G78" s="25"/>
      <c r="H78" s="28" t="s">
        <v>1495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977</v>
      </c>
      <c r="C79" s="33" t="s">
        <v>1499</v>
      </c>
      <c r="D79" s="29" t="s">
        <v>1500</v>
      </c>
      <c r="E79" s="31" t="s">
        <v>1248</v>
      </c>
      <c r="F79" s="31"/>
      <c r="G79" s="31"/>
      <c r="H79" s="27" t="s">
        <v>1502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909</v>
      </c>
      <c r="C80" s="33" t="s">
        <v>1506</v>
      </c>
      <c r="D80" s="29" t="s">
        <v>1507</v>
      </c>
      <c r="E80" s="25" t="s">
        <v>1508</v>
      </c>
      <c r="F80" s="25"/>
      <c r="G80" s="25"/>
      <c r="H80" s="28" t="s">
        <v>1510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977</v>
      </c>
      <c r="C81" s="33" t="s">
        <v>1513</v>
      </c>
      <c r="D81" s="43" t="s">
        <v>1514</v>
      </c>
      <c r="E81" s="25" t="s">
        <v>1515</v>
      </c>
      <c r="F81" s="25"/>
      <c r="G81" s="25"/>
      <c r="H81" s="27" t="s">
        <v>1517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1521</v>
      </c>
      <c r="D82" s="29" t="s">
        <v>1522</v>
      </c>
      <c r="E82" s="25" t="s">
        <v>1523</v>
      </c>
      <c r="F82" s="25"/>
      <c r="G82" s="25"/>
      <c r="H82" s="28" t="s">
        <v>1525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942</v>
      </c>
      <c r="C83" s="33" t="s">
        <v>1530</v>
      </c>
      <c r="D83" s="29" t="s">
        <v>1531</v>
      </c>
      <c r="E83" s="25" t="s">
        <v>1532</v>
      </c>
      <c r="F83" s="25"/>
      <c r="G83" s="25"/>
      <c r="H83" s="27" t="s">
        <v>1534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916</v>
      </c>
      <c r="C84" s="33" t="s">
        <v>1538</v>
      </c>
      <c r="D84" s="29" t="s">
        <v>1539</v>
      </c>
      <c r="E84" s="25" t="s">
        <v>1540</v>
      </c>
      <c r="F84" s="25"/>
      <c r="G84" s="25"/>
      <c r="H84" s="28" t="s">
        <v>1542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1035</v>
      </c>
      <c r="C85" s="33" t="s">
        <v>1548</v>
      </c>
      <c r="D85" s="29" t="s">
        <v>1549</v>
      </c>
      <c r="E85" s="25" t="s">
        <v>1550</v>
      </c>
      <c r="F85" s="25"/>
      <c r="G85" s="25"/>
      <c r="H85" s="27" t="s">
        <v>1552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942</v>
      </c>
      <c r="C86" s="33" t="s">
        <v>1557</v>
      </c>
      <c r="D86" s="29" t="s">
        <v>1558</v>
      </c>
      <c r="E86" s="34" t="s">
        <v>1559</v>
      </c>
      <c r="F86" s="34"/>
      <c r="G86" s="34"/>
      <c r="H86" s="28" t="s">
        <v>1561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1036</v>
      </c>
      <c r="C87" s="33" t="s">
        <v>1565</v>
      </c>
      <c r="D87" s="29" t="s">
        <v>1566</v>
      </c>
      <c r="E87" s="34" t="s">
        <v>1567</v>
      </c>
      <c r="F87" s="34"/>
      <c r="G87" s="34"/>
      <c r="H87" s="27" t="s">
        <v>1569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1035</v>
      </c>
      <c r="C88" s="33" t="s">
        <v>1574</v>
      </c>
      <c r="D88" s="29" t="s">
        <v>1575</v>
      </c>
      <c r="E88" s="31" t="s">
        <v>1576</v>
      </c>
      <c r="F88" s="31"/>
      <c r="G88" s="31"/>
      <c r="H88" s="27" t="s">
        <v>1578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1002</v>
      </c>
      <c r="C89" s="29" t="s">
        <v>1582</v>
      </c>
      <c r="D89" s="44" t="s">
        <v>1583</v>
      </c>
      <c r="E89" s="31" t="s">
        <v>1584</v>
      </c>
      <c r="F89" s="31"/>
      <c r="G89" s="31"/>
      <c r="H89" s="27" t="s">
        <v>1586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977</v>
      </c>
      <c r="C90" s="732" t="s">
        <v>1592</v>
      </c>
      <c r="D90" s="29" t="s">
        <v>1593</v>
      </c>
      <c r="E90" s="31" t="s">
        <v>1594</v>
      </c>
      <c r="F90" s="31"/>
      <c r="G90" s="31"/>
      <c r="H90" s="27" t="s">
        <v>1596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1035</v>
      </c>
      <c r="C91" s="33" t="s">
        <v>1603</v>
      </c>
      <c r="D91" s="29" t="s">
        <v>1604</v>
      </c>
      <c r="E91" s="34" t="s">
        <v>1605</v>
      </c>
      <c r="F91" s="34"/>
      <c r="G91" s="34"/>
      <c r="H91" s="27" t="s">
        <v>1607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1611</v>
      </c>
      <c r="C92" s="33" t="s">
        <v>1612</v>
      </c>
      <c r="D92" s="29" t="s">
        <v>1613</v>
      </c>
      <c r="E92" s="34" t="s">
        <v>1614</v>
      </c>
      <c r="F92" s="34"/>
      <c r="G92" s="34"/>
      <c r="H92" s="28" t="s">
        <v>1616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909</v>
      </c>
      <c r="C93" s="26">
        <v>20230001471</v>
      </c>
      <c r="D93" s="32" t="s">
        <v>1619</v>
      </c>
      <c r="E93" s="31" t="s">
        <v>1620</v>
      </c>
      <c r="F93" s="31"/>
      <c r="G93" s="31"/>
      <c r="H93" s="27" t="s">
        <v>1622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1626</v>
      </c>
      <c r="C94" s="26">
        <v>20230003708</v>
      </c>
      <c r="D94" s="29" t="s">
        <v>1627</v>
      </c>
      <c r="E94" s="31" t="s">
        <v>1628</v>
      </c>
      <c r="F94" s="31"/>
      <c r="G94" s="31"/>
      <c r="H94" s="28" t="s">
        <v>1630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977</v>
      </c>
      <c r="C95" s="33" t="s">
        <v>1637</v>
      </c>
      <c r="D95" s="29" t="s">
        <v>1638</v>
      </c>
      <c r="E95" s="31" t="s">
        <v>1639</v>
      </c>
      <c r="F95" s="31"/>
      <c r="G95" s="31"/>
      <c r="H95" s="27" t="s">
        <v>1641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568</v>
      </c>
      <c r="C96" s="33" t="s">
        <v>1645</v>
      </c>
      <c r="D96" s="29" t="s">
        <v>1646</v>
      </c>
      <c r="E96" s="31" t="s">
        <v>1647</v>
      </c>
      <c r="F96" s="31"/>
      <c r="G96" s="31"/>
      <c r="H96" s="28" t="s">
        <v>1648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1651</v>
      </c>
      <c r="C97" s="33" t="s">
        <v>1652</v>
      </c>
      <c r="D97" s="29" t="s">
        <v>1653</v>
      </c>
      <c r="E97" s="31" t="s">
        <v>1654</v>
      </c>
      <c r="F97" s="31"/>
      <c r="G97" s="31"/>
      <c r="H97" s="27" t="s">
        <v>1656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1259</v>
      </c>
      <c r="C98" s="33" t="s">
        <v>1661</v>
      </c>
      <c r="D98" s="29" t="s">
        <v>1662</v>
      </c>
      <c r="E98" s="31" t="s">
        <v>1663</v>
      </c>
      <c r="F98" s="31"/>
      <c r="G98" s="31"/>
      <c r="H98" s="28" t="s">
        <v>1665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1035</v>
      </c>
      <c r="C99" s="33" t="s">
        <v>1670</v>
      </c>
      <c r="D99" s="43" t="s">
        <v>1671</v>
      </c>
      <c r="E99" s="31" t="s">
        <v>1672</v>
      </c>
      <c r="F99" s="31"/>
      <c r="G99" s="31"/>
      <c r="H99" s="27" t="s">
        <v>1674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916</v>
      </c>
      <c r="C100" s="33" t="s">
        <v>1678</v>
      </c>
      <c r="D100" s="29" t="s">
        <v>1679</v>
      </c>
      <c r="E100" s="31" t="s">
        <v>1680</v>
      </c>
      <c r="F100" s="31"/>
      <c r="G100" s="31"/>
      <c r="H100" s="28" t="s">
        <v>1681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942</v>
      </c>
      <c r="C101" s="29" t="s">
        <v>1685</v>
      </c>
      <c r="D101" s="43" t="s">
        <v>1686</v>
      </c>
      <c r="E101" s="31" t="s">
        <v>1687</v>
      </c>
      <c r="F101" s="31"/>
      <c r="G101" s="31"/>
      <c r="H101" s="27" t="s">
        <v>1689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909</v>
      </c>
      <c r="C102" s="33" t="s">
        <v>1693</v>
      </c>
      <c r="D102" s="44" t="s">
        <v>1694</v>
      </c>
      <c r="E102" s="34" t="s">
        <v>1695</v>
      </c>
      <c r="F102" s="34"/>
      <c r="G102" s="34"/>
      <c r="H102" s="27" t="s">
        <v>1696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916</v>
      </c>
      <c r="C103" s="33" t="s">
        <v>1699</v>
      </c>
      <c r="D103" s="29" t="s">
        <v>1700</v>
      </c>
      <c r="E103" s="31" t="s">
        <v>1701</v>
      </c>
      <c r="F103" s="31"/>
      <c r="G103" s="31"/>
      <c r="H103" s="27" t="s">
        <v>1702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1305</v>
      </c>
      <c r="C104" s="26">
        <v>20230001886</v>
      </c>
      <c r="D104" s="29" t="s">
        <v>1706</v>
      </c>
      <c r="E104" s="34" t="s">
        <v>1707</v>
      </c>
      <c r="F104" s="34"/>
      <c r="G104" s="34"/>
      <c r="H104" s="28" t="s">
        <v>1709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568</v>
      </c>
      <c r="C105" s="33" t="s">
        <v>1712</v>
      </c>
      <c r="D105" s="43" t="s">
        <v>1713</v>
      </c>
      <c r="E105" s="31" t="s">
        <v>1714</v>
      </c>
      <c r="F105" s="31"/>
      <c r="G105" s="31"/>
      <c r="H105" s="27" t="s">
        <v>1716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1305</v>
      </c>
      <c r="C106" s="29" t="s">
        <v>1720</v>
      </c>
      <c r="D106" s="29" t="s">
        <v>1721</v>
      </c>
      <c r="E106" s="31" t="s">
        <v>1722</v>
      </c>
      <c r="F106" s="31"/>
      <c r="G106" s="31"/>
      <c r="H106" s="28" t="s">
        <v>1723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943</v>
      </c>
      <c r="C107" s="26">
        <v>20230000675</v>
      </c>
      <c r="D107" s="29" t="s">
        <v>223</v>
      </c>
      <c r="E107" s="31" t="s">
        <v>224</v>
      </c>
      <c r="F107" s="31"/>
      <c r="G107" s="31"/>
      <c r="H107" s="27" t="s">
        <v>1726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994</v>
      </c>
      <c r="C108" s="33" t="s">
        <v>1732</v>
      </c>
      <c r="D108" s="732" t="s">
        <v>1733</v>
      </c>
      <c r="E108" s="26" t="s">
        <v>1734</v>
      </c>
      <c r="F108" s="26"/>
      <c r="G108" s="26"/>
      <c r="H108" s="28" t="s">
        <v>1736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1002</v>
      </c>
      <c r="C109" s="33" t="s">
        <v>1740</v>
      </c>
      <c r="D109" s="44" t="s">
        <v>1741</v>
      </c>
      <c r="E109" s="31" t="s">
        <v>1742</v>
      </c>
      <c r="F109" s="31"/>
      <c r="G109" s="31"/>
      <c r="H109" s="27" t="s">
        <v>1744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1748</v>
      </c>
      <c r="C110" s="26">
        <v>20230004274</v>
      </c>
      <c r="D110" s="29" t="s">
        <v>1749</v>
      </c>
      <c r="E110" s="31" t="s">
        <v>1750</v>
      </c>
      <c r="F110" s="31"/>
      <c r="G110" s="31"/>
      <c r="H110" s="28" t="s">
        <v>1752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942</v>
      </c>
      <c r="C111" s="33" t="s">
        <v>1791</v>
      </c>
      <c r="D111" s="29" t="s">
        <v>1792</v>
      </c>
      <c r="E111" s="31" t="s">
        <v>1793</v>
      </c>
      <c r="F111" s="31"/>
      <c r="G111" s="31"/>
      <c r="H111" s="27" t="s">
        <v>1795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1136</v>
      </c>
      <c r="C112" s="26">
        <v>20230004510</v>
      </c>
      <c r="D112" s="29" t="s">
        <v>790</v>
      </c>
      <c r="E112" s="31" t="s">
        <v>1800</v>
      </c>
      <c r="F112" s="31"/>
      <c r="G112" s="31"/>
      <c r="H112" s="28" t="s">
        <v>1802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1805</v>
      </c>
      <c r="C113" s="33" t="s">
        <v>1806</v>
      </c>
      <c r="D113" s="29" t="s">
        <v>1807</v>
      </c>
      <c r="E113" s="26" t="s">
        <v>1808</v>
      </c>
      <c r="F113" s="26"/>
      <c r="G113" s="26"/>
      <c r="H113" s="27" t="s">
        <v>1810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1815</v>
      </c>
      <c r="D114" s="29" t="s">
        <v>1807</v>
      </c>
      <c r="E114" s="26" t="s">
        <v>1816</v>
      </c>
      <c r="F114" s="26"/>
      <c r="G114" s="26"/>
      <c r="H114" s="28" t="s">
        <v>1817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805</v>
      </c>
      <c r="C115" s="33" t="s">
        <v>1820</v>
      </c>
      <c r="D115" s="29" t="s">
        <v>1821</v>
      </c>
      <c r="E115" s="26" t="s">
        <v>1822</v>
      </c>
      <c r="F115" s="26"/>
      <c r="G115" s="26"/>
      <c r="H115" s="27" t="s">
        <v>1824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1826</v>
      </c>
      <c r="C116" s="33" t="s">
        <v>1827</v>
      </c>
      <c r="D116" s="29" t="s">
        <v>1828</v>
      </c>
      <c r="E116" s="25" t="s">
        <v>1829</v>
      </c>
      <c r="F116" s="25"/>
      <c r="G116" s="25"/>
      <c r="H116" s="28" t="s">
        <v>1831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269</v>
      </c>
      <c r="C117" s="33" t="s">
        <v>1837</v>
      </c>
      <c r="D117" s="29" t="s">
        <v>1838</v>
      </c>
      <c r="E117" s="26" t="s">
        <v>1839</v>
      </c>
      <c r="F117" s="26"/>
      <c r="G117" s="26"/>
      <c r="H117" s="27" t="s">
        <v>1841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373</v>
      </c>
      <c r="C118" s="33" t="s">
        <v>1843</v>
      </c>
      <c r="D118" s="29" t="s">
        <v>1844</v>
      </c>
      <c r="E118" s="26" t="s">
        <v>1845</v>
      </c>
      <c r="F118" s="26"/>
      <c r="G118" s="26"/>
      <c r="H118" s="27" t="s">
        <v>1847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1850</v>
      </c>
      <c r="C119" s="33" t="s">
        <v>1851</v>
      </c>
      <c r="D119" s="29" t="s">
        <v>1852</v>
      </c>
      <c r="E119" s="25" t="s">
        <v>1853</v>
      </c>
      <c r="F119" s="25"/>
      <c r="G119" s="25"/>
      <c r="H119" s="28" t="s">
        <v>1854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1858</v>
      </c>
      <c r="C120" s="33" t="s">
        <v>1859</v>
      </c>
      <c r="D120" s="29" t="s">
        <v>1860</v>
      </c>
      <c r="E120" s="25" t="s">
        <v>1861</v>
      </c>
      <c r="F120" s="25"/>
      <c r="G120" s="25"/>
      <c r="H120" s="27" t="s">
        <v>1863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578</v>
      </c>
      <c r="C121" s="33" t="s">
        <v>1865</v>
      </c>
      <c r="D121" s="29" t="s">
        <v>1866</v>
      </c>
      <c r="E121" s="26" t="s">
        <v>1780</v>
      </c>
      <c r="F121" s="26"/>
      <c r="G121" s="26"/>
      <c r="H121" s="28" t="s">
        <v>1868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943</v>
      </c>
      <c r="C122" s="33" t="s">
        <v>1871</v>
      </c>
      <c r="D122" s="29" t="s">
        <v>1872</v>
      </c>
      <c r="E122" s="25" t="s">
        <v>1873</v>
      </c>
      <c r="F122" s="25"/>
      <c r="G122" s="25"/>
      <c r="H122" s="27" t="s">
        <v>1875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1626</v>
      </c>
      <c r="C123" s="33" t="s">
        <v>1880</v>
      </c>
      <c r="D123" s="29" t="s">
        <v>1881</v>
      </c>
      <c r="E123" s="25" t="s">
        <v>1784</v>
      </c>
      <c r="F123" s="25"/>
      <c r="G123" s="25"/>
      <c r="H123" s="28" t="s">
        <v>1883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703</v>
      </c>
      <c r="C124" s="33" t="s">
        <v>1885</v>
      </c>
      <c r="D124" s="29" t="s">
        <v>1886</v>
      </c>
      <c r="E124" s="31" t="s">
        <v>1761</v>
      </c>
      <c r="F124" s="31"/>
      <c r="G124" s="31"/>
      <c r="H124" s="27" t="s">
        <v>1888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1136</v>
      </c>
      <c r="C125" s="33" t="s">
        <v>1890</v>
      </c>
      <c r="D125" s="29" t="s">
        <v>1891</v>
      </c>
      <c r="E125" s="26" t="s">
        <v>1892</v>
      </c>
      <c r="F125" s="26"/>
      <c r="G125" s="26"/>
      <c r="H125" s="28" t="s">
        <v>1894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1898</v>
      </c>
      <c r="C126" s="33" t="s">
        <v>1899</v>
      </c>
      <c r="D126" s="29" t="s">
        <v>1900</v>
      </c>
      <c r="E126" s="26" t="s">
        <v>1901</v>
      </c>
      <c r="F126" s="26"/>
      <c r="G126" s="26"/>
      <c r="H126" s="27" t="s">
        <v>1903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1905</v>
      </c>
      <c r="D127" s="29" t="s">
        <v>1906</v>
      </c>
      <c r="E127" s="25" t="s">
        <v>1907</v>
      </c>
      <c r="F127" s="25"/>
      <c r="G127" s="25"/>
      <c r="H127" s="28" t="s">
        <v>1909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1911</v>
      </c>
      <c r="C128" s="33" t="s">
        <v>1912</v>
      </c>
      <c r="D128" s="29" t="s">
        <v>1913</v>
      </c>
      <c r="E128" s="26" t="s">
        <v>1914</v>
      </c>
      <c r="F128" s="26"/>
      <c r="G128" s="26"/>
      <c r="H128" s="27" t="s">
        <v>1916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1919</v>
      </c>
      <c r="C129" s="33" t="s">
        <v>1920</v>
      </c>
      <c r="D129" s="733" t="s">
        <v>1921</v>
      </c>
      <c r="E129" s="26" t="s">
        <v>1922</v>
      </c>
      <c r="F129" s="26"/>
      <c r="G129" s="26"/>
      <c r="H129" s="28" t="s">
        <v>1923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1748</v>
      </c>
      <c r="C130" s="33" t="s">
        <v>1925</v>
      </c>
      <c r="D130" s="29" t="s">
        <v>1926</v>
      </c>
      <c r="E130" s="26" t="s">
        <v>1927</v>
      </c>
      <c r="F130" s="26"/>
      <c r="G130" s="26"/>
      <c r="H130" s="27" t="s">
        <v>1929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1562</v>
      </c>
      <c r="C131" s="33" t="s">
        <v>1931</v>
      </c>
      <c r="D131" s="29" t="s">
        <v>1932</v>
      </c>
      <c r="E131" s="26" t="s">
        <v>1933</v>
      </c>
      <c r="F131" s="26"/>
      <c r="G131" s="26"/>
      <c r="H131" s="27" t="s">
        <v>1935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351</v>
      </c>
      <c r="C132" s="33" t="s">
        <v>1937</v>
      </c>
      <c r="D132" s="29" t="s">
        <v>1938</v>
      </c>
      <c r="E132" s="26" t="s">
        <v>1939</v>
      </c>
      <c r="F132" s="26"/>
      <c r="G132" s="26"/>
      <c r="H132" s="27" t="s">
        <v>1941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1944</v>
      </c>
      <c r="D133" s="732" t="s">
        <v>1945</v>
      </c>
      <c r="E133" s="34" t="s">
        <v>1946</v>
      </c>
      <c r="F133" s="34"/>
      <c r="G133" s="34"/>
      <c r="H133" s="28" t="s">
        <v>1947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1960</v>
      </c>
      <c r="D134" s="29" t="s">
        <v>1961</v>
      </c>
      <c r="E134" s="25" t="s">
        <v>1962</v>
      </c>
      <c r="F134" s="25"/>
      <c r="G134" s="25"/>
      <c r="H134" s="28" t="s">
        <v>1964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1078</v>
      </c>
      <c r="C135" s="33" t="s">
        <v>1968</v>
      </c>
      <c r="D135" s="29" t="s">
        <v>1969</v>
      </c>
      <c r="E135" s="26" t="s">
        <v>1970</v>
      </c>
      <c r="F135" s="26"/>
      <c r="G135" s="26"/>
      <c r="H135" s="27" t="s">
        <v>1972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1976</v>
      </c>
      <c r="C136" s="33" t="s">
        <v>1977</v>
      </c>
      <c r="D136" s="29" t="s">
        <v>1978</v>
      </c>
      <c r="E136" s="26" t="s">
        <v>1979</v>
      </c>
      <c r="F136" s="26"/>
      <c r="G136" s="26"/>
      <c r="H136" s="28" t="s">
        <v>1981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1983</v>
      </c>
      <c r="D137" s="29" t="s">
        <v>1984</v>
      </c>
      <c r="E137" s="26" t="s">
        <v>1985</v>
      </c>
      <c r="F137" s="26"/>
      <c r="G137" s="26"/>
      <c r="H137" s="27" t="s">
        <v>1987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1989</v>
      </c>
      <c r="C138" s="33" t="s">
        <v>1990</v>
      </c>
      <c r="D138" s="29" t="s">
        <v>1991</v>
      </c>
      <c r="E138" s="34" t="s">
        <v>1992</v>
      </c>
      <c r="F138" s="34"/>
      <c r="G138" s="34"/>
      <c r="H138" s="28" t="s">
        <v>1994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962</v>
      </c>
      <c r="C139" s="33" t="s">
        <v>1997</v>
      </c>
      <c r="D139" s="29" t="s">
        <v>1998</v>
      </c>
      <c r="E139" s="34" t="s">
        <v>1999</v>
      </c>
      <c r="F139" s="34"/>
      <c r="G139" s="34"/>
      <c r="H139" s="27" t="s">
        <v>2001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1035</v>
      </c>
      <c r="C140" s="26">
        <v>20230001086</v>
      </c>
      <c r="D140" s="29" t="s">
        <v>2004</v>
      </c>
      <c r="E140" s="31" t="s">
        <v>1773</v>
      </c>
      <c r="F140" s="31"/>
      <c r="G140" s="31"/>
      <c r="H140" s="28" t="s">
        <v>2006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909</v>
      </c>
      <c r="C141" s="33" t="s">
        <v>2012</v>
      </c>
      <c r="D141" s="29" t="s">
        <v>2013</v>
      </c>
      <c r="E141" s="31" t="s">
        <v>1759</v>
      </c>
      <c r="F141" s="31"/>
      <c r="G141" s="31"/>
      <c r="H141" s="27" t="s">
        <v>2015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1136</v>
      </c>
      <c r="C142" s="33" t="s">
        <v>2021</v>
      </c>
      <c r="D142" s="29" t="s">
        <v>2022</v>
      </c>
      <c r="E142" s="34" t="s">
        <v>2023</v>
      </c>
      <c r="F142" s="34"/>
      <c r="G142" s="34"/>
      <c r="H142" s="27" t="s">
        <v>2025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737</v>
      </c>
      <c r="C143" s="33" t="s">
        <v>2028</v>
      </c>
      <c r="D143" s="29" t="s">
        <v>2029</v>
      </c>
      <c r="E143" s="34" t="s">
        <v>2030</v>
      </c>
      <c r="F143" s="34"/>
      <c r="G143" s="34"/>
      <c r="H143" s="27" t="s">
        <v>2032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1135</v>
      </c>
      <c r="C144" s="33" t="s">
        <v>2037</v>
      </c>
      <c r="D144" s="29" t="s">
        <v>2038</v>
      </c>
      <c r="E144" s="31" t="s">
        <v>2039</v>
      </c>
      <c r="F144" s="31"/>
      <c r="G144" s="31"/>
      <c r="H144" s="27" t="s">
        <v>2041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1911</v>
      </c>
      <c r="C145" s="33" t="s">
        <v>2045</v>
      </c>
      <c r="D145" s="44" t="s">
        <v>2046</v>
      </c>
      <c r="E145" s="34" t="s">
        <v>1786</v>
      </c>
      <c r="F145" s="34"/>
      <c r="G145" s="34"/>
      <c r="H145" s="28" t="s">
        <v>2048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1611</v>
      </c>
      <c r="C146" s="33" t="s">
        <v>2052</v>
      </c>
      <c r="D146" s="29" t="s">
        <v>2053</v>
      </c>
      <c r="E146" s="34" t="s">
        <v>1767</v>
      </c>
      <c r="F146" s="34"/>
      <c r="G146" s="34"/>
      <c r="H146" s="27" t="s">
        <v>2055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2059</v>
      </c>
      <c r="C147" s="33" t="s">
        <v>2060</v>
      </c>
      <c r="D147" s="44" t="s">
        <v>2061</v>
      </c>
      <c r="E147" s="34" t="s">
        <v>2062</v>
      </c>
      <c r="F147" s="34"/>
      <c r="G147" s="34"/>
      <c r="H147" s="28" t="s">
        <v>2064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2069</v>
      </c>
      <c r="C148" s="33" t="s">
        <v>2070</v>
      </c>
      <c r="D148" s="29" t="s">
        <v>2071</v>
      </c>
      <c r="E148" s="26" t="s">
        <v>2072</v>
      </c>
      <c r="F148" s="26"/>
      <c r="G148" s="26"/>
      <c r="H148" s="27" t="s">
        <v>2074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1136</v>
      </c>
      <c r="C149" s="33" t="s">
        <v>2078</v>
      </c>
      <c r="D149" s="29" t="s">
        <v>2079</v>
      </c>
      <c r="E149" s="34" t="s">
        <v>2080</v>
      </c>
      <c r="F149" s="34"/>
      <c r="G149" s="34"/>
      <c r="H149" s="28" t="s">
        <v>2082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1003</v>
      </c>
      <c r="C150" s="33" t="s">
        <v>2085</v>
      </c>
      <c r="D150" s="29" t="s">
        <v>2086</v>
      </c>
      <c r="E150" s="34" t="s">
        <v>2087</v>
      </c>
      <c r="F150" s="34"/>
      <c r="G150" s="34"/>
      <c r="H150" s="27" t="s">
        <v>2089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1826</v>
      </c>
      <c r="C151" s="33" t="s">
        <v>2092</v>
      </c>
      <c r="D151" s="29" t="s">
        <v>2093</v>
      </c>
      <c r="E151" s="31" t="s">
        <v>2094</v>
      </c>
      <c r="F151" s="31"/>
      <c r="G151" s="31"/>
      <c r="H151" s="28" t="s">
        <v>2096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259</v>
      </c>
      <c r="C152" s="33" t="s">
        <v>2100</v>
      </c>
      <c r="D152" s="29" t="s">
        <v>2101</v>
      </c>
      <c r="E152" s="34" t="s">
        <v>2102</v>
      </c>
      <c r="F152" s="34"/>
      <c r="G152" s="34"/>
      <c r="H152" s="28" t="s">
        <v>2103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2109</v>
      </c>
      <c r="D153" s="29" t="s">
        <v>2110</v>
      </c>
      <c r="E153" s="34" t="s">
        <v>2111</v>
      </c>
      <c r="F153" s="34"/>
      <c r="G153" s="34"/>
      <c r="H153" s="28" t="s">
        <v>2113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462</v>
      </c>
      <c r="C154" s="32" t="s">
        <v>2118</v>
      </c>
      <c r="D154" s="29" t="s">
        <v>2119</v>
      </c>
      <c r="E154" s="34" t="s">
        <v>1788</v>
      </c>
      <c r="F154" s="34"/>
      <c r="G154" s="34"/>
      <c r="H154" s="27" t="s">
        <v>2121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2125</v>
      </c>
      <c r="C155" s="33" t="s">
        <v>2126</v>
      </c>
      <c r="D155" s="29" t="s">
        <v>2127</v>
      </c>
      <c r="E155" s="34" t="s">
        <v>2128</v>
      </c>
      <c r="F155" s="34"/>
      <c r="G155" s="34"/>
      <c r="H155" s="27" t="s">
        <v>2130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744</v>
      </c>
      <c r="C156" s="33" t="s">
        <v>2134</v>
      </c>
      <c r="D156" s="29" t="s">
        <v>2135</v>
      </c>
      <c r="E156" s="34" t="s">
        <v>2136</v>
      </c>
      <c r="F156" s="34"/>
      <c r="G156" s="34"/>
      <c r="H156" s="27" t="s">
        <v>2138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578</v>
      </c>
      <c r="C157" s="33" t="s">
        <v>2143</v>
      </c>
      <c r="D157" s="733" t="s">
        <v>2144</v>
      </c>
      <c r="E157" s="34" t="s">
        <v>2145</v>
      </c>
      <c r="F157" s="34"/>
      <c r="G157" s="34"/>
      <c r="H157" s="28" t="s">
        <v>2146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601</v>
      </c>
      <c r="C158" s="33" t="s">
        <v>2149</v>
      </c>
      <c r="D158" s="29" t="s">
        <v>2150</v>
      </c>
      <c r="E158" s="34" t="s">
        <v>2151</v>
      </c>
      <c r="F158" s="34"/>
      <c r="G158" s="34"/>
      <c r="H158" s="27" t="s">
        <v>2153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562</v>
      </c>
      <c r="C159" s="29" t="s">
        <v>2157</v>
      </c>
      <c r="D159" s="29" t="s">
        <v>4810</v>
      </c>
      <c r="E159" s="34" t="s">
        <v>2159</v>
      </c>
      <c r="F159" s="34"/>
      <c r="G159" s="34"/>
      <c r="H159" s="28" t="s">
        <v>2161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1589</v>
      </c>
      <c r="C160" s="26">
        <v>20230003244</v>
      </c>
      <c r="D160" s="29" t="s">
        <v>2164</v>
      </c>
      <c r="E160" s="34" t="s">
        <v>2165</v>
      </c>
      <c r="F160" s="34"/>
      <c r="G160" s="34"/>
      <c r="H160" s="27" t="s">
        <v>2167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1120</v>
      </c>
      <c r="C161" s="26">
        <v>20230003314</v>
      </c>
      <c r="D161" s="29" t="s">
        <v>2170</v>
      </c>
      <c r="E161" s="31" t="s">
        <v>2171</v>
      </c>
      <c r="F161" s="31"/>
      <c r="G161" s="31"/>
      <c r="H161" s="28" t="s">
        <v>2172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703</v>
      </c>
      <c r="C162" s="33" t="s">
        <v>2175</v>
      </c>
      <c r="D162" s="29" t="s">
        <v>2176</v>
      </c>
      <c r="E162" s="34" t="s">
        <v>2177</v>
      </c>
      <c r="F162" s="34"/>
      <c r="G162" s="34"/>
      <c r="H162" s="27" t="s">
        <v>2179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362</v>
      </c>
      <c r="C163" s="26">
        <v>20230005717</v>
      </c>
      <c r="D163" s="29" t="s">
        <v>2183</v>
      </c>
      <c r="E163" s="34" t="s">
        <v>2184</v>
      </c>
      <c r="F163" s="34"/>
      <c r="G163" s="34"/>
      <c r="H163" s="28" t="s">
        <v>2186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1058</v>
      </c>
      <c r="C164" s="26">
        <v>20230004619</v>
      </c>
      <c r="D164" s="29" t="s">
        <v>2189</v>
      </c>
      <c r="E164" s="26" t="s">
        <v>2190</v>
      </c>
      <c r="F164" s="26"/>
      <c r="G164" s="26"/>
      <c r="H164" s="27" t="s">
        <v>2192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2196</v>
      </c>
      <c r="E165" s="26" t="s">
        <v>2197</v>
      </c>
      <c r="F165" s="26"/>
      <c r="G165" s="26"/>
      <c r="H165" s="28" t="s">
        <v>2198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1898</v>
      </c>
      <c r="C166" s="26">
        <v>20230004337</v>
      </c>
      <c r="D166" s="732" t="s">
        <v>2201</v>
      </c>
      <c r="E166" s="26" t="s">
        <v>1777</v>
      </c>
      <c r="F166" s="26"/>
      <c r="G166" s="26"/>
      <c r="H166" s="27" t="s">
        <v>2202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2204</v>
      </c>
      <c r="E167" s="26" t="s">
        <v>2205</v>
      </c>
      <c r="F167" s="26"/>
      <c r="G167" s="26"/>
      <c r="H167" s="28" t="s">
        <v>2207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243</v>
      </c>
      <c r="C168" s="26">
        <v>20230008557</v>
      </c>
      <c r="D168" s="29" t="s">
        <v>2211</v>
      </c>
      <c r="E168" s="26" t="s">
        <v>2212</v>
      </c>
      <c r="F168" s="26"/>
      <c r="G168" s="26"/>
      <c r="H168" s="27" t="s">
        <v>2214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618</v>
      </c>
      <c r="C169" s="26">
        <v>20230009213</v>
      </c>
      <c r="D169" s="29" t="s">
        <v>2217</v>
      </c>
      <c r="E169" s="25" t="s">
        <v>2218</v>
      </c>
      <c r="F169" s="25"/>
      <c r="G169" s="25"/>
      <c r="H169" s="27" t="s">
        <v>2220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2224</v>
      </c>
      <c r="C170" s="26">
        <v>20240000479</v>
      </c>
      <c r="D170" s="29" t="s">
        <v>2225</v>
      </c>
      <c r="E170" s="26" t="s">
        <v>2226</v>
      </c>
      <c r="F170" s="26"/>
      <c r="G170" s="26"/>
      <c r="H170" s="27" t="s">
        <v>2228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2231</v>
      </c>
      <c r="C171" s="26">
        <v>20230006969</v>
      </c>
      <c r="D171" s="29" t="s">
        <v>2232</v>
      </c>
      <c r="E171" s="26" t="s">
        <v>2233</v>
      </c>
      <c r="F171" s="26"/>
      <c r="G171" s="26"/>
      <c r="H171" s="27" t="s">
        <v>2235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942</v>
      </c>
      <c r="C172" s="26">
        <v>20230001167</v>
      </c>
      <c r="D172" s="29" t="s">
        <v>4811</v>
      </c>
      <c r="E172" s="25" t="s">
        <v>2286</v>
      </c>
      <c r="F172" s="25"/>
      <c r="G172" s="25"/>
      <c r="H172" s="27" t="s">
        <v>2288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2296</v>
      </c>
      <c r="E173" s="26" t="s">
        <v>2297</v>
      </c>
      <c r="F173" s="26"/>
      <c r="G173" s="26"/>
      <c r="H173" s="27" t="s">
        <v>2298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977</v>
      </c>
      <c r="C174" s="26">
        <v>20230000833</v>
      </c>
      <c r="D174" s="29" t="s">
        <v>2304</v>
      </c>
      <c r="E174" s="26" t="s">
        <v>2248</v>
      </c>
      <c r="F174" s="26"/>
      <c r="G174" s="26"/>
      <c r="H174" s="28" t="s">
        <v>2306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1667</v>
      </c>
      <c r="C175" s="26">
        <v>20230003652</v>
      </c>
      <c r="D175" s="29" t="s">
        <v>2311</v>
      </c>
      <c r="E175" s="25" t="s">
        <v>2312</v>
      </c>
      <c r="F175" s="25"/>
      <c r="G175" s="25"/>
      <c r="H175" s="27" t="s">
        <v>2314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1035</v>
      </c>
      <c r="C176" s="26">
        <v>20230001094</v>
      </c>
      <c r="D176" s="29" t="s">
        <v>2317</v>
      </c>
      <c r="E176" s="26" t="s">
        <v>2318</v>
      </c>
      <c r="F176" s="26"/>
      <c r="G176" s="26"/>
      <c r="H176" s="28" t="s">
        <v>2320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916</v>
      </c>
      <c r="C177" s="26">
        <v>20230001270</v>
      </c>
      <c r="D177" s="29" t="s">
        <v>2324</v>
      </c>
      <c r="E177" s="26" t="s">
        <v>2325</v>
      </c>
      <c r="F177" s="26"/>
      <c r="G177" s="26"/>
      <c r="H177" s="27" t="s">
        <v>2327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2333</v>
      </c>
      <c r="C178" s="26">
        <v>20230000205</v>
      </c>
      <c r="D178" s="29" t="s">
        <v>2334</v>
      </c>
      <c r="E178" s="26" t="s">
        <v>2246</v>
      </c>
      <c r="F178" s="26"/>
      <c r="G178" s="26"/>
      <c r="H178" s="27" t="s">
        <v>2335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1023</v>
      </c>
      <c r="C179" s="26">
        <v>20230004214</v>
      </c>
      <c r="D179" s="29" t="s">
        <v>4812</v>
      </c>
      <c r="E179" s="26" t="s">
        <v>2341</v>
      </c>
      <c r="F179" s="26"/>
      <c r="G179" s="26"/>
      <c r="H179" s="27" t="s">
        <v>2343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1589</v>
      </c>
      <c r="C180" s="26">
        <v>20230003251</v>
      </c>
      <c r="D180" s="29" t="s">
        <v>2348</v>
      </c>
      <c r="E180" s="26" t="s">
        <v>2349</v>
      </c>
      <c r="F180" s="26"/>
      <c r="G180" s="26"/>
      <c r="H180" s="28" t="s">
        <v>2351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721</v>
      </c>
      <c r="C181" s="26">
        <v>20230006106</v>
      </c>
      <c r="D181" s="733" t="s">
        <v>2354</v>
      </c>
      <c r="E181" s="26" t="s">
        <v>2355</v>
      </c>
      <c r="F181" s="26"/>
      <c r="G181" s="26"/>
      <c r="H181" s="27" t="s">
        <v>2356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4813</v>
      </c>
      <c r="E182" s="26" t="s">
        <v>4814</v>
      </c>
      <c r="F182" s="26"/>
      <c r="G182" s="26"/>
      <c r="H182" s="28" t="s">
        <v>2363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1289</v>
      </c>
      <c r="C183" s="26">
        <v>20230004483</v>
      </c>
      <c r="D183" s="29" t="s">
        <v>2366</v>
      </c>
      <c r="E183" s="26" t="s">
        <v>2238</v>
      </c>
      <c r="F183" s="26"/>
      <c r="G183" s="26"/>
      <c r="H183" s="27" t="s">
        <v>2368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384</v>
      </c>
      <c r="C184" s="26">
        <v>20230008382</v>
      </c>
      <c r="D184" s="43" t="s">
        <v>2372</v>
      </c>
      <c r="E184" s="25" t="s">
        <v>2373</v>
      </c>
      <c r="F184" s="25"/>
      <c r="G184" s="25"/>
      <c r="H184" s="28" t="s">
        <v>2375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388</v>
      </c>
      <c r="C185" s="26">
        <v>20230008584</v>
      </c>
      <c r="D185" s="29" t="s">
        <v>2378</v>
      </c>
      <c r="E185" s="26" t="s">
        <v>2379</v>
      </c>
      <c r="F185" s="26"/>
      <c r="G185" s="26"/>
      <c r="H185" s="27" t="s">
        <v>2381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2384</v>
      </c>
      <c r="D186" s="29" t="s">
        <v>2385</v>
      </c>
      <c r="E186" s="31" t="s">
        <v>2386</v>
      </c>
      <c r="F186" s="31"/>
      <c r="G186" s="31"/>
      <c r="H186" s="28" t="s">
        <v>2388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4815</v>
      </c>
      <c r="D187" s="29"/>
      <c r="E187" s="34" t="s">
        <v>2394</v>
      </c>
      <c r="F187" s="34"/>
      <c r="G187" s="34"/>
      <c r="H187" s="27" t="s">
        <v>2395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2398</v>
      </c>
      <c r="D188" s="29" t="s">
        <v>2399</v>
      </c>
      <c r="E188" s="34" t="s">
        <v>2400</v>
      </c>
      <c r="F188" s="34"/>
      <c r="G188" s="34"/>
      <c r="H188" s="28" t="s">
        <v>2402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929</v>
      </c>
      <c r="C189" s="26">
        <v>20230001739</v>
      </c>
      <c r="D189" s="732" t="s">
        <v>2416</v>
      </c>
      <c r="E189" s="25" t="s">
        <v>2259</v>
      </c>
      <c r="F189" s="25"/>
      <c r="G189" s="25"/>
      <c r="H189" s="28" t="s">
        <v>2417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2346</v>
      </c>
      <c r="C190" s="33" t="s">
        <v>2420</v>
      </c>
      <c r="D190" s="29" t="s">
        <v>2421</v>
      </c>
      <c r="E190" s="31" t="s">
        <v>2422</v>
      </c>
      <c r="F190" s="31"/>
      <c r="G190" s="31"/>
      <c r="H190" s="27" t="s">
        <v>2424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1220</v>
      </c>
      <c r="C191" s="33" t="s">
        <v>2429</v>
      </c>
      <c r="D191" s="29" t="s">
        <v>2430</v>
      </c>
      <c r="E191" s="34" t="s">
        <v>2431</v>
      </c>
      <c r="F191" s="34"/>
      <c r="G191" s="34"/>
      <c r="H191" s="27" t="s">
        <v>2433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916</v>
      </c>
      <c r="C192" s="26">
        <v>20230001355</v>
      </c>
      <c r="D192" s="29" t="s">
        <v>2439</v>
      </c>
      <c r="E192" s="34" t="s">
        <v>2440</v>
      </c>
      <c r="F192" s="34"/>
      <c r="G192" s="34"/>
      <c r="H192" s="27" t="s">
        <v>2442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916</v>
      </c>
      <c r="C193" s="33" t="s">
        <v>2448</v>
      </c>
      <c r="D193" s="29" t="s">
        <v>2449</v>
      </c>
      <c r="E193" s="34" t="s">
        <v>2450</v>
      </c>
      <c r="F193" s="34"/>
      <c r="G193" s="34"/>
      <c r="H193" s="28" t="s">
        <v>2451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1431</v>
      </c>
      <c r="C194" s="33" t="s">
        <v>2455</v>
      </c>
      <c r="D194" s="29" t="s">
        <v>2456</v>
      </c>
      <c r="E194" s="31" t="s">
        <v>2457</v>
      </c>
      <c r="F194" s="31"/>
      <c r="G194" s="31"/>
      <c r="H194" s="27" t="s">
        <v>2459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942</v>
      </c>
      <c r="C195" s="33" t="s">
        <v>2464</v>
      </c>
      <c r="D195" s="43" t="s">
        <v>4816</v>
      </c>
      <c r="E195" s="34" t="s">
        <v>4817</v>
      </c>
      <c r="F195" s="34"/>
      <c r="G195" s="34"/>
      <c r="H195" s="28" t="s">
        <v>2468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2194</v>
      </c>
      <c r="C196" s="33" t="s">
        <v>2473</v>
      </c>
      <c r="D196" s="29" t="s">
        <v>2474</v>
      </c>
      <c r="E196" s="31" t="s">
        <v>2475</v>
      </c>
      <c r="F196" s="31"/>
      <c r="G196" s="31"/>
      <c r="H196" s="27" t="s">
        <v>2477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2482</v>
      </c>
      <c r="C197" s="26">
        <v>20230002570</v>
      </c>
      <c r="D197" s="32" t="s">
        <v>2483</v>
      </c>
      <c r="E197" s="34" t="s">
        <v>2484</v>
      </c>
      <c r="F197" s="34"/>
      <c r="G197" s="34"/>
      <c r="H197" s="28" t="s">
        <v>2486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1002</v>
      </c>
      <c r="C198" s="26">
        <v>20230000856</v>
      </c>
      <c r="D198" s="43" t="s">
        <v>2490</v>
      </c>
      <c r="E198" s="25" t="s">
        <v>2491</v>
      </c>
      <c r="F198" s="25"/>
      <c r="G198" s="25"/>
      <c r="H198" s="27" t="s">
        <v>2493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916</v>
      </c>
      <c r="C199" s="33" t="s">
        <v>2498</v>
      </c>
      <c r="D199" s="29" t="s">
        <v>2499</v>
      </c>
      <c r="E199" s="34" t="s">
        <v>2500</v>
      </c>
      <c r="F199" s="34"/>
      <c r="G199" s="34"/>
      <c r="H199" s="28" t="s">
        <v>2501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916</v>
      </c>
      <c r="C200" s="33" t="s">
        <v>2505</v>
      </c>
      <c r="D200" s="732" t="s">
        <v>2506</v>
      </c>
      <c r="E200" s="34" t="s">
        <v>2507</v>
      </c>
      <c r="F200" s="34"/>
      <c r="G200" s="34"/>
      <c r="H200" s="27" t="s">
        <v>2508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2513</v>
      </c>
      <c r="C201" s="33" t="s">
        <v>2514</v>
      </c>
      <c r="D201" s="29" t="s">
        <v>2515</v>
      </c>
      <c r="E201" s="34" t="s">
        <v>2257</v>
      </c>
      <c r="F201" s="34"/>
      <c r="G201" s="34"/>
      <c r="H201" s="28" t="s">
        <v>2517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2370</v>
      </c>
      <c r="C202" s="26">
        <v>20230002599</v>
      </c>
      <c r="D202" s="44" t="s">
        <v>4818</v>
      </c>
      <c r="E202" s="34" t="s">
        <v>2521</v>
      </c>
      <c r="F202" s="34"/>
      <c r="G202" s="34"/>
      <c r="H202" s="27" t="s">
        <v>2523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1431</v>
      </c>
      <c r="C203" s="26">
        <v>20230000302</v>
      </c>
      <c r="D203" s="29" t="s">
        <v>4819</v>
      </c>
      <c r="E203" s="34" t="s">
        <v>4820</v>
      </c>
      <c r="F203" s="34"/>
      <c r="G203" s="34"/>
      <c r="H203" s="27" t="s">
        <v>2531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2069</v>
      </c>
      <c r="C204" s="33" t="s">
        <v>2537</v>
      </c>
      <c r="D204" s="29" t="s">
        <v>2538</v>
      </c>
      <c r="E204" s="26" t="s">
        <v>2539</v>
      </c>
      <c r="F204" s="26"/>
      <c r="G204" s="26"/>
      <c r="H204" s="27" t="s">
        <v>2541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2545</v>
      </c>
      <c r="D205" s="29" t="s">
        <v>2546</v>
      </c>
      <c r="E205" s="34" t="s">
        <v>2547</v>
      </c>
      <c r="F205" s="34"/>
      <c r="G205" s="34"/>
      <c r="H205" s="27" t="s">
        <v>2549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4815</v>
      </c>
      <c r="D206" s="29"/>
      <c r="E206" s="34" t="s">
        <v>2555</v>
      </c>
      <c r="F206" s="34"/>
      <c r="G206" s="34"/>
      <c r="H206" s="27" t="s">
        <v>2556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2571</v>
      </c>
      <c r="C207" s="33" t="s">
        <v>2572</v>
      </c>
      <c r="D207" s="29" t="s">
        <v>2573</v>
      </c>
      <c r="E207" s="26" t="s">
        <v>2574</v>
      </c>
      <c r="F207" s="26"/>
      <c r="G207" s="26"/>
      <c r="H207" s="28" t="s">
        <v>2576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1611</v>
      </c>
      <c r="C208" s="33" t="s">
        <v>2582</v>
      </c>
      <c r="D208" s="29" t="s">
        <v>2583</v>
      </c>
      <c r="E208" s="34" t="s">
        <v>2584</v>
      </c>
      <c r="F208" s="34"/>
      <c r="G208" s="34"/>
      <c r="H208" s="27" t="s">
        <v>2586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1423</v>
      </c>
      <c r="C209" s="33" t="s">
        <v>2589</v>
      </c>
      <c r="D209" s="29" t="s">
        <v>2590</v>
      </c>
      <c r="E209" s="26" t="s">
        <v>2591</v>
      </c>
      <c r="F209" s="26"/>
      <c r="G209" s="26"/>
      <c r="H209" s="28" t="s">
        <v>2593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1076</v>
      </c>
      <c r="C210" s="33" t="s">
        <v>2597</v>
      </c>
      <c r="D210" s="29" t="s">
        <v>4821</v>
      </c>
      <c r="E210" s="26" t="s">
        <v>4822</v>
      </c>
      <c r="F210" s="26"/>
      <c r="G210" s="26"/>
      <c r="H210" s="27" t="s">
        <v>2601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1002</v>
      </c>
      <c r="C211" s="33" t="s">
        <v>2604</v>
      </c>
      <c r="D211" s="29" t="s">
        <v>4823</v>
      </c>
      <c r="E211" s="25" t="s">
        <v>4824</v>
      </c>
      <c r="F211" s="25"/>
      <c r="G211" s="25"/>
      <c r="H211" s="28" t="s">
        <v>2608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2613</v>
      </c>
      <c r="C212" s="33" t="s">
        <v>2614</v>
      </c>
      <c r="D212" s="29" t="s">
        <v>2615</v>
      </c>
      <c r="E212" s="25" t="s">
        <v>2616</v>
      </c>
      <c r="F212" s="25"/>
      <c r="G212" s="25"/>
      <c r="H212" s="27" t="s">
        <v>2618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568</v>
      </c>
      <c r="C213" s="33" t="s">
        <v>2623</v>
      </c>
      <c r="D213" s="29" t="s">
        <v>2624</v>
      </c>
      <c r="E213" s="26" t="s">
        <v>2625</v>
      </c>
      <c r="F213" s="26"/>
      <c r="G213" s="26"/>
      <c r="H213" s="27" t="s">
        <v>2627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942</v>
      </c>
      <c r="C214" s="33" t="s">
        <v>2632</v>
      </c>
      <c r="D214" s="29" t="s">
        <v>4825</v>
      </c>
      <c r="E214" s="26" t="s">
        <v>2634</v>
      </c>
      <c r="F214" s="26"/>
      <c r="G214" s="26"/>
      <c r="H214" s="27" t="s">
        <v>2635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1035</v>
      </c>
      <c r="C215" s="33" t="s">
        <v>2640</v>
      </c>
      <c r="D215" s="29" t="s">
        <v>2641</v>
      </c>
      <c r="E215" s="26" t="s">
        <v>2642</v>
      </c>
      <c r="F215" s="26"/>
      <c r="G215" s="26"/>
      <c r="H215" s="27" t="s">
        <v>2644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942</v>
      </c>
      <c r="C216" s="33" t="s">
        <v>2649</v>
      </c>
      <c r="D216" s="29" t="s">
        <v>607</v>
      </c>
      <c r="E216" s="25" t="s">
        <v>2650</v>
      </c>
      <c r="F216" s="25"/>
      <c r="G216" s="25"/>
      <c r="H216" s="27" t="s">
        <v>2652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1858</v>
      </c>
      <c r="C217" s="33" t="s">
        <v>2657</v>
      </c>
      <c r="D217" s="29" t="s">
        <v>2658</v>
      </c>
      <c r="E217" s="26" t="s">
        <v>2659</v>
      </c>
      <c r="F217" s="26"/>
      <c r="G217" s="26"/>
      <c r="H217" s="28" t="s">
        <v>2661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916</v>
      </c>
      <c r="C218" s="33" t="s">
        <v>2665</v>
      </c>
      <c r="D218" s="29" t="s">
        <v>2666</v>
      </c>
      <c r="E218" s="26" t="s">
        <v>2667</v>
      </c>
      <c r="F218" s="26"/>
      <c r="G218" s="26"/>
      <c r="H218" s="27" t="s">
        <v>2669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1259</v>
      </c>
      <c r="C219" s="33" t="s">
        <v>2674</v>
      </c>
      <c r="D219" s="29" t="s">
        <v>2675</v>
      </c>
      <c r="E219" s="26" t="s">
        <v>2261</v>
      </c>
      <c r="F219" s="26"/>
      <c r="G219" s="26"/>
      <c r="H219" s="28" t="s">
        <v>2677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1172</v>
      </c>
      <c r="C220" s="33" t="s">
        <v>2681</v>
      </c>
      <c r="D220" s="29" t="s">
        <v>4826</v>
      </c>
      <c r="E220" s="26" t="s">
        <v>2683</v>
      </c>
      <c r="F220" s="26"/>
      <c r="G220" s="26"/>
      <c r="H220" s="27" t="s">
        <v>2685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1546</v>
      </c>
      <c r="C221" s="33" t="s">
        <v>2690</v>
      </c>
      <c r="D221" s="733" t="s">
        <v>2691</v>
      </c>
      <c r="E221" s="34" t="s">
        <v>2692</v>
      </c>
      <c r="F221" s="34"/>
      <c r="G221" s="34"/>
      <c r="H221" s="28" t="s">
        <v>2693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1635</v>
      </c>
      <c r="C222" s="33" t="s">
        <v>2695</v>
      </c>
      <c r="D222" s="29" t="s">
        <v>2696</v>
      </c>
      <c r="E222" s="26" t="s">
        <v>2697</v>
      </c>
      <c r="F222" s="26"/>
      <c r="G222" s="26"/>
      <c r="H222" s="27" t="s">
        <v>2699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2702</v>
      </c>
      <c r="D223" s="29" t="s">
        <v>2703</v>
      </c>
      <c r="E223" s="26" t="s">
        <v>2704</v>
      </c>
      <c r="F223" s="26"/>
      <c r="G223" s="26"/>
      <c r="H223" s="28" t="s">
        <v>2706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446</v>
      </c>
      <c r="C224" s="33" t="s">
        <v>2709</v>
      </c>
      <c r="D224" s="732" t="s">
        <v>2710</v>
      </c>
      <c r="E224" s="25" t="s">
        <v>2711</v>
      </c>
      <c r="F224" s="25"/>
      <c r="G224" s="25"/>
      <c r="H224" s="27" t="s">
        <v>2713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198</v>
      </c>
      <c r="E226" s="25" t="s">
        <v>199</v>
      </c>
      <c r="F226" s="25"/>
      <c r="G226" s="49">
        <v>13</v>
      </c>
      <c r="H226" s="29" t="s">
        <v>102</v>
      </c>
      <c r="I226" s="29" t="s">
        <v>200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212</v>
      </c>
      <c r="C227" s="26">
        <v>20230010576</v>
      </c>
      <c r="D227" s="29" t="s">
        <v>214</v>
      </c>
      <c r="E227" s="26" t="s">
        <v>215</v>
      </c>
      <c r="F227" s="26"/>
      <c r="G227" s="49"/>
      <c r="H227" s="29" t="s">
        <v>102</v>
      </c>
      <c r="I227" s="29" t="s">
        <v>216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222</v>
      </c>
      <c r="C228" s="26">
        <v>20240002029</v>
      </c>
      <c r="D228" s="29" t="s">
        <v>223</v>
      </c>
      <c r="E228" s="25" t="s">
        <v>224</v>
      </c>
      <c r="F228" s="25"/>
      <c r="G228" s="49"/>
      <c r="H228" s="29" t="s">
        <v>102</v>
      </c>
      <c r="I228" s="29" t="s">
        <v>225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229</v>
      </c>
      <c r="C229" s="26">
        <v>20230010242</v>
      </c>
      <c r="D229" s="29" t="s">
        <v>231</v>
      </c>
      <c r="E229" s="25" t="s">
        <v>232</v>
      </c>
      <c r="F229" s="25"/>
      <c r="G229" s="49"/>
      <c r="H229" s="29" t="s">
        <v>102</v>
      </c>
      <c r="I229" s="29" t="s">
        <v>233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238</v>
      </c>
      <c r="E230" s="25" t="s">
        <v>239</v>
      </c>
      <c r="F230" s="25"/>
      <c r="G230" s="49"/>
      <c r="H230" s="29" t="s">
        <v>102</v>
      </c>
      <c r="I230" s="29" t="s">
        <v>240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245</v>
      </c>
      <c r="C231" s="26">
        <v>20230009415</v>
      </c>
      <c r="D231" s="29" t="s">
        <v>247</v>
      </c>
      <c r="E231" s="50" t="s">
        <v>248</v>
      </c>
      <c r="F231" s="50"/>
      <c r="G231" s="49"/>
      <c r="H231" s="29" t="s">
        <v>102</v>
      </c>
      <c r="I231" s="29" t="s">
        <v>249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253</v>
      </c>
      <c r="C232" s="26">
        <v>20230010496</v>
      </c>
      <c r="D232" s="29" t="s">
        <v>255</v>
      </c>
      <c r="E232" s="50" t="s">
        <v>256</v>
      </c>
      <c r="F232" s="50"/>
      <c r="G232" s="49"/>
      <c r="H232" s="29" t="s">
        <v>102</v>
      </c>
      <c r="I232" s="29" t="s">
        <v>96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262</v>
      </c>
      <c r="C233" s="26">
        <v>20230008488</v>
      </c>
      <c r="D233" s="29" t="s">
        <v>264</v>
      </c>
      <c r="E233" s="25" t="s">
        <v>265</v>
      </c>
      <c r="F233" s="25"/>
      <c r="G233" s="49"/>
      <c r="H233" s="29" t="s">
        <v>102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272</v>
      </c>
      <c r="E234" s="25" t="s">
        <v>273</v>
      </c>
      <c r="F234" s="25"/>
      <c r="G234" s="49"/>
      <c r="H234" s="29" t="s">
        <v>102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262</v>
      </c>
      <c r="C235" s="26">
        <v>20230008510</v>
      </c>
      <c r="D235" s="29" t="s">
        <v>276</v>
      </c>
      <c r="E235" s="25" t="s">
        <v>277</v>
      </c>
      <c r="F235" s="25"/>
      <c r="G235" s="49"/>
      <c r="H235" s="29" t="s">
        <v>102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283</v>
      </c>
      <c r="C236" s="26">
        <v>2024000115</v>
      </c>
      <c r="D236" s="29" t="s">
        <v>284</v>
      </c>
      <c r="E236" s="51" t="s">
        <v>285</v>
      </c>
      <c r="F236" s="51"/>
      <c r="G236" s="49"/>
      <c r="H236" s="29" t="s">
        <v>95</v>
      </c>
      <c r="I236" s="29" t="s">
        <v>194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283</v>
      </c>
      <c r="C237" s="26">
        <v>2024000116</v>
      </c>
      <c r="D237" s="29" t="s">
        <v>284</v>
      </c>
      <c r="E237" s="51" t="s">
        <v>285</v>
      </c>
      <c r="F237" s="51"/>
      <c r="G237" s="49"/>
      <c r="H237" s="29" t="s">
        <v>95</v>
      </c>
      <c r="I237" s="29" t="s">
        <v>200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317</v>
      </c>
      <c r="E238" s="25" t="s">
        <v>318</v>
      </c>
      <c r="F238" s="25"/>
      <c r="G238" s="49">
        <v>14</v>
      </c>
      <c r="H238" s="26" t="s">
        <v>102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322</v>
      </c>
      <c r="E239" s="25" t="s">
        <v>323</v>
      </c>
      <c r="F239" s="25"/>
      <c r="G239" s="49"/>
      <c r="H239" s="26" t="s">
        <v>102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732" t="s">
        <v>328</v>
      </c>
      <c r="D240" s="733" t="s">
        <v>330</v>
      </c>
      <c r="E240" s="25" t="s">
        <v>331</v>
      </c>
      <c r="F240" s="25"/>
      <c r="G240" s="49"/>
      <c r="H240" s="26" t="s">
        <v>102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337</v>
      </c>
      <c r="E241" s="25" t="s">
        <v>338</v>
      </c>
      <c r="F241" s="25"/>
      <c r="G241" s="49"/>
      <c r="H241" s="26" t="s">
        <v>102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346</v>
      </c>
      <c r="E242" s="51" t="s">
        <v>347</v>
      </c>
      <c r="F242" s="51"/>
      <c r="G242" s="49"/>
      <c r="H242" s="26" t="s">
        <v>102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351</v>
      </c>
      <c r="C243" s="26">
        <v>20230008648</v>
      </c>
      <c r="D243" s="29" t="s">
        <v>353</v>
      </c>
      <c r="E243" s="25" t="s">
        <v>354</v>
      </c>
      <c r="F243" s="25"/>
      <c r="G243" s="49"/>
      <c r="H243" s="26" t="s">
        <v>102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359</v>
      </c>
      <c r="E244" s="25" t="s">
        <v>360</v>
      </c>
      <c r="F244" s="25"/>
      <c r="G244" s="49"/>
      <c r="H244" s="26" t="s">
        <v>102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368</v>
      </c>
      <c r="E245" s="52" t="s">
        <v>369</v>
      </c>
      <c r="F245" s="52"/>
      <c r="G245" s="49"/>
      <c r="H245" s="26" t="s">
        <v>102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4809</v>
      </c>
      <c r="D246" s="29" t="s">
        <v>377</v>
      </c>
      <c r="E246" s="53" t="s">
        <v>378</v>
      </c>
      <c r="F246" s="53"/>
      <c r="G246" s="49"/>
      <c r="H246" s="26" t="s">
        <v>102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382</v>
      </c>
      <c r="F247" s="26"/>
      <c r="G247" s="49"/>
      <c r="H247" s="26" t="s">
        <v>102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388</v>
      </c>
      <c r="C248" s="26">
        <v>20230008587</v>
      </c>
      <c r="D248" s="29" t="s">
        <v>390</v>
      </c>
      <c r="E248" s="53" t="s">
        <v>391</v>
      </c>
      <c r="F248" s="53"/>
      <c r="G248" s="49"/>
      <c r="H248" s="26" t="s">
        <v>102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400</v>
      </c>
      <c r="E249" s="51" t="s">
        <v>401</v>
      </c>
      <c r="F249" s="51"/>
      <c r="G249" s="49"/>
      <c r="H249" s="26" t="s">
        <v>102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4809</v>
      </c>
      <c r="D250" s="29" t="s">
        <v>105</v>
      </c>
      <c r="E250" s="25" t="s">
        <v>4827</v>
      </c>
      <c r="F250" s="25"/>
      <c r="G250" s="49"/>
      <c r="H250" s="26" t="s">
        <v>102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413</v>
      </c>
      <c r="C251" s="26">
        <v>20240001898</v>
      </c>
      <c r="D251" s="29" t="s">
        <v>415</v>
      </c>
      <c r="E251" s="26" t="s">
        <v>416</v>
      </c>
      <c r="F251" s="26"/>
      <c r="G251" s="49"/>
      <c r="H251" s="26" t="s">
        <v>102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420</v>
      </c>
      <c r="E252" s="26" t="s">
        <v>421</v>
      </c>
      <c r="F252" s="26"/>
      <c r="G252" s="49"/>
      <c r="H252" s="26" t="s">
        <v>102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424</v>
      </c>
      <c r="E253" s="26" t="s">
        <v>425</v>
      </c>
      <c r="F253" s="26"/>
      <c r="G253" s="49"/>
      <c r="H253" s="26" t="s">
        <v>102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4809</v>
      </c>
      <c r="D254" s="29"/>
      <c r="E254" s="26" t="s">
        <v>428</v>
      </c>
      <c r="F254" s="26"/>
      <c r="G254" s="49"/>
      <c r="H254" s="26" t="s">
        <v>95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433</v>
      </c>
      <c r="F255" s="26"/>
      <c r="G255" s="49"/>
      <c r="H255" s="26" t="s">
        <v>95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4809</v>
      </c>
      <c r="D256" s="29" t="s">
        <v>4828</v>
      </c>
      <c r="E256" s="26" t="s">
        <v>4829</v>
      </c>
      <c r="F256" s="26"/>
      <c r="G256" s="49"/>
      <c r="H256" s="26" t="s">
        <v>95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442</v>
      </c>
      <c r="C257" s="26">
        <v>20230010720</v>
      </c>
      <c r="D257" s="29" t="s">
        <v>444</v>
      </c>
      <c r="E257" s="26" t="s">
        <v>445</v>
      </c>
      <c r="F257" s="26"/>
      <c r="G257" s="49"/>
      <c r="H257" s="26" t="s">
        <v>95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442</v>
      </c>
      <c r="C258" s="26">
        <v>20230010721</v>
      </c>
      <c r="D258" s="29" t="s">
        <v>444</v>
      </c>
      <c r="E258" s="26" t="s">
        <v>445</v>
      </c>
      <c r="F258" s="26"/>
      <c r="G258" s="49"/>
      <c r="H258" s="26" t="s">
        <v>95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733" t="s">
        <v>450</v>
      </c>
      <c r="E259" s="26" t="s">
        <v>451</v>
      </c>
      <c r="F259" s="26"/>
      <c r="G259" s="49"/>
      <c r="H259" s="26" t="s">
        <v>95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453</v>
      </c>
      <c r="E260" s="26" t="s">
        <v>454</v>
      </c>
      <c r="F260" s="26"/>
      <c r="G260" s="49"/>
      <c r="H260" s="26" t="s">
        <v>95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459</v>
      </c>
      <c r="F261" s="26"/>
      <c r="G261" s="49"/>
      <c r="H261" s="26" t="s">
        <v>95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464</v>
      </c>
      <c r="E262" s="26" t="s">
        <v>465</v>
      </c>
      <c r="F262" s="26"/>
      <c r="G262" s="49"/>
      <c r="H262" s="26" t="s">
        <v>95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469</v>
      </c>
      <c r="F263" s="26"/>
      <c r="G263" s="49"/>
      <c r="H263" s="26" t="s">
        <v>95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471</v>
      </c>
      <c r="C264" s="26">
        <v>20240000151</v>
      </c>
      <c r="D264" s="29" t="s">
        <v>472</v>
      </c>
      <c r="E264" s="25" t="s">
        <v>473</v>
      </c>
      <c r="F264" s="25"/>
      <c r="G264" s="49"/>
      <c r="H264" s="26" t="s">
        <v>95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478</v>
      </c>
      <c r="F265" s="25"/>
      <c r="G265" s="49"/>
      <c r="H265" s="26" t="s">
        <v>95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481</v>
      </c>
      <c r="E266" s="26" t="s">
        <v>482</v>
      </c>
      <c r="F266" s="26"/>
      <c r="G266" s="49"/>
      <c r="H266" s="26" t="s">
        <v>95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384</v>
      </c>
      <c r="C267" s="26">
        <v>20230008344</v>
      </c>
      <c r="D267" s="29" t="s">
        <v>488</v>
      </c>
      <c r="E267" s="26" t="s">
        <v>489</v>
      </c>
      <c r="F267" s="26"/>
      <c r="G267" s="49"/>
      <c r="H267" s="26" t="s">
        <v>95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495</v>
      </c>
      <c r="E268" s="25" t="s">
        <v>496</v>
      </c>
      <c r="F268" s="25"/>
      <c r="G268" s="49"/>
      <c r="H268" s="26" t="s">
        <v>95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500</v>
      </c>
      <c r="C269" s="26">
        <v>20230008933</v>
      </c>
      <c r="D269" s="29"/>
      <c r="E269" s="26" t="s">
        <v>501</v>
      </c>
      <c r="F269" s="26"/>
      <c r="G269" s="49"/>
      <c r="H269" s="26" t="s">
        <v>95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504</v>
      </c>
      <c r="E270" s="26" t="s">
        <v>505</v>
      </c>
      <c r="F270" s="26"/>
      <c r="G270" s="49"/>
      <c r="H270" s="26" t="s">
        <v>95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510</v>
      </c>
      <c r="E271" s="26" t="s">
        <v>511</v>
      </c>
      <c r="F271" s="26"/>
      <c r="G271" s="49" t="s">
        <v>512</v>
      </c>
      <c r="H271" s="26" t="s">
        <v>102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510</v>
      </c>
      <c r="E272" s="26" t="s">
        <v>511</v>
      </c>
      <c r="F272" s="26"/>
      <c r="G272" s="49"/>
      <c r="H272" s="26" t="s">
        <v>102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520</v>
      </c>
      <c r="E273" s="26" t="s">
        <v>521</v>
      </c>
      <c r="F273" s="26"/>
      <c r="G273" s="49"/>
      <c r="H273" s="26" t="s">
        <v>102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531</v>
      </c>
      <c r="E274" s="25" t="s">
        <v>532</v>
      </c>
      <c r="F274" s="25"/>
      <c r="G274" s="49"/>
      <c r="H274" s="26" t="s">
        <v>102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535</v>
      </c>
      <c r="E275" s="25" t="s">
        <v>536</v>
      </c>
      <c r="F275" s="25"/>
      <c r="G275" s="49"/>
      <c r="H275" s="26" t="s">
        <v>102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535</v>
      </c>
      <c r="E276" s="25" t="s">
        <v>541</v>
      </c>
      <c r="F276" s="25"/>
      <c r="G276" s="49"/>
      <c r="H276" s="26" t="s">
        <v>102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544</v>
      </c>
      <c r="F277" s="26"/>
      <c r="G277" s="49"/>
      <c r="H277" s="26" t="s">
        <v>102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549</v>
      </c>
      <c r="E278" s="26" t="s">
        <v>550</v>
      </c>
      <c r="F278" s="26"/>
      <c r="G278" s="49"/>
      <c r="H278" s="26" t="s">
        <v>102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555</v>
      </c>
      <c r="E279" s="26" t="s">
        <v>556</v>
      </c>
      <c r="F279" s="26"/>
      <c r="G279" s="49"/>
      <c r="H279" s="26" t="s">
        <v>95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562</v>
      </c>
      <c r="C280" s="26">
        <v>20230006321</v>
      </c>
      <c r="D280" s="29" t="s">
        <v>564</v>
      </c>
      <c r="E280" s="55" t="s">
        <v>565</v>
      </c>
      <c r="F280" s="55"/>
      <c r="G280" s="49" t="s">
        <v>566</v>
      </c>
      <c r="H280" s="26" t="s">
        <v>102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562</v>
      </c>
      <c r="C281" s="26">
        <v>20230006321</v>
      </c>
      <c r="D281" s="29" t="s">
        <v>564</v>
      </c>
      <c r="E281" s="55" t="s">
        <v>571</v>
      </c>
      <c r="F281" s="55"/>
      <c r="G281" s="49"/>
      <c r="H281" s="26" t="s">
        <v>102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562</v>
      </c>
      <c r="C282" s="26">
        <v>20230006321</v>
      </c>
      <c r="D282" s="29" t="s">
        <v>564</v>
      </c>
      <c r="E282" s="55" t="s">
        <v>571</v>
      </c>
      <c r="F282" s="55"/>
      <c r="G282" s="49"/>
      <c r="H282" s="26" t="s">
        <v>102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578</v>
      </c>
      <c r="C283" s="26">
        <v>20230006451</v>
      </c>
      <c r="D283" s="29" t="s">
        <v>580</v>
      </c>
      <c r="E283" s="52" t="s">
        <v>581</v>
      </c>
      <c r="F283" s="52"/>
      <c r="G283" s="49"/>
      <c r="H283" s="26" t="s">
        <v>102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351</v>
      </c>
      <c r="C284" s="26">
        <v>20230008712</v>
      </c>
      <c r="D284" s="29" t="s">
        <v>588</v>
      </c>
      <c r="E284" s="51" t="s">
        <v>589</v>
      </c>
      <c r="F284" s="51"/>
      <c r="G284" s="49"/>
      <c r="H284" s="26" t="s">
        <v>102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4809</v>
      </c>
      <c r="D285" s="29" t="s">
        <v>597</v>
      </c>
      <c r="E285" s="30" t="s">
        <v>598</v>
      </c>
      <c r="F285" s="30"/>
      <c r="G285" s="49"/>
      <c r="H285" s="26" t="s">
        <v>102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384</v>
      </c>
      <c r="C286" s="26">
        <v>20230008395</v>
      </c>
      <c r="D286" s="29" t="s">
        <v>597</v>
      </c>
      <c r="E286" s="30" t="s">
        <v>604</v>
      </c>
      <c r="F286" s="30"/>
      <c r="G286" s="49"/>
      <c r="H286" s="26" t="s">
        <v>102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605</v>
      </c>
      <c r="C287" s="26">
        <v>20230005526</v>
      </c>
      <c r="D287" s="29" t="s">
        <v>607</v>
      </c>
      <c r="E287" s="30" t="s">
        <v>608</v>
      </c>
      <c r="F287" s="30"/>
      <c r="G287" s="49"/>
      <c r="H287" s="26" t="s">
        <v>102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4809</v>
      </c>
      <c r="D288" s="29" t="s">
        <v>613</v>
      </c>
      <c r="E288" s="30" t="s">
        <v>4830</v>
      </c>
      <c r="F288" s="30"/>
      <c r="G288" s="49"/>
      <c r="H288" s="26" t="s">
        <v>102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619</v>
      </c>
      <c r="C289" s="26">
        <v>20230005458</v>
      </c>
      <c r="D289" s="29" t="s">
        <v>621</v>
      </c>
      <c r="E289" s="51" t="s">
        <v>622</v>
      </c>
      <c r="F289" s="51"/>
      <c r="G289" s="49"/>
      <c r="H289" s="26" t="s">
        <v>102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341</v>
      </c>
      <c r="C290" s="26">
        <v>20230008219</v>
      </c>
      <c r="D290" s="29" t="s">
        <v>627</v>
      </c>
      <c r="E290" s="51" t="s">
        <v>628</v>
      </c>
      <c r="F290" s="51"/>
      <c r="G290" s="49"/>
      <c r="H290" s="26" t="s">
        <v>102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341</v>
      </c>
      <c r="C291" s="26">
        <v>20230008224</v>
      </c>
      <c r="D291" s="29" t="s">
        <v>627</v>
      </c>
      <c r="E291" s="51" t="s">
        <v>628</v>
      </c>
      <c r="F291" s="51"/>
      <c r="G291" s="49"/>
      <c r="H291" s="26" t="s">
        <v>102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619</v>
      </c>
      <c r="C292" s="26">
        <v>20230005459</v>
      </c>
      <c r="D292" s="29" t="s">
        <v>621</v>
      </c>
      <c r="E292" s="51" t="s">
        <v>622</v>
      </c>
      <c r="F292" s="51"/>
      <c r="G292" s="49"/>
      <c r="H292" s="26" t="s">
        <v>102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637</v>
      </c>
      <c r="E293" s="30" t="s">
        <v>638</v>
      </c>
      <c r="F293" s="30"/>
      <c r="G293" s="49"/>
      <c r="H293" s="26" t="s">
        <v>102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607</v>
      </c>
      <c r="E294" s="30" t="s">
        <v>608</v>
      </c>
      <c r="F294" s="30"/>
      <c r="G294" s="49"/>
      <c r="H294" s="26" t="s">
        <v>102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597</v>
      </c>
      <c r="E295" s="30" t="s">
        <v>598</v>
      </c>
      <c r="F295" s="30"/>
      <c r="G295" s="49"/>
      <c r="H295" s="26" t="s">
        <v>102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597</v>
      </c>
      <c r="E296" s="30" t="s">
        <v>598</v>
      </c>
      <c r="F296" s="30"/>
      <c r="G296" s="49"/>
      <c r="H296" s="26" t="s">
        <v>102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351</v>
      </c>
      <c r="C297" s="26">
        <v>20230008715</v>
      </c>
      <c r="D297" s="29" t="s">
        <v>588</v>
      </c>
      <c r="E297" s="26" t="s">
        <v>647</v>
      </c>
      <c r="F297" s="26"/>
      <c r="G297" s="49"/>
      <c r="H297" s="26" t="s">
        <v>102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649</v>
      </c>
      <c r="C298" s="26">
        <v>20230006187</v>
      </c>
      <c r="D298" s="29" t="s">
        <v>651</v>
      </c>
      <c r="E298" s="51" t="s">
        <v>652</v>
      </c>
      <c r="F298" s="51"/>
      <c r="G298" s="49"/>
      <c r="H298" s="26" t="s">
        <v>102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341</v>
      </c>
      <c r="C299" s="26">
        <v>20230008181</v>
      </c>
      <c r="D299" s="29" t="s">
        <v>656</v>
      </c>
      <c r="E299" s="51" t="s">
        <v>657</v>
      </c>
      <c r="F299" s="51"/>
      <c r="G299" s="49"/>
      <c r="H299" s="26" t="s">
        <v>102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562</v>
      </c>
      <c r="C300" s="26">
        <v>20230006324</v>
      </c>
      <c r="D300" s="29" t="s">
        <v>564</v>
      </c>
      <c r="E300" s="51" t="s">
        <v>571</v>
      </c>
      <c r="F300" s="51"/>
      <c r="G300" s="49"/>
      <c r="H300" s="26" t="s">
        <v>102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562</v>
      </c>
      <c r="C301" s="26">
        <v>20230006324</v>
      </c>
      <c r="D301" s="29" t="s">
        <v>564</v>
      </c>
      <c r="E301" s="25" t="s">
        <v>571</v>
      </c>
      <c r="F301" s="25"/>
      <c r="G301" s="49"/>
      <c r="H301" s="26" t="s">
        <v>102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668</v>
      </c>
      <c r="C302" s="26">
        <v>20230006477</v>
      </c>
      <c r="D302" s="29" t="s">
        <v>472</v>
      </c>
      <c r="E302" s="51" t="s">
        <v>669</v>
      </c>
      <c r="F302" s="51"/>
      <c r="G302" s="49"/>
      <c r="H302" s="26" t="s">
        <v>95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671</v>
      </c>
      <c r="E303" s="26" t="s">
        <v>672</v>
      </c>
      <c r="F303" s="26"/>
      <c r="G303" s="49"/>
      <c r="H303" s="26" t="s">
        <v>95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679</v>
      </c>
      <c r="C304" s="26">
        <v>20240001025</v>
      </c>
      <c r="D304" s="29" t="s">
        <v>680</v>
      </c>
      <c r="E304" s="25" t="s">
        <v>681</v>
      </c>
      <c r="F304" s="25"/>
      <c r="G304" s="49"/>
      <c r="H304" s="26" t="s">
        <v>95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388</v>
      </c>
      <c r="C305" s="26">
        <v>20230008529</v>
      </c>
      <c r="D305" s="29" t="s">
        <v>683</v>
      </c>
      <c r="E305" s="25" t="s">
        <v>684</v>
      </c>
      <c r="F305" s="25"/>
      <c r="G305" s="49"/>
      <c r="H305" s="26" t="s">
        <v>508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687</v>
      </c>
      <c r="C306" s="26">
        <v>20240002594</v>
      </c>
      <c r="D306" s="29" t="s">
        <v>688</v>
      </c>
      <c r="E306" s="25" t="s">
        <v>689</v>
      </c>
      <c r="F306" s="25"/>
      <c r="G306" s="49"/>
      <c r="H306" s="26" t="s">
        <v>508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694</v>
      </c>
      <c r="C307" s="26">
        <v>20230006201</v>
      </c>
      <c r="D307" s="29" t="s">
        <v>696</v>
      </c>
      <c r="E307" s="25" t="s">
        <v>4831</v>
      </c>
      <c r="F307" s="25"/>
      <c r="G307" s="49" t="s">
        <v>698</v>
      </c>
      <c r="H307" s="26" t="s">
        <v>102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705</v>
      </c>
      <c r="C308" s="26">
        <v>20230006847</v>
      </c>
      <c r="D308" s="29" t="s">
        <v>707</v>
      </c>
      <c r="E308" s="30" t="s">
        <v>708</v>
      </c>
      <c r="F308" s="30"/>
      <c r="G308" s="49"/>
      <c r="H308" s="26" t="s">
        <v>102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705</v>
      </c>
      <c r="C309" s="26">
        <v>20230006849</v>
      </c>
      <c r="D309" s="29" t="s">
        <v>707</v>
      </c>
      <c r="E309" s="52" t="s">
        <v>713</v>
      </c>
      <c r="F309" s="52"/>
      <c r="G309" s="49"/>
      <c r="H309" s="26" t="s">
        <v>102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694</v>
      </c>
      <c r="C310" s="26">
        <v>20230006188</v>
      </c>
      <c r="D310" s="29" t="s">
        <v>718</v>
      </c>
      <c r="E310" s="30" t="s">
        <v>719</v>
      </c>
      <c r="F310" s="30"/>
      <c r="G310" s="49"/>
      <c r="H310" s="26" t="s">
        <v>102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694</v>
      </c>
      <c r="C311" s="26">
        <v>20230006199</v>
      </c>
      <c r="D311" s="29" t="s">
        <v>723</v>
      </c>
      <c r="E311" s="56" t="s">
        <v>724</v>
      </c>
      <c r="F311" s="56"/>
      <c r="G311" s="49"/>
      <c r="H311" s="26" t="s">
        <v>102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727</v>
      </c>
      <c r="C312" s="26">
        <v>20230005506</v>
      </c>
      <c r="D312" s="29" t="s">
        <v>729</v>
      </c>
      <c r="E312" s="30" t="s">
        <v>730</v>
      </c>
      <c r="F312" s="30"/>
      <c r="G312" s="49"/>
      <c r="H312" s="26" t="s">
        <v>102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737</v>
      </c>
      <c r="C313" s="26">
        <v>20230005811</v>
      </c>
      <c r="D313" s="29" t="s">
        <v>739</v>
      </c>
      <c r="E313" s="25" t="s">
        <v>740</v>
      </c>
      <c r="F313" s="25"/>
      <c r="G313" s="49"/>
      <c r="H313" s="26" t="s">
        <v>102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744</v>
      </c>
      <c r="C314" s="26">
        <v>20230005770</v>
      </c>
      <c r="D314" s="29" t="s">
        <v>746</v>
      </c>
      <c r="E314" s="30" t="s">
        <v>747</v>
      </c>
      <c r="F314" s="30"/>
      <c r="G314" s="49"/>
      <c r="H314" s="26" t="s">
        <v>102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668</v>
      </c>
      <c r="C315" s="26">
        <v>20230006480</v>
      </c>
      <c r="D315" s="29" t="s">
        <v>752</v>
      </c>
      <c r="E315" s="30" t="s">
        <v>753</v>
      </c>
      <c r="F315" s="30"/>
      <c r="G315" s="49"/>
      <c r="H315" s="26" t="s">
        <v>102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758</v>
      </c>
      <c r="E316" s="30" t="s">
        <v>759</v>
      </c>
      <c r="F316" s="30"/>
      <c r="G316" s="49"/>
      <c r="H316" s="26" t="s">
        <v>102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4809</v>
      </c>
      <c r="D317" s="29" t="s">
        <v>764</v>
      </c>
      <c r="E317" s="51" t="s">
        <v>4832</v>
      </c>
      <c r="F317" s="51"/>
      <c r="G317" s="49"/>
      <c r="H317" s="26" t="s">
        <v>102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769</v>
      </c>
      <c r="C318" s="26">
        <v>20230005679</v>
      </c>
      <c r="D318" s="43" t="s">
        <v>771</v>
      </c>
      <c r="E318" s="25" t="s">
        <v>4833</v>
      </c>
      <c r="F318" s="25"/>
      <c r="G318" s="49"/>
      <c r="H318" s="26" t="s">
        <v>102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769</v>
      </c>
      <c r="C319" s="26">
        <v>20230005680</v>
      </c>
      <c r="D319" s="43" t="s">
        <v>771</v>
      </c>
      <c r="E319" s="25" t="s">
        <v>777</v>
      </c>
      <c r="F319" s="25"/>
      <c r="G319" s="49"/>
      <c r="H319" s="26" t="s">
        <v>102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4809</v>
      </c>
      <c r="D320" s="29" t="s">
        <v>764</v>
      </c>
      <c r="E320" s="51" t="s">
        <v>4834</v>
      </c>
      <c r="F320" s="51"/>
      <c r="G320" s="49"/>
      <c r="H320" s="26" t="s">
        <v>102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769</v>
      </c>
      <c r="C321" s="26">
        <v>20230005699</v>
      </c>
      <c r="D321" s="29" t="s">
        <v>784</v>
      </c>
      <c r="E321" s="30" t="s">
        <v>785</v>
      </c>
      <c r="F321" s="30"/>
      <c r="G321" s="49"/>
      <c r="H321" s="26" t="s">
        <v>102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351</v>
      </c>
      <c r="C322" s="26">
        <v>20230008663</v>
      </c>
      <c r="D322" s="29" t="s">
        <v>790</v>
      </c>
      <c r="E322" s="30" t="s">
        <v>791</v>
      </c>
      <c r="F322" s="30"/>
      <c r="G322" s="49"/>
      <c r="H322" s="26" t="s">
        <v>102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795</v>
      </c>
      <c r="C323" s="26">
        <v>20230005464</v>
      </c>
      <c r="D323" s="29" t="s">
        <v>797</v>
      </c>
      <c r="E323" s="51" t="s">
        <v>798</v>
      </c>
      <c r="F323" s="51"/>
      <c r="G323" s="49"/>
      <c r="H323" s="26" t="s">
        <v>102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802</v>
      </c>
      <c r="E324" s="52" t="s">
        <v>803</v>
      </c>
      <c r="F324" s="52"/>
      <c r="G324" s="49"/>
      <c r="H324" s="26" t="s">
        <v>102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727</v>
      </c>
      <c r="C325" s="26">
        <v>20230005507</v>
      </c>
      <c r="D325" s="29" t="s">
        <v>729</v>
      </c>
      <c r="E325" s="51" t="s">
        <v>807</v>
      </c>
      <c r="F325" s="51"/>
      <c r="G325" s="49"/>
      <c r="H325" s="26" t="s">
        <v>102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694</v>
      </c>
      <c r="C326" s="26">
        <v>20230006200</v>
      </c>
      <c r="D326" s="29" t="s">
        <v>723</v>
      </c>
      <c r="E326" s="30" t="s">
        <v>724</v>
      </c>
      <c r="F326" s="30"/>
      <c r="G326" s="49"/>
      <c r="H326" s="26" t="s">
        <v>102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694</v>
      </c>
      <c r="C327" s="26">
        <v>20230006190</v>
      </c>
      <c r="D327" s="29" t="s">
        <v>718</v>
      </c>
      <c r="E327" s="52" t="s">
        <v>813</v>
      </c>
      <c r="F327" s="52"/>
      <c r="G327" s="49"/>
      <c r="H327" s="26" t="s">
        <v>102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705</v>
      </c>
      <c r="C328" s="26">
        <v>20230006850</v>
      </c>
      <c r="D328" s="29" t="s">
        <v>707</v>
      </c>
      <c r="E328" s="51" t="s">
        <v>708</v>
      </c>
      <c r="F328" s="51"/>
      <c r="G328" s="49"/>
      <c r="H328" s="26" t="s">
        <v>102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705</v>
      </c>
      <c r="C329" s="26">
        <v>20230006852</v>
      </c>
      <c r="D329" s="29" t="s">
        <v>707</v>
      </c>
      <c r="E329" s="51" t="s">
        <v>708</v>
      </c>
      <c r="F329" s="51"/>
      <c r="G329" s="49"/>
      <c r="H329" s="26" t="s">
        <v>102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694</v>
      </c>
      <c r="C330" s="26">
        <v>20230006202</v>
      </c>
      <c r="D330" s="29" t="s">
        <v>696</v>
      </c>
      <c r="E330" s="25" t="s">
        <v>819</v>
      </c>
      <c r="F330" s="25"/>
      <c r="G330" s="49"/>
      <c r="H330" s="26" t="s">
        <v>102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4809</v>
      </c>
      <c r="D331" s="29"/>
      <c r="E331" s="26" t="s">
        <v>122</v>
      </c>
      <c r="F331" s="26"/>
      <c r="G331" s="49"/>
      <c r="H331" s="26" t="s">
        <v>95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31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4835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4836</v>
      </c>
      <c r="B2" s="5" t="s">
        <v>4837</v>
      </c>
      <c r="C2" s="6" t="s">
        <v>4838</v>
      </c>
      <c r="D2" s="6" t="s">
        <v>4839</v>
      </c>
      <c r="E2" s="6" t="s">
        <v>4840</v>
      </c>
      <c r="F2" s="6" t="s">
        <v>4841</v>
      </c>
      <c r="G2" s="7" t="s">
        <v>4842</v>
      </c>
      <c r="H2" s="7" t="s">
        <v>4843</v>
      </c>
      <c r="J2" s="2" t="s">
        <v>4844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31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4845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2024-11-11T09:13:26Z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